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diagonal/>
    </border>
  </borders>
  <cellStyleXfs count="1">
    <xf borderId="0" fillId="0" fontId="0" numFmtId="0"/>
  </cellStyleXfs>
  <cellXfs count="2">
    <xf borderId="0" fillId="0" fontId="0" numFmtId="0" pivotButton="0" quotePrefix="0" xfId="0"/>
    <xf applyAlignment="1" borderId="1" fillId="0" fontId="1" numFmtId="0" pivotButton="0" quotePrefix="0" xfId="0">
      <alignment horizontal="center" vertical="top"/>
    </xf>
  </cellXfs>
  <cellStyles count="1">
    <cellStyle builtinId="0" hidden="0" name="Normal" xfId="0"/>
  </cellStyles>
  <tableStyles count="0" defaultPivotStyle="PivotStyleLight16" defaultTableStyle="TableStyleMedium9"/>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Id="rId1" Target="/xl/worksheets/sheet1.xml" Type="http://schemas.openxmlformats.org/officeDocument/2006/relationships/worksheet" /><Relationship Id="rId2" Target="styles.xml" Type="http://schemas.openxmlformats.org/officeDocument/2006/relationships/styles" /><Relationship Id="rId3"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H10658"/>
  <sheetViews>
    <sheetView workbookViewId="0">
      <selection activeCell="A1" sqref="A1"/>
    </sheetView>
  </sheetViews>
  <sheetFormatPr baseColWidth="8" defaultRowHeight="15"/>
  <sheetData>
    <row r="1">
      <c r="A1" s="1" t="inlineStr">
        <is>
          <t>ID</t>
        </is>
      </c>
      <c r="B1" s="1" t="inlineStr">
        <is>
          <t>Title</t>
        </is>
      </c>
      <c r="C1" s="1" t="inlineStr">
        <is>
          <t>Body</t>
        </is>
      </c>
      <c r="D1" s="1" t="inlineStr">
        <is>
          <t>Score</t>
        </is>
      </c>
      <c r="E1" s="1" t="inlineStr">
        <is>
          <t>Comments</t>
        </is>
      </c>
      <c r="F1" s="1" t="inlineStr">
        <is>
          <t>Link</t>
        </is>
      </c>
      <c r="G1" s="1" t="inlineStr">
        <is>
          <t>Date</t>
        </is>
      </c>
      <c r="H1" s="1" t="inlineStr">
        <is>
          <t>flair</t>
        </is>
      </c>
    </row>
    <row r="2">
      <c r="A2" t="inlineStr">
        <is>
          <t>abmfwg</t>
        </is>
      </c>
      <c r="B2" t="inlineStr">
        <is>
          <t>Has anyone here had to undergo surgery to fix their GERD/acid reflux? What was it like and did it help?</t>
        </is>
      </c>
      <c r="C2" t="inlineStr">
        <is>
          <t>It's been about two months since I've started feeling nauseous all the time and having heartburn a lot, I've had acid reflux for 2 years but never this bad. 
I've had sonar done, Endoscopy, blood tests. Antacids don't seem to help at all. Surgery could be a possible solution, so I'm curious about other's experiences.</t>
        </is>
      </c>
      <c r="D2" t="n">
        <v>1</v>
      </c>
      <c r="E2" t="n">
        <v>30</v>
      </c>
      <c r="F2">
        <f>HYPERLINK("https://www.reddit.com/r/GERD/comments/abmfwg/has_anyone_here_had_to_undergo_surgery_to_fix/")</f>
        <v/>
      </c>
      <c r="G2" t="inlineStr">
        <is>
          <t>2019-01-01 13:54:36</t>
        </is>
      </c>
      <c r="H2" t="inlineStr"/>
    </row>
    <row r="3">
      <c r="A3" t="inlineStr">
        <is>
          <t>abo3ye</t>
        </is>
      </c>
      <c r="B3" t="inlineStr">
        <is>
          <t>Has anyone tried the Melatonin, B12, Folate (etc) Combo?</t>
        </is>
      </c>
      <c r="C3" t="inlineStr">
        <is>
          <t>I have LPR. I also have a MTHFR mutation (C677T ++). So I've been supplementing with B12 and folate for a while.
Has anyone tried the supplementation from this study? - [`https://www.ncbi.nlm.nih.gov/pubmed/16948779`](https://www.ncbi.nlm.nih.gov/pubmed/16948779)
"The aim of this study was to investigate if a dietary supplementation  containing: melatonin, l-tryptophan, vitamin B6, folic acid, vitamin  B12, methionine and betaine would help patients with GERD, and to  compare the preparation with 20 mg omeprazole" - spoiler alert, it worked better than the PPI.
I'd like to try it, although I don't really need melatonin (I already sleep very well) - has anyone tried it with good results?</t>
        </is>
      </c>
      <c r="D3" t="n">
        <v>1</v>
      </c>
      <c r="E3" t="n">
        <v>3</v>
      </c>
      <c r="F3">
        <f>HYPERLINK("https://www.reddit.com/r/GERD/comments/abo3ye/has_anyone_tried_the_melatonin_b12_folate_etc/")</f>
        <v/>
      </c>
      <c r="G3" t="inlineStr">
        <is>
          <t>2019-01-01 16:58:23</t>
        </is>
      </c>
      <c r="H3" t="inlineStr"/>
    </row>
    <row r="4">
      <c r="A4" t="inlineStr">
        <is>
          <t>abp9vz</t>
        </is>
      </c>
      <c r="B4" t="inlineStr">
        <is>
          <t>Weeds episode</t>
        </is>
      </c>
      <c r="C4" t="inlineStr">
        <is>
          <t xml:space="preserve">There is an episode of Weeds where Fundis, a police agent, has an episode of GERD and it leads to some funny banter, sifting through this sub made me remember it fondly, as I too suffer from horribly nighttime acid reflux/GERD symptoms, so I feel for his character, he isn't a major character at all, but the medical condition part is what stuck to me about him the most haha </t>
        </is>
      </c>
      <c r="D4" t="n">
        <v>1</v>
      </c>
      <c r="E4" t="n">
        <v>0</v>
      </c>
      <c r="F4">
        <f>HYPERLINK("https://www.reddit.com/r/GERD/comments/abp9vz/weeds_episode/")</f>
        <v/>
      </c>
      <c r="G4" t="inlineStr">
        <is>
          <t>2019-01-01 19:16:26</t>
        </is>
      </c>
      <c r="H4" t="inlineStr"/>
    </row>
    <row r="5">
      <c r="A5" t="inlineStr">
        <is>
          <t>abplr5</t>
        </is>
      </c>
      <c r="B5" t="inlineStr">
        <is>
          <t>Anyone else have Exercise induced asthma?</t>
        </is>
      </c>
      <c r="C5" t="inlineStr">
        <is>
          <t>I get chest pains when I breathe in if I run or exercise outdoors, especially when it’s cold.
My doc told me it was exercise induced asthma. 
I’ve since read that if the pain is breathing OUT it’s EIA but if it’s breathing IN it’s more likely to be GERD. Anyone else have this?</t>
        </is>
      </c>
      <c r="D5" t="n">
        <v>1</v>
      </c>
      <c r="E5" t="n">
        <v>2</v>
      </c>
      <c r="F5">
        <f>HYPERLINK("https://www.reddit.com/r/GERD/comments/abplr5/anyone_else_have_exercise_induced_asthma/")</f>
        <v/>
      </c>
      <c r="G5" t="inlineStr">
        <is>
          <t>2019-01-01 19:57:56</t>
        </is>
      </c>
      <c r="H5" t="inlineStr"/>
    </row>
    <row r="6">
      <c r="A6" t="inlineStr">
        <is>
          <t>abq8kv</t>
        </is>
      </c>
      <c r="B6" t="inlineStr">
        <is>
          <t>Please help I'm really worried GERD</t>
        </is>
      </c>
      <c r="C6" t="inlineStr">
        <is>
          <t>Ok so it wasnt too long ago I posted here about this issue but now its worse so basically I haven't been able to eat much at all and forcing myself to eat. I'm going to doctor tomorrow but I want reassurance right now what this could be. I thought maybe it was inflammation of esophagus or something but I'm really worried. My issue is that food is really hard to go down I have to take little bites and it feels like it won't go down easy, like the hole in back of mouth / tongue to where food goes down is too little for any food including milkshakes and it qomt go down easy. But when it goes down it doesn't hurt my chest or anything so it's not the lining of stomach/ esophagus  just the very start of throat. I'm really scared and anxious about this and would like some tips and advice and information what it could be so I can be calmed down cause on top of all this have anxiety so it worries me. Thank you so much for everyone who decides to reply it means a lot.
Just wanted to say my symptoms down here really quick. Everytime I eat it feels like the hole isnt big enough to swallow and like its swollen or something and I'm going to choke and food gets stuck in that hole I dont know what it's called I'm very sorry. But I'm having Difficulty swallowing anything thats not liquid, like that hole at very start at bottom of tongue is too small for food to enter and my body jumps and I start swallowing 2 or 3 times for it to go down. please be careful with replies and saying things like it could be cancer, cause I'm trying not to be too anxious about it but again thank you so much.</t>
        </is>
      </c>
      <c r="D6" t="n">
        <v>1</v>
      </c>
      <c r="E6" t="n">
        <v>1</v>
      </c>
      <c r="F6">
        <f>HYPERLINK("https://www.reddit.com/r/GERD/comments/abq8kv/please_help_im_really_worried_gerd/")</f>
        <v/>
      </c>
      <c r="G6" t="inlineStr">
        <is>
          <t>2019-01-01 21:19:09</t>
        </is>
      </c>
      <c r="H6" t="inlineStr"/>
    </row>
    <row r="7">
      <c r="A7" t="inlineStr">
        <is>
          <t>abr0dt</t>
        </is>
      </c>
      <c r="B7" t="inlineStr">
        <is>
          <t>Chances of getting cancer?</t>
        </is>
      </c>
      <c r="C7" t="inlineStr">
        <is>
          <t xml:space="preserve">I have major GERD but it’s not diagnosed nor do I take meds besides like Pepcid. Usually it’s ok I just have a little sour taste in my throat. However, I’ve had hiccups for 3 days straight. It happened a few months ago, got blood work and I was fine but it came back again. I love coffee, spicy foods and alcohol and cutting those out sounds miserable. So what are the chances of getting throat cancer because I’m pretty sure I’m going to end up with it. </t>
        </is>
      </c>
      <c r="D7" t="n">
        <v>1</v>
      </c>
      <c r="E7" t="n">
        <v>10</v>
      </c>
      <c r="F7">
        <f>HYPERLINK("https://www.reddit.com/r/GERD/comments/abr0dt/chances_of_getting_cancer/")</f>
        <v/>
      </c>
      <c r="G7" t="inlineStr">
        <is>
          <t>2019-01-01 23:05:58</t>
        </is>
      </c>
      <c r="H7" t="inlineStr"/>
    </row>
    <row r="8">
      <c r="A8" t="inlineStr">
        <is>
          <t>abrqi5</t>
        </is>
      </c>
      <c r="B8" t="inlineStr">
        <is>
          <t>GERD problem</t>
        </is>
      </c>
      <c r="C8" t="inlineStr">
        <is>
          <t xml:space="preserve">I'm a 21yo female, I've been having severe throat pains since few years now, initially doctors suggested that it might be some allergy, after endoscopy it was suggested that it was an acid reflux issue. I've been put to taking antacids and panstorm-dsr for about a couple months now. I do feel better, and the pain is not a lot but I have to constantly be careful of what I'm eating. I fear that as soon as I'm off medication the pain might reoccur. Is it true? Or is this thing even curable? </t>
        </is>
      </c>
      <c r="D8" t="n">
        <v>1</v>
      </c>
      <c r="E8" t="n">
        <v>1</v>
      </c>
      <c r="F8">
        <f>HYPERLINK("https://www.reddit.com/r/GERD/comments/abrqi5/gerd_problem/")</f>
        <v/>
      </c>
      <c r="G8" t="inlineStr">
        <is>
          <t>2019-01-02 01:05:33</t>
        </is>
      </c>
      <c r="H8" t="inlineStr"/>
    </row>
    <row r="9">
      <c r="A9" t="inlineStr">
        <is>
          <t>abrvol</t>
        </is>
      </c>
      <c r="B9" t="inlineStr">
        <is>
          <t>Long term experience review: 2 years POST surgery (Nissen fundoplication.)</t>
        </is>
      </c>
      <c r="C9" t="inlineStr">
        <is>
          <t>Using a throwaway account here, as I don't want keep adding a bunch of "very specific" information to my (supposed to be) anonymous reddit profile. I read a bunch of stuff from the people who underwent the surgery about their experiences before I had mine, and I swore to myself If I end up coming out of this better than before (or otherwise), I would leave a long review somewhere, so that some poor soul could benefit from my experience.
**Backstory**:
* I am a 31 year old male. I have always had poor digestion. I cannot quite recall when I started to have heartburns and burping, Probably since I was 10\~12?. But things definitely got way worse when I was in my mid-20s. 
* I had trouble sleeping through the night as acid would always back up in to my throat. I will sit up, let a sour burp out, swallow the damn thing and fall back asleep. Everyday activities became difficult. When doing physical activities, I always have to stop for a second belch out a lot of gas and then proceed. 
* I had my first Gastroenterology visit when I was 25ish. He told me swallowing air caused burps, and "eat better", so that I don't swallow air while eating. Well, It is not like I was chugging air down while eating compared to other people. I ate just like other people did. He told me to make some changes in diet (If I remember correctly?)
* I guess in the second or third visit, seeing as the situation is not improving, He put me on Omerperazole.
* Some months went by, They did endoscopy and proctoscopy(?), and they said they found nothing out of the ordinary (biopsy results were OK too) and asked me to keep up with the PPI. Things didn't get better much. Regular visits weren't helping.
* I hated paying through the nose for the co-pay and later hospital bills, when obviously I wasn't getting better. I stopped visiting him regularly but kept up with the PPI (mostly on but sometimes off). It was a hellish period of bloating,diarrhea,constipation, heartburn and burping. I tried vinegar (read somewhere that it would help) , probiotics, digestive enzymes and what not.
Nothing improved, but I had some stuff going on in my personal life, So this had to wait.
**Diagnosis:**
When things settled down, I went back to a different gastroenterologist, this time with a resolve to get things better once and for all gut wise.
I had the endoscopy procedure done again, and this time I got to look at the report. I had an Ultra sound scan done as well.
This was the gist of the results from those procedures,
* Large hiatus hernia.
* Linear erosion at the lower end of the esophagus. Esophagitis LA Grade A.
* Superficial antral ulcer in the stomach.
* Biopsy results turned out OK.
* Gall bladder not visible in the ultrasound scan.
The doctor looked at the results, and told me to go for the Nissen fundoplication surgery along with Gall bladder removal. I said yes after taking a couple of weeks to decide.
**Surgery:**
I had to get admitted the night before. The next morning they had me prepared for the surgery, then wheeled me into the surgery room. They gave me some anesthetic and asked me to count back from 10. By the time I woke up the surgery was over. I was groggy, had a pipe running through my throat into the stomach, a catheter up my genitals, and 5 laproscopic holes stitched up. After a couple of hours the pain started kicking in, My neck and shoulder hurt the worst cos of all the CO2 they had pumped in for the laproscopic procedure, they form these bubbles under your skin and hurt a lot. The surgeon came into my room and told me that the surgery went A-OK, but they couldn't find my gall bladder for some reason and he told me to get a MRI scan done the next day. Turned out that I had congenital gall bladder agenisis (born without a gall bladder).
**Post surgery Short term:**
* As it was a laproscopic surgery, the recovery was really quick. I think I stayed in the hospital for 5 more days. 
* I was eating semi-solid food by the third day, I believe. 
* Was super weak for the first couple of days, but by the third or 4th day i was able to getup from the bed to go poop and piss. 
* Got discharged on the 5th day from the hospital and went to work after a couple of weeks of rest at home.
* Felt bloated for a couple of months, as the stomach size had become small, and post-OP it becomes hard to even let out a small burp. Was farting to let the pressure out. 
* Got greedy and ate some chocolate brownie by the end of the second week, and the smell of the egg was so upsetting which made me want to throw up, I was so scared If the Nissen wrap is going to come undone. But that didn't happen. I didn't throw up either.
**Post surgery Long term:**
* Boy oh boy, the Heartburn and Burping completely stopped. At first I wont burp at all, but in 3-4 months I was able to let out a decent burp. 
* I started sleeping peacefully. No more heartburns at night, no more popping in Omeperazole. 
* Physical activities, didn't flare up the acidity like how they used to, It came to a complete stop. 
* I won't vomit at all after the surgery, but after a year and a half, I vomited the other day (food poisoning perhaps?). And it made me feel normal.
* It has been two years since the surgery, and I cannot recommend it enough to someone in my situation. 
* I have put on quite a lot of weight since then, Hehee. I don't think it because of the surgery, mostly due to my daughter being born after that, and me eating everything in sight without discrimination.
Feel free to ask me any questions you want. I will try to answer them as much as i can.
&amp;amp;#x200B;</t>
        </is>
      </c>
      <c r="D9" t="n">
        <v>1</v>
      </c>
      <c r="E9" t="n">
        <v>19</v>
      </c>
      <c r="F9">
        <f>HYPERLINK("https://www.reddit.com/r/GERD/comments/abrvol/long_term_experience_review_2_years_post_surgery/")</f>
        <v/>
      </c>
      <c r="G9" t="inlineStr">
        <is>
          <t>2019-01-02 01:30:28</t>
        </is>
      </c>
      <c r="H9" t="inlineStr"/>
    </row>
    <row r="10">
      <c r="A10" t="inlineStr">
        <is>
          <t>abs8t9</t>
        </is>
      </c>
      <c r="B10" t="inlineStr">
        <is>
          <t>Has anyone had esophogeal dialation?</t>
        </is>
      </c>
      <c r="C10" t="inlineStr">
        <is>
          <t xml:space="preserve">One of my worst symptoms is an extremely tight throat. Stiff gets caught all the time, I can barely eat. It's so bad it impacts my breathing. 
I was recently diagnosed with GERD and while researching I found that it can cause esophogeal stricture, basically narrowing/tightening of the esophagus. I have all the symptoms of it.
Apparently, treatment for this is dialation, where they give you anasthesia and blow up a balloon in your throat to stretch it back out. 
I am going to talk to my doctor about getting evaluated for this, and was wondering if anyone here has had the procedure done? I would love to hear your experience. </t>
        </is>
      </c>
      <c r="D10" t="n">
        <v>1</v>
      </c>
      <c r="E10" t="n">
        <v>5</v>
      </c>
      <c r="F10">
        <f>HYPERLINK("https://www.reddit.com/r/GERD/comments/abs8t9/has_anyone_had_esophogeal_dialation/")</f>
        <v/>
      </c>
      <c r="G10" t="inlineStr">
        <is>
          <t>2019-01-02 02:30:40</t>
        </is>
      </c>
      <c r="H10" t="inlineStr"/>
    </row>
    <row r="11">
      <c r="A11" t="inlineStr">
        <is>
          <t>absfex</t>
        </is>
      </c>
      <c r="B11" t="inlineStr">
        <is>
          <t>How does everyone elevate their bed?</t>
        </is>
      </c>
      <c r="C11" t="inlineStr">
        <is>
          <t>I really need to do this and I need a good pillow or mattress recommendation.</t>
        </is>
      </c>
      <c r="D11" t="n">
        <v>1</v>
      </c>
      <c r="E11" t="n">
        <v>9</v>
      </c>
      <c r="F11">
        <f>HYPERLINK("https://www.reddit.com/r/GERD/comments/absfex/how_does_everyone_elevate_their_bed/")</f>
        <v/>
      </c>
      <c r="G11" t="inlineStr">
        <is>
          <t>2019-01-02 03:01:33</t>
        </is>
      </c>
      <c r="H11" t="inlineStr"/>
    </row>
    <row r="12">
      <c r="A12" t="inlineStr">
        <is>
          <t>abx40d</t>
        </is>
      </c>
      <c r="B12" t="inlineStr">
        <is>
          <t>Do I have GERD?</t>
        </is>
      </c>
      <c r="C12" t="inlineStr">
        <is>
          <t>Hey guys need some advice please.
A month ago I started have a tight feeling in my chest all day long. I didn't think too much of it because I have IBS and I have had gas pain in my chest before. 
But everything changed after I got food poisoning.
Basically I started having a bad sore throat and it would get worse at different points throughout the day. The chest pain is still the same and I burp after eating or drinking. I'm going to see my doctor soon and get their thoughts soon but I thought this was a good place to start.
TL;DR Is my sore throat GERD or something else?</t>
        </is>
      </c>
      <c r="D12" t="n">
        <v>1</v>
      </c>
      <c r="E12" t="n">
        <v>3</v>
      </c>
      <c r="F12">
        <f>HYPERLINK("https://www.reddit.com/r/GERD/comments/abx40d/do_i_have_gerd/")</f>
        <v/>
      </c>
      <c r="G12" t="inlineStr">
        <is>
          <t>2019-01-02 12:06:27</t>
        </is>
      </c>
      <c r="H12" t="inlineStr"/>
    </row>
    <row r="13">
      <c r="A13" t="inlineStr">
        <is>
          <t>abzx0e</t>
        </is>
      </c>
      <c r="B13" t="inlineStr">
        <is>
          <t>Does anyone else get a spicy taste in the back of their throat?</t>
        </is>
      </c>
      <c r="C13" t="inlineStr">
        <is>
          <t>I always see it described as "sour" or "bitter" but for me it's spicy, like a hot pepper.</t>
        </is>
      </c>
      <c r="D13" t="n">
        <v>1</v>
      </c>
      <c r="E13" t="n">
        <v>7</v>
      </c>
      <c r="F13">
        <f>HYPERLINK("https://www.reddit.com/r/GERD/comments/abzx0e/does_anyone_else_get_a_spicy_taste_in_the_back_of/")</f>
        <v/>
      </c>
      <c r="G13" t="inlineStr">
        <is>
          <t>2019-01-02 16:46:59</t>
        </is>
      </c>
      <c r="H13" t="inlineStr"/>
    </row>
    <row r="14">
      <c r="A14" t="inlineStr">
        <is>
          <t>ac0gue</t>
        </is>
      </c>
      <c r="B14" t="inlineStr">
        <is>
          <t>Long term use of H2 inhibitors vs PPIs?</t>
        </is>
      </c>
      <c r="C14" t="inlineStr">
        <is>
          <t>I've taken omeprazole for years now but quit because of kidney disease in my family. Read the PPIs are hard on kidneys.
Anyway I started taking ranitidine daily now and wonder if long term use of that is risky too!
And advise?</t>
        </is>
      </c>
      <c r="D14" t="n">
        <v>1</v>
      </c>
      <c r="E14" t="n">
        <v>14</v>
      </c>
      <c r="F14">
        <f>HYPERLINK("https://www.reddit.com/r/GERD/comments/ac0gue/long_term_use_of_h2_inhibitors_vs_ppis/")</f>
        <v/>
      </c>
      <c r="G14" t="inlineStr">
        <is>
          <t>2019-01-02 17:47:11</t>
        </is>
      </c>
      <c r="H14" t="inlineStr"/>
    </row>
    <row r="15">
      <c r="A15" t="inlineStr">
        <is>
          <t>ac174r</t>
        </is>
      </c>
      <c r="B15" t="inlineStr">
        <is>
          <t>Headaches and GERD?</t>
        </is>
      </c>
      <c r="C15" t="inlineStr">
        <is>
          <t>I am currently dealing with reflux, again, after gaining some weight back. I used to take Nexium ages ago, but stopped after dropping weight helped reflux. Now I’m back to using OTC ranitidine and trying to lose weight...however it seems like GERD and headaches seem to go hand in hand for me, and it seems so odd. I’m not a stranger to ear and throat pain, but this is sort of new. It’s not daily, but they seem connected to me. Am I crazy?</t>
        </is>
      </c>
      <c r="D15" t="n">
        <v>1</v>
      </c>
      <c r="E15" t="n">
        <v>6</v>
      </c>
      <c r="F15">
        <f>HYPERLINK("https://www.reddit.com/r/GERD/comments/ac174r/headaches_and_gerd/")</f>
        <v/>
      </c>
      <c r="G15" t="inlineStr">
        <is>
          <t>2019-01-02 19:06:31</t>
        </is>
      </c>
      <c r="H15" t="inlineStr"/>
    </row>
    <row r="16">
      <c r="A16" t="inlineStr">
        <is>
          <t>ac17d0</t>
        </is>
      </c>
      <c r="B16" t="inlineStr">
        <is>
          <t>i think smoking weed caused my GERD?</t>
        </is>
      </c>
      <c r="C16" t="inlineStr">
        <is>
          <t>hey everyone. long story short: i started smoking a lot of weed about 3 months ago and now i feel like i’m about to puke all the time.(before anyone says anything, i’m going to be talking to my doctor about this in 2 weeks lol)
the nauseous feeling really started to ramp up within the last 2-3 weeks, and now it’s constant. i first suspected it was due to my allergies and my post nasal drip, but i really don’t think it’s that bc it persists even when the allergy meds work(aka when i remember to take them). today i stumbled across GERD, and after looking into the causes/symptoms, i think this might be the answer(or at least some form of a reflux condition).
i think it’s the smoking that’s causing this bc that’s the only thing i’ve really changed in the past few months(and i’ve read its one of the biggest causes of GERD). i assume going from never smoking, to smoking 2-4 joints a day in 3 months would cause underlying symptoms to expose themselves.
that leads me to the actual symptoms: nausea, i constantly feel “full”, hard to eat, constant small burps, feels like mucus at the back of my throat(could be post nasal drip). the thing is, i don’t get heartburn, sore throat or anything, so i’m not sure if it’s actually GERD.
questions: 
has smoking weed brought these symptoms to light for anyone else?
will vaping instead of smoking help?
is there anything i can do in the meantime to help with this fucking nausea? i had to leave the gym early today bc i felt too queasy</t>
        </is>
      </c>
      <c r="D16" t="n">
        <v>1</v>
      </c>
      <c r="E16" t="n">
        <v>4</v>
      </c>
      <c r="F16">
        <f>HYPERLINK("https://www.reddit.com/r/GERD/comments/ac17d0/i_think_smoking_weed_caused_my_gerd/")</f>
        <v/>
      </c>
      <c r="G16" t="inlineStr">
        <is>
          <t>2019-01-02 19:07:10</t>
        </is>
      </c>
      <c r="H16" t="inlineStr"/>
    </row>
    <row r="17">
      <c r="A17" t="inlineStr">
        <is>
          <t>ac1ywy</t>
        </is>
      </c>
      <c r="B17" t="inlineStr">
        <is>
          <t>Chronic silent reflux and nasal drip</t>
        </is>
      </c>
      <c r="C17" t="inlineStr">
        <is>
          <t xml:space="preserve">I've had mild yet chronic post nasal drip and what a previous speech therapist suspected is silent reflux after an ENT exam showed an early nodule and inflammation for no obvious reason. Gaviscon Advance helped bring my voice back to a healthier sounding state. It had been suspiciously weak and gravelly for a few years prior to that. I no longer need to take it regularly. 
I keep taking nasal sprays every now and then and the Gaviscon occasionally but I still get regular periods where I sound sick and the nasal drainage has never actually gone away. Am I meant to use sprays for life?
Any recommendations? I fear my voice is or will be permanently damaged.
Thank you! </t>
        </is>
      </c>
      <c r="D17" t="n">
        <v>1</v>
      </c>
      <c r="E17" t="n">
        <v>4</v>
      </c>
      <c r="F17">
        <f>HYPERLINK("https://www.reddit.com/r/GERD/comments/ac1ywy/chronic_silent_reflux_and_nasal_drip/")</f>
        <v/>
      </c>
      <c r="G17" t="inlineStr">
        <is>
          <t>2019-01-02 20:32:46</t>
        </is>
      </c>
      <c r="H17" t="inlineStr"/>
    </row>
    <row r="18">
      <c r="A18" t="inlineStr">
        <is>
          <t>ac7p9d</t>
        </is>
      </c>
      <c r="B18" t="inlineStr">
        <is>
          <t>Replacement for white rice/complex carb?</t>
        </is>
      </c>
      <c r="C18" t="inlineStr">
        <is>
          <t>I just finished reading Dr. Aviv's book on healing GERD through diet.  
I am Asian and white rice is my everyday meal item. I'm thinking of a better substitute for it. The author mentions brown rice and I'm on the fence about it because the youtube video below says it takes longer to digest and is not really different for added benefits. What other alternatives should I go for? Is eating whole wheat pasta really that much better?  
https://www.youtube.com/watch?v=5TEXF4M4WAc&amp;amp;t=2s</t>
        </is>
      </c>
      <c r="D18" t="n">
        <v>1</v>
      </c>
      <c r="E18" t="n">
        <v>10</v>
      </c>
      <c r="F18">
        <f>HYPERLINK("https://www.reddit.com/r/GERD/comments/ac7p9d/replacement_for_white_ricecomplex_carb/")</f>
        <v/>
      </c>
      <c r="G18" t="inlineStr">
        <is>
          <t>2019-01-03 09:08:36</t>
        </is>
      </c>
      <c r="H18" t="inlineStr"/>
    </row>
    <row r="19">
      <c r="A19" t="inlineStr">
        <is>
          <t>ac896r</t>
        </is>
      </c>
      <c r="B19" t="inlineStr">
        <is>
          <t>GERD and Oral Thrush/Candida overgrowth</t>
        </is>
      </c>
      <c r="C19" t="inlineStr">
        <is>
          <t xml:space="preserve">Hey guys! I’m a 19 year old male suffering from many symptoms of GERD. I have seen doctors and I have not been professionally diagnosed with GERD. With that being said I have had oral thrush periodically for the past 2-3 years and that is also when I had an onset of GERD. I believe that all of my issues may be related to yeast overgrowth in my gut. I have taken medication ( it didn’t work). Does anybody have input on this? Or does anyone have similar problems? </t>
        </is>
      </c>
      <c r="D19" t="n">
        <v>1</v>
      </c>
      <c r="E19" t="n">
        <v>6</v>
      </c>
      <c r="F19">
        <f>HYPERLINK("https://www.reddit.com/r/GERD/comments/ac896r/gerd_and_oral_thrushcandida_overgrowth/")</f>
        <v/>
      </c>
      <c r="G19" t="inlineStr">
        <is>
          <t>2019-01-03 10:02:31</t>
        </is>
      </c>
      <c r="H19" t="inlineStr"/>
    </row>
    <row r="20">
      <c r="A20" t="inlineStr">
        <is>
          <t>acbngj</t>
        </is>
      </c>
      <c r="B20" t="inlineStr">
        <is>
          <t>Newbie</t>
        </is>
      </c>
      <c r="C20" t="inlineStr">
        <is>
          <t>I will try to be quick but I am in desperate need of help and GP and doctors aren’t helping much. 
I have been burping (non stop) for there weeks and that’s unusual for  me. I am 35 and 240 lbs.  my left arm has been achy and I have been aching in my neck, shoulder and sometimes leg, all mostly in left side.   Recently by jaw
I have anxiety and have feared classic heart attack symptoms.   I have had numerous ekgs, heart blood work, Ecco scan a nd stress test. They all say they look good
I have also had had dizziness and my body getting hot. Today I have had shortness of breaths a few times while walking a small distance. They seem to think it’s not my heart but it’s driving me nuts and scaring me to death. 
Occasionally I can get they big big acidly burp out. Would trapped gas or reflux cause any of this?  Or something esophagus related?  I am desperate. Thoughts??</t>
        </is>
      </c>
      <c r="D20" t="n">
        <v>1</v>
      </c>
      <c r="E20" t="n">
        <v>8</v>
      </c>
      <c r="F20">
        <f>HYPERLINK("https://www.reddit.com/r/GERD/comments/acbngj/newbie/")</f>
        <v/>
      </c>
      <c r="G20" t="inlineStr">
        <is>
          <t>2019-01-03 15:24:14</t>
        </is>
      </c>
      <c r="H20" t="inlineStr"/>
    </row>
    <row r="21">
      <c r="A21" t="inlineStr">
        <is>
          <t>acdyaw</t>
        </is>
      </c>
      <c r="B21" t="inlineStr">
        <is>
          <t>Do I have GERD?</t>
        </is>
      </c>
      <c r="C21" t="inlineStr">
        <is>
          <t>I feel like I've been experiencing light symptoms of GERD. For the past 3 weeks or so, I've been puking up food in the middle of my sleep (3-4 times a week) and also experiencing heartburn not as frequently. Is this a sign I have GERD? Thanks.</t>
        </is>
      </c>
      <c r="D21" t="n">
        <v>1</v>
      </c>
      <c r="E21" t="n">
        <v>4</v>
      </c>
      <c r="F21">
        <f>HYPERLINK("https://www.reddit.com/r/GERD/comments/acdyaw/do_i_have_gerd/")</f>
        <v/>
      </c>
      <c r="G21" t="inlineStr">
        <is>
          <t>2019-01-03 19:31:06</t>
        </is>
      </c>
      <c r="H21" t="inlineStr"/>
    </row>
    <row r="22">
      <c r="A22" t="inlineStr">
        <is>
          <t>acep6o</t>
        </is>
      </c>
      <c r="B22" t="inlineStr">
        <is>
          <t>Acid reflux, GERD or just heartburn?</t>
        </is>
      </c>
      <c r="C22" t="inlineStr">
        <is>
          <t>Figured I’d ask in this subreddit because my symptoms sound like it would be one of these things, but sometimes I feel like I have heartburn but lasts for a while or after I eat something or I feel it throughout the mornings, some days worse than others. I feel a dull acidic burning sensation in my chest and stomach. Could this be from one of those? Something I’ve dealt with before was acidic burps or backup even. I reported it to my doctor a while ago and she referred me to a gastro but I still have yet to go, I fear he’ll just say more fiber which I don’t believe will help very much as it seems like I get these symptoms often and try to up my fiber. What are some things I can try and should I just go or are there any better alternatives? What’s usually the routine for these kind of appointments with a specialist for it and what steps do they usually take and tests?</t>
        </is>
      </c>
      <c r="D22" t="n">
        <v>1</v>
      </c>
      <c r="E22" t="n">
        <v>12</v>
      </c>
      <c r="F22">
        <f>HYPERLINK("https://www.reddit.com/r/GERD/comments/acep6o/acid_reflux_gerd_or_just_heartburn/")</f>
        <v/>
      </c>
      <c r="G22" t="inlineStr">
        <is>
          <t>2019-01-03 20:59:13</t>
        </is>
      </c>
      <c r="H22" t="inlineStr"/>
    </row>
    <row r="23">
      <c r="A23" t="inlineStr">
        <is>
          <t>acjbsj</t>
        </is>
      </c>
      <c r="B23" t="inlineStr">
        <is>
          <t>How does GERD start?</t>
        </is>
      </c>
      <c r="C23" t="inlineStr">
        <is>
          <t>I'm in my late 20's, and had never had digestive problems before. Since the week after thanksgiving, I've been consistently experiencing acid reflux and nausea for the first time ever. I typically eat a paleo/whole 30 diet, and cheat on the weekends, but I've been cheating a lot more since thanksgiving. That said, it's not like I'm eating McDonalds every day, maybe 1-2 more servings of carbs per week. 
The acid reflux I can deal with, but the nausea is nearly dibilitating. I have to stop what I'm doing and stand over the toilet until it goes away. My doc prescribed me Sucralfate and Ranitidine to address the symptoms, and Promethazine to deal with the nausea at it comes. The meds have helped, but have not eliminated the issue. I'm going to a specialist this week to get another look.
My question - how does GERD just start all of a sudden? There's been some minor changes to my diet, but going back to my previous diet isn't helping. I was studying for grad school finals when it first started, but those are done, and life has been pretty stress free so far (my GERD being my biggest stress). I just don't understand how a condition like this just starts from out of the blue.</t>
        </is>
      </c>
      <c r="D23" t="n">
        <v>1</v>
      </c>
      <c r="E23" t="n">
        <v>8</v>
      </c>
      <c r="F23">
        <f>HYPERLINK("https://www.reddit.com/r/GERD/comments/acjbsj/how_does_gerd_start/")</f>
        <v/>
      </c>
      <c r="G23" t="inlineStr">
        <is>
          <t>2019-01-04 07:43:39</t>
        </is>
      </c>
      <c r="H23" t="inlineStr"/>
    </row>
    <row r="24">
      <c r="A24" t="inlineStr">
        <is>
          <t>ack9mi</t>
        </is>
      </c>
      <c r="B24" t="inlineStr">
        <is>
          <t>Anyone like me?</t>
        </is>
      </c>
      <c r="C24" t="inlineStr">
        <is>
          <t xml:space="preserve">I have been on PPI’s for 20 years (I’m 38). My dosage was 40mg of Omeprazole 2x a day. I have Barrett’s Esophagus. I have had no problems until last month.  Burning in my stomach/esophagus all day everyday.  Doesn’t matter what I drink or eat. I have lost 10 lbs in the last month.  
It’s as if the medication just stopped working. So I added Zantac 150 2x a day. Still no improvement. Gastro added in Carafate 3x a day. Still no improvement.  
Endoscopy results and biopsies showed nothing serious.  Dr. didn’t make any suggestions or next steps in his letter with my results.  
I have made another appt which is in two weeks. I plan to discuss surgery options.  
Has anyone had an experience like this? Dealing with GERD successfully for a long time and then all of a sudden all solutions stop working? I literally burn all day everyday. No relief.  </t>
        </is>
      </c>
      <c r="D24" t="n">
        <v>1</v>
      </c>
      <c r="E24" t="n">
        <v>24</v>
      </c>
      <c r="F24">
        <f>HYPERLINK("https://www.reddit.com/r/GERD/comments/ack9mi/anyone_like_me/")</f>
        <v/>
      </c>
      <c r="G24" t="inlineStr">
        <is>
          <t>2019-01-04 09:17:12</t>
        </is>
      </c>
      <c r="H24" t="inlineStr"/>
    </row>
    <row r="25">
      <c r="A25" t="inlineStr">
        <is>
          <t>aclbjs</t>
        </is>
      </c>
      <c r="B25" t="inlineStr">
        <is>
          <t>Doc prescribed both Prilosec and Zantac and never even mentioned diet changes....</t>
        </is>
      </c>
      <c r="C25" t="inlineStr">
        <is>
          <t>I was recently diagnosed with LPRD (Silent Reflux) the Doc prescribed me both Zantac and Prilosec and said "Keep doing what you're doing" and sent me on my way......(I was fasting all day and eating OMAD high in fat after the gym around 8pm) WTF! after a day on Zantac I got a severe headache lasting around 16 Hours. so I stopped that. after 2-3 days on Prilosec I noticed a long lasting headache and diarrhea, I stopped that but the headaches continued for 2-3 days after withdraws. (This was all over Xmas and left me miserable). I've totally revamped my diet to Alkaline and following all the tips to get rid of reflux, as well as taking Slippery Elm, Licorice Root, Vitamin D, and Calcium/Magnesium/Zinc supplements as well as turmeric, licorice ad Chamomile Teas and Alkaline water (Essentia).
When you were diagnosed, did the Doc mention anything about diet/lifestyle changes? I'm guessing 99% of people are sent home with a PPI Prescription.</t>
        </is>
      </c>
      <c r="D25" t="n">
        <v>1</v>
      </c>
      <c r="E25" t="n">
        <v>16</v>
      </c>
      <c r="F25">
        <f>HYPERLINK("https://www.reddit.com/r/GERD/comments/aclbjs/doc_prescribed_both_prilosec_and_zantac_and_never/")</f>
        <v/>
      </c>
      <c r="G25" t="inlineStr">
        <is>
          <t>2019-01-04 10:58:08</t>
        </is>
      </c>
      <c r="H25" t="inlineStr"/>
    </row>
    <row r="26">
      <c r="A26" t="inlineStr">
        <is>
          <t>aclwpi</t>
        </is>
      </c>
      <c r="B26" t="inlineStr">
        <is>
          <t>Why am I like this (weird triggers for reflux) Xpost on acidreflux</t>
        </is>
      </c>
      <c r="C26" t="inlineStr">
        <is>
          <t xml:space="preserve">So, up front, I don't have a doctor or insurance so I am mostly just guessing here. Also, I am quite positive that this is due to being overweight. I just really want to understand why some things are triggering but other things aren't (even things in the same category like, tea for example.) 
It started a few years ago, I would get heartburn all the time day and night. I would get it if I moved around a lot as well. Sometimes it would make me start coughing and it has even made me vomit. I have looked up the triggers and have been trying to figure out what I can eat and what I can not eat. Except sometimes I can eat things/drink things. I have no idea why though. 
Examples; 
*Chocolate and cookies are an obvious one but, sometimes I can eat it, especially If I ate something else previously. It also seems to depend on what has been done to the chocolate it'self. 
*Milk products are really just a gamble, it's not a big deal for me though 
*Coffee sometimes I can have it but it really just depends on what is in it or where it is from. A mocha from one place and it's instant, while another place it's just fine. What gives? Is it the beans? 
*I don't really drink alcohol, and I tend to avoid spicy things so they aren't a big deal. 
Fatty things are also a bit of a gamble. 
*Citrus and tomatoes. I stay away from Citrus and I have for quite a long time. Tomatoes are fine for some reason. As is garlic. 
*Soda and tea. Here's the real head scratcher for me. Some sodas (I tend to stick with a diet or their "zero calories" soda) or teas are fine while others aren't. Sometimes it's the brand Like, Pepsi sometimes hurts but Coke doesn't?! Cheap soda is the worst somehow, but I can drink cheap "Dr. Peper" How?!  
Tea is another thing. I have this Brisk tea right here and it hurts like heck. The thing is that it's made with the same tea brand that I use for homemade tea. Is it the corn syrup? Do they put some other weird crap in it that is making me sick?
Anyway, sorry for the long rambling list of things that I can eat and not eat. I just really want to have some ideas as to what might be going on here.  
</t>
        </is>
      </c>
      <c r="D26" t="n">
        <v>1</v>
      </c>
      <c r="E26" t="n">
        <v>3</v>
      </c>
      <c r="F26">
        <f>HYPERLINK("https://www.reddit.com/r/GERD/comments/aclwpi/why_am_i_like_this_weird_triggers_for_reflux/")</f>
        <v/>
      </c>
      <c r="G26" t="inlineStr">
        <is>
          <t>2019-01-04 11:53:07</t>
        </is>
      </c>
      <c r="H26" t="inlineStr"/>
    </row>
    <row r="27">
      <c r="A27" t="inlineStr">
        <is>
          <t>acqg40</t>
        </is>
      </c>
      <c r="B27" t="inlineStr">
        <is>
          <t>Diet</t>
        </is>
      </c>
      <c r="C27" t="inlineStr">
        <is>
          <t xml:space="preserve">What is something recovering from gerd symptoms I’ve had the usual tums and they aren’t working. I have ACV but not sure if I should try it. I had gumbo yesterday and today I’m sick </t>
        </is>
      </c>
      <c r="D27" t="n">
        <v>1</v>
      </c>
      <c r="E27" t="n">
        <v>1</v>
      </c>
      <c r="F27">
        <f>HYPERLINK("https://www.reddit.com/r/GERD/comments/acqg40/diet/")</f>
        <v/>
      </c>
      <c r="G27" t="inlineStr">
        <is>
          <t>2019-01-04 19:55:42</t>
        </is>
      </c>
      <c r="H27" t="inlineStr"/>
    </row>
    <row r="28">
      <c r="A28" t="inlineStr">
        <is>
          <t>acv316</t>
        </is>
      </c>
      <c r="B28" t="inlineStr">
        <is>
          <t>Advice</t>
        </is>
      </c>
      <c r="C28" t="inlineStr">
        <is>
          <t>I’m not having pain badly or anything but I am burping almost non stop for a couple days now. I can almost feel the air in my neck and am trying to relive it with that “monster burp “. I can’t seem to get it out. Any advice?</t>
        </is>
      </c>
      <c r="D28" t="n">
        <v>1</v>
      </c>
      <c r="E28" t="n">
        <v>9</v>
      </c>
      <c r="F28">
        <f>HYPERLINK("https://www.reddit.com/r/GERD/comments/acv316/advice/")</f>
        <v/>
      </c>
      <c r="G28" t="inlineStr">
        <is>
          <t>2019-01-05 07:34:43</t>
        </is>
      </c>
      <c r="H28" t="inlineStr"/>
    </row>
    <row r="29">
      <c r="A29" t="inlineStr">
        <is>
          <t>acv3bi</t>
        </is>
      </c>
      <c r="B29" t="inlineStr">
        <is>
          <t>What foods can you tolerate that others with GERD typically can't?</t>
        </is>
      </c>
      <c r="C29" t="inlineStr">
        <is>
          <t>For me it's alcohol. I can have several glasses of wine and feel peachy keen, but if I have a veggie patty my stomach burns to high hell. What about you?</t>
        </is>
      </c>
      <c r="D29" t="n">
        <v>1</v>
      </c>
      <c r="E29" t="n">
        <v>9</v>
      </c>
      <c r="F29">
        <f>HYPERLINK("https://www.reddit.com/r/GERD/comments/acv3bi/what_foods_can_you_tolerate_that_others_with_gerd/")</f>
        <v/>
      </c>
      <c r="G29" t="inlineStr">
        <is>
          <t>2019-01-05 07:35:48</t>
        </is>
      </c>
      <c r="H29" t="inlineStr"/>
    </row>
    <row r="30">
      <c r="A30" t="inlineStr">
        <is>
          <t>ad2fkx</t>
        </is>
      </c>
      <c r="B30" t="inlineStr">
        <is>
          <t>Feeling pretty lost at this point.</t>
        </is>
      </c>
      <c r="C30" t="inlineStr">
        <is>
          <t xml:space="preserve">This is a long one...TL;DR at the end.
I'm feeling really desperate at this point. I was hoping I could post what I've been going through here, and see if anyone had any suggestions. I've been to my primary care doctor as well as a gastroenterologist and had two endoscopies. They are both great and they listen to me, but so far they haven't given me any suggestions other than to 'maybe go back on Nexium'. I'm not sure where to turn to at this point. 
Some history: I've been suffering w/ heartburn for over 10yrs now, diagnosed with GERD. My issue is that pretty much /everything/ gives me heartburn. If I drink water before I go to bed I have to take a tums. It really sucks. I also received some alarming results on two endoscopies, but no one else seems too concerned about it. (Will talk about this farther down)
I think this has happened for two reasons.
**1.)** Because I'm overweight- I gained weight in college and the heartburn started happening around that time. Since that time I've lost and kept off 20lb. I have a little more to go, and it's definitely been better (for my life, for everything)..only issue is the heartburn hasn't resolved. And,
**2.)** It was around this time I started getting headaches. A lot. This happened in college as well. The only thing that helped was Advil. It got to the point where I was taking Advil a few times a week or more. Normal doses, but still- more than I wanted to be taking it. I eventually got diagnosed with migraines and taking a combo of Magnesium Glycinate and Riboflavin seems to help. I only take Advil during periods now, but I would rather not take it at all.
For a few years, I was on Prilosec, and then Nexium. I got an iron deficiency which my Dr thinks is a result of this. And Nexium also didn't help w/ the heartburn a whole lot. I started having to take two Nexiums instead of one (OTC). After reading about all the long term side effects, and since it wasn't helping all that much anyway, I decided to go off of them (My Dr gave me the OK to do this.) It took awhile for the rebound to stop, but I've been on Pepcid since and I take two of them. It doesn't seem to help a whole lot, either. At this point I associate food with pain. 
I have had TWO endoscopies at this point because I was so worried about Barrett's Esophagus. As it turns out, my esophagus is totally fine- from both exams. Also, no H. pylori (been tested for that 3 times.) HOWEVER- he did find something that alarmed me:
From my first exam in 2017: 
A. STOMACH, ANTRUM, BIOPSY:  
**--CHRONIC ACTIVE GASTRITIS WITH FOCAL INTESTINAL METAPLASIA** 
As far as my understanding goes, or how it was explained to me, this was a small area they found in the Antrum part of the stomach. "Focal Intestinal Metaplasia" involves stomach cells that had begun to transform into intestinal cells. This is technically a precancerous condition. 
And I think because those areas were inflamed/red, I was diagnosed with the "Chronic Active Gastritis."My gastro told me not to worry about it because it was such a small area and such a small chance. Obviously I worried anyway, lol. 
A year later I had another endoscopy in 2018. This was the result:
A.  ANTRUM STOMACH BIOPSY (COLD FORCEP):    
**-- ANTRAL-TYPE GASTRIC MUCOSA WITH CHEMICAL/REACTIVE GASTROPATHY AND FOCAL**  
**INTESTINAL METAPLASIA.**
So basically the mucous layer was damaged (in a small area, I think?) and now it's chemical/reactive gastropathy, plus the same thing as last time (focal intestinal metaplasia).
Needless to say, I'm confused- mostly by what this all means and what I should do about it.
Neither my Gastroenterologist nor my primary care Dr have helped me come up with a plan on how to tackle this. And I have so many questions for Drs, such as:   
Is intestinal metaplasia reversible? How much more likely is this to cause cancer?   
Do I, or do I not, still have gastritis? Is there anything I can do to fix this in addition to weight loss, or is it kind of a "lose weight and all these problems will go away" kind of thing? (I don't have a ton left to lose but I imagine it'll help).   
What kind of diet should I be on, should I cut out all inflammatory foods and which ones are inflammatory anyway? (I took an allergy test awhile ago and I'm not allergic to wheat or gluten or dairy (though chicken came up as positive o\_o) but anyway..)  
IS there a specific diet I should be following when it seems everything causes heartburn? The obvious triggers (fat, caffeine, citrus) make it a little worse, but honestly not much worse. Like I mentioned before, I can't drink water before going to bed without having to take an antacid afterward...  
Should I just go back on Nexium? 
And so on. (Sorry again this is so long...)
But I guess what I'm asking ***here,*** on Reddit, is- where do I go from here, with all these questions and uncertainties, when my doctors haven't been able to help me? How do I heal the stomach mucous lining and get rid of those spots w/the intestinal metaplasia?
\------------------------------------------------------------------
# TLDR:
Been suffering with heartburn/reflux for years now. No really specific food triggers, it seems everything causes it (even water before bed). I had two endoscopies in two years that show that my esophagus is undamaged and there is no H. Pylori, but I do have "Focal Intestinal Metaplasia" (stomach cells transforming into intestinal cells) which is technically a precancerous condition. These are the results of both endoscopies:
2017: **--CHRONIC ACTIVE GASTRITIS WITH FOCAL INTESTINAL METAPLASIA** (Antrum stomach)  
2018:**-- ANTRAL-TYPE GASTRIC MUCOSA WITH CHEMICAL/REACTIVE GASTROPATHY AND FOCAL**  
**INTESTINAL METAPLASIA.**
My doctor and my gastroenterologist have told me not to worry too much about that but I am worried about it anyway, plus I still get heartburn/reflux every day. 
My question is, where do I go from here, with all these questions and uncertainties? How do I even start to make a plan to deal with this, and would anyone be able to recommend any books/writings that address these concerns...if anyone has any ideas I would greatly appreciate any input. I know I'm new to this board and haven't really contributed, so it means a lot..
Thanks so much! </t>
        </is>
      </c>
      <c r="D30" t="n">
        <v>1</v>
      </c>
      <c r="E30" t="n">
        <v>16</v>
      </c>
      <c r="F30">
        <f>HYPERLINK("https://www.reddit.com/r/GERD/comments/ad2fkx/feeling_pretty_lost_at_this_point/")</f>
        <v/>
      </c>
      <c r="G30" t="inlineStr">
        <is>
          <t>2019-01-05 20:46:38</t>
        </is>
      </c>
      <c r="H30" t="inlineStr"/>
    </row>
    <row r="31">
      <c r="A31" t="inlineStr">
        <is>
          <t>ad529o</t>
        </is>
      </c>
      <c r="B31" t="inlineStr">
        <is>
          <t>Empty Stomach pain, Full stomach bloating &amp;amp; esophageal pain, but relieved by Food and small meals -- Reddit Club.</t>
        </is>
      </c>
      <c r="C31" t="inlineStr">
        <is>
          <t>Please share anecdotal successes, food reaction, and failures etc. if you fall under the type of GERD that I have. I consider you to be my "type" if 75% of this list applies to you  
1. Bloating and pain base of rib cage after a meal.
2. Burning sensation or pain that is worse on an empty stomach
3.  Some Relief obtained by Gaviscon after a meal (approx 1000mg Algenic Acid per dose, Canadian/UK Variant)
4. No major problems on the lower GI... e.g. bowel movements normal
5. No apparent correlation with Weight
6. not many trigger foods. Vegetables seem to make it better, coffee and very high carbs makes it worse
7. Lots of burping, not much gas going the other way unless consumption of a trigger food like cauliflower that has nothing to do with GERD.
8. Suspect that it was set off by a stressful life change, but day-to-day stress doesn't seem to affect symptoms much.
&amp;amp;#x200B;
Current suspicions:  
Perhaps Cheese should be avoided.</t>
        </is>
      </c>
      <c r="D31" t="n">
        <v>1</v>
      </c>
      <c r="E31" t="n">
        <v>4</v>
      </c>
      <c r="F31">
        <f>HYPERLINK("https://www.reddit.com/r/GERD/comments/ad529o/empty_stomach_pain_full_stomach_bloating/")</f>
        <v/>
      </c>
      <c r="G31" t="inlineStr">
        <is>
          <t>2019-01-06 04:04:50</t>
        </is>
      </c>
      <c r="H31" t="inlineStr"/>
    </row>
    <row r="32">
      <c r="A32" t="inlineStr">
        <is>
          <t>ad7of8</t>
        </is>
      </c>
      <c r="B32" t="inlineStr">
        <is>
          <t>Anyone with a recovery story from Grade D esophagitis?</t>
        </is>
      </c>
      <c r="C32" t="inlineStr">
        <is>
          <t>I just got diagnosed before Christmas.  Knew I felt acid sometimes, but I mostly burp. I have to take Prednisone daily, which I know doesn't help (plus two other immunosuppressant drugs for a kidney transplant). Trying to follow a GERD diet now and figuring out the best drug to take with my doctor (40mg Prilosec was giving me the sweats... Switched up to pepcid 10mg every few days till I hear back from the doctor).
Either way, I am scared and don't want it to get worse and turn to Cancer (which I'm told is the next thing that would happen).  
How have any of you come back from this?</t>
        </is>
      </c>
      <c r="D32" t="n">
        <v>1</v>
      </c>
      <c r="E32" t="n">
        <v>4</v>
      </c>
      <c r="F32">
        <f>HYPERLINK("https://www.reddit.com/r/GERD/comments/ad7of8/anyone_with_a_recovery_story_from_grade_d/")</f>
        <v/>
      </c>
      <c r="G32" t="inlineStr">
        <is>
          <t>2019-01-06 09:37:30</t>
        </is>
      </c>
      <c r="H32" t="inlineStr"/>
    </row>
    <row r="33">
      <c r="A33" t="inlineStr">
        <is>
          <t>ad9foa</t>
        </is>
      </c>
      <c r="B33" t="inlineStr">
        <is>
          <t>Salad dressings and spices</t>
        </is>
      </c>
      <c r="C33" t="inlineStr">
        <is>
          <t xml:space="preserve">I've had reflux all my life and am finally trying to commit to a reflux diet.  For salad dressing last night I tried goats' milk yogurt, honey, and olive oil.  Nutritional yeast and feta are also tasty in salads.  I also just read a post suggesting using apple juice (with no added acidic preservatives) instead of vinegar.  I also like this new umami mushroom spice from Trader Joe's (I am saying this as someone who doesn't like mushrooms).  It adds good flavor without too many triggers.  </t>
        </is>
      </c>
      <c r="D33" t="n">
        <v>1</v>
      </c>
      <c r="E33" t="n">
        <v>0</v>
      </c>
      <c r="F33">
        <f>HYPERLINK("https://www.reddit.com/r/GERD/comments/ad9foa/salad_dressings_and_spices/")</f>
        <v/>
      </c>
      <c r="G33" t="inlineStr">
        <is>
          <t>2019-01-06 12:24:24</t>
        </is>
      </c>
      <c r="H33" t="inlineStr"/>
    </row>
    <row r="34">
      <c r="A34" t="inlineStr">
        <is>
          <t>ada8hx</t>
        </is>
      </c>
      <c r="B34" t="inlineStr">
        <is>
          <t>Bloating and anxiety?</t>
        </is>
      </c>
      <c r="C34" t="inlineStr">
        <is>
          <t>Anyone have tips on dealing with bloating and word heart feeling/chest pressure with burping?</t>
        </is>
      </c>
      <c r="D34" t="n">
        <v>1</v>
      </c>
      <c r="E34" t="n">
        <v>12</v>
      </c>
      <c r="F34">
        <f>HYPERLINK("https://www.reddit.com/r/GERD/comments/ada8hx/bloating_and_anxiety/")</f>
        <v/>
      </c>
      <c r="G34" t="inlineStr">
        <is>
          <t>2019-01-06 13:41:45</t>
        </is>
      </c>
      <c r="H34" t="inlineStr"/>
    </row>
    <row r="35">
      <c r="A35" t="inlineStr">
        <is>
          <t>adclf3</t>
        </is>
      </c>
      <c r="B35" t="inlineStr">
        <is>
          <t>Gerd is getting better these days.. I want to share some tips</t>
        </is>
      </c>
      <c r="C35" t="inlineStr">
        <is>
          <t>Gerd have harassed me for a long time. I had used various medicines to my disease, but none of them actually worked.. Continual failure occured depression disorder at last.  
But nowdays, I am seeing quite amout of improvement in my Gerd disease. I've never exprienced such range of improvement before. So I want to share some tips which let my symptoms away.
1. What you're eating decides your symptoms. I had underestimated importance of eating menu before, but it's really matter. Don't eat junk food (pizza, hamburger, cola etc) until fully recovered. Those kinds of food definitely worsen your symptoms. If you have this kind of food everyday, Your medicine is not gonna work. (Make note of what you ate on a daily basis.)  
2.  lt's important to have adequate living habit as well as eating habit. Never ever ever sleep right after you ate something. Go to your bed at least 3 hours after you finish your dinner. And if possible, elevate your bed(head side) using some books or bricks under the bed. It obstructs acid reflux. Sleeping left side also hinder acid reflux.
3. And thirdly, this could be differ from person to person, but salt(in my case, Himalayan Pink Rock Salt)have relived my pain in esophagus and cured inflammation. I don't intend to recommend this method strongly, but it's your choice whether to follow or not. 
I pray you guys all overcome Gerd disease and get better soon</t>
        </is>
      </c>
      <c r="D35" t="n">
        <v>1</v>
      </c>
      <c r="E35" t="n">
        <v>12</v>
      </c>
      <c r="F35">
        <f>HYPERLINK("https://www.reddit.com/r/GERD/comments/adclf3/gerd_is_getting_better_these_days_i_want_to_share/")</f>
        <v/>
      </c>
      <c r="G35" t="inlineStr">
        <is>
          <t>2019-01-06 17:42:59</t>
        </is>
      </c>
      <c r="H35" t="inlineStr"/>
    </row>
    <row r="36">
      <c r="A36" t="inlineStr">
        <is>
          <t>adho88</t>
        </is>
      </c>
      <c r="B36" t="inlineStr">
        <is>
          <t>GERD question</t>
        </is>
      </c>
      <c r="C36" t="inlineStr">
        <is>
          <t xml:space="preserve">I haven’t been diagnosed but go to the doctor this week and quite certain I have these. Question for anyone who has this. After you eat, before it hits, is anyone able to feel bloated and stomach swollen to the touch? Right below the sternum. Not hard but you can tell it’s right. </t>
        </is>
      </c>
      <c r="D36" t="n">
        <v>1</v>
      </c>
      <c r="E36" t="n">
        <v>3</v>
      </c>
      <c r="F36">
        <f>HYPERLINK("https://www.reddit.com/r/GERD/comments/adho88/gerd_question/")</f>
        <v/>
      </c>
      <c r="G36" t="inlineStr">
        <is>
          <t>2019-01-07 05:30:09</t>
        </is>
      </c>
      <c r="H36" t="inlineStr"/>
    </row>
    <row r="37">
      <c r="A37" t="inlineStr">
        <is>
          <t>adicsc</t>
        </is>
      </c>
      <c r="B37" t="inlineStr">
        <is>
          <t>LPR may be significantly tied to mental health(Personal Experience)</t>
        </is>
      </c>
      <c r="C37" t="inlineStr">
        <is>
          <t>First of all let me say that I am not a medical professional and I am strictly speaking from experience.
Started experiencing LPR symptoms about two years ago. (excessive burping, feeling of throat tightness or sensation, excessive throat clearing with mucus coming up) Along with these symptoms were also a low level depression and anxiety. Anyways, I tried basically everything you can think of, all the supplements, a bunch of different radical diets like keto, low carb, paleo, vegetarian and nothing worked. I then ended up leaving my home town to travel and study across the world in Australia. Within a month of arrival, I lost all my symptoms, it was like a miracle. I had a year of no symptoms, ate whatever I want and had an amazing time. I was also mentally very healthy during this time. I had plenty of work to do with school which kept the mind occupied, tons of sunshine, and a great social network. Anyways, I returned home to my small town in Northern Canada and have since returned to my old LPR ways again.... Its frustrating. That being said, this is a hopeful post, as I am hoping that all it takes is finding the proper lifestyle where my mental health is solid to rid myself of this condition. I am planning on travelling for work in a few months and I am hoping that will do the trick. We will see! Anyways, I just wanted to share my experience and maybe somebody can take something from it. 
Keep on fighting
&amp;amp;#x200B;</t>
        </is>
      </c>
      <c r="D37" t="n">
        <v>1</v>
      </c>
      <c r="E37" t="n">
        <v>12</v>
      </c>
      <c r="F37">
        <f>HYPERLINK("https://www.reddit.com/r/GERD/comments/adicsc/lpr_may_be_significantly_tied_to_mental/")</f>
        <v/>
      </c>
      <c r="G37" t="inlineStr">
        <is>
          <t>2019-01-07 06:50:39</t>
        </is>
      </c>
      <c r="H37" t="inlineStr"/>
    </row>
    <row r="38">
      <c r="A38" t="inlineStr">
        <is>
          <t>adjxi4</t>
        </is>
      </c>
      <c r="B38" t="inlineStr">
        <is>
          <t>Extreme burning with D Limonene?</t>
        </is>
      </c>
      <c r="C38" t="inlineStr">
        <is>
          <t>I tried a Jarrows D limonene pill for two consecutive nights and have been experiencing the worst burning in the abdomen/chest I have ever felt. Is this normal? I usually have silent reflux which is just in the throat. This is really scary.</t>
        </is>
      </c>
      <c r="D38" t="n">
        <v>1</v>
      </c>
      <c r="E38" t="n">
        <v>4</v>
      </c>
      <c r="F38">
        <f>HYPERLINK("https://www.reddit.com/r/GERD/comments/adjxi4/extreme_burning_with_d_limonene/")</f>
        <v/>
      </c>
      <c r="G38" t="inlineStr">
        <is>
          <t>2019-01-07 09:29:25</t>
        </is>
      </c>
      <c r="H38" t="inlineStr"/>
    </row>
    <row r="39">
      <c r="A39" t="inlineStr">
        <is>
          <t>adk0kf</t>
        </is>
      </c>
      <c r="B39" t="inlineStr">
        <is>
          <t>LPR and Swollen Lingual Tonsil</t>
        </is>
      </c>
      <c r="C39" t="inlineStr">
        <is>
          <t>Hey guys,   
Does anybody else have any experience with swollen lingual tonsils due to acid reflux? My throat has been bothering me so much I ended up getting a CT scan done. It showed that my left side lingual tonsil was slightly swollen. I went to 3 separate ENT doctors to get an opinion but they are saying it's just swollen. I've been taking prednisone and antibiotics but it's not helping. I'm now thinking this has to do something with LPR.</t>
        </is>
      </c>
      <c r="D39" t="n">
        <v>1</v>
      </c>
      <c r="E39" t="n">
        <v>2</v>
      </c>
      <c r="F39">
        <f>HYPERLINK("https://www.reddit.com/r/GERD/comments/adk0kf/lpr_and_swollen_lingual_tonsil/")</f>
        <v/>
      </c>
      <c r="G39" t="inlineStr">
        <is>
          <t>2019-01-07 09:37:55</t>
        </is>
      </c>
      <c r="H39" t="inlineStr"/>
    </row>
    <row r="40">
      <c r="A40" t="inlineStr">
        <is>
          <t>adkto1</t>
        </is>
      </c>
      <c r="B40" t="inlineStr">
        <is>
          <t>Horrible taste in my mouth 24/7 for a couple weeks, any tips?</t>
        </is>
      </c>
      <c r="C40" t="inlineStr">
        <is>
          <t>So the past couple weeks my mouth is tasting absolutely disgusting despite brushing, mouthwash etc. I have had silent reflux for awhile now but it was pretty well managed. I cut out all alcohol, coffee, and main trigger foods and haven’t had any other normal reflux symptoms I used to suffer with besides this horrible bitter taste the last couple weeks. It came out of nowhere and has been on and off but the last couple days it’s unbearable  and is actually making me feel sick. I’m supposed to get a couple fillings on Wednesday and I’m wondering if that’s even a good idea right now given the fact my mouth is seriously out of whack. 
Has anyone found any solutions for this? I have never dealt with this before and it’s truly awful!!</t>
        </is>
      </c>
      <c r="D40" t="n">
        <v>1</v>
      </c>
      <c r="E40" t="n">
        <v>10</v>
      </c>
      <c r="F40">
        <f>HYPERLINK("https://www.reddit.com/r/GERD/comments/adkto1/horrible_taste_in_my_mouth_247_for_a_couple_weeks/")</f>
        <v/>
      </c>
      <c r="G40" t="inlineStr">
        <is>
          <t>2019-01-07 10:53:34</t>
        </is>
      </c>
      <c r="H40" t="inlineStr"/>
    </row>
    <row r="41">
      <c r="A41" t="inlineStr">
        <is>
          <t>adlrqa</t>
        </is>
      </c>
      <c r="B41" t="inlineStr">
        <is>
          <t>Does drinking a decent amount of water every day help combat GERD?</t>
        </is>
      </c>
      <c r="C41" t="inlineStr">
        <is>
          <t>It's said that water dilutes the acid in your stomach.</t>
        </is>
      </c>
      <c r="D41" t="n">
        <v>1</v>
      </c>
      <c r="E41" t="n">
        <v>6</v>
      </c>
      <c r="F41">
        <f>HYPERLINK("https://www.reddit.com/r/GERD/comments/adlrqa/does_drinking_a_decent_amount_of_water_every_day/")</f>
        <v/>
      </c>
      <c r="G41" t="inlineStr">
        <is>
          <t>2019-01-07 12:23:06</t>
        </is>
      </c>
      <c r="H41" t="inlineStr"/>
    </row>
    <row r="42">
      <c r="A42" t="inlineStr">
        <is>
          <t>adna6y</t>
        </is>
      </c>
      <c r="B42" t="inlineStr">
        <is>
          <t>Question about endoscopy findings?</t>
        </is>
      </c>
      <c r="C42" t="inlineStr">
        <is>
          <t>Alright so I did a endoscopy for some swallowing problems and they said everything was great no problems but they found something. The doctor wasnt concerned at alla bout it and said I was healthy young man but it was like white patches or spots in throat and was wanting to know if anyone knew anything about that. Thank you so much for replies 
Ps I'm 17 by the way and was sick last month and they thought it was maybe a type of strept throat.</t>
        </is>
      </c>
      <c r="D42" t="n">
        <v>1</v>
      </c>
      <c r="E42" t="n">
        <v>2</v>
      </c>
      <c r="F42">
        <f>HYPERLINK("https://www.reddit.com/r/GERD/comments/adna6y/question_about_endoscopy_findings/")</f>
        <v/>
      </c>
      <c r="G42" t="inlineStr">
        <is>
          <t>2019-01-07 14:44:25</t>
        </is>
      </c>
      <c r="H42" t="inlineStr"/>
    </row>
    <row r="43">
      <c r="A43" t="inlineStr">
        <is>
          <t>adpe28</t>
        </is>
      </c>
      <c r="B43" t="inlineStr">
        <is>
          <t>Upcoming endoscopy, throat issues now, and acid reflux= so fun (x posted to r/acidreflux)</t>
        </is>
      </c>
      <c r="C43" t="inlineStr">
        <is>
          <t xml:space="preserve">Hi everyone!
So I’ve had acid reflux pretty much for as long as I can remember (mid 20s now), sometimes it’s awful and sometimes it’s not so bad, goes in waves.
My symptoms have always been heart burn that goes up to my ears sometimes and burping. Occasionally throw up in my mouth a bit.
I’ve seen multiple Gastros over the years who have prescribed me various things. Omeprazole helped awhile back while I was simultaneously doing a cleanse. Problem cleared up for the time being so I stopped and not so crazy about taking medicine everyday. 
I’ve been noticing that it’s been consistently bad and annoying these past few months so I saw a gastro and am getting an endoscopy at the end of the month. I’ve been told that it’s most likely GERD, to be confirmed via endoscopy.
I’m a bit concerned though because starting last week I’ve been experiencing throat weirdness. I can’t really describe it. It feels like something is caught in my throat and that’s what I first noticed. Now it feels like my throat is a bit more dry? No issues swallowing, though it feels a bit tighter if I try to swallow my saliva. No mucous or congestion or cold like symptoms. 
I called the gastro today to see if I should be concerned and he kinda blew me off and was just like “well this is why we’re doing the endoscopy”. 
Any thoughts to what this could be? And if anyone has advice for the endoscopy I’d appreciate it! I’m a bit nervous about being sedated.
Also just to specify lifestyle: I don’t drink coffee, soda or alcohol, I really only drink water. I eat fried foods in moderation. I stay away from citrus and tomatoes (unless tomato sauce and ketchup here and there). I’m average weight but don’t really exercise. I also don’t eat late at night either. But to be honest, it seems like every food affects me the same pretty much. 
Thank you for all advice! I appreciate it so much!! </t>
        </is>
      </c>
      <c r="D43" t="n">
        <v>1</v>
      </c>
      <c r="E43" t="n">
        <v>28</v>
      </c>
      <c r="F43">
        <f>HYPERLINK("https://www.reddit.com/r/GERD/comments/adpe28/upcoming_endoscopy_throat_issues_now_and_acid/")</f>
        <v/>
      </c>
      <c r="G43" t="inlineStr">
        <is>
          <t>2019-01-07 18:19:39</t>
        </is>
      </c>
      <c r="H43" t="inlineStr"/>
    </row>
    <row r="44">
      <c r="A44" t="inlineStr">
        <is>
          <t>adqktq</t>
        </is>
      </c>
      <c r="B44" t="inlineStr">
        <is>
          <t>Help! My wife is in pain again.</t>
        </is>
      </c>
      <c r="C44" t="inlineStr">
        <is>
          <t xml:space="preserve">Hello everyone. My wife got surgery to help lower the amount of pain she has from her Gerd. A few weeks after the surgery I accidently hit the breaks in the car to quickly and it hurt her. But the surgeon said it was probably nothing to worry about. Well fast forward a year and the symptoms have come back. We don't know if it's due to over eating. Because she mentioned that she feels pain when she over eats at the surgery spot. Should it be fully healed or is this something we need to worry about? Thank you in advance. </t>
        </is>
      </c>
      <c r="D44" t="n">
        <v>1</v>
      </c>
      <c r="E44" t="n">
        <v>6</v>
      </c>
      <c r="F44">
        <f>HYPERLINK("https://www.reddit.com/r/GERD/comments/adqktq/help_my_wife_is_in_pain_again/")</f>
        <v/>
      </c>
      <c r="G44" t="inlineStr">
        <is>
          <t>2019-01-07 20:31:56</t>
        </is>
      </c>
      <c r="H44" t="inlineStr"/>
    </row>
    <row r="45">
      <c r="A45" t="inlineStr">
        <is>
          <t>adqr57</t>
        </is>
      </c>
      <c r="B45" t="inlineStr">
        <is>
          <t>This has been the worst night since being told I have GERD</t>
        </is>
      </c>
      <c r="C45" t="inlineStr">
        <is>
          <t xml:space="preserve">So this morning I woke up at 5:30 am and I have my usual 2 cups of coffee and a Bagel. And decided to take a mid morning nap around 8:30 am, woke up with acid in my throat, but I brushed it off. 
Drank water as usual and maybe 1 dr. Pepper if not 2. 
And for dinner which was around 6:30 I had a salad with olives, onions, and zesty dressing (by the point I know I’m going to have some slight issues when I lay down Because of what I ate today) 
On top of starting to get heart burn, I developed a head ache of course, and took some meds and drank a Dr Pepper again. 
And I don’t know how bad other people’s cases are with GERD or acid reflux but mine effects MY ENTIRE BODY. 
by this time it’s 8:30 my fiancé had already laid down and passed out and I’m sitting here watching tv and my stomach starts to hurt and I start belching, after that my legs started to feel weird and of course I felt like I was going to vomit. 
On top of all this I started to get anxiety about how I was feeling and I googled what symptoms I had.  (VERY HUGE MISTAKE, I only freaked myself out more) 
So with the anxiety, heart burn, and GERD, I ran to my bathroom and took a warm shower long enough to pull myself together. 
This was by far the worst night Bc so many things were piling on top of what I actually have. 
So if anyone gets anxiety during these things please DO NOT GOOGLE, and drank plenty of water, and warm showers are your friend! </t>
        </is>
      </c>
      <c r="D45" t="n">
        <v>1</v>
      </c>
      <c r="E45" t="n">
        <v>14</v>
      </c>
      <c r="F45">
        <f>HYPERLINK("https://www.reddit.com/r/GERD/comments/adqr57/this_has_been_the_worst_night_since_being_told_i/")</f>
        <v/>
      </c>
      <c r="G45" t="inlineStr">
        <is>
          <t>2019-01-07 20:52:46</t>
        </is>
      </c>
      <c r="H45" t="inlineStr"/>
    </row>
    <row r="46">
      <c r="A46" t="inlineStr">
        <is>
          <t>adt6vh</t>
        </is>
      </c>
      <c r="B46" t="inlineStr">
        <is>
          <t>Regression of gastroesophageal reflux disease symptoms using dietary supplementation with melatonin, vitamins and aminoacids: comparison with omeprazole.</t>
        </is>
      </c>
      <c r="C46" t="inlineStr">
        <is>
          <t>The aim of this study was to investigate if a dietary supplementation containing: melatonin, l-tryptophan, vitamin B6, folic acid, vitamin B12, methionine and betaine would help patients with GERD,
All patients of the group A (100%) reported a complete regression of symptoms after 40 days of treatment. On the other hand, 115 subjects (65.7%) of the omeprazole reported regression of symptoms in the same period
https://www.ncbi.nlm.nih.gov/m/pubmed/16948779/</t>
        </is>
      </c>
      <c r="D46" t="n">
        <v>1</v>
      </c>
      <c r="E46" t="n">
        <v>32</v>
      </c>
      <c r="F46">
        <f>HYPERLINK("https://www.reddit.com/r/GERD/comments/adt6vh/regression_of_gastroesophageal_reflux_disease/")</f>
        <v/>
      </c>
      <c r="G46" t="inlineStr">
        <is>
          <t>2019-01-08 03:04:23</t>
        </is>
      </c>
      <c r="H46" t="inlineStr"/>
    </row>
    <row r="47">
      <c r="A47" t="inlineStr">
        <is>
          <t>adv9jv</t>
        </is>
      </c>
      <c r="B47" t="inlineStr">
        <is>
          <t>Diagnosed recently</t>
        </is>
      </c>
      <c r="C47" t="inlineStr">
        <is>
          <t xml:space="preserve">Hello everyone. I recently was diagnosed with GERDs disease. I have hernias in my stomach and what not. Anyways I have to Be on a strict diet for the rest of my life. I need help with good recipes that I can meal prep too. Possibly some good drinks since most drinks aren’t available. Thanks </t>
        </is>
      </c>
      <c r="D47" t="n">
        <v>1</v>
      </c>
      <c r="E47" t="n">
        <v>4</v>
      </c>
      <c r="F47">
        <f>HYPERLINK("https://www.reddit.com/r/GERD/comments/adv9jv/diagnosed_recently/")</f>
        <v/>
      </c>
      <c r="G47" t="inlineStr">
        <is>
          <t>2019-01-08 07:28:27</t>
        </is>
      </c>
      <c r="H47" t="inlineStr"/>
    </row>
    <row r="48">
      <c r="A48" t="inlineStr">
        <is>
          <t>adw3z0</t>
        </is>
      </c>
      <c r="B48" t="inlineStr">
        <is>
          <t>Severe gagging cough when eating/drinking anything cold</t>
        </is>
      </c>
      <c r="C48" t="inlineStr">
        <is>
          <t xml:space="preserve">At  my last endoscopy, I was diagnosed with GERD, Class C esophagitis and gastritis. I was put on Zantac 300mg 2x day, but I weaned myself off to "as needed" after 2 months, because the rebound was worse than the reflux, and I already have osteoporosis, so don't want that to get any worse. I've been doing o.k., with  occasional attacks, usually when I eat too much fat, but otherwise, can control it with 6-8 Tums a day.
The one thing that is getting worse is this choking, gagging cough I get if I eat or drink anything cold. I can't eat ice cream, drink smoothies, or even drink ice water without coughing. It's a horrible cough! My neighbor (I live in an apartment) actually called me to make sure I was o.k. once. 
I never had this before the reflux. I really miss my morning smoothies, but have had to give them up or drink them at room temperature, which is pretty depressing.
Has anyone here had this and overcome it? My doctor says it's just part of the whole reflux deal, and I have to learn to live with it. I've had to give up so many of my favorite foods, I feel like life isn't without living anymore. 
</t>
        </is>
      </c>
      <c r="D48" t="n">
        <v>1</v>
      </c>
      <c r="E48" t="n">
        <v>0</v>
      </c>
      <c r="F48">
        <f>HYPERLINK("https://www.reddit.com/r/GERD/comments/adw3z0/severe_gagging_cough_when_eatingdrinking_anything/")</f>
        <v/>
      </c>
      <c r="G48" t="inlineStr">
        <is>
          <t>2019-01-08 08:45:31</t>
        </is>
      </c>
      <c r="H48" t="inlineStr"/>
    </row>
    <row r="49">
      <c r="A49" t="inlineStr">
        <is>
          <t>adx1rm</t>
        </is>
      </c>
      <c r="B49" t="inlineStr">
        <is>
          <t>Panic Attacks triggered GERD..Anxiety made it worse. My very long GERD Story</t>
        </is>
      </c>
      <c r="C49" t="inlineStr">
        <is>
          <t xml:space="preserve">I was diagnosed with GERD October 2017 and it's been a rollercoaster. My initial introduction with this disease started from a random panic attack. This panic attack triggered acid reflux and i was hurting for weeks and eventually was given a endoscopy which showed a little redness but no major issues or esophagitis. 
 I eventually recovered until I had a second panic attack on Jan 2018. This time I was taken for a loop. I felt constant burning in my chest and acid in my throat. Large doses of PPIs and H2s were given to me to try to stop the pain. None worked if anything they made it worse. The food I was eating was poorly digested due to lack of stomach acid and just stayed in my stomach. I lost 32lbs in a month and told to get off acid blockers asap. 
I was given a 24hr PH and Motility test that revealed that I was having some incidents of reflux but it was very small ( longest event was 10 seconds, 17 individual events total with a deemester score of 1.2). My LES though was hypotensive with a pressure reading of 4.4. The doctors informed me that my reflux was negligible and could not find a reason on why I was hurting. 
I was told to loose weight and use my GERD toolkit (inclined bed, small meals , lose lbs). During that time i was a mental wreck and the events that led to my issues started with Anxiety/Panic attacks. It also didn't help that I was so scared I would Dr Google everything. This made it worse ...so I finally gave in and seeked mental help. I was given 50Mg of Zoloft for my anxiety ..between my changed eating habits, excercise and Zoloft my GERD went away.. and for awhile everything was looking good.
Fast forward 6 months later. I went off Zoloft during to anxiety being under control and continued healthy habits and excercise. I abstained from crap food as much as I could and was doing very well.
 Until recently..I went to the gym and decided to do some core exercises and during a heavy set I felt some acid which through me off. Shortly after that I was feeling pain in my chest again , difficulty swallowing and the burning burps. I couldn't help but cry in frustration. This return of this horrible disease got me wound up and I have been having borderline anxiety attacks which make it worse. I am back at square one and it's so  goddamn frustrating. I have fears of esophagitis and barrets and have fell in the loop of Dr Google again. Starting today though i vow to fight back and beat this again I have no other choice. 
I made this post to get this issue off my chest. No one understands how debilitating this can be . To all you GERD sufferers I feel your pain and hopefully one-day they can find a cure for this bullshit. </t>
        </is>
      </c>
      <c r="D49" t="n">
        <v>1</v>
      </c>
      <c r="E49" t="n">
        <v>7</v>
      </c>
      <c r="F49">
        <f>HYPERLINK("https://www.reddit.com/r/GERD/comments/adx1rm/panic_attacks_triggered_gerdanxiety_made_it_worse/")</f>
        <v/>
      </c>
      <c r="G49" t="inlineStr">
        <is>
          <t>2019-01-08 10:07:49</t>
        </is>
      </c>
      <c r="H49" t="inlineStr"/>
    </row>
    <row r="50">
      <c r="A50" t="inlineStr">
        <is>
          <t>adyhy2</t>
        </is>
      </c>
      <c r="B50" t="inlineStr">
        <is>
          <t>More upper endoscopy questions I'm sorry</t>
        </is>
      </c>
      <c r="C50" t="inlineStr">
        <is>
          <t xml:space="preserve">Just had it done yesterday and I thought everything was fine, up until the next day I woke up and had this feeling at bottom of chest in middle basically the esophagus lining and it feels like a bubble in it similar to heart burn and everytime I eat or drink the food liquid hits it and it hurts for 5 seconds and dies down. The pain is like getting hit in upper stomach or something with a football is the best way I can describe it. Sorry I have anxiety and I worry about it and want reassurance and I know a lot of you have had this procedure and maybe can tell me you had same symptoms. :) </t>
        </is>
      </c>
      <c r="D50" t="n">
        <v>1</v>
      </c>
      <c r="E50" t="n">
        <v>8</v>
      </c>
      <c r="F50">
        <f>HYPERLINK("https://www.reddit.com/r/GERD/comments/adyhy2/more_upper_endoscopy_questions_im_sorry/")</f>
        <v/>
      </c>
      <c r="G50" t="inlineStr">
        <is>
          <t>2019-01-08 12:22:43</t>
        </is>
      </c>
      <c r="H50" t="inlineStr"/>
    </row>
    <row r="51">
      <c r="A51" t="inlineStr">
        <is>
          <t>adyxp5</t>
        </is>
      </c>
      <c r="B51" t="inlineStr">
        <is>
          <t>Question regarding endoscopy and esophagitis/Barretts</t>
        </is>
      </c>
      <c r="C51" t="inlineStr">
        <is>
          <t xml:space="preserve">Had a Endoscopy on October/2017 which revealed some redness on the walls a biopsy was taken and everything came back clear. Dr advised me to lose wait and lay off juices and unhealthy food. It's been about a year and I have had a real bad time with GERD this time around after a weight lifting session .
Chest hurt , pills are difficult to swallow, burping hurts and sometimes when I eat I feel discomfort in my chest. A new issue has also started which is small pain when I move my chest/torso. I understand it's only been a short time but what are the chances of this new GERD flare-up causing real damage and cause esophagitis or worse in such a short period of time ? 
Would I'd be ridiculous to ask for a endoscopy in such a short time since my last one ? The pain is really bad..or should I just try what they recommend and hope for the best ? </t>
        </is>
      </c>
      <c r="D51" t="n">
        <v>1</v>
      </c>
      <c r="E51" t="n">
        <v>2</v>
      </c>
      <c r="F51">
        <f>HYPERLINK("https://www.reddit.com/r/GERD/comments/adyxp5/question_regarding_endoscopy_and/")</f>
        <v/>
      </c>
      <c r="G51" t="inlineStr">
        <is>
          <t>2019-01-08 13:05:55</t>
        </is>
      </c>
      <c r="H51" t="inlineStr"/>
    </row>
    <row r="52">
      <c r="A52" t="inlineStr">
        <is>
          <t>ae3cso</t>
        </is>
      </c>
      <c r="B52" t="inlineStr">
        <is>
          <t>Does waiting even more than 4, 5 hours after eating decrease the chances of waking up with acid in your mouth?</t>
        </is>
      </c>
      <c r="C52" t="inlineStr">
        <is>
          <t xml:space="preserve">The stuff online recommends waiting 3-4 hours, but after waking up for the second time in a few months with acid in my mouth, I noted that I went to bed much sooner after eating than I usually do (about 4 hours). I'm wondering if waiting, like, 8 hours would have any further benefit. </t>
        </is>
      </c>
      <c r="D52" t="n">
        <v>1</v>
      </c>
      <c r="E52" t="n">
        <v>7</v>
      </c>
      <c r="F52">
        <f>HYPERLINK("https://www.reddit.com/r/GERD/comments/ae3cso/does_waiting_even_more_than_4_5_hours_after/")</f>
        <v/>
      </c>
      <c r="G52" t="inlineStr">
        <is>
          <t>2019-01-08 20:49:03</t>
        </is>
      </c>
      <c r="H52" t="inlineStr"/>
    </row>
    <row r="53">
      <c r="A53" t="inlineStr">
        <is>
          <t>ae4414</t>
        </is>
      </c>
      <c r="B53" t="inlineStr">
        <is>
          <t>Upper Airway Resistance Syndrome</t>
        </is>
      </c>
      <c r="C53" t="inlineStr">
        <is>
          <t>According to this site -
[Dr Steven Park](http://doctorstevenpark.com/sleep-apnea-basics/upper-airway-resistance-syndrome)
LPR can be connected with UARS. UARS is according to Wikipedia “characterized by the narrowing of the airway that can cause disruptions to sleep”
I have just been told that I probably have this (I am having a sleep study - doc thinks it’s prob UARS rather than sleep apnea as I have a small mouth/jaw and thin neck) and what I read on that site makes a lot of sense. 
I have LPR along with allergies and sinus problems. 
Does it sound familiar to anyone else?</t>
        </is>
      </c>
      <c r="D53" t="n">
        <v>1</v>
      </c>
      <c r="E53" t="n">
        <v>1</v>
      </c>
      <c r="F53">
        <f>HYPERLINK("https://www.reddit.com/r/GERD/comments/ae4414/upper_airway_resistance_syndrome/")</f>
        <v/>
      </c>
      <c r="G53" t="inlineStr">
        <is>
          <t>2019-01-08 22:27:45</t>
        </is>
      </c>
      <c r="H53" t="inlineStr"/>
    </row>
    <row r="54">
      <c r="A54" t="inlineStr">
        <is>
          <t>ae4a34</t>
        </is>
      </c>
      <c r="B54" t="inlineStr">
        <is>
          <t>Treated my Acid Reflux in a week</t>
        </is>
      </c>
      <c r="C54" t="inlineStr">
        <is>
          <t>It all started when I was overeating nonstop. Then as you all have experienced as well, the constant heartburn started. I went to the doctor and they prescribed me antacids but did not work for shit. He also told me that I need to increase my Fiber which also did not work. I took matter to my own hands, I bought a shit ton of medicine and most did not work. I changed my diet and I started Intermittent Fasting diet which helped calm the symptoms a LOT. However, it was still not going away as I was experiencing LPR and it was really hard to breathe. I read a lot of your problems and at the time, I was eating Yogurt. For some reason, it felt like my stomach liked that so I decided to eat a LOT of it. On top of it, I started adding Apple Cider Vinegar to a small cup of water and drink it before I eat anything. I noticed that it could be **Probiotics and ACV** is what I needed all along. I've stopped my meds today and oh yeah I was also drinking omeprazole before the whole yogurt thing. I bought Probiotics at amazon and I recently drank it, then ACV, and then my dinner. As of right now so far no heartburns and or anything but my stomach is just plain hurting. I really think it's because of the probiotics doing its work. I will update in a couple days if need be. I hope you guys finally fix yours as well. 
&amp;amp;#x200B;
tldr: Apple Cider Vinegar (before I eat any food at any time) &amp;amp; Probiotics strain is helping me. AT THE SAME TIME, CHANGE YOUR DIET if  its terrible. 
&amp;amp;#x200B;
Link to probiotics I bought: [https://www.amazon.com/NewRhythm-Probiotics-Technology-Resistant-Refrigeration/dp/B071DZQLPQ/ref=sr\_1\_5\_s\_it?s=hpc&amp;amp;ie=UTF8&amp;amp;qid=1547016546&amp;amp;sr=1-5&amp;amp;keywords=probiotics](https://www.amazon.com/NewRhythm-Probiotics-Technology-Resistant-Refrigeration/dp/B071DZQLPQ/ref=sr_1_5_s_it?s=hpc&amp;amp;ie=UTF8&amp;amp;qid=1547016546&amp;amp;sr=1-5&amp;amp;keywords=probiotics)
ACV brand: Bragg Organic Raw Unfiltered Apple Cider Vinegar</t>
        </is>
      </c>
      <c r="D54" t="n">
        <v>1</v>
      </c>
      <c r="E54" t="n">
        <v>0</v>
      </c>
      <c r="F54">
        <f>HYPERLINK("https://www.reddit.com/r/GERD/comments/ae4a34/treated_my_acid_reflux_in_a_week/")</f>
        <v/>
      </c>
      <c r="G54" t="inlineStr">
        <is>
          <t>2019-01-08 22:51:59</t>
        </is>
      </c>
      <c r="H54" t="inlineStr"/>
    </row>
    <row r="55">
      <c r="A55" t="inlineStr">
        <is>
          <t>ae5ar3</t>
        </is>
      </c>
      <c r="B55" t="inlineStr">
        <is>
          <t>My GERD has almost been cured.</t>
        </is>
      </c>
      <c r="C55" t="inlineStr">
        <is>
          <t xml:space="preserve">So I posted here a few days ago freaking out about my GERD and LPR that led to problems in swallowing which really made me fear throat/esophageal cancer especially because I used to smoke from 2016-18.
Well there wasn't anything complicated that I did, there was just one thing that made massive improvement: Omeprazole (Proton pump inhibitor).
I used to take a helping of Gaviscon Advanced whenever the heartburn would strike, and the relief was temporary, but it always came back soon enough. I was seriously freaking out, and someone here had suggested that I take PPIs.
Funny story, my ENT specialist had already prescribed PPIs for me when I'd consulted with him before, I didn't take the medication properly or regularly. It was sitting on my desk, and one day I was cleaning out my desk and I just read the label and I recognised the word "Omeprazole" because I'd seen it so many times on the net when I was binging on WebMD style websites as a hypochondriac would do.
So from the next day, I started taking one pill immediately after brushing my teeth in the morning. Lo and behold, it worked like a charm. I think this was the mistake I made before, I don't think I waited for sufficient time for it to work before I had my breakfast. So just take one pill in the morning, and allow it to work on limiting your acid secreting glands or whatever (I can't put my finger on the exact medical term for it, excuse me) and then have your breakfast. 
Now I have absolutely no acid reflux whatsoever. I feel like my esophagus is completely clean, and it's healing well. My swallowing problems have almost been cured, except I'm still suffering from post nasal drip. So I gotta clear my throat and spit out the phlegm occasionally, but I'm in a much better place now. 
I hope this helps you as well, I just wanted to share how it helped me. Cheers guys. And a special thanks to whoever it was that recommended the PPIs for me. </t>
        </is>
      </c>
      <c r="D55" t="n">
        <v>1</v>
      </c>
      <c r="E55" t="n">
        <v>19</v>
      </c>
      <c r="F55">
        <f>HYPERLINK("https://www.reddit.com/r/GERD/comments/ae5ar3/my_gerd_has_almost_been_cured/")</f>
        <v/>
      </c>
      <c r="G55" t="inlineStr">
        <is>
          <t>2019-01-09 01:42:14</t>
        </is>
      </c>
      <c r="H55" t="inlineStr"/>
    </row>
    <row r="56">
      <c r="A56" t="inlineStr">
        <is>
          <t>ae89v5</t>
        </is>
      </c>
      <c r="B56" t="inlineStr">
        <is>
          <t>Alkaline diet recipes?</t>
        </is>
      </c>
      <c r="C56" t="inlineStr">
        <is>
          <t>I’m currently on the induction diet from “Dropping Acid” (Dr. Kaufman) and it’s been helping quite a bit with reflux. One thing, though, is that I need a quick on-the-go type breakfast that’s easy to make and stash in the fridge ahead of time.
I’ve eaten nothing but oatmeal for breakfast for the past week- and truthfully, I’m not a huge fan of Oatmeal. I plan to make some egg-white and spinach cups, since that’ll be a good change in pace for me, but I’d love some muffin recipes to throw in there, too. 
Has anybody else tried an alkaline diet and really enjoyed a particular recipe? (Bonus points if it’s easy to make muffins!!) because I’m currently doing the induction diet, I’m on the really strict end of non-acidic foods- but I’m happy to store any suggestions that people can throw out there!!!</t>
        </is>
      </c>
      <c r="D56" t="n">
        <v>1</v>
      </c>
      <c r="E56" t="n">
        <v>0</v>
      </c>
      <c r="F56">
        <f>HYPERLINK("https://www.reddit.com/r/GERD/comments/ae89v5/alkaline_diet_recipes/")</f>
        <v/>
      </c>
      <c r="G56" t="inlineStr">
        <is>
          <t>2019-01-09 08:09:29</t>
        </is>
      </c>
      <c r="H56" t="inlineStr"/>
    </row>
    <row r="57">
      <c r="A57" t="inlineStr">
        <is>
          <t>ae8blf</t>
        </is>
      </c>
      <c r="B57" t="inlineStr">
        <is>
          <t>Update on Laryngopharyngeal Reflux (Silent Reflux)</t>
        </is>
      </c>
      <c r="C57" t="inlineStr">
        <is>
          <t>[https://scitemed.com/article/2594/scitemed-aohns-2019-00094](https://scitemed.com/article/2594/scitemed-aohns-2019-00094)
Very informative update.</t>
        </is>
      </c>
      <c r="D57" t="n">
        <v>1</v>
      </c>
      <c r="E57" t="n">
        <v>2</v>
      </c>
      <c r="F57">
        <f>HYPERLINK("https://www.reddit.com/r/GERD/comments/ae8blf/update_on_laryngopharyngeal_reflux_silent_reflux/")</f>
        <v/>
      </c>
      <c r="G57" t="inlineStr">
        <is>
          <t>2019-01-09 08:14:08</t>
        </is>
      </c>
      <c r="H57" t="inlineStr"/>
    </row>
    <row r="58">
      <c r="A58" t="inlineStr">
        <is>
          <t>ae935r</t>
        </is>
      </c>
      <c r="B58" t="inlineStr">
        <is>
          <t>Core Exercises?</t>
        </is>
      </c>
      <c r="C58" t="inlineStr">
        <is>
          <t xml:space="preserve">guys,
&amp;amp;#x200B;
A little background- I've been suffering with GERD for over an year now and been trying different things but nothing seems to fix it for good. What helped me most is taking melatonin at night and watch what I eat.   
Does any of you have experience with core exercises that might help with GERD ? Core exercises like planks, hanging leg rises , situps etc  
 </t>
        </is>
      </c>
      <c r="D58" t="n">
        <v>1</v>
      </c>
      <c r="E58" t="n">
        <v>2</v>
      </c>
      <c r="F58">
        <f>HYPERLINK("https://www.reddit.com/r/GERD/comments/ae935r/core_exercises/")</f>
        <v/>
      </c>
      <c r="G58" t="inlineStr">
        <is>
          <t>2019-01-09 09:28:48</t>
        </is>
      </c>
      <c r="H58" t="inlineStr"/>
    </row>
    <row r="59">
      <c r="A59" t="inlineStr">
        <is>
          <t>ae9rel</t>
        </is>
      </c>
      <c r="B59" t="inlineStr">
        <is>
          <t>I've had symptoms of lpr but not classic gerd.</t>
        </is>
      </c>
      <c r="C59" t="inlineStr">
        <is>
          <t>So I got my first episode of gerd in the spring 2017 when I felt a burning feeling in my chest. Since then I only feel regurgitation and only have heart burn every few months. But now I seem to have a sensation of food dragging down my esophagus and constant burning for the past few day. I went to the doctor and they are setting up an appointment for me to see someone for a endoscopy. Can you have esophageal damage from regurgitation but no heartburn?</t>
        </is>
      </c>
      <c r="D59" t="n">
        <v>1</v>
      </c>
      <c r="E59" t="n">
        <v>0</v>
      </c>
      <c r="F59">
        <f>HYPERLINK("https://www.reddit.com/r/GERD/comments/ae9rel/ive_had_symptoms_of_lpr_but_not_classic_gerd/")</f>
        <v/>
      </c>
      <c r="G59" t="inlineStr">
        <is>
          <t>2019-01-09 10:32:52</t>
        </is>
      </c>
      <c r="H59" t="inlineStr"/>
    </row>
    <row r="60">
      <c r="A60" t="inlineStr">
        <is>
          <t>aeb837</t>
        </is>
      </c>
      <c r="B60" t="inlineStr">
        <is>
          <t>DAE wake up with brown/yellow mucus?</t>
        </is>
      </c>
      <c r="C60" t="inlineStr">
        <is>
          <t xml:space="preserve">When I make the mistake of eating before I sleep, I almost always wake up with a brown mucus plug that I have to hack out in the morning into the sink. Sometimes I have shortness of breath as well. 
Throughout the day I will also accidentally inhale mucus and feel like I’m choking. I’m just wondering if anyone else experiences this. It’s scary. </t>
        </is>
      </c>
      <c r="D60" t="n">
        <v>1</v>
      </c>
      <c r="E60" t="n">
        <v>0</v>
      </c>
      <c r="F60">
        <f>HYPERLINK("https://www.reddit.com/r/GERD/comments/aeb837/dae_wake_up_with_brownyellow_mucus/")</f>
        <v/>
      </c>
      <c r="G60" t="inlineStr">
        <is>
          <t>2019-01-09 12:53:58</t>
        </is>
      </c>
      <c r="H60" t="inlineStr"/>
    </row>
    <row r="61">
      <c r="A61" t="inlineStr">
        <is>
          <t>aebg9x</t>
        </is>
      </c>
      <c r="B61" t="inlineStr">
        <is>
          <t>GERD/Acid Reflux with Chest and Arm pain and a normal barium swallow x ray</t>
        </is>
      </c>
      <c r="C61" t="inlineStr">
        <is>
          <t>So I've had this problem for over a year but really started noticing it around 6 months ago, as it's been getting worse as time goes by. 
&amp;amp;#x200B;
I have most of the symptoms of GERD/acid reflux, but I have done a bunch of tests (barium swallow, abdominal ultrasound, chest x ray, general blood tests) and everything came out fine. I also experience symptoms most people don't. Almost all of my pain is in my chest. At first it was mostly on the right side but the past few days I've felt it more on the let side of my chest and arm. I constantly feel like a ton of gas is stuck in my chest, and burp many times throughout the day but I can't burp on command. And swallowing is sometimes painful. I noticed recently that the right side of my throat hurts specifically when I swallow, as turning to the right side and swallowing is much easier than turning to the left and swallowing.
&amp;amp;#x200B;
Over the past few months I've tried eating a mostly vegan diet for a few days and keto for a few days and both times a few days into it I felt worse than I did when I started, but for the first day or so I felt better. I've been visiting a chiropractor too since I have muscular imbalances and that helps a bit but I don't think that's the main problem anymore. 
Another thing is that before this got bad I had sinus issues: felt like my nose and ears were partially blocked and had teary eyes occasionally. I went to an ENT and they said everything was normal besides something in my nostril being enlarged. 
Probably unrelated - I used to smoke/vape weed a few times a week, but now that makes my chest hurt so I stopped. I'm wondering why it makes things worse. Even vaping 1 small hit will make my chest hurt more for a couple of days.  Exercise is the same. I used to play basketball 5 or 6 times a week for a couple of hours at a time but now I can barely walk uphill for a few minutes - even something simple like walking to class will have me out of breath.
&amp;amp;#x200B;
Sorry for the long post, I'm just hoping someone will be able to share something that could help. If my barium swallow x ray was normal does it even make sense that I have GERD/acid reflux? At first I thought it was a musculoskeletal problem, and I still think it might be since my chest is sore to touch. 
&amp;amp;#x200B;
I'm visiting a third GI tomorrow, and I'll probably try the low fodmap diet. I was on pantoprazole for a few weeks and that didn't help. I've also tried HCL drops for a couple of days. Apple cider vinegar seems to make it worse. 
&amp;amp;#x200B;
&amp;amp;#x200B;</t>
        </is>
      </c>
      <c r="D61" t="n">
        <v>1</v>
      </c>
      <c r="E61" t="n">
        <v>3</v>
      </c>
      <c r="F61">
        <f>HYPERLINK("https://www.reddit.com/r/GERD/comments/aebg9x/gerdacid_reflux_with_chest_and_arm_pain_and_a/")</f>
        <v/>
      </c>
      <c r="G61" t="inlineStr">
        <is>
          <t>2019-01-09 13:15:31</t>
        </is>
      </c>
      <c r="H61" t="inlineStr"/>
    </row>
    <row r="62">
      <c r="A62" t="inlineStr">
        <is>
          <t>aecans</t>
        </is>
      </c>
      <c r="B62" t="inlineStr">
        <is>
          <t>Tight throat/heavy chest</t>
        </is>
      </c>
      <c r="C62" t="inlineStr">
        <is>
          <t>Hi! I've had the two symptoms above for a few days now. I've also been dealing with acid reflux for a while. I constantly burp and have burning pain. I've taken different antacids that don't seem to work. My question is, can these symptoms last days and make me feel like i can't get a good breath? I went to the ER who told me i was fine and my doctor said it's anxiety. I'm very confused lol</t>
        </is>
      </c>
      <c r="D62" t="n">
        <v>1</v>
      </c>
      <c r="E62" t="n">
        <v>6</v>
      </c>
      <c r="F62">
        <f>HYPERLINK("https://www.reddit.com/r/GERD/comments/aecans/tight_throatheavy_chest/")</f>
        <v/>
      </c>
      <c r="G62" t="inlineStr">
        <is>
          <t>2019-01-09 14:36:47</t>
        </is>
      </c>
      <c r="H62" t="inlineStr"/>
    </row>
    <row r="63">
      <c r="A63" t="inlineStr">
        <is>
          <t>aech0k</t>
        </is>
      </c>
      <c r="B63" t="inlineStr">
        <is>
          <t>Problems finding a good doc</t>
        </is>
      </c>
      <c r="C63" t="inlineStr">
        <is>
          <t>I’ve seen two different doctors so far and both kind of just brush my reflux off and prescribe me medicine without doing any kind of tests. My heartburn has gotten worse and the meds hardly work. I wake up sometimes in the middle of the night due to how bad it is. Anyone have suggestions on finding help</t>
        </is>
      </c>
      <c r="D63" t="n">
        <v>1</v>
      </c>
      <c r="E63" t="n">
        <v>4</v>
      </c>
      <c r="F63">
        <f>HYPERLINK("https://www.reddit.com/r/GERD/comments/aech0k/problems_finding_a_good_doc/")</f>
        <v/>
      </c>
      <c r="G63" t="inlineStr">
        <is>
          <t>2019-01-09 14:54:29</t>
        </is>
      </c>
      <c r="H63" t="inlineStr"/>
    </row>
    <row r="64">
      <c r="A64" t="inlineStr">
        <is>
          <t>aedx3v</t>
        </is>
      </c>
      <c r="B64" t="inlineStr">
        <is>
          <t>Bad acid reflux, yet tests say otherwise?</t>
        </is>
      </c>
      <c r="C64" t="inlineStr">
        <is>
          <t>I'm 20, male, have had acid reflux for a couple years and it's really put a damper on life and singing and the things that make me happy. I often wake up with a sore crispy throat even after not eating for multiple hours prior to sleeping. I also burp and have the stomach jolts everytime I eat and often when I drink water as well. After the burping I tend to have a very dry throat again. I cut out gluten a few years ago and have very minimal dairy consumption.
I got a bravo ph test done and it said I didnt have acid reflux. I've been on many ENT trips only to find burnt up irritated vocal cords. Had my stomach scoped out only to find nothing. Taken multiple PPis only to have little effect. And am now considering surgery because its washing a lot of my life dreams down the drain :(
I'm swallowing to clear my throat quite often of mucus and there is usually mucus on my vocal cords. I can have a good day and still wake up the next morning with a destroyed throat and voice. I recently went on complete vocal rest and while it helped, I still had acid reflux, so my voice was still not in good order. I very rarely sing at this point because it's hard to keep pitch or the sound will just cut out.
I'm currently on a Keto diet trying to get rid of it. 
But is this even reflux at all?</t>
        </is>
      </c>
      <c r="D64" t="n">
        <v>1</v>
      </c>
      <c r="E64" t="n">
        <v>18</v>
      </c>
      <c r="F64">
        <f>HYPERLINK("https://www.reddit.com/r/GERD/comments/aedx3v/bad_acid_reflux_yet_tests_say_otherwise/")</f>
        <v/>
      </c>
      <c r="G64" t="inlineStr">
        <is>
          <t>2019-01-09 17:28:40</t>
        </is>
      </c>
      <c r="H64" t="inlineStr"/>
    </row>
    <row r="65">
      <c r="A65" t="inlineStr">
        <is>
          <t>aeec51</t>
        </is>
      </c>
      <c r="B65" t="inlineStr">
        <is>
          <t>I think I've found a doctor that's worthwhile</t>
        </is>
      </c>
      <c r="C65" t="inlineStr">
        <is>
          <t>I'm very excited about this! 
I began having symptoms December 2016 and I very stupidly ignored them until the pain became unbearable in August 2017. 
I went to soooo many doctors and even the ER and no one seemed to care. One doc even told me I'm too young for any problems and seriously ran away from me.
Then I lost health insurance and wasn't able to see a doctor for a year. I've basically been playing a game with different meds and hoping one works. 
My new health insurance kicked in and I made an appointment with this doctor and he looked shocked when talking to me. He gave me a Prevacid 30 mg prescription, did blood work, and tested me for H. Pylori. He ordered a barium swallow and I feel like I actually got something done today. 
I also have low blood pressure. Does anyone know what could be causing that?</t>
        </is>
      </c>
      <c r="D65" t="n">
        <v>1</v>
      </c>
      <c r="E65" t="n">
        <v>4</v>
      </c>
      <c r="F65">
        <f>HYPERLINK("https://www.reddit.com/r/GERD/comments/aeec51/i_think_ive_found_a_doctor_thats_worthwhile/")</f>
        <v/>
      </c>
      <c r="G65" t="inlineStr">
        <is>
          <t>2019-01-09 18:15:44</t>
        </is>
      </c>
      <c r="H65" t="inlineStr"/>
    </row>
    <row r="66">
      <c r="A66" t="inlineStr">
        <is>
          <t>aejnmq</t>
        </is>
      </c>
      <c r="B66" t="inlineStr">
        <is>
          <t>This is the year I look into surgery. Anything else I should try first?</t>
        </is>
      </c>
      <c r="C66" t="inlineStr">
        <is>
          <t xml:space="preserve">I've had LPR for over three years now. It is a source of constant pain and irritation. It drains my energy, mood, and motivation. I believe I am a worse marriage partner and employee because of it. All that to say that I'm willing to do pretty much anything to fix it.
Here is what I have tried:
PPIs (no effect)
H2 Blockers (No Effect)
Medical Grade Probiotics (No Effect) 
Zero Carb Keto Diet for 30 days (Lower carbs help, but do not make symptoms go away.)
I would of course prefer to avoid surgery, no matter what lifestyle changes it would take, but I feel like I'm out of options.
Is there anything else I should try before going down the surgery road? Thanks. </t>
        </is>
      </c>
      <c r="D66" t="n">
        <v>1</v>
      </c>
      <c r="E66" t="n">
        <v>4</v>
      </c>
      <c r="F66">
        <f>HYPERLINK("https://www.reddit.com/r/GERD/comments/aejnmq/this_is_the_year_i_look_into_surgery_anything/")</f>
        <v/>
      </c>
      <c r="G66" t="inlineStr">
        <is>
          <t>2019-01-10 06:34:20</t>
        </is>
      </c>
      <c r="H66" t="inlineStr"/>
    </row>
    <row r="67">
      <c r="A67" t="inlineStr">
        <is>
          <t>aejp89</t>
        </is>
      </c>
      <c r="B67" t="inlineStr">
        <is>
          <t>Constant upset stomach - underweight</t>
        </is>
      </c>
      <c r="C67" t="inlineStr">
        <is>
          <t>I get a mild upset stomach all the time. My doctors don't know exactly what kind of condition I have. 
I am a very skinny man and want to eat more to gain weight. I get filled up quickly when eating and usually get a mild upset stomach a couple of hours after eating. Usually it's a kind of burning in my stomach. If I overeat I often feel bloated for many hours. I have been getting burning in my stomach at night more frequently lately.   
I know that certain foods bother me. When I was in my 20's only sugar bothered me. Now anything sweet is a problem, including fruit. In more recent years milk, nuts and some types of beans upset my stomach. I don't know if other foods are bothering me or if I would be having this problem whatever I ate. I have tried some reflux drugs and probiotics. 
I have always had a bit of a problem with regularity. It might be connected to my stomach aches. 
Any thoughts or suggestions?</t>
        </is>
      </c>
      <c r="D67" t="n">
        <v>1</v>
      </c>
      <c r="E67" t="n">
        <v>18</v>
      </c>
      <c r="F67">
        <f>HYPERLINK("https://www.reddit.com/r/GERD/comments/aejp89/constant_upset_stomach_underweight/")</f>
        <v/>
      </c>
      <c r="G67" t="inlineStr">
        <is>
          <t>2019-01-10 06:40:59</t>
        </is>
      </c>
      <c r="H67" t="inlineStr"/>
    </row>
    <row r="68">
      <c r="A68" t="inlineStr">
        <is>
          <t>aejwh5</t>
        </is>
      </c>
      <c r="B68" t="inlineStr">
        <is>
          <t>Tell me about your PPI wean</t>
        </is>
      </c>
      <c r="C68" t="inlineStr">
        <is>
          <t>I’m on day 2 of no ppi at all and feeling great. I did half my original dose (10 mg omelrazole) for 5 weeks, every other day 10 mg for a week. Supplemented 150 of ranitidine 2-3 times a day.  The interesting part is the rebound almost seemed to turn off like a light switch. I did just add vitamin D supplement to my regimen.
Tell me about your PPI wean.</t>
        </is>
      </c>
      <c r="D68" t="n">
        <v>1</v>
      </c>
      <c r="E68" t="n">
        <v>7</v>
      </c>
      <c r="F68">
        <f>HYPERLINK("https://www.reddit.com/r/GERD/comments/aejwh5/tell_me_about_your_ppi_wean/")</f>
        <v/>
      </c>
      <c r="G68" t="inlineStr">
        <is>
          <t>2019-01-10 07:18:20</t>
        </is>
      </c>
      <c r="H68" t="inlineStr"/>
    </row>
    <row r="69">
      <c r="A69" t="inlineStr">
        <is>
          <t>aejwxs</t>
        </is>
      </c>
      <c r="B69" t="inlineStr">
        <is>
          <t>Trying to figure out what causes my reflux to kick in</t>
        </is>
      </c>
      <c r="C69" t="inlineStr">
        <is>
          <t xml:space="preserve">  
A bit of background first, I've had what I assumed was acid reflux for a good few years and just treated it with over the counter antacids up until mid last year when it became worse and seemed to be contributing to ulcers at the back of my mouth/throat. I went to my doctor who gave me blood tests which showed I was healthy and not lacking in any vitamins etc. so put me on a 2 month course of Omeprazole which after a few weeks seemed to start working rather well, after this time period he put me on another 2 month course but at half the strength. Again all seemed well but now that I've been off them for around a month the symptoms have started to come back. I don't get heartburn or an upset stomach very much but get an irritating feeling (not quite burning but sort of similar) at the back of my throat that causes me to keep clearing my throat and occasionally have an odd taste as well, this happens after most meals when full on.
If it keeps up for another week or so I'll head back to the Doctor however what is beginning to really annoy me is not knowing what triggers the reflux. I've become aware of certain foods/drinks and now avoid them however it still starts up when I've been careful and apparently done everything right (avoided those foods, eat smaller portions of healthy home cooked food etc.) and yet I can go out to the pub for a day and have a slap up meal and nothing happens! Is anyone in a similar situation and if so have any advice?</t>
        </is>
      </c>
      <c r="D69" t="n">
        <v>1</v>
      </c>
      <c r="E69" t="n">
        <v>1</v>
      </c>
      <c r="F69">
        <f>HYPERLINK("https://www.reddit.com/r/GERD/comments/aejwxs/trying_to_figure_out_what_causes_my_reflux_to/")</f>
        <v/>
      </c>
      <c r="G69" t="inlineStr">
        <is>
          <t>2019-01-10 07:19:46</t>
        </is>
      </c>
      <c r="H69" t="inlineStr"/>
    </row>
    <row r="70">
      <c r="A70" t="inlineStr">
        <is>
          <t>aek1wd</t>
        </is>
      </c>
      <c r="B70" t="inlineStr">
        <is>
          <t>I'm over this constant battle</t>
        </is>
      </c>
      <c r="C70" t="inlineStr">
        <is>
          <t>So ive had anxiety my whole life. Growing up there would be instances where my anxiety would flare in a social setting and I wouldn't be able to eat. For the last 4 years I was wearing the same glasses not realizing that my astigmatism was getting worse and worse as the time went by. One day I "broke" and had a panic attack driving to work because nothing felt right with what I was seeing. I hard core freaked out. The following day I was taking it easy and my stomach felt a little off so I stuck with basic foods and soup. The following day I couldn't stomach anything. Any attempt to eat anything and I could feel the acid coming into my mouth, constantly having to spit it was so bad. I didn't eat for a day. I slowly worked myself to soup and crackers but that obviously isn't a meal so I felt exteme fatigue each day having to either call off work or leave early. I got anxiety about eating. I saw a doctor at a clinic who basically told me this was me manifesting my anxiety and that there wasn't anything wrong with me and to just take a couple zantac until I got my acid under control and could go back to eating. For the next couple of weeks it was a battle everyday. I had to eat very slowly trying my hardest not to throw up (I never did) and to take breaks from my meal when I did feel nausea. It seemed it was worse in the mornings as by the time I was home from work at night I could eat anything. 
Finally, after dry heaving after eating breakfast one morning I decided to see my primary care doctor. He had me lay down and poked different parts of my stomach. I felt mild discomfort but no sharp pains. I've had no blood in my stools so he put me on three months of omeprazole. It worked great. While I still had to force food down at certain times there was no gagging or fear of throwing up when eating. I could eat earlier in the morning if I wanted to. 
I'm now on the final month of my prescription and decided after being on this medicine for so long it would be best to slowly ween myself off it instead of going cold turkey after 3 months. So last week I only was taking half doses of my pill. BIG mistake. Even at a half dose my acid came back with a fury. I can literally FEEL the acid sitting in my stomach. My throat burns everyday by the end of the night. I feel like throwing up in the mornings without even eating. I woke up this morning and felt the discomfort in my stomach so I took my pill. Acid starting coming into my mouth and I almost threw up. Thankfully I've found that a tums and cold water in this situation provides almost instant relief. Today is the third day since going back to the full pill so I hope this all resides soon. But I still hate the fact that I have to be on this medication just to get through a day. I'm here dreading the day fingers crossed I can eat a lunch without any problems. 
Have any of you guys had it this bad/worse and been able to fix it? What did you do?</t>
        </is>
      </c>
      <c r="D70" t="n">
        <v>1</v>
      </c>
      <c r="E70" t="n">
        <v>7</v>
      </c>
      <c r="F70">
        <f>HYPERLINK("https://www.reddit.com/r/GERD/comments/aek1wd/im_over_this_constant_battle/")</f>
        <v/>
      </c>
      <c r="G70" t="inlineStr">
        <is>
          <t>2019-01-10 07:34:06</t>
        </is>
      </c>
      <c r="H70" t="inlineStr"/>
    </row>
    <row r="71">
      <c r="A71" t="inlineStr">
        <is>
          <t>aek88z</t>
        </is>
      </c>
      <c r="B71" t="inlineStr">
        <is>
          <t>Coffee acid reducers?</t>
        </is>
      </c>
      <c r="C71" t="inlineStr">
        <is>
          <t>I am only 21 years old and was told by my doctor a year ago that I have pre-cancerous cells in my esophagus due to an extreme case of acid reflux. That really hit me hard, being as young as I am and to my knowledge, relatively healthy (very little fast food, I hate soda, and drink lots of water). 
&amp;amp;#x200B;
Anyways, one of my favorite things in the world is coffee - specifically, espresso drinks, which as everyone here probably knows can absolutely destroy you. I feel horrible every time I drink a nice, smooth mocha from Starbucks. Alas, I have struggled to cut it out of my diet - I even have my own coffee blog. So, it's a huge hobby of mine.
&amp;amp;#x200B;
I have started researching these coffee acid reducers like Coffee Tamer and JAVAcid, and I am hesitant to try them out. Most get rave reviews, but it's difficult to tell the difference between obvious paid promotional reviews and real people. So, after this unnecessarily long backstory on my acid reflux, I have one single question: How does everyone here feel about coffee acid reducers? I'm tired of taking pantoprazole twice a day and TUMS eight times a day...</t>
        </is>
      </c>
      <c r="D71" t="n">
        <v>1</v>
      </c>
      <c r="E71" t="n">
        <v>13</v>
      </c>
      <c r="F71">
        <f>HYPERLINK("https://www.reddit.com/r/GERD/comments/aek88z/coffee_acid_reducers/")</f>
        <v/>
      </c>
      <c r="G71" t="inlineStr">
        <is>
          <t>2019-01-10 07:51:43</t>
        </is>
      </c>
      <c r="H71" t="inlineStr"/>
    </row>
    <row r="72">
      <c r="A72" t="inlineStr">
        <is>
          <t>aem2z9</t>
        </is>
      </c>
      <c r="B72" t="inlineStr">
        <is>
          <t>FML Blood in Stool</t>
        </is>
      </c>
      <c r="C72" t="inlineStr">
        <is>
          <t xml:space="preserve">Stomach been burning the last two days , I had a BM and as I always do I check to make sure everything is going well..when I saw bloody mucus floating above my BM. I'm trying not to stress out but anybody know what that may mean in regard to color. I'm assuming blood red means lower GI tract....god I hate this </t>
        </is>
      </c>
      <c r="D72" t="n">
        <v>1</v>
      </c>
      <c r="E72" t="n">
        <v>2</v>
      </c>
      <c r="F72">
        <f>HYPERLINK("https://www.reddit.com/r/GERD/comments/aem2z9/fml_blood_in_stool/")</f>
        <v/>
      </c>
      <c r="G72" t="inlineStr">
        <is>
          <t>2019-01-10 10:50:25</t>
        </is>
      </c>
      <c r="H72" t="inlineStr"/>
    </row>
    <row r="73">
      <c r="A73" t="inlineStr">
        <is>
          <t>aemezz</t>
        </is>
      </c>
      <c r="B73" t="inlineStr">
        <is>
          <t>Sudden Acid Reflux?</t>
        </is>
      </c>
      <c r="C73" t="inlineStr">
        <is>
          <t>I've never had issues with acid reflux, up until about a week ago. Since then I've had it pretty much every day. I last ate about 8 hours ago, but I can still feel it pushing up. What's going on?</t>
        </is>
      </c>
      <c r="D73" t="n">
        <v>1</v>
      </c>
      <c r="E73" t="n">
        <v>4</v>
      </c>
      <c r="F73">
        <f>HYPERLINK("https://www.reddit.com/r/GERD/comments/aemezz/sudden_acid_reflux/")</f>
        <v/>
      </c>
      <c r="G73" t="inlineStr">
        <is>
          <t>2019-01-10 11:23:04</t>
        </is>
      </c>
      <c r="H73" t="inlineStr"/>
    </row>
    <row r="74">
      <c r="A74" t="inlineStr">
        <is>
          <t>aenpsz</t>
        </is>
      </c>
      <c r="B74" t="inlineStr">
        <is>
          <t>Esophageal motility test</t>
        </is>
      </c>
      <c r="C74" t="inlineStr">
        <is>
          <t xml:space="preserve">Has anyone out there had this test done?  I just had it today and it was awful! The nurse looked nervous, like it was her first one. I had watched a couple of videos and thought was ready for it.  Now I have a sore throat and feel stuffed up.  I also had a slight nose bleed. </t>
        </is>
      </c>
      <c r="D74" t="n">
        <v>1</v>
      </c>
      <c r="E74" t="n">
        <v>13</v>
      </c>
      <c r="F74">
        <f>HYPERLINK("https://www.reddit.com/r/GERD/comments/aenpsz/esophageal_motility_test/")</f>
        <v/>
      </c>
      <c r="G74" t="inlineStr">
        <is>
          <t>2019-01-10 13:27:49</t>
        </is>
      </c>
      <c r="H74" t="inlineStr"/>
    </row>
    <row r="75">
      <c r="A75" t="inlineStr">
        <is>
          <t>aepmt5</t>
        </is>
      </c>
      <c r="B75" t="inlineStr">
        <is>
          <t>Endoscopy: all clear!</t>
        </is>
      </c>
      <c r="C75" t="inlineStr">
        <is>
          <t>I had an endoscopy this morning and it was a totally painless experience. It’s easy to work up some anxiety before a procedure like that—I certainly did—but for those who have yet to go through it: fret not. 
But the best news is that everything came back clear! It obviously means the cause of my reflux and discomfort isn’t physical, which is frustrating in its own way, but ruling things out feels great. 
I just wanted to share with you all—have a good night!</t>
        </is>
      </c>
      <c r="D75" t="n">
        <v>1</v>
      </c>
      <c r="E75" t="n">
        <v>36</v>
      </c>
      <c r="F75">
        <f>HYPERLINK("https://www.reddit.com/r/GERD/comments/aepmt5/endoscopy_all_clear/")</f>
        <v/>
      </c>
      <c r="G75" t="inlineStr">
        <is>
          <t>2019-01-10 16:36:29</t>
        </is>
      </c>
      <c r="H75" t="inlineStr"/>
    </row>
    <row r="76">
      <c r="A76" t="inlineStr">
        <is>
          <t>aer378</t>
        </is>
      </c>
      <c r="B76" t="inlineStr">
        <is>
          <t>Weirdly specific low-acid diet question</t>
        </is>
      </c>
      <c r="C76" t="inlineStr">
        <is>
          <t xml:space="preserve">Hey, everyone! I am currently on a low acid diet to try to improve my GERD and LPR, and it's been tricky so far because I have a lot of food allergies so already have a very restricted diet. Anyway, I am allergic to wheat and a number of gluten free flours as well, but I finally found some GF crackers that don't have anything I'm allergic to in them! The problem is they have vinegar in them, which is high acid...does anyone know if it's okay to eat bread/crackers baked with vinegar on a strictly low acid diet? Like do you think the vinegar would actually make the crackers too acidic, or am I being unnecessarily cautious? Thanks for any input.  </t>
        </is>
      </c>
      <c r="D76" t="n">
        <v>1</v>
      </c>
      <c r="E76" t="n">
        <v>1</v>
      </c>
      <c r="F76">
        <f>HYPERLINK("https://www.reddit.com/r/GERD/comments/aer378/weirdly_specific_lowacid_diet_question/")</f>
        <v/>
      </c>
      <c r="G76" t="inlineStr">
        <is>
          <t>2019-01-10 19:19:57</t>
        </is>
      </c>
      <c r="H76" t="inlineStr"/>
    </row>
    <row r="77">
      <c r="A77" t="inlineStr">
        <is>
          <t>aescfd</t>
        </is>
      </c>
      <c r="B77" t="inlineStr">
        <is>
          <t>Anyone here with constant postprandial heartburn after Hpylori eradication?</t>
        </is>
      </c>
      <c r="C77" t="inlineStr">
        <is>
          <t>Here's my story: Around 6-7 months ago started to have chest pains (not burning, just pain). ECG and X-Rays came out normal but I was having major anxiety and panic attacks. Eventually had an endoscopy in August, doctor found irritated stomach with some acute ulcers in the stomach and duodenum with mild inflammation in the esophagus. I also tested positive for HPylori and underwent eradication therapy. Doc suggested that I be on PPIs for the next 2-3 months for things to settle. I was initially on 40mg esomeprazole twice a day for the first month then stepped down dosage to 20mg esomeprazole twice a day for a month. The doctor had already mentioned that I could do a second scope at the end of two months to see how things have healed. The second endoscopy came out clean and I was asked to step down dosage even further to 20mg once a day. I was very happy with the way things were going since I had lost quite a bit of weight and was beginning to feel confident that I could beat this. However, I started getting bloating and low level heartburn after every single meal after a while of being on 20mg per day. It was very frustrating so I tried stopping PPIs altogether after reading how PPIs could cause bacterial imbalance in your gut which in turn could lead to bloating. But the rebound reflux was so bad that I got back to PPIs again in a few days.
Now I'm doing 20mg Pantoprazole once a day and I always have a burning sensation after every meal unless I eat very, very small quantities. This is new for me and I never had this issue before the h pylori treatment. The burning is almost always a little above the upper abdomen and never reaching the proper chest/heart area. My primary doc does not know what's going on and all he could suggest is to up the dosage. Anyone here who has been in a similar boat? I tried to be patient for a while hoping that things would settle down but I feel like the hpylori treatment and the subsequent PPIs have screwed up my GI system considerably. I have tried taking various probiotics to no respite.</t>
        </is>
      </c>
      <c r="D77" t="n">
        <v>1</v>
      </c>
      <c r="E77" t="n">
        <v>4</v>
      </c>
      <c r="F77">
        <f>HYPERLINK("https://www.reddit.com/r/GERD/comments/aescfd/anyone_here_with_constant_postprandial_heartburn/")</f>
        <v/>
      </c>
      <c r="G77" t="inlineStr">
        <is>
          <t>2019-01-10 21:54:52</t>
        </is>
      </c>
      <c r="H77" t="inlineStr"/>
    </row>
    <row r="78">
      <c r="A78" t="inlineStr">
        <is>
          <t>aevp2h</t>
        </is>
      </c>
      <c r="B78" t="inlineStr">
        <is>
          <t>A bit sensitive - but does anyone suffer with GERD and their bowel movements?</t>
        </is>
      </c>
      <c r="C78" t="inlineStr">
        <is>
          <t>I have suffered from acid reflux for 5 years now. 
&amp;amp;#x200B;
I'm on omperazole for this entire time and I still have bad episodes - and none of the other medication worked on me. I've tried to lose weight but find it difficult as exercise seems to increase my reflux, and I cannot eat any fruit as that makes me sick. And if I eat less, or allow myself to get very hungry, I will get reflux.
Does anyone else suffer with this?
&amp;amp;#x200B;
I also have noticed through just diagnosing myself really, that sometimes I can be so sick and have a bad episode, when after a few hours my bowels were just moving and I needed to pass them. Does anyone else have this?
I am aware of the IBS connections, and i'm sure I do suffer with that in some respects. But this can happen to me on a normal day too when my stomach is relativity fine - sorry to breach the subject and do not want any harsh details, but my doctors just never seem to understand / heard of this. So just wondered if this happens to anyone else, and any tips/advice you had?</t>
        </is>
      </c>
      <c r="D78" t="n">
        <v>1</v>
      </c>
      <c r="E78" t="n">
        <v>11</v>
      </c>
      <c r="F78">
        <f>HYPERLINK("https://www.reddit.com/r/GERD/comments/aevp2h/a_bit_sensitive_but_does_anyone_suffer_with_gerd/")</f>
        <v/>
      </c>
      <c r="G78" t="inlineStr">
        <is>
          <t>2019-01-11 06:07:24</t>
        </is>
      </c>
      <c r="H78" t="inlineStr"/>
    </row>
    <row r="79">
      <c r="A79" t="inlineStr">
        <is>
          <t>aexg8m</t>
        </is>
      </c>
      <c r="B79" t="inlineStr">
        <is>
          <t>My Experience with GERD</t>
        </is>
      </c>
      <c r="C79" t="inlineStr">
        <is>
          <t xml:space="preserve">I'm currently 25, male, and the earliest acid reflux I remember was in my early teens. Back then, the diet and health were shit. I was right around 300 lbs by age 16, I ate fast food and pop for almost every dinner and shitty school food for every lunch. Based on this, it's not surprising that I had acid reflux. Around age 21, I lost a bunch of weight and cleaned up my diet a lot. I was down to 195 at one point and cut out all pop. As far as I recall, my reflux symptoms we're little to none during this time. I was eating pasta sauce, cheese, and even Ocassional alcohol. The next few years I went through a crazy roller coaster of depression and anxiety for various reasons. I eventually ended up gaining a lot of weight back and was up to around 270 mid 2018. I had some nasty digestive symptoms in fall/winter of 2017 and ended up going to a Gastroenterologist. I had an endoscopy and colonoscopy done. I had biopsies and stool tests done. The only thing he found from all of these was slight inflammation of the end of the small intestine (illyitus or however it's spelled). That ended up going away on it's own and I was left with just typical acid reflux symptoms still. Fast forward to now, I've eliminated some major factors from my diet which has naturally caused me to lose weight. I'm around 230 now. I'm also exercising 4-5 days a week. Recently, my reflux has seemed to flare up a bit. I have been keeping a journal of food and BMs. Majority of BMs have been fairly normal (3-5). Occasionally I have a 6. I do notice a yellow tint sometimes which I know is caused by bile. Based on my history and negative tests, my guess is that if I get back down to a healthy weight I will feel relief. What are your thoughts? </t>
        </is>
      </c>
      <c r="D79" t="n">
        <v>1</v>
      </c>
      <c r="E79" t="n">
        <v>5</v>
      </c>
      <c r="F79">
        <f>HYPERLINK("https://www.reddit.com/r/GERD/comments/aexg8m/my_experience_with_gerd/")</f>
        <v/>
      </c>
      <c r="G79" t="inlineStr">
        <is>
          <t>2019-01-11 09:08:39</t>
        </is>
      </c>
      <c r="H79" t="inlineStr"/>
    </row>
    <row r="80">
      <c r="A80" t="inlineStr">
        <is>
          <t>aexycr</t>
        </is>
      </c>
      <c r="B80" t="inlineStr">
        <is>
          <t>Do 24hr PH and manometry test ever change or are they the baseline forever.</t>
        </is>
      </c>
      <c r="C80" t="inlineStr">
        <is>
          <t xml:space="preserve">I had a 24HR PH test and manometry last year in March. Findings were 17 total refluxes with minimal reflux episode time. My Manometry was all good with the exception of my LES Pressure which was 4.4 ( low). Total demeester score of 1.5..
 Do these baselines ever change? I can't see my LES Pressure ever change but do 24HR pH values and reflux change based on what the person is going through. I've been having a bad acid episode and was wondering what the correlation was with previous test . </t>
        </is>
      </c>
      <c r="D80" t="n">
        <v>1</v>
      </c>
      <c r="E80" t="n">
        <v>10</v>
      </c>
      <c r="F80">
        <f>HYPERLINK("https://www.reddit.com/r/GERD/comments/aexycr/do_24hr_ph_and_manometry_test_ever_change_or_are/")</f>
        <v/>
      </c>
      <c r="G80" t="inlineStr">
        <is>
          <t>2019-01-11 09:56:03</t>
        </is>
      </c>
      <c r="H80" t="inlineStr"/>
    </row>
    <row r="81">
      <c r="A81" t="inlineStr">
        <is>
          <t>aeyrlk</t>
        </is>
      </c>
      <c r="B81" t="inlineStr">
        <is>
          <t>My GERD Timeline</t>
        </is>
      </c>
      <c r="C81" t="inlineStr">
        <is>
          <t xml:space="preserve">Hey everyone, I’m pretty new here, and I thought, what better way to introduce myself than share my experience with GERD? I’d love to hear anyone else’s experiences or thoughts.
For reference, I am 18F currently in my first year of University.
My story starts some time ago, probably early middle school. I was homeschooled for a long time, from first grade until 6th grade. I didn’t end up riding in cars much because I didn’t have to leave the house, and when I did ride in cars, I would get severe motion sickness, or at least, that’s what my mother thought it was. In 7th grade, I began going to a new school and I complained of feeling nauseous and queasy often. My mom thought it was so I could get out of school, so she sent me anyways most of the time. This continued for years, up to graduation of high school. There was a time in early high school that I didn’t eat enough, which, according to my doctor, probably made things worse for my stomach. I was never taken to the doctor for these issues because my mother thought that I just got motion sickness or I was faking because I was saying that I was nauseous but I didn’t ever throw up unless I was actually “sick.” (It isn’t my mother’s fault for this— I also had pretty bad mental health in high school so I did wanna stay home a lot.)
Fast forward to my first semester of college. I mostly stay with my boyfriend so he drives me to school every day I have classes. I often complain about my stomach hurting, and then slowly the pain gets worse each time I start getting nauseous. 
This past Christmas day, my stomach symptoms reached their peak. I was vomiting all Christmas day, I had serious pain in my stomach all up to my chest area, and I had to be taken to the ER because I was basically crying out in pain. 
They diagnosed me with GERD. It was such a relief to finally know what was wrong with me. As I explored more symptoms of GERD, it became apparent that it’s been troubling me for years. My esophagus is somewhat smaller so things get stuck more easily than normal and my stomach pains aren’t just because I’m a sickly person. 
They gave me some acid reducers and a PPI as well as some temporary nausea medicine. The PPI has been helping the most, while the acid reducer has been very difficult for me to swallow so I have switched to using chewable tums. I’ve been able to actually go to classes this semester so far because I feel much better with my medication. 
Thanks for reading!
</t>
        </is>
      </c>
      <c r="D81" t="n">
        <v>1</v>
      </c>
      <c r="E81" t="n">
        <v>5</v>
      </c>
      <c r="F81">
        <f>HYPERLINK("https://www.reddit.com/r/GERD/comments/aeyrlk/my_gerd_timeline/")</f>
        <v/>
      </c>
      <c r="G81" t="inlineStr">
        <is>
          <t>2019-01-11 11:15:20</t>
        </is>
      </c>
      <c r="H81" t="inlineStr"/>
    </row>
    <row r="82">
      <c r="A82" t="inlineStr">
        <is>
          <t>aez39z</t>
        </is>
      </c>
      <c r="B82" t="inlineStr">
        <is>
          <t>Anyone else get sore throat when running?</t>
        </is>
      </c>
      <c r="C82" t="inlineStr">
        <is>
          <t>Running is a new activity I've taken up lately and I ended up with the worst sore throat after only about 10-15 minutes. I never have a problem with physical exertion when it comes to my throat/my GERD. It was a pretty chilly day so maybe that had something to do with it. I googled what could cause this and one of the results was acid reflux. It literally felt like my throat was going to explode, took a full 5 minutes or so of cooling down for the pain to finally subside. I have PPI's prescribed but I don't really take them. Anyone else experience this kind of thing?</t>
        </is>
      </c>
      <c r="D82" t="n">
        <v>1</v>
      </c>
      <c r="E82" t="n">
        <v>3</v>
      </c>
      <c r="F82">
        <f>HYPERLINK("https://www.reddit.com/r/GERD/comments/aez39z/anyone_else_get_sore_throat_when_running/")</f>
        <v/>
      </c>
      <c r="G82" t="inlineStr">
        <is>
          <t>2019-01-11 11:46:52</t>
        </is>
      </c>
      <c r="H82" t="inlineStr"/>
    </row>
    <row r="83">
      <c r="A83" t="inlineStr">
        <is>
          <t>af1lpa</t>
        </is>
      </c>
      <c r="B83" t="inlineStr">
        <is>
          <t>Worsening GERD, battery acid in throat feeling all day.</t>
        </is>
      </c>
      <c r="C83" t="inlineStr">
        <is>
          <t>Hi r/GERD. Ive had reflux since I was little but man has it got worse recently.
26M, grandad and uncle had history of barrets esophagus.
Im on 40mg omeparazole a day and im always up coughing, wheezing, with a sour taste in my mouth so went back to the doctors.
Had endoscopy no 3 (last one four years ago) last weekend to find out I've got a hiatal hernia, great. Didn't think id get that at 26.  Also im normal weight.
Endoscopist thought all symptoms related to this hernia, so suggested 300mg ranitidine along side omeparazole.
Sounds like a lot of acid suppressants, I still have 
server burning throat hours after eating, I eat a vegetarian diet but sometimes like chocolate a bit too much.
I hate this taste in my mouth! Anyone been on that high a dose of acid suppressant before? 
Really hoping this will get better or if they're going to have to carry out more tests, I've heard the manometry test isn't very nice.</t>
        </is>
      </c>
      <c r="D83" t="n">
        <v>1</v>
      </c>
      <c r="E83" t="n">
        <v>7</v>
      </c>
      <c r="F83">
        <f>HYPERLINK("https://www.reddit.com/r/GERD/comments/af1lpa/worsening_gerd_battery_acid_in_throat_feeling_all/")</f>
        <v/>
      </c>
      <c r="G83" t="inlineStr">
        <is>
          <t>2019-01-11 15:47:24</t>
        </is>
      </c>
      <c r="H83" t="inlineStr"/>
    </row>
    <row r="84">
      <c r="A84" t="inlineStr">
        <is>
          <t>af3i1n</t>
        </is>
      </c>
      <c r="B84" t="inlineStr">
        <is>
          <t>Diagnosed Barretts Yesterday. My Experience &amp;amp; Questions</t>
        </is>
      </c>
      <c r="C84" t="inlineStr">
        <is>
          <t>It all started with a weird gurgling/croaking noise in my esophagus a few years ago. The noise was mostly unpleasant, and seemed to feed off anxiety whenever I was alone around people in a quiet room. I wasn't sure what it was, but chalked it up to nerves and went on with life. About a year prior to now I started experiencing acid and pain. In December I finally went to see a doctor, who pushed me into getting an endoscopy. We both knew something was wrong. Turns out I have a large hernia (2 inches) with severe erosion of the esophagus and have spots of Barretts with no current dysplasia.  
I've tried prilosec in the past with moderate effectiveness, but read that it would cause long term damage and quit taking it. Now the doctor has me on 80mg of pantoprazole a day, and I'm talking with a surgeon to get a fundoplication. The medicine just got authorized by the insurance company yesterday, so I'm hoping it will start having an effect soon.
&amp;amp;#x200B;
 I know I'll have to make some lifestyle changes, but I wanted to know if there's anyone who has had long term success with surgery? The doctor seemed to intimate that a fundoplication may only last a few years, but google results seem way more optimistic.
Things I've changed:
\- Smaller portions
\- Traded the nicotine vape for lozenges (doctor suggested that inhaling might be exacerbating the issues??)  
\- Stopped drinking coffee and energy drinks. Switched to green tea for now.
\- Healthier foods
I'm trying to basically get my head around if I'll ever be able to go back to any of these things once I have the surgery. I'm 27, 5'8 and 185 lbs.   
My advice coming out of this: If something seems off, do not sit on it, get a fucking endoscopy.
&amp;amp;#x200B;
&amp;amp;#x200B;</t>
        </is>
      </c>
      <c r="D84" t="n">
        <v>1</v>
      </c>
      <c r="E84" t="n">
        <v>6</v>
      </c>
      <c r="F84">
        <f>HYPERLINK("https://www.reddit.com/r/GERD/comments/af3i1n/diagnosed_barretts_yesterday_my_experience/")</f>
        <v/>
      </c>
      <c r="G84" t="inlineStr">
        <is>
          <t>2019-01-11 19:32:38</t>
        </is>
      </c>
      <c r="H84" t="inlineStr"/>
    </row>
    <row r="85">
      <c r="A85" t="inlineStr">
        <is>
          <t>af4ibj</t>
        </is>
      </c>
      <c r="B85" t="inlineStr">
        <is>
          <t>Quick survey: How much weight have you lost since your diagnosis?</t>
        </is>
      </c>
      <c r="C85" t="inlineStr">
        <is>
          <t>Side note: This was also posted this to the gastritis subreddit.
I'm going through *bit* of a cancer scare (a recent CT scan found tumors) and I can't really find anything online that says on how much weight people lose with GERD/gastritis on average. I've been diagnosed with GERD in September, so it's difficult for my doctors to say what's exactly happening.
Last May I weight 170lbs, and fast forward 8 months I dropped to 135lbs. Thank you in advance! I'm just looking for some piece of mind.</t>
        </is>
      </c>
      <c r="D85" t="n">
        <v>1</v>
      </c>
      <c r="E85" t="n">
        <v>27</v>
      </c>
      <c r="F85">
        <f>HYPERLINK("https://www.reddit.com/r/GERD/comments/af4ibj/quick_survey_how_much_weight_have_you_lost_since/")</f>
        <v/>
      </c>
      <c r="G85" t="inlineStr">
        <is>
          <t>2019-01-11 21:46:20</t>
        </is>
      </c>
      <c r="H85" t="inlineStr"/>
    </row>
    <row r="86">
      <c r="A86" t="inlineStr">
        <is>
          <t>af8q1s</t>
        </is>
      </c>
      <c r="B86" t="inlineStr">
        <is>
          <t>Can someone give a simple overview of antacids?</t>
        </is>
      </c>
      <c r="C86" t="inlineStr">
        <is>
          <t>Have only tried Pepto Bismol and it worked some, so want to try move antacids to see how it improves my throat symptoms (just in throat, no heartburn.) How do they work? I know Pepto supposedly floats on top of the acid so it can't reflux into throat. Then there are other kills that dilute acid in different ways, and some of them are more "natural" and also have digestive enzymes. Are there like different classes of antacids, some of which are better for non-heartburn reflux throat symptoms (LPR or GERD, undiagnosed so far.) I've heard Gaviscon recommended.</t>
        </is>
      </c>
      <c r="D86" t="n">
        <v>1</v>
      </c>
      <c r="E86" t="n">
        <v>9</v>
      </c>
      <c r="F86">
        <f>HYPERLINK("https://www.reddit.com/r/GERD/comments/af8q1s/can_someone_give_a_simple_overview_of_antacids/")</f>
        <v/>
      </c>
      <c r="G86" t="inlineStr">
        <is>
          <t>2019-01-12 08:10:44</t>
        </is>
      </c>
      <c r="H86" t="inlineStr"/>
    </row>
    <row r="87">
      <c r="A87" t="inlineStr">
        <is>
          <t>af9t6z</t>
        </is>
      </c>
      <c r="B87" t="inlineStr">
        <is>
          <t>Clear Endoscopy ?</t>
        </is>
      </c>
      <c r="C87" t="inlineStr">
        <is>
          <t>To quickly sum up my reflux journey, about a year ago I was hit with a wall of heartburn, and abdominal pain out of nowhere. Many tests were ran, and after my first scope they found food still in my stomach.  I was given a DX of gastroparesis with IBS-C.  In September I was given an emptying scan that revealed I no longer had delayed emptying, but still symptomatic.  I'm currently on Omeprazole 2x daily with only partial relief.  A few days ago I had my second Endoscopy which showed no signs of erosion, no hiatal hernia, and no gastritis.  The doctor said everything looked completely normal.  What the hell am I dealing with here ?  I'm still waiting on biopsy results, but I was almost sure there would be some damage down there.  What is all the heartburn, and sometimes nausea I'm feeling coming from ?</t>
        </is>
      </c>
      <c r="D87" t="n">
        <v>1</v>
      </c>
      <c r="E87" t="n">
        <v>4</v>
      </c>
      <c r="F87">
        <f>HYPERLINK("https://www.reddit.com/r/GERD/comments/af9t6z/clear_endoscopy/")</f>
        <v/>
      </c>
      <c r="G87" t="inlineStr">
        <is>
          <t>2019-01-12 09:58:50</t>
        </is>
      </c>
      <c r="H87" t="inlineStr"/>
    </row>
    <row r="88">
      <c r="A88" t="inlineStr">
        <is>
          <t>afa3ub</t>
        </is>
      </c>
      <c r="B88" t="inlineStr">
        <is>
          <t>Getting a new type of GERD pain in chest and back?</t>
        </is>
      </c>
      <c r="C88" t="inlineStr">
        <is>
          <t xml:space="preserve">Hey all. So my diet is not great. I never really has been. Pizza, chinese, pasta, lots of proteins and etc. I have a fast metabolism so I kind of just eat whatever. I never really get indigestion or heart burn, when I do I'm surprised. But starting yesterday, I was getting what I can only assume is heartbutn, but I've never felt is like this before. I'm getting it this morning too.
 I had an empty stomach and kept getting those empty stomach pains and I would feel my stomach become upset and then the pain would travel up into my chest and back. The pain is pretty sharp/dull and lasts about 2 seconds and today is reoccuring about evey 30 seconds. It scared me at first but every time it happens I feel and hear some acid bubblies in my stomach. 
Does anyone else feel this? It's just weirding me out because I've never felt acid reflux like this before. Usually it's just an intense, dull pain in almost the entirety of my chest, back qnd into my jaw if it's bad. </t>
        </is>
      </c>
      <c r="D88" t="n">
        <v>1</v>
      </c>
      <c r="E88" t="n">
        <v>4</v>
      </c>
      <c r="F88">
        <f>HYPERLINK("https://www.reddit.com/r/GERD/comments/afa3ub/getting_a_new_type_of_gerd_pain_in_chest_and_back/")</f>
        <v/>
      </c>
      <c r="G88" t="inlineStr">
        <is>
          <t>2019-01-12 10:28:04</t>
        </is>
      </c>
      <c r="H88" t="inlineStr"/>
    </row>
    <row r="89">
      <c r="A89" t="inlineStr">
        <is>
          <t>afa8fv</t>
        </is>
      </c>
      <c r="B89" t="inlineStr">
        <is>
          <t>Does anyone have a CONSTANT itchiness/irritation to cough in their throats 24/7?</t>
        </is>
      </c>
      <c r="C89" t="inlineStr">
        <is>
          <t>Hello,
&amp;amp;#x200B;
I'm at my wit's end and I found this subreddit, hopefully someone can possibly help. I will try to be as direct as possible.
&amp;amp;#x200B;
I think everyone of you can imagine the nagging feeling to cough. I don't really know how else to describe it. It's not "pain"... maybe, irritation? Tickle? Sometimes I actually cough, but it's 90% of the time just the feeling that I have to cough, but coughing itself doesn't really get the feeling away.  
I have had that for past 6 years, every single day, for every single second. Never found any relief in terms of meds, posture, diet changes, anything. Out of the 100's of tests, GERD has been consistently the only thing that has been confirmed positive. However, I've been on heavy doses (2x40mg of omeprazole, pantoprazole, controloc and many other meds) and I never noticed any difference. 
&amp;amp;#x200B;
Doctors are therefore starting to doubt that my throat problem is GERD related since the meds (which should be ultimately the best solution) didn't help one bit.
&amp;amp;#x200B;
Just wanted to ask here, did anyone ever had similar symptoms? If so, what was your relief? I'm really tired of this, it's casting a huge shadow over my life and since I'm feeling it everyday 24/7, I can't escape it. Past 6 years haven't been anything than constant new doctor visits, more tests with nothing new. I'm 23 and I feel like an old dying person cause I literally can't find joy in anything in life because of this permanent feeling.
&amp;amp;#x200B;
What tests I've undergone (all negative)
Allergology
Thyroid (ultrasound/bloodtest)
Asthmatology (they said I have a very low case of asthma, altho I have never in my life had any problems with breathing and I used to be very active with no problems. Nevertheless, got prescribed some inhalator, had it for a month, no difference, stopped using.)
Psycho therapy (yes, I've been sent to psychologists cause they thought my problems are just mental. Trust me, it's not. :/)
Bronchoscopy
&amp;amp;#x200B;
I really just hope for some kind of hope lol. No idea where to turn for help anymore.
&amp;amp;#x200B;
Thank you guys and wish you all the best into the new year :)
&amp;amp;#x200B;
&amp;amp;#x200B;</t>
        </is>
      </c>
      <c r="D89" t="n">
        <v>1</v>
      </c>
      <c r="E89" t="n">
        <v>1</v>
      </c>
      <c r="F89">
        <f>HYPERLINK("https://www.reddit.com/r/GERD/comments/afa8fv/does_anyone_have_a_constant_itchinessirritation/")</f>
        <v/>
      </c>
      <c r="G89" t="inlineStr">
        <is>
          <t>2019-01-12 10:40:22</t>
        </is>
      </c>
      <c r="H89" t="inlineStr"/>
    </row>
    <row r="90">
      <c r="A90" t="inlineStr">
        <is>
          <t>afbpmh</t>
        </is>
      </c>
      <c r="B90" t="inlineStr">
        <is>
          <t>What was your experience being diagnosed?</t>
        </is>
      </c>
      <c r="C90" t="inlineStr">
        <is>
          <t xml:space="preserve">I was just diagnosed with GERD, but it feels off. Just wondering what everyone's experience was being diagnosed. She outright prescribed me a PPI and didn't do any tests to confirm diagnosis. Is this normal?
For anyone curious, my symptoms I told my doctor are/were:
- Persistent productive (sometimes dry) cough
- Runny nose
- Chest pain maybe once a month that goes away when I lay down
She said I seemed healthy overall (heart, lungs, etc.) so she thinks it's GERD.
</t>
        </is>
      </c>
      <c r="D90" t="n">
        <v>1</v>
      </c>
      <c r="E90" t="n">
        <v>7</v>
      </c>
      <c r="F90">
        <f>HYPERLINK("https://www.reddit.com/r/GERD/comments/afbpmh/what_was_your_experience_being_diagnosed/")</f>
        <v/>
      </c>
      <c r="G90" t="inlineStr">
        <is>
          <t>2019-01-12 13:06:42</t>
        </is>
      </c>
      <c r="H90" t="inlineStr"/>
    </row>
    <row r="91">
      <c r="A91" t="inlineStr">
        <is>
          <t>afbyrg</t>
        </is>
      </c>
      <c r="B91" t="inlineStr">
        <is>
          <t>Links Procedure</t>
        </is>
      </c>
      <c r="C91" t="inlineStr">
        <is>
          <t>Hey anyone had the LINKS procedure or considering it?</t>
        </is>
      </c>
      <c r="D91" t="n">
        <v>1</v>
      </c>
      <c r="E91" t="n">
        <v>17</v>
      </c>
      <c r="F91">
        <f>HYPERLINK("https://www.reddit.com/r/GERD/comments/afbyrg/links_procedure/")</f>
        <v/>
      </c>
      <c r="G91" t="inlineStr">
        <is>
          <t>2019-01-12 13:32:01</t>
        </is>
      </c>
      <c r="H91" t="inlineStr"/>
    </row>
    <row r="92">
      <c r="A92" t="inlineStr">
        <is>
          <t>afc532</t>
        </is>
      </c>
      <c r="B92" t="inlineStr">
        <is>
          <t>Throat gurgles</t>
        </is>
      </c>
      <c r="C92" t="inlineStr">
        <is>
          <t>I'll start the life story to give a bit of context! I'm 35 male from the UK . I first started getting chronic indigestion at 23. Was told I have gastritis after a horrible gastroscopy around 10 years ago where they stuck the camera down your throat... so kept talking 15mg of lanzoprazole one in morning and one at night ( is easily the best PPI in my opinion) and its cures the indigestion and heartburn .
However over the past few years I've been getting stomach bloating and throat gurgles which is an absolute nightmare and slowly getting worse!! I had another gastroscopy 2 years ago and that confirmed I have a small sliding hiatus hernia but everything else was fine 
I've took lanzoprazole pretty much every day for the past 10 years and it has been an angel medication to keep the indigestion at bay however even with the lanzoprazole the stomach bloating particular after drinking has been steadily getting more frequent and the throat gurgles are so bad! If I lie down on an empty stomach, it's not too bad but within a few hours of food/drink it will make throat gurgles and is much worse when I lie on my left side. It's really bad and so uncomfortable ( but not painful in any way ) since then I just try not to lie down until a few hours after drink 
Does anybody else get the dreaded throat gurgles. What are they and is there a way to get rid of them?!</t>
        </is>
      </c>
      <c r="D92" t="n">
        <v>1</v>
      </c>
      <c r="E92" t="n">
        <v>2</v>
      </c>
      <c r="F92">
        <f>HYPERLINK("https://www.reddit.com/r/GERD/comments/afc532/throat_gurgles/")</f>
        <v/>
      </c>
      <c r="G92" t="inlineStr">
        <is>
          <t>2019-01-12 13:49:59</t>
        </is>
      </c>
      <c r="H92" t="inlineStr"/>
    </row>
    <row r="93">
      <c r="A93" t="inlineStr">
        <is>
          <t>afd582</t>
        </is>
      </c>
      <c r="B93" t="inlineStr">
        <is>
          <t>I feel like I may have been diagnosed to quickly or wrongly?</t>
        </is>
      </c>
      <c r="C93" t="inlineStr">
        <is>
          <t>26m. Went to a pulmonologist after having some breathing issues (long term bronchitis and inhaled some silica dust at work while sick) Was told chest pain is not caused by the lungs and was probably GERD with no previous symptoms to my knowledge and no tests done. Was on prednisone 3 times over the course of 2 months for the lung issues along with azythromyacin and inhalers. He put me on PPIs and it gave me reflux like crazy never had it before. Still trying to figure out what's wrong honestly think all those prescriptions in a short period messed my stomach up really bad. I was a moderate drinker and my diet wasn't awful. Very active as a construction laborer and not very over weight 5'8 190lbs. Any opinions or input would be greatly appreciated.</t>
        </is>
      </c>
      <c r="D93" t="n">
        <v>1</v>
      </c>
      <c r="E93" t="n">
        <v>0</v>
      </c>
      <c r="F93">
        <f>HYPERLINK("https://www.reddit.com/r/GERD/comments/afd582/i_feel_like_i_may_have_been_diagnosed_to_quickly/")</f>
        <v/>
      </c>
      <c r="G93" t="inlineStr">
        <is>
          <t>2019-01-12 15:31:35</t>
        </is>
      </c>
      <c r="H93" t="inlineStr"/>
    </row>
    <row r="94">
      <c r="A94" t="inlineStr">
        <is>
          <t>afe953</t>
        </is>
      </c>
      <c r="B94" t="inlineStr">
        <is>
          <t>Never get enough water</t>
        </is>
      </c>
      <c r="C94" t="inlineStr">
        <is>
          <t xml:space="preserve">My triggers are mainly volume based / mechanical problems. So if I eat too much or drink too much liquid, I get reflux. If I wear too tight a belt, bend over too much, run, etc, I get reflux. 
So this makes drinking water very difficult. If I eat I can’t drink water for a solid 2-4 hours afterward. My stomach takes a long time to empty, probably because the PPIs reduce the stomach acid’s effectiveness. I am on some probiotics but they don’t really make much of a difference. 
So I usually end up chugging a bunch of water in 2-3 sittings a day. Does anyone else have this issue? Even if I am working out I don’t drink much water because the movement will give me reflux. </t>
        </is>
      </c>
      <c r="D94" t="n">
        <v>1</v>
      </c>
      <c r="E94" t="n">
        <v>2</v>
      </c>
      <c r="F94">
        <f>HYPERLINK("https://www.reddit.com/r/GERD/comments/afe953/never_get_enough_water/")</f>
        <v/>
      </c>
      <c r="G94" t="inlineStr">
        <is>
          <t>2019-01-12 17:30:24</t>
        </is>
      </c>
      <c r="H94" t="inlineStr"/>
    </row>
    <row r="95">
      <c r="A95" t="inlineStr">
        <is>
          <t>afh3fp</t>
        </is>
      </c>
      <c r="B95" t="inlineStr">
        <is>
          <t>Looking for guidance</t>
        </is>
      </c>
      <c r="C95" t="inlineStr">
        <is>
          <t>Twice in 2017 i woke up coughing as if i had to vomit (did not)  both times had fat foods and passed out soon after. Just thought it was heartburn because it cleared up on its own after taking tums. Fast forward to this week. Feels like food is stuck in throat. Moving around (walking around), or pepto bismol would make the feeling go away. There were zero symptoms in 1.5 years from 2017 until this week.
I haven't had black or bloody stool. No hoarse cough. No increase in belching (i still rarely do this). I dont drink carbonated drinks e.t.c. I swallow normally.  The only time it felt righ to swallow is when i became self conscious about it but after calming down that too went away immediately (happened once). 
I plan to see a dr on Monday. From what I've read it could just be heartburn, could be gerd, could be esophageal cancer. What do you think these symptoms align with? I'm a scientist so I'm sort of a hypochondriac (lol)  and jumping straight to "i have cancer..."</t>
        </is>
      </c>
      <c r="D95" t="n">
        <v>1</v>
      </c>
      <c r="E95" t="n">
        <v>1</v>
      </c>
      <c r="F95">
        <f>HYPERLINK("https://www.reddit.com/r/GERD/comments/afh3fp/looking_for_guidance/")</f>
        <v/>
      </c>
      <c r="G95" t="inlineStr">
        <is>
          <t>2019-01-12 23:24:58</t>
        </is>
      </c>
      <c r="H95" t="inlineStr"/>
    </row>
    <row r="96">
      <c r="A96" t="inlineStr">
        <is>
          <t>afhdou</t>
        </is>
      </c>
      <c r="B96" t="inlineStr">
        <is>
          <t>Been dealing with chest pains for the past year, acid reflux?</t>
        </is>
      </c>
      <c r="C96" t="inlineStr">
        <is>
          <t xml:space="preserve">For the past year ive dealt with occasional sharp heart burn, usually sitting down where it felt like my heart is i would get a sharp pain and if i inhale too much the pain would increase, holding my breath would usually take it away and it wouldn't last more than a minute or two, last saturday while i was sitting down i had the same pain but what seemed to last for 20 minutes of not being able to inhale too much or the pain would get worse, when it finally went away my body became tingly and had cold hands, fearing it was serious i went to the ER in which they did an ekg and ct scan, i was sent home with a holtor monitor and was prescribed short term anxiety meds as the following day i had heart palpatations, they did say my heart was fine and there was nothing serious,i quit eating spicy foods since then and havent had the same sharp pain except for slight jabbing which only lasts a second, ive also noticed burping more frequently while drinking carbonated drinks and a burning sensation sometimes in my upper left of my chest near my arm, does this sound like acid reflux or something more serious? </t>
        </is>
      </c>
      <c r="D96" t="n">
        <v>1</v>
      </c>
      <c r="E96" t="n">
        <v>6</v>
      </c>
      <c r="F96">
        <f>HYPERLINK("https://www.reddit.com/r/GERD/comments/afhdou/been_dealing_with_chest_pains_for_the_past_year/")</f>
        <v/>
      </c>
      <c r="G96" t="inlineStr">
        <is>
          <t>2019-01-13 00:12:25</t>
        </is>
      </c>
      <c r="H96" t="inlineStr"/>
    </row>
    <row r="97">
      <c r="A97" t="inlineStr">
        <is>
          <t>afihc6</t>
        </is>
      </c>
      <c r="B97" t="inlineStr">
        <is>
          <t>Feeling in throat</t>
        </is>
      </c>
      <c r="C97" t="inlineStr">
        <is>
          <t>Even during days where I haven't eaten anything , I often have this feeling that the stomaches juices are being stopped all the way up at the throat rather than at the esophageal connection to the stomach.
Am I just being paranoid or could that actually be the case?</t>
        </is>
      </c>
      <c r="D97" t="n">
        <v>1</v>
      </c>
      <c r="E97" t="n">
        <v>1</v>
      </c>
      <c r="F97">
        <f>HYPERLINK("https://www.reddit.com/r/GERD/comments/afihc6/feeling_in_throat/")</f>
        <v/>
      </c>
      <c r="G97" t="inlineStr">
        <is>
          <t>2019-01-13 03:17:48</t>
        </is>
      </c>
      <c r="H97" t="inlineStr"/>
    </row>
    <row r="98">
      <c r="A98" t="inlineStr">
        <is>
          <t>afiskj</t>
        </is>
      </c>
      <c r="B98" t="inlineStr">
        <is>
          <t>Burning pain in esophagus.</t>
        </is>
      </c>
      <c r="C98" t="inlineStr">
        <is>
          <t>I've posted here before, been struggling with GERD-like symptoms for over 3 months. 
It started in October with a stomach bug, couldn't keep food or water in, hospitalised for a week and got an endoscopy, blood tests and ultrasounds, all clear, got put on antibiotics and antacids. 
Since I've had daily Indigestion, acid reflux, fatigue and terrible nausea which no medication can relieve. I constantly wake up during the night and the nausea is worse is the mornings, my esophagus feels like it's on fire. 
I saw the doctor last week, he said anxiety could be the cause of my symptoms. He prescribed Clobazam 10mg x2 daily for anxiety, Ivedal 10mg for sleep, Pantor 40mg for stomach acid and Clopamon 10mg, I also drink Adco Medigel after meals. 
No medications thus far has helped, nothing has improved for 3 months and I feel hopeless, constant nausea and burning in my chest everyday. 
Anyone had a similar experience? Any advice? Not sure whether I should get another doctor's opinion.</t>
        </is>
      </c>
      <c r="D98" t="n">
        <v>1</v>
      </c>
      <c r="E98" t="n">
        <v>5</v>
      </c>
      <c r="F98">
        <f>HYPERLINK("https://www.reddit.com/r/GERD/comments/afiskj/burning_pain_in_esophagus/")</f>
        <v/>
      </c>
      <c r="G98" t="inlineStr">
        <is>
          <t>2019-01-13 04:08:54</t>
        </is>
      </c>
      <c r="H98" t="inlineStr"/>
    </row>
    <row r="99">
      <c r="A99" t="inlineStr">
        <is>
          <t>afjs41</t>
        </is>
      </c>
      <c r="B99" t="inlineStr">
        <is>
          <t>Reflux Band: Symptoms Gone!</t>
        </is>
      </c>
      <c r="C99" t="inlineStr">
        <is>
          <t>Wanted to share this with everyone, the Reflux Band (formerly the Reza Band) has helped me immensly with my GERD. I think it can help you too!
I was somewhat skeptical because I wasn't 100% sure if it was GERD that was causing my issues. I had been diagnosed with it in the past after an endoscopy, but the worst of the symptoms got better when I really went all in to a clean diet. 
However, for years I still woke up with pretty bad throat congestion and phlegm, then would have coughing and issues clearing my throat all day. 
The Reflux Band has stopped my symptoms. No more the constant throat clearing all day, very little phlegm to clear out in the morning, clearer breathing and no scratchy throat or burning feelings! It took me about a week or so to dial in the right settings and find the right spot to wear it. Now that I'm wearing it properly I only ever experience mild symptoms after meals. I also notice a huge difference if I forget to wear it, when I wake up the phlegm is back immediately and I cough all day. 
Best $100 I have spent in a along time! I would highly recommend it. They have a money back guarantee so if you find it doesn't help you can return it. This thing has worked **so much** better than taking PPIs or other medications, and it's also wayyy better for you (especially PPIs which are awful long term). I had tried meds, propping the head of my bed up on some bricks to not be horizontal. Nothing ever helped as much as the Reflux Band!
Good luck everyone! Let me know if you have any questions about it, I'm happy to help if I can!</t>
        </is>
      </c>
      <c r="D99" t="n">
        <v>1</v>
      </c>
      <c r="E99" t="n">
        <v>26</v>
      </c>
      <c r="F99">
        <f>HYPERLINK("https://www.reddit.com/r/GERD/comments/afjs41/reflux_band_symptoms_gone/")</f>
        <v/>
      </c>
      <c r="G99" t="inlineStr">
        <is>
          <t>2019-01-13 06:28:48</t>
        </is>
      </c>
      <c r="H99" t="inlineStr"/>
    </row>
    <row r="100">
      <c r="A100" t="inlineStr">
        <is>
          <t>afkdtq</t>
        </is>
      </c>
      <c r="B100" t="inlineStr">
        <is>
          <t>Anyone get pain tongue ?</t>
        </is>
      </c>
      <c r="C100" t="inlineStr">
        <is>
          <t>I have gerd about 6 month now. When get flare up. I get pain on my tongue. No acid taste in mouth.</t>
        </is>
      </c>
      <c r="D100" t="n">
        <v>1</v>
      </c>
      <c r="E100" t="n">
        <v>4</v>
      </c>
      <c r="F100">
        <f>HYPERLINK("https://www.reddit.com/r/GERD/comments/afkdtq/anyone_get_pain_tongue/")</f>
        <v/>
      </c>
      <c r="G100" t="inlineStr">
        <is>
          <t>2019-01-13 07:37:43</t>
        </is>
      </c>
      <c r="H100" t="inlineStr"/>
    </row>
    <row r="101">
      <c r="A101" t="inlineStr">
        <is>
          <t>aflppm</t>
        </is>
      </c>
      <c r="B101" t="inlineStr">
        <is>
          <t>Stones??????</t>
        </is>
      </c>
      <c r="C101" t="inlineStr">
        <is>
          <t xml:space="preserve">Just vomited these white solid pieces was wondering if anyone else has ever vomited out something similar was not tonsil stones 100% </t>
        </is>
      </c>
      <c r="D101" t="n">
        <v>1</v>
      </c>
      <c r="E101" t="n">
        <v>2</v>
      </c>
      <c r="F101">
        <f>HYPERLINK("https://www.reddit.com/r/GERD/comments/aflppm/stones/")</f>
        <v/>
      </c>
      <c r="G101" t="inlineStr">
        <is>
          <t>2019-01-13 09:48:33</t>
        </is>
      </c>
      <c r="H101" t="inlineStr"/>
    </row>
    <row r="102">
      <c r="A102" t="inlineStr">
        <is>
          <t>afmhms</t>
        </is>
      </c>
      <c r="B102" t="inlineStr">
        <is>
          <t>GERD (a rant)</t>
        </is>
      </c>
      <c r="C102" t="inlineStr">
        <is>
          <t xml:space="preserve">I started having a burning sensation in my chest early last year (2018). I went to the hospital several times last year thinking I was having a heart attack. Each time the doctors ordered a Cat-Scan, X-rays, blood work, and everything came back fine. Then thought it was anxiety ( I have Major Depressive Disorder and Generalized Anxiety Disorder), but that didn't make much sense, because I felt the pain even when I didn't feel anxious. I finally realized that it was acid reflux. My Primary Care Doctor prescribed me Omeprazole. I took that daily for a few months. The burning sensation/pain went away, and I stopped taking my medicine. Late in December, I started feeling the chest discomfort again, and once again, I went to the hospital, and once again, the doctors found nothing. I don't know why I forgot that I had acid reflux, which is what it is. I have a doctors appointment tomorrow, but I'm afraid of taking Omeprazole, because my research shows that taking it long-term increases my chances of stomach cancer. Yesterday, I got a bottle of Deglycyrrhizinated Licorice (DGL) because I read that this works for some people. I can't say it's worked yet, but maybe it takes a few days. 
I've just felt depressed. I don't want to get stomach cancer, throat cancer, or esophageal cancer. I haven't had trouble swallowing, though. Is that a good thing? Does that mean that it's not as serious as it could be? I'm having trouble taking my mind off my GERD. I already have a fear of death, and I don't believe in an afterlife, so there's that. I should add that I'm 19 years old. I'm too young to die! I don't want to die until I'm in my 60s, 70s, or 80s. I'm sorry. I guess this post isn't helpful. I just wanted to hear some thoughtful comments from other people who have experienced GERD. thanks! </t>
        </is>
      </c>
      <c r="D102" t="n">
        <v>1</v>
      </c>
      <c r="E102" t="n">
        <v>3</v>
      </c>
      <c r="F102">
        <f>HYPERLINK("https://www.reddit.com/r/GERD/comments/afmhms/gerd_a_rant/")</f>
        <v/>
      </c>
      <c r="G102" t="inlineStr">
        <is>
          <t>2019-01-13 10:59:57</t>
        </is>
      </c>
      <c r="H102" t="inlineStr"/>
    </row>
    <row r="103">
      <c r="A103" t="inlineStr">
        <is>
          <t>afqc4w</t>
        </is>
      </c>
      <c r="B103" t="inlineStr">
        <is>
          <t>Feeling full when hungry</t>
        </is>
      </c>
      <c r="C103" t="inlineStr">
        <is>
          <t xml:space="preserve">I don't know if this is part of GERD or my gastritis or something else but sometimes when I'm really hungry I feel full and bloated, it's hard to tell the difference between the two. I don't have an appetite and the only way I know I'm hungry sometimes is by my stomach growling. </t>
        </is>
      </c>
      <c r="D103" t="n">
        <v>1</v>
      </c>
      <c r="E103" t="n">
        <v>2</v>
      </c>
      <c r="F103">
        <f>HYPERLINK("https://www.reddit.com/r/GERD/comments/afqc4w/feeling_full_when_hungry/")</f>
        <v/>
      </c>
      <c r="G103" t="inlineStr">
        <is>
          <t>2019-01-13 17:11:31</t>
        </is>
      </c>
      <c r="H103" t="inlineStr"/>
    </row>
    <row r="104">
      <c r="A104" t="inlineStr">
        <is>
          <t>afreiz</t>
        </is>
      </c>
      <c r="B104" t="inlineStr">
        <is>
          <t>Anyone else get palpitations?</t>
        </is>
      </c>
      <c r="C104" t="inlineStr">
        <is>
          <t>They rarely occur for me but when they do it’s usually whenever I’m about to burp. I also get them in my stomach sometimes.</t>
        </is>
      </c>
      <c r="D104" t="n">
        <v>1</v>
      </c>
      <c r="E104" t="n">
        <v>6</v>
      </c>
      <c r="F104">
        <f>HYPERLINK("https://www.reddit.com/r/GERD/comments/afreiz/anyone_else_get_palpitations/")</f>
        <v/>
      </c>
      <c r="G104" t="inlineStr">
        <is>
          <t>2019-01-13 19:09:02</t>
        </is>
      </c>
      <c r="H104" t="inlineStr"/>
    </row>
    <row r="105">
      <c r="A105" t="inlineStr">
        <is>
          <t>aftydd</t>
        </is>
      </c>
      <c r="B105" t="inlineStr">
        <is>
          <t>Does anybody know how to get rid of globus sensation?</t>
        </is>
      </c>
      <c r="C105" t="inlineStr">
        <is>
          <t>I believe it is because of my GERD, so I am posting it here</t>
        </is>
      </c>
      <c r="D105" t="n">
        <v>1</v>
      </c>
      <c r="E105" t="n">
        <v>1</v>
      </c>
      <c r="F105">
        <f>HYPERLINK("https://www.reddit.com/r/GERD/comments/aftydd/does_anybody_know_how_to_get_rid_of_globus/")</f>
        <v/>
      </c>
      <c r="G105" t="inlineStr">
        <is>
          <t>2019-01-14 00:53:37</t>
        </is>
      </c>
      <c r="H105" t="inlineStr"/>
    </row>
    <row r="106">
      <c r="A106" t="inlineStr">
        <is>
          <t>afvc4p</t>
        </is>
      </c>
      <c r="B106" t="inlineStr">
        <is>
          <t>Waking up with MASSIVE but brief stomach pain</t>
        </is>
      </c>
      <c r="C106" t="inlineStr">
        <is>
          <t>Hey all, I’ve had GERD most of my life (22M), usually proper diet helps, but I like to indulge myself with shitty food every now and again. But regardless of what it is I eat, I always wake up with a searing pain in the bottom of my stomach (around my xiphoid process if we are getting into specifics) . Sometimes it’s worse than others. I usually do my morning bathroom routine and just lay down and wait until it goes away. It’s not a hunger pain or anything although that is sometimes included. Anybody have a similar experience/tips on dealing with it? I am currently not on any meds or have had any procedures done for it.</t>
        </is>
      </c>
      <c r="D106" t="n">
        <v>1</v>
      </c>
      <c r="E106" t="n">
        <v>1</v>
      </c>
      <c r="F106">
        <f>HYPERLINK("https://www.reddit.com/r/GERD/comments/afvc4p/waking_up_with_massive_but_brief_stomach_pain/")</f>
        <v/>
      </c>
      <c r="G106" t="inlineStr">
        <is>
          <t>2019-01-14 04:27:18</t>
        </is>
      </c>
      <c r="H106" t="inlineStr"/>
    </row>
    <row r="107">
      <c r="A107" t="inlineStr">
        <is>
          <t>afy7tn</t>
        </is>
      </c>
      <c r="B107" t="inlineStr">
        <is>
          <t>Dysphagia for weeks, desperate to eat.</t>
        </is>
      </c>
      <c r="C107" t="inlineStr">
        <is>
          <t>Hello, I was diagnosed with GERD a couple weeks ago, but my dysphagia started around the start of December. After a really bad lingual tonsillitis, during which I could barely eat, I developed a phobia of eating solid foods. I also did an Endoscopy and all was good only for a small gastritis for which I take Laprazol. I have lost around 6-8kg and eat only soups and liquids for the past month and a half. My doctor informed me that I have to overcome the fear and have to start eating bit by bit and that the pills will help. 
Any ideas?</t>
        </is>
      </c>
      <c r="D107" t="n">
        <v>1</v>
      </c>
      <c r="E107" t="n">
        <v>14</v>
      </c>
      <c r="F107">
        <f>HYPERLINK("https://www.reddit.com/r/GERD/comments/afy7tn/dysphagia_for_weeks_desperate_to_eat/")</f>
        <v/>
      </c>
      <c r="G107" t="inlineStr">
        <is>
          <t>2019-01-14 09:41:56</t>
        </is>
      </c>
      <c r="H107" t="inlineStr"/>
    </row>
    <row r="108">
      <c r="A108" t="inlineStr">
        <is>
          <t>afywv7</t>
        </is>
      </c>
      <c r="B108" t="inlineStr">
        <is>
          <t>Watery regurgitation in the morning?</t>
        </is>
      </c>
      <c r="C108" t="inlineStr">
        <is>
          <t xml:space="preserve">Recently with some lifestyle changes my LPR symptoms have dramatically lessened. One that remains though is in the morning I will have aggressive, throat clearing coughs or “barking” and at times liquid regurgitation. The strange thing is it doesn’t taste like acid and there’s no burning at all. If anything it just seems watery saliva in large amounts. Has anyone else experienced this and should I be concerned? </t>
        </is>
      </c>
      <c r="D108" t="n">
        <v>1</v>
      </c>
      <c r="E108" t="n">
        <v>3</v>
      </c>
      <c r="F108">
        <f>HYPERLINK("https://www.reddit.com/r/GERD/comments/afywv7/watery_regurgitation_in_the_morning/")</f>
        <v/>
      </c>
      <c r="G108" t="inlineStr">
        <is>
          <t>2019-01-14 10:47:27</t>
        </is>
      </c>
      <c r="H108" t="inlineStr"/>
    </row>
    <row r="109">
      <c r="A109" t="inlineStr">
        <is>
          <t>afzdvy</t>
        </is>
      </c>
      <c r="B109" t="inlineStr">
        <is>
          <t>Does zantac cause erectile dysfunction and no sex drive?</t>
        </is>
      </c>
      <c r="C109" t="inlineStr">
        <is>
          <t>The main side effects for zantac say erectile dysfunction, impotence and no sex drive?</t>
        </is>
      </c>
      <c r="D109" t="n">
        <v>1</v>
      </c>
      <c r="E109" t="n">
        <v>6</v>
      </c>
      <c r="F109">
        <f>HYPERLINK("https://www.reddit.com/r/GERD/comments/afzdvy/does_zantac_cause_erectile_dysfunction_and_no_sex/")</f>
        <v/>
      </c>
      <c r="G109" t="inlineStr">
        <is>
          <t>2019-01-14 11:32:14</t>
        </is>
      </c>
      <c r="H109" t="inlineStr"/>
    </row>
    <row r="110">
      <c r="A110" t="inlineStr">
        <is>
          <t>ag0e5z</t>
        </is>
      </c>
      <c r="B110" t="inlineStr">
        <is>
          <t>Anyone else here have trouble with reflux/GERD after antibiotics?</t>
        </is>
      </c>
      <c r="C110" t="inlineStr">
        <is>
          <t xml:space="preserve">Hi all, 
Just joined the sub, glad to be connected with folks who may be able to offer some insight on my weird GI issues. 
About six weeks ago, I was diagnosed with epididymitis, for which I was initially prescribed Ciprofloxacin. I took the Cipro for a few days as directed (ie plenty of water), but started to get weird joint pains. Talked to my doc, who switched me to doxycycline, which I took as directed (plenty of water, no lying down for some time after taking the med). 
During my bout of epi, I was experiencing some weird issues with what felt like slight shortness of breath, tightness in chest, lots of mucus in chest which didn't seem to subside after taking Mucinex, nasal passages feeling narrower, etc. At first I thought this might be bronchitis, but after it lingered for about a month, it occurred to me that the antibiotics I'd been prescribed might be messing with my gut health again. 2 years ago, I was successfully treated for H. Pylori, and have been mindful of my gut health ever since. I did notice a difference in what I could sustainably digest after the Pylori treatment: spicy foods were a no-no, as was drip coffee. I've avoided the latter like the plague in the ensuing 2 years, and the former I only eat very sparingly and only the mildest of spices (even paprika would set me off sometimes). I had some weird Pyloriesque symptoms in the fall of 2017, but was given a breath test which came back clean; perhaps my gut was still messed up from the previous year and the change of seasons hit my system hard. 
The symptoms I'm experiencing now (slight globus sensation, a little chest tightness/pain after eating and burning behind my sternum, occasional feeling of food not being swallowed completely, a routine feeling like I need to clear my throat, occasional laryngitis after speaking, occasional mucus in throat/chest after eating) are somewhat congruent with my post-Pylori state, with a few unique features (the chest tightness and throat stuff are unique; I used to get very mild nausea and bloating post-Pylori treatment). 
I had been taking Target-brand probiotic gummies for a while earlier this year, and those did seem to help produce smoother bowel movements. I think that right before I got on this course of antibiotics I either ran out of the gummies or got lazy with taking them. Since finishing the Doxy treatment last month, I've resumed taking the gummies, have been trying to have a glass of Kefir every day, and am trying to eat more yogurt. I'm also taking a two week course of Omeprazole 20mg for the next week; initially, I resorted to Zantac, but as I suspected the chest symptoms might be related to esophogeal damage caused by the reflux, I read that PPIs generally help the esophagus heal more effectively. I suspect the PPI treatment has helped somewhat; I'm also laying off caffeine for the time being and adhering to a stricter diet (smaller portion sizes, no traditional GERD trigger foods). 
Anyway, tl;dr: Anyone else here know for sure that their reflux/GERD was initiated/exacerbated by antibiotic use? </t>
        </is>
      </c>
      <c r="D110" t="n">
        <v>1</v>
      </c>
      <c r="E110" t="n">
        <v>24</v>
      </c>
      <c r="F110">
        <f>HYPERLINK("https://www.reddit.com/r/GERD/comments/ag0e5z/anyone_else_here_have_trouble_with_refluxgerd/")</f>
        <v/>
      </c>
      <c r="G110" t="inlineStr">
        <is>
          <t>2019-01-14 13:06:18</t>
        </is>
      </c>
      <c r="H110" t="inlineStr"/>
    </row>
    <row r="111">
      <c r="A111" t="inlineStr">
        <is>
          <t>ag198p</t>
        </is>
      </c>
      <c r="B111" t="inlineStr">
        <is>
          <t>Why is red meat/green beans so hard to swallow for me?</t>
        </is>
      </c>
      <c r="C111" t="inlineStr">
        <is>
          <t xml:space="preserve">I don't have any issue with any other food. I can eat chicken, sandwiches, rice, bread, apples with the skin on and mostly everything else. I have had this issue since i have had reflux for the last couple of years.
I have also stopped eating red meat due to the reflux. Could my body have forgotten how to eat/chew red meat? But then again, green beans is so fucking hard to chew and eventually swallow. 
</t>
        </is>
      </c>
      <c r="D111" t="n">
        <v>1</v>
      </c>
      <c r="E111" t="n">
        <v>4</v>
      </c>
      <c r="F111">
        <f>HYPERLINK("https://www.reddit.com/r/GERD/comments/ag198p/why_is_red_meatgreen_beans_so_hard_to_swallow_for/")</f>
        <v/>
      </c>
      <c r="G111" t="inlineStr">
        <is>
          <t>2019-01-14 14:25:47</t>
        </is>
      </c>
      <c r="H111" t="inlineStr"/>
    </row>
    <row r="112">
      <c r="A112" t="inlineStr">
        <is>
          <t>ag1yfv</t>
        </is>
      </c>
      <c r="B112" t="inlineStr">
        <is>
          <t>Ibergast actually working!?</t>
        </is>
      </c>
      <c r="C112" t="inlineStr">
        <is>
          <t>Since Christmas I have not been able to find anything that will give me relief. Last week I ordered some Ibergast from Amazon and it arrived today. It takes absolutely awful, and I haven't felt this good in over a month. I don't know if it's coincidence or placebo or what but I will keep on it for the next few weeks and report back!</t>
        </is>
      </c>
      <c r="D112" t="n">
        <v>1</v>
      </c>
      <c r="E112" t="n">
        <v>0</v>
      </c>
      <c r="F112">
        <f>HYPERLINK("https://www.reddit.com/r/GERD/comments/ag1yfv/ibergast_actually_working/")</f>
        <v/>
      </c>
      <c r="G112" t="inlineStr">
        <is>
          <t>2019-01-14 15:34:50</t>
        </is>
      </c>
      <c r="H112" t="inlineStr"/>
    </row>
    <row r="113">
      <c r="A113" t="inlineStr">
        <is>
          <t>ag3qeo</t>
        </is>
      </c>
      <c r="B113" t="inlineStr">
        <is>
          <t>For those of you who have IBS in addition to GERD, do you find you need to use the toilet immediately after a meal or even during?</t>
        </is>
      </c>
      <c r="C113" t="inlineStr">
        <is>
          <t>It seems like my stomach and bowel are so sensitive that food passes straight through me. I’ve been able to identify the food I ate 30 minutes ago when I’ve looked in the toilet bowl. No it’s not food I’ve eaten from yesterday or the day before. I can go weeks without eating any spinach or nuts but then when I do eat them...BOOM...they end up in the toilet very soon afterwards.
Also does anyone else feel hot or sweaty when your GERD or IBS flare up? I feel overheated sometimes after eating or after a bowel movement.</t>
        </is>
      </c>
      <c r="D113" t="n">
        <v>1</v>
      </c>
      <c r="E113" t="n">
        <v>4</v>
      </c>
      <c r="F113">
        <f>HYPERLINK("https://www.reddit.com/r/GERD/comments/ag3qeo/for_those_of_you_who_have_ibs_in_addition_to_gerd/")</f>
        <v/>
      </c>
      <c r="G113" t="inlineStr">
        <is>
          <t>2019-01-14 18:41:57</t>
        </is>
      </c>
      <c r="H113" t="inlineStr"/>
    </row>
    <row r="114">
      <c r="A114" t="inlineStr">
        <is>
          <t>ag3s1c</t>
        </is>
      </c>
      <c r="B114" t="inlineStr">
        <is>
          <t>18M with Acid Reflux / Gastritis [help]</t>
        </is>
      </c>
      <c r="C114" t="inlineStr">
        <is>
          <t xml:space="preserve">Hey everyone,
I’m 18 M and really struggling with my digestive health. Just a little of my medical history (not sure if this is related but it could be). I’ve had Hashimoto’s disease for as long as i can remember - but i’m on replacement hormone for it. I’m currently trying to shrink a tumor in my pituitary gland, which has made my thyroid and testosterone hormones way out of whack. 
Anyway - i’ve had instances of pretty bad heartburn since last summer. Also, i’ve been consistently bloated the past 3 months. I just kind of woke up bloated and it never went away. Even as of right now i’ve never felt relief from this bloating. While it’s not painful, it has caused me to lose my appetite and i’ve lost quite a bit of weight. Sometimes i’ll go a day or two without eating and i’ll still be just as bloated. At the same time, i don’t have any bathroom issues or gas problems - or even my throat being in pain. 
I got an endoscopy, and they found that i have chronic acid reflux and gastritis. No H pylori or anything like that. 
I’m really worried about going on PPI’s or other acid blockers because it feels backwards to reduce my stomach acid when i feel like i don’t have enough due to my Hashimoto’s and nutritional deficiencies. Will healing my acid reflux help the gastritis go away? Is the bloating what the gastritis is?
The heartburn i’ve noticed has gone away if i make sure i eat enough, but bloating is not going away. 
What’s the best course of action for me? I already follow a very clean anti-inflammatory diet. I don’t smoke, drink, or have caffeine. The bloating just kind of came out of nowhere. I also don’t have an intolerance to gluten or dairy but i still avoid them just in case.
Please help! 
</t>
        </is>
      </c>
      <c r="D114" t="n">
        <v>1</v>
      </c>
      <c r="E114" t="n">
        <v>4</v>
      </c>
      <c r="F114">
        <f>HYPERLINK("https://www.reddit.com/r/GERD/comments/ag3s1c/18m_with_acid_reflux_gastritis_help/")</f>
        <v/>
      </c>
      <c r="G114" t="inlineStr">
        <is>
          <t>2019-01-14 18:46:49</t>
        </is>
      </c>
      <c r="H114" t="inlineStr"/>
    </row>
    <row r="115">
      <c r="A115" t="inlineStr">
        <is>
          <t>ag6tiv</t>
        </is>
      </c>
      <c r="B115" t="inlineStr">
        <is>
          <t>Anyone get chest pains, pain under edge of rib cage?</t>
        </is>
      </c>
      <c r="C115" t="inlineStr">
        <is>
          <t>Diagnosed with mild gastritis and gerd.
Binged drank whiskey for two days maybe drank close to a handle....
Been getting wicked pains in chest since. Literally all parts of it except my right shoulder area. Pains range from a mili second shock directly in the middle of chest, to a constant pain under the sternum, to sharp stabbing pains all over. Shortness of breath. Burping up battery acid , dust, mattelic type taste.
Pain always shows it self when i lay down on.my back.</t>
        </is>
      </c>
      <c r="D115" t="n">
        <v>1</v>
      </c>
      <c r="E115" t="n">
        <v>4</v>
      </c>
      <c r="F115">
        <f>HYPERLINK("https://www.reddit.com/r/GERD/comments/ag6tiv/anyone_get_chest_pains_pain_under_edge_of_rib_cage/")</f>
        <v/>
      </c>
      <c r="G115" t="inlineStr">
        <is>
          <t>2019-01-15 01:37:43</t>
        </is>
      </c>
      <c r="H115" t="inlineStr"/>
    </row>
    <row r="116">
      <c r="A116" t="inlineStr">
        <is>
          <t>ag7211</t>
        </is>
      </c>
      <c r="B116" t="inlineStr">
        <is>
          <t>Throat pain every morning when I wake up</t>
        </is>
      </c>
      <c r="C116" t="inlineStr">
        <is>
          <t xml:space="preserve">This started over a month ago. Every time I wake up in the morning, I would feel pain in my throat. There are times it feels dry or there's a lump. There's a need for me to gargle and I think that my breath is bad even though I brushed my teeth the night before. When I gargle, there are occasions that mucus would come out, sometimes not. When the mucus is released, the pain will ease minutes later; but if not, it would ease for (an) hour/s. Though, I did not experience heartburn.
I was diagnosed with GERD two years ago. I took my meds every night but the pain is still there by the morning. Does this mean my meds are no longer working for me? 
Is my daily experience connected to GERD or is this just an ordinary nasal drip? 
</t>
        </is>
      </c>
      <c r="D116" t="n">
        <v>1</v>
      </c>
      <c r="E116" t="n">
        <v>4</v>
      </c>
      <c r="F116">
        <f>HYPERLINK("https://www.reddit.com/r/GERD/comments/ag7211/throat_pain_every_morning_when_i_wake_up/")</f>
        <v/>
      </c>
      <c r="G116" t="inlineStr">
        <is>
          <t>2019-01-15 02:13:33</t>
        </is>
      </c>
      <c r="H116" t="inlineStr"/>
    </row>
    <row r="117">
      <c r="A117" t="inlineStr">
        <is>
          <t>ag80uq</t>
        </is>
      </c>
      <c r="B117" t="inlineStr">
        <is>
          <t>What i think about medications...</t>
        </is>
      </c>
      <c r="C117" t="inlineStr">
        <is>
          <t>I used to use medications for my acid reflux symptoms i had a really disturbing chest pain so i start using medications, they helped me relief my chest pain but then i realized those medication are not helping me to get rid of acid reflux they are only relief me of pain, 6 month ago i started using natural remedies and diets and it helped me so much to not only relief from the pain but i got rid of it. the advice that i want to give is that medications are only short term solution, natural treatments are the safest and the most efficient in my experience. i found this article on academia it contain a lot of informations about acid relux and treatments [https://www.academia.edu/38104972/Heartburn\_and\_acid\_reflux\_cause\_symptoms\_treatment](https://www.academia.edu/38104972/Heartburn_and_acid_reflux_cause_symptoms_treatment)</t>
        </is>
      </c>
      <c r="D117" t="n">
        <v>1</v>
      </c>
      <c r="E117" t="n">
        <v>0</v>
      </c>
      <c r="F117">
        <f>HYPERLINK("https://www.reddit.com/r/GERD/comments/ag80uq/what_i_think_about_medications/")</f>
        <v/>
      </c>
      <c r="G117" t="inlineStr">
        <is>
          <t>2019-01-15 04:32:31</t>
        </is>
      </c>
      <c r="H117" t="inlineStr"/>
    </row>
    <row r="118">
      <c r="A118" t="inlineStr">
        <is>
          <t>ag954j</t>
        </is>
      </c>
      <c r="B118" t="inlineStr">
        <is>
          <t>I need to gain weight without eating triggers. How?</t>
        </is>
      </c>
      <c r="C118" t="inlineStr">
        <is>
          <t>In the last few months I have lost quite a bit of weight. I am 5'10 and my current weight is 143lb. which puts me at ~20.5 BMI. That is is still in the normal range. I really want to put on at least 10 pounds. Unfortunately I can't manage to eat enough calories to even sustain my weight let alone increase it. I feel like I spend most of my day trying to get calories in. I have to stop at least 3 hours before I lay down for bed of course. I will pay for it all night otherwise.
Obviously I'm avoiding fatty foods. I don't eat fish other than tuna salad. I drink protein shakes. My best day since I have been tracking was on Sunday. Here is what that looked liked.
Breakfast (301 calories):
1/2 cup Quaker Oatmeal with 6oz. Almond Milk
A protein shake
Lunch (256 calories):
200g baked potato with 1/2 tbsp. butter and 35g greek yogurt
Dinner (201 calories):
1/2 cup white rice
2oz. skinless and boneless chicken thigh
30g blueberries
100g cantalope
Snacks/In-between meals (1,100 calories):
Light &amp;amp; fit greek yogurt vanilla x 2
28g pecan halves
vanilla protein shake
Smoothie made with protein powder, almond butter, banana, lactose free 2% milk (580 calories in this alone)
Total: 1,858 calories
Man I felt like I was eating all day long and for most of that time I was not hungry. Even then that was just enough calories to maintain weight. I needed 600 more in order to put on 1 pound a week. I feel like this is impossible. I have to do it though. I am interested in getting anti-reflux surgery but I can't even really consider it until I put some weight on. Going through the medication free week leading up to the pH test alone I think I'll lose 5 or 6 pounds.
Help me out guys. I need some calorie rich foods that will not make me feel too full and that are not likely to trigger GERD.</t>
        </is>
      </c>
      <c r="D118" t="n">
        <v>1</v>
      </c>
      <c r="E118" t="n">
        <v>15</v>
      </c>
      <c r="F118">
        <f>HYPERLINK("https://www.reddit.com/r/GERD/comments/ag954j/i_need_to_gain_weight_without_eating_triggers_how/")</f>
        <v/>
      </c>
      <c r="G118" t="inlineStr">
        <is>
          <t>2019-01-15 06:40:48</t>
        </is>
      </c>
      <c r="H118" t="inlineStr"/>
    </row>
    <row r="119">
      <c r="A119" t="inlineStr">
        <is>
          <t>agamf4</t>
        </is>
      </c>
      <c r="B119" t="inlineStr">
        <is>
          <t>Abnormal PPI rebound</t>
        </is>
      </c>
      <c r="C119" t="inlineStr">
        <is>
          <t>Hello I have been dealing with a cough, sour taste/inflamed feeling in my throat and mouth in the mornings for 3 years now. For about 1.75years I was put on omeprazole (quite a high dose.. can’t exactly remember) and decided to see what would happen if I stopped due to the PPIs not being very effective. When I stopped the first few days after I experienced no GERD at all! This was my first time I felt cured and felt like my throat could heal in months. The first 2 weeks after quitting cold turkey I had no symptoms but they soon crept back. Now a couple months later my GERD has worsened to the point it was on PPIs? 
Has anyone experienced anything like this? Any idea what may help? I am going to try digestive enzymes and probiotics (although I have used probiotics before and they didn’t do much). Any help/experience is very appreciated 
Thanks!</t>
        </is>
      </c>
      <c r="D119" t="n">
        <v>1</v>
      </c>
      <c r="E119" t="n">
        <v>0</v>
      </c>
      <c r="F119">
        <f>HYPERLINK("https://www.reddit.com/r/GERD/comments/agamf4/abnormal_ppi_rebound/")</f>
        <v/>
      </c>
      <c r="G119" t="inlineStr">
        <is>
          <t>2019-01-15 09:03:04</t>
        </is>
      </c>
      <c r="H119" t="inlineStr"/>
    </row>
    <row r="120">
      <c r="A120" t="inlineStr">
        <is>
          <t>agapqe</t>
        </is>
      </c>
      <c r="B120" t="inlineStr">
        <is>
          <t>Any suggestions on Trigger Journaling?</t>
        </is>
      </c>
      <c r="C120" t="inlineStr">
        <is>
          <t>Do you have any experience with Trigger Journaling? Any tips you would provide someone about to go through the process?
I am a long-time sufferer of GERD. I have been on 40mg of Omeprazole for the last few months. This has worked pretty well, but I have had a few heartburn waves every few days now, and I'd like to get off a pill I take every day.
I am going to start a Trigger Journal, after reading some suggestions about keeping one here https://www.healthline.com/health/gerd/triggers I think I'll eat traditionally "safe" foods like rice and vegetables for a few days while weaning off omeprazole.</t>
        </is>
      </c>
      <c r="D120" t="n">
        <v>1</v>
      </c>
      <c r="E120" t="n">
        <v>0</v>
      </c>
      <c r="F120">
        <f>HYPERLINK("https://www.reddit.com/r/GERD/comments/agapqe/any_suggestions_on_trigger_journaling/")</f>
        <v/>
      </c>
      <c r="G120" t="inlineStr">
        <is>
          <t>2019-01-15 09:11:52</t>
        </is>
      </c>
      <c r="H120" t="inlineStr"/>
    </row>
    <row r="121">
      <c r="A121" t="inlineStr">
        <is>
          <t>agaz52</t>
        </is>
      </c>
      <c r="B121" t="inlineStr">
        <is>
          <t>Trouble swallowing 32/f</t>
        </is>
      </c>
      <c r="C121" t="inlineStr">
        <is>
          <t xml:space="preserve">Just wondering if anyone else has similar problems.   I was official diagnosed with GERD in 2007.    I started having trouble swallowing that I think started very minor in late teens and progressed.    It has't got any worse since I was 23 or 24 (almost 10 years ago).   Actually, this past month I ate a steak proper at the Capital Grille.   I haven't had a steak since my teens.   Granted, this take awhile to eat. 
&amp;amp;#x200B;
I've been tested for degenerative nerve diseases all negatives.   I should be due for another scope, I haven't been scoped since 2014 or so.    My three scopes were more or less unremarkable.  Some redness, some evidence of GERD.     Barium Swallow looks perfectly normal every time.    Next step would be Manometry and 24 hour PH test but I've been putting them off out of fear of the procedure.     I'm not sure what is causing the trouble swallowing outside of simple GERD, and its even stranger that it got bad quickly over a few years but hasn't changed much in the past 10 years. </t>
        </is>
      </c>
      <c r="D121" t="n">
        <v>1</v>
      </c>
      <c r="E121" t="n">
        <v>2</v>
      </c>
      <c r="F121">
        <f>HYPERLINK("https://www.reddit.com/r/GERD/comments/agaz52/trouble_swallowing_32f/")</f>
        <v/>
      </c>
      <c r="G121" t="inlineStr">
        <is>
          <t>2019-01-15 09:36:02</t>
        </is>
      </c>
      <c r="H121" t="inlineStr"/>
    </row>
    <row r="122">
      <c r="A122" t="inlineStr">
        <is>
          <t>agc9l7</t>
        </is>
      </c>
      <c r="B122" t="inlineStr">
        <is>
          <t>Ever get an unexpected, fun trigger food surprise when eating out?</t>
        </is>
      </c>
      <c r="C122" t="inlineStr">
        <is>
          <t>I just ordered a chicken noodle soup...as bland and non-triggering as it gets, and the cook put cayenne powder in it or some shit without telling people. Smh...</t>
        </is>
      </c>
      <c r="D122" t="n">
        <v>1</v>
      </c>
      <c r="E122" t="n">
        <v>13</v>
      </c>
      <c r="F122">
        <f>HYPERLINK("https://www.reddit.com/r/GERD/comments/agc9l7/ever_get_an_unexpected_fun_trigger_food_surprise/")</f>
        <v/>
      </c>
      <c r="G122" t="inlineStr">
        <is>
          <t>2019-01-15 11:33:50</t>
        </is>
      </c>
      <c r="H122" t="inlineStr"/>
    </row>
    <row r="123">
      <c r="A123" t="inlineStr">
        <is>
          <t>agd9ta</t>
        </is>
      </c>
      <c r="B123" t="inlineStr">
        <is>
          <t>Is ranitidine and carafate enough to heal the esophagus?</t>
        </is>
      </c>
      <c r="C123" t="inlineStr">
        <is>
          <t xml:space="preserve">My esophagus has been through the ringer the past few weeks. Burning , burning from burps , reflux you name it. I am trying to stay away from PPIs since the last time i took them they completely gave me tremors/panic attacks and slowed down my digestion enough to the point I only had one BM every 2 days. Bottom PPIs made me feel like shit 
I've been using slippery elm,manuka honey , chewing gum, aloe vera etc to try to heal my esophagus and they have helped  however I want to make sure it heals 100% properly as I continue to lose weight (already dropped 25lbs) and hopefully manage my GERD. 
</t>
        </is>
      </c>
      <c r="D123" t="n">
        <v>1</v>
      </c>
      <c r="E123" t="n">
        <v>9</v>
      </c>
      <c r="F123">
        <f>HYPERLINK("https://www.reddit.com/r/GERD/comments/agd9ta/is_ranitidine_and_carafate_enough_to_heal_the/")</f>
        <v/>
      </c>
      <c r="G123" t="inlineStr">
        <is>
          <t>2019-01-15 13:03:47</t>
        </is>
      </c>
      <c r="H123" t="inlineStr"/>
    </row>
    <row r="124">
      <c r="A124" t="inlineStr">
        <is>
          <t>agdejm</t>
        </is>
      </c>
      <c r="B124" t="inlineStr">
        <is>
          <t>Reflux that gets better or worse according to menstrual cycle?</t>
        </is>
      </c>
      <c r="C124" t="inlineStr">
        <is>
          <t>Ive had an ultrasound on my gallbladder, and Ive had an endoscopy of my esophogus and stomach. Neither found anything wrong. 
Despite this, Ive had constant lower esoph burning, phlegm in throat, stuffy nose and occasionally lower esoph burning so bad I went into the ER once because I couldn't move or walk without tensing up every muscle in my body due to the pain radiating so badly. (This was shortly before the endoscopy, which caused me to be even more surprised that nothing was found)
Ive been tried on prilosec, nexium, zantac, and I'm currently on prantoprazole 40mg. Various OTC antacids like tums and the liquids do nothing. The pantoprazole doesnt seem to do anything either.
Ive kept a food journal and nothing seems to correlate with any food or eating habits. I'm 5'8" female, 113lbs down from a steady 120lb since these issues started.
The only thing the symptoms seems to correlate with is my menstrual cycle, getting it's worst the closer I get to my period, it's best during my period, and then it slowly ramps up after. Rinse, repeat.
Does anyone here have any experience with this? I'm at my wits end since nothing seems to be helping and I don't know what to try next. I told the same thing to my GI specialist and they seemed to just shrug it off and didnt have a clue.
**TLDR**: Bad "reflux" that gets better or worse according to menstrual cycle, unresponsive to medications or dieting.</t>
        </is>
      </c>
      <c r="D124" t="n">
        <v>1</v>
      </c>
      <c r="E124" t="n">
        <v>6</v>
      </c>
      <c r="F124">
        <f>HYPERLINK("https://www.reddit.com/r/GERD/comments/agdejm/reflux_that_gets_better_or_worse_according_to/")</f>
        <v/>
      </c>
      <c r="G124" t="inlineStr">
        <is>
          <t>2019-01-15 13:15:37</t>
        </is>
      </c>
      <c r="H124" t="inlineStr"/>
    </row>
    <row r="125">
      <c r="A125" t="inlineStr">
        <is>
          <t>agegyi</t>
        </is>
      </c>
      <c r="B125" t="inlineStr">
        <is>
          <t>Post-PPI acid rebounding advice?</t>
        </is>
      </c>
      <c r="C125" t="inlineStr">
        <is>
          <t>Hey everyone, so I have been taking PPI for mild-moderate gastritis and esophageal inflammation for 2 month and have recently started to only take them every second day to slowly wean off. However, my acid relfux is worse than ever with frequent belching and regurgitation. Does anyone have any experience getting off PPI? Just looking to start a conversation/ get advice! Thanks!</t>
        </is>
      </c>
      <c r="D125" t="n">
        <v>1</v>
      </c>
      <c r="E125" t="n">
        <v>7</v>
      </c>
      <c r="F125">
        <f>HYPERLINK("https://www.reddit.com/r/GERD/comments/agegyi/postppi_acid_rebounding_advice/")</f>
        <v/>
      </c>
      <c r="G125" t="inlineStr">
        <is>
          <t>2019-01-15 14:56:57</t>
        </is>
      </c>
      <c r="H125" t="inlineStr"/>
    </row>
    <row r="126">
      <c r="A126" t="inlineStr">
        <is>
          <t>agh46j</t>
        </is>
      </c>
      <c r="B126" t="inlineStr">
        <is>
          <t>Started to take melatonin 3mg in an attempt to cure GERD. Anyone succeeded?</t>
        </is>
      </c>
      <c r="C126" t="inlineStr">
        <is>
          <t xml:space="preserve">I have both heartburn and a silent reflux. My throat feels sore after meal on a daily basis.  
I was taking PPI's for a couple of months (40mg pantoprazole every 3 days), then decided to switch them for H2.   
Now I'm taking ranitidine 150mg in the morning, and sometimes 150 in the evening also.
4 days ago I started to take melatonin, 3mg half an hour before sleeping and I plan to use it for 4 weeks, make a pause 1 week (vacation, I can't take this on vacation for personal reasons), then resume for 4 weeks after vacation and see where it takes me.
Anyone has any happy ending story to tell about melatonin? </t>
        </is>
      </c>
      <c r="D126" t="n">
        <v>1</v>
      </c>
      <c r="E126" t="n">
        <v>5</v>
      </c>
      <c r="F126">
        <f>HYPERLINK("https://www.reddit.com/r/GERD/comments/agh46j/started_to_take_melatonin_3mg_in_an_attempt_to/")</f>
        <v/>
      </c>
      <c r="G126" t="inlineStr">
        <is>
          <t>2019-01-15 19:44:35</t>
        </is>
      </c>
      <c r="H126" t="inlineStr"/>
    </row>
    <row r="127">
      <c r="A127" t="inlineStr">
        <is>
          <t>aghmp7</t>
        </is>
      </c>
      <c r="B127" t="inlineStr">
        <is>
          <t>ranitidine vs cimitidine vs others?</t>
        </is>
      </c>
      <c r="C127" t="inlineStr">
        <is>
          <t>Stopped taking PPI.
Trying h2 blockers.
Any reason to take one h2 blocker over the other?</t>
        </is>
      </c>
      <c r="D127" t="n">
        <v>1</v>
      </c>
      <c r="E127" t="n">
        <v>5</v>
      </c>
      <c r="F127">
        <f>HYPERLINK("https://www.reddit.com/r/GERD/comments/aghmp7/ranitidine_vs_cimitidine_vs_others/")</f>
        <v/>
      </c>
      <c r="G127" t="inlineStr">
        <is>
          <t>2019-01-15 20:47:46</t>
        </is>
      </c>
      <c r="H127" t="inlineStr"/>
    </row>
    <row r="128">
      <c r="A128" t="inlineStr">
        <is>
          <t>agkecz</t>
        </is>
      </c>
      <c r="B128" t="inlineStr">
        <is>
          <t>Anyone else have a bad reaction to nuts, especially peanuts</t>
        </is>
      </c>
      <c r="C128" t="inlineStr">
        <is>
          <t xml:space="preserve">One of my worse triggers is peanut butter and it sucks. I’m trying to be healthy and eat better but when you look up snack suggestions to keep you full everything recommends nuts. Anyone have any good snack suggestions that don’t seem to trigger you but also keeps you full? I work 10 hour days. </t>
        </is>
      </c>
      <c r="D128" t="n">
        <v>1</v>
      </c>
      <c r="E128" t="n">
        <v>8</v>
      </c>
      <c r="F128">
        <f>HYPERLINK("https://www.reddit.com/r/GERD/comments/agkecz/anyone_else_have_a_bad_reaction_to_nuts/")</f>
        <v/>
      </c>
      <c r="G128" t="inlineStr">
        <is>
          <t>2019-01-16 03:51:58</t>
        </is>
      </c>
      <c r="H128" t="inlineStr"/>
    </row>
    <row r="129">
      <c r="A129" t="inlineStr">
        <is>
          <t>agndht</t>
        </is>
      </c>
      <c r="B129" t="inlineStr">
        <is>
          <t>Possible new LPR stuff; a few questions</t>
        </is>
      </c>
      <c r="C129" t="inlineStr">
        <is>
          <t xml:space="preserve">I have had GERD for a very long time.  A few years ago I got 'scoped and it revealed that I have a small hiatal hernia.  I have treated that situation with the common medications and it has mostly been fine except for a few slip-ups with eating the wrong thing too late or whatnot.
In early November, I got some kind of really bad cold or bacterial infection.  I was sick all over, but my larynx suffered the most and it has been swollen ever since, even after all my other symptoms resolved.  My PCP put me on 3 different antibiotics over time, which didn't really accomplish anything.  
I now think that the swelling may actually be symptoms of LPR.  I haven't had any true reflux incidents since November (In terms of feeling hot stuff going up my throat , burning, etc), but this swollen lump in my throat hasn't gone away.  I'm supposed to go get looked at by the ENT Monday morning.
Also, I get more discomfort from touching the front of my neck/throat with my hand than anything else.  Tight shirt collars are very uncomfortable.  Does this stupid lump sound like anyone else's LPR?  </t>
        </is>
      </c>
      <c r="D129" t="n">
        <v>1</v>
      </c>
      <c r="E129" t="n">
        <v>0</v>
      </c>
      <c r="F129">
        <f>HYPERLINK("https://www.reddit.com/r/GERD/comments/agndht/possible_new_lpr_stuff_a_few_questions/")</f>
        <v/>
      </c>
      <c r="G129" t="inlineStr">
        <is>
          <t>2019-01-16 09:20:35</t>
        </is>
      </c>
      <c r="H129" t="inlineStr"/>
    </row>
    <row r="130">
      <c r="A130" t="inlineStr">
        <is>
          <t>ago6bu</t>
        </is>
      </c>
      <c r="B130" t="inlineStr">
        <is>
          <t>Raw salad greens as trigger</t>
        </is>
      </c>
      <c r="C130" t="inlineStr">
        <is>
          <t xml:space="preserve">Just wondering if anyone else gets this. I usually eat salad for lunch, that I make so I control the ingredients,  and I have had the worst reactions from arugula, so stopped eating it. Now that I've switched over to baby spinach I'm getting triggered from that, too, but not as bad as arugula.  I've tried using only a teaspoon of olive oil and no vinegar at all, but no difference. Anyone else get triggered by "healthy" foods? I also can't eat oatmeal anymore, just terrible pain afterwards. </t>
        </is>
      </c>
      <c r="D130" t="n">
        <v>1</v>
      </c>
      <c r="E130" t="n">
        <v>5</v>
      </c>
      <c r="F130">
        <f>HYPERLINK("https://www.reddit.com/r/GERD/comments/ago6bu/raw_salad_greens_as_trigger/")</f>
        <v/>
      </c>
      <c r="G130" t="inlineStr">
        <is>
          <t>2019-01-16 10:35:52</t>
        </is>
      </c>
      <c r="H130" t="inlineStr"/>
    </row>
    <row r="131">
      <c r="A131" t="inlineStr">
        <is>
          <t>agofm9</t>
        </is>
      </c>
      <c r="B131" t="inlineStr">
        <is>
          <t>Has anyone felt this before?</t>
        </is>
      </c>
      <c r="C131" t="inlineStr">
        <is>
          <t xml:space="preserve">Today i woke up and my vision turned black for couple seconds and it came back. Has this happened to anyone?
Does this have to do what i eat in my diet? Ever since ive gotten acid reflux I have been eating less foods since I am afraid that certain foods might trigger my acid reflux. </t>
        </is>
      </c>
      <c r="D131" t="n">
        <v>1</v>
      </c>
      <c r="E131" t="n">
        <v>11</v>
      </c>
      <c r="F131">
        <f>HYPERLINK("https://www.reddit.com/r/GERD/comments/agofm9/has_anyone_felt_this_before/")</f>
        <v/>
      </c>
      <c r="G131" t="inlineStr">
        <is>
          <t>2019-01-16 11:00:43</t>
        </is>
      </c>
      <c r="H131" t="inlineStr"/>
    </row>
    <row r="132">
      <c r="A132" t="inlineStr">
        <is>
          <t>agpzd1</t>
        </is>
      </c>
      <c r="B132" t="inlineStr">
        <is>
          <t>GAS GAS GAAAAAAAAAS!!!!!</t>
        </is>
      </c>
      <c r="C132" t="inlineStr">
        <is>
          <t>That was an initial D reference if you were confused by the title.
Anyway, has anyone else experienced some major gas issues in their abdomen after a really bad heartburn episode? I've been experiencing non-stop bloating for 3 days.
I even remember going to bed, lying on my side with a heat pad on my stomach to try and relieve the crampy feeling from all this gas buildup to no avail. All I felt was more gas building up and just wanted to fall asleep so I wouldn't feel it anymore. 
The problem is that I'm not farting or burping enough... The gas just accumulates and barely any gets released. I took 4 capsules of Gas-X and guess what? Nothing. I've had a normal amount of bowel movements and feel absolutely no relief from this after.
I've never had chronic bloating this long before, but was wondering if anyone here has dealt with his after a bad heartburn. If so, what helped relieve this pain?</t>
        </is>
      </c>
      <c r="D132" t="n">
        <v>1</v>
      </c>
      <c r="E132" t="n">
        <v>2</v>
      </c>
      <c r="F132">
        <f>HYPERLINK("https://www.reddit.com/r/GERD/comments/agpzd1/gas_gas_gaaaaaaaaas/")</f>
        <v/>
      </c>
      <c r="G132" t="inlineStr">
        <is>
          <t>2019-01-16 13:22:33</t>
        </is>
      </c>
      <c r="H132" t="inlineStr"/>
    </row>
    <row r="133">
      <c r="A133" t="inlineStr">
        <is>
          <t>agqmzg</t>
        </is>
      </c>
      <c r="B133" t="inlineStr">
        <is>
          <t>TIF procedure for GERD</t>
        </is>
      </c>
      <c r="C133" t="inlineStr">
        <is>
          <t xml:space="preserve">I had the TIF procedure done for GERD on the 2nd of November and it is working great so far. I am just seeing if anyone else had this procedure done. </t>
        </is>
      </c>
      <c r="D133" t="n">
        <v>1</v>
      </c>
      <c r="E133" t="n">
        <v>1</v>
      </c>
      <c r="F133">
        <f>HYPERLINK("https://www.reddit.com/r/GERD/comments/agqmzg/tif_procedure_for_gerd/")</f>
        <v/>
      </c>
      <c r="G133" t="inlineStr">
        <is>
          <t>2019-01-16 14:21:16</t>
        </is>
      </c>
      <c r="H133" t="inlineStr"/>
    </row>
    <row r="134">
      <c r="A134" t="inlineStr">
        <is>
          <t>agqom2</t>
        </is>
      </c>
      <c r="B134" t="inlineStr">
        <is>
          <t>Breaths reacting with each other?</t>
        </is>
      </c>
      <c r="C134" t="inlineStr">
        <is>
          <t>Do you think it’s possible that the breaths of two persons chemically react with each other? Like when you’re in each other’s proximity and the air that you breathe out while talking mixes? 
I’m asking because some days a lot of the people I’m talking to seem to smell out of the mouth. So I thought chances are that it’s not actually them, but me who has bad breath. And that it’s just that I can’t smell my breath on my own, but I do smell it when it reacts with other people’s breath. 
Well, I’m also paranoid about having bad breath, so I don’t know if I’m imagining things. But my stomach is really bad at the moment, so it’s possible. 
Thoughts?</t>
        </is>
      </c>
      <c r="D134" t="n">
        <v>1</v>
      </c>
      <c r="E134" t="n">
        <v>4</v>
      </c>
      <c r="F134">
        <f>HYPERLINK("https://www.reddit.com/r/GERD/comments/agqom2/breaths_reacting_with_each_other/")</f>
        <v/>
      </c>
      <c r="G134" t="inlineStr">
        <is>
          <t>2019-01-16 14:25:37</t>
        </is>
      </c>
      <c r="H134" t="inlineStr"/>
    </row>
    <row r="135">
      <c r="A135" t="inlineStr">
        <is>
          <t>agr4p1</t>
        </is>
      </c>
      <c r="B135" t="inlineStr">
        <is>
          <t>My attempt to heal GERD/acid reflux naturally with no pills</t>
        </is>
      </c>
      <c r="C135" t="inlineStr">
        <is>
          <t xml:space="preserve">Hi everyone! Been lurking here for a while as I’ve been trying to heal my acid reflux.  For starters, I’ve been suffering with acid reflux for about a year now..  it’s been the same since it began, I usually get a flare up every week and symptoms last for a few days.  I have not taken any pills for this, as I want to do this all naturally and heal it, not just cover up the problem and end up with more serious issues down the road.  This week I’m really taking it all seriously, I’m currently eating a lot more  vegetables and fruit, and staying away from obvious trigger foods..  I don’t drink alcohol ever, I don’t smoke, I don’t drink coffee or any caffeinated tea.  What are some of the natural salutions that work for you guys?  Also has anyone had any luck with celery juicing?      </t>
        </is>
      </c>
      <c r="D135" t="n">
        <v>1</v>
      </c>
      <c r="E135" t="n">
        <v>1</v>
      </c>
      <c r="F135">
        <f>HYPERLINK("https://www.reddit.com/r/GERD/comments/agr4p1/my_attempt_to_heal_gerdacid_reflux_naturally_with/")</f>
        <v/>
      </c>
      <c r="G135" t="inlineStr">
        <is>
          <t>2019-01-16 15:06:40</t>
        </is>
      </c>
      <c r="H135" t="inlineStr"/>
    </row>
    <row r="136">
      <c r="A136" t="inlineStr">
        <is>
          <t>agrx1o</t>
        </is>
      </c>
      <c r="B136" t="inlineStr">
        <is>
          <t>Anybody ever have the lump in their throat feel one sided?</t>
        </is>
      </c>
      <c r="C136" t="inlineStr">
        <is>
          <t>Over the past few weeks I've had a feeling of a lump in my throat combined with dysphagia, but to me it feels concentrated on the left side. I have a meeting with a specialist in two days but I'm terrified it's a tumor or something. I've also been regurgitating food and belching a good bit right after eating. Anybody else had a similar situation?</t>
        </is>
      </c>
      <c r="D136" t="n">
        <v>1</v>
      </c>
      <c r="E136" t="n">
        <v>8</v>
      </c>
      <c r="F136">
        <f>HYPERLINK("https://www.reddit.com/r/GERD/comments/agrx1o/anybody_ever_have_the_lump_in_their_throat_feel/")</f>
        <v/>
      </c>
      <c r="G136" t="inlineStr">
        <is>
          <t>2019-01-16 16:28:10</t>
        </is>
      </c>
      <c r="H136" t="inlineStr"/>
    </row>
    <row r="137">
      <c r="A137" t="inlineStr">
        <is>
          <t>agrxij</t>
        </is>
      </c>
      <c r="B137" t="inlineStr">
        <is>
          <t>People Who've Dealt With GERD - What worked for you? Need help dealing with this.</t>
        </is>
      </c>
      <c r="C137" t="inlineStr">
        <is>
          <t>Hello,
So I think I've been dealing with GERD. Every morning I wake up feeling pretty bad: my body hurts and I feel kind of poisoned or acidic; I feel like a pressure in my throat, like some weird sensation of something going up or something being stuck there. I sometimes also feel a slight burn in the left side of my stomach and I feel a bit nauseous literally all the time.
Tbh, I feel all of these symptoms all day long but they are worse during the morning and when I am in social situations or when I get stressed. They sometimes go away after I eat (if I can eat) and during the night. I barely have an appetite and have to force myself to eat. This is very bad since I've been also dealing with low blood sugar so I often get to the point were I'm dizzy before I eat (very concerning). 
My sleeping/eating schedules are wack. I've felt these symptoms for so long that I kind of live in fear of feeling sick so I can barely go out and socialize so I guess I've developed depression or just apathy towards everything.
This has been going on for more than 1 year. I haven't been to doctors yet.
Just want to know if this sounds like GERD to people who have dealt with it, and if it is, what natural remedies worked for you? Or just what worked for you? What do you recommend I should do?
I'm 29 yo. Sleeping and eating habits are very bad (stay awake until late/eat very small quantities). Don't exercise at all (don't have the energy since I can barely eat). Don't smoke. Don't drink. I am not overweight.</t>
        </is>
      </c>
      <c r="D137" t="n">
        <v>1</v>
      </c>
      <c r="E137" t="n">
        <v>5</v>
      </c>
      <c r="F137">
        <f>HYPERLINK("https://www.reddit.com/r/GERD/comments/agrxij/people_whove_dealt_with_gerd_what_worked_for_you/")</f>
        <v/>
      </c>
      <c r="G137" t="inlineStr">
        <is>
          <t>2019-01-16 16:29:32</t>
        </is>
      </c>
      <c r="H137" t="inlineStr"/>
    </row>
    <row r="138">
      <c r="A138" t="inlineStr">
        <is>
          <t>agsll6</t>
        </is>
      </c>
      <c r="B138" t="inlineStr">
        <is>
          <t>Need input for surgery decision</t>
        </is>
      </c>
      <c r="C138" t="inlineStr">
        <is>
          <t xml:space="preserve">I’m an 18 yr old female and last year in late January/February, I had a severe case of C diff and was hospitalized for a while. I had never had any GI problems before but now I have a hiatal hernia, GERD, IBS, a lot of trouble eating and a handful of other issues . I eat anything and my upper abdomen swells like crazy. I have tons of pain &amp;amp; at this point I’m just dealing w/ it. I even stopped working out because the heart burn and nausea after was killing me. My mom suggested getting surgery to fix the hernia at least. It isn’t a super bad one but is definitely still causing me issues. I honestly hate having to take medications to manage my symptoms and I wish I could just get rid of all my stomach issues. I’m having issues with deciding if surgery is way too rash or if I should just resolve one issue now before it causes more problems in the future. Any opinions? </t>
        </is>
      </c>
      <c r="D138" t="n">
        <v>1</v>
      </c>
      <c r="E138" t="n">
        <v>4</v>
      </c>
      <c r="F138">
        <f>HYPERLINK("https://www.reddit.com/r/GERD/comments/agsll6/need_input_for_surgery_decision/")</f>
        <v/>
      </c>
      <c r="G138" t="inlineStr">
        <is>
          <t>2019-01-16 17:42:35</t>
        </is>
      </c>
      <c r="H138" t="inlineStr"/>
    </row>
    <row r="139">
      <c r="A139" t="inlineStr">
        <is>
          <t>agvxio</t>
        </is>
      </c>
      <c r="B139" t="inlineStr">
        <is>
          <t>GERD and anxiety</t>
        </is>
      </c>
      <c r="C139" t="inlineStr">
        <is>
          <t>Has anyone had GERD-like symptoms mostly caused by anxiety? I used to get heartburn more often than the average person even without this anxiety so I don’t think it’s the sole cause, but for the past few months it’s definitely been a trigger for my acid symptoms(Prilosec 20mg eliminates the bloating/heartburn but I still get congestion, lump in throat, etc.). And it’s food anxiety, so it pretty much happens with everything I eat, barring a few exceptions. These exceptions should be giving me more symptoms(pepperoni pizza for example) but it’s actually worse with a “safe” food if it makes me anxious.  
I have an appointment with a GI next week and I’m not really sure what I’m gonna do if he says to cut out acidic foods/high fat foods. Like, pizza and macaroni and cheese and tacos are some of the few foods I can eat right now thanks to anxiety. :/</t>
        </is>
      </c>
      <c r="D139" t="n">
        <v>1</v>
      </c>
      <c r="E139" t="n">
        <v>15</v>
      </c>
      <c r="F139">
        <f>HYPERLINK("https://www.reddit.com/r/GERD/comments/agvxio/gerd_and_anxiety/")</f>
        <v/>
      </c>
      <c r="G139" t="inlineStr">
        <is>
          <t>2019-01-17 01:04:45</t>
        </is>
      </c>
      <c r="H139" t="inlineStr"/>
    </row>
    <row r="140">
      <c r="A140" t="inlineStr">
        <is>
          <t>agw6pp</t>
        </is>
      </c>
      <c r="B140" t="inlineStr">
        <is>
          <t>Two weeks of hell.</t>
        </is>
      </c>
      <c r="C140" t="inlineStr">
        <is>
          <t xml:space="preserve">I have had really bad Gerd since June and still have it. It’s a lot better since I lost almost 20 pounds, but mostly because of the PIs. Almost two weeks I had to stop taking the PIs for a breath test, and it ends Friday. My heartburn is really bad, but my throat is worse than ever. It burns non stop. I don’t have any acidity sour tastes in my mouth, but I do have a different taste, which makes me want to throw up. My throat is tight still and my food isn’t really going down, not even pills that I take regularly. Is there anything I can do for the burning of my throat? It’s the worst it’s been and I feel the acid destroying my throat. Talking is hard, eating, drinking, sleeping, because of the burning. Thanks. </t>
        </is>
      </c>
      <c r="D140" t="n">
        <v>1</v>
      </c>
      <c r="E140" t="n">
        <v>5</v>
      </c>
      <c r="F140">
        <f>HYPERLINK("https://www.reddit.com/r/GERD/comments/agw6pp/two_weeks_of_hell/")</f>
        <v/>
      </c>
      <c r="G140" t="inlineStr">
        <is>
          <t>2019-01-17 01:47:33</t>
        </is>
      </c>
      <c r="H140" t="inlineStr"/>
    </row>
    <row r="141">
      <c r="A141" t="inlineStr">
        <is>
          <t>agy5go</t>
        </is>
      </c>
      <c r="B141" t="inlineStr">
        <is>
          <t>Cake recipes safe for GERD?</t>
        </is>
      </c>
      <c r="C141" t="inlineStr">
        <is>
          <t xml:space="preserve">Hello,
I'm not sure if this is the right place to post, but I would like to bake a cake for someone who suffers from GERD. Do you have any recipes or suggestions as to what I should make that would be safe for them to eat? Or at the least, any ingredients I should avoid? Thanks in advance. </t>
        </is>
      </c>
      <c r="D141" t="n">
        <v>1</v>
      </c>
      <c r="E141" t="n">
        <v>2</v>
      </c>
      <c r="F141">
        <f>HYPERLINK("https://www.reddit.com/r/GERD/comments/agy5go/cake_recipes_safe_for_gerd/")</f>
        <v/>
      </c>
      <c r="G141" t="inlineStr">
        <is>
          <t>2019-01-17 06:14:07</t>
        </is>
      </c>
      <c r="H141" t="inlineStr"/>
    </row>
    <row r="142">
      <c r="A142" t="inlineStr">
        <is>
          <t>ah2nc4</t>
        </is>
      </c>
      <c r="B142" t="inlineStr">
        <is>
          <t>whats the side effects for lifetime ppi use?</t>
        </is>
      </c>
      <c r="C142" t="inlineStr">
        <is>
          <t>I asked my gastroenterologist if I could taper off of ppi (omeprasole 20mg 1 * a day) and she said I would have to be on them for life or have reflux surgery. She also told me she wouldn’t recommend the surgery since their more risky then taking a pill. Am I destined to have kidney problems later on since I have to take this medicine for life? I’m only 25</t>
        </is>
      </c>
      <c r="D142" t="n">
        <v>1</v>
      </c>
      <c r="E142" t="n">
        <v>13</v>
      </c>
      <c r="F142">
        <f>HYPERLINK("https://www.reddit.com/r/GERD/comments/ah2nc4/whats_the_side_effects_for_lifetime_ppi_use/")</f>
        <v/>
      </c>
      <c r="G142" t="inlineStr">
        <is>
          <t>2019-01-17 13:19:35</t>
        </is>
      </c>
      <c r="H142" t="inlineStr"/>
    </row>
    <row r="143">
      <c r="A143" t="inlineStr">
        <is>
          <t>ah2xti</t>
        </is>
      </c>
      <c r="B143" t="inlineStr">
        <is>
          <t>Houston Doc recommendation?</t>
        </is>
      </c>
      <c r="C143" t="inlineStr">
        <is>
          <t xml:space="preserve">&amp;amp;#x200B;
Been dealing with GERD for over 10+ years and the protonix are no longer working. Just moved to Houston recently and trying to find a good GERD doc. There are a ton of docs here but trying to find a good one. Any personal recommendation would be MOST appreciated. </t>
        </is>
      </c>
      <c r="D143" t="n">
        <v>1</v>
      </c>
      <c r="E143" t="n">
        <v>1</v>
      </c>
      <c r="F143">
        <f>HYPERLINK("https://www.reddit.com/r/GERD/comments/ah2xti/houston_doc_recommendation/")</f>
        <v/>
      </c>
      <c r="G143" t="inlineStr">
        <is>
          <t>2019-01-17 13:44:44</t>
        </is>
      </c>
      <c r="H143" t="inlineStr"/>
    </row>
    <row r="144">
      <c r="A144" t="inlineStr">
        <is>
          <t>ah4cwy</t>
        </is>
      </c>
      <c r="B144" t="inlineStr">
        <is>
          <t>About to embark on getting a diagnosis...</t>
        </is>
      </c>
      <c r="C144" t="inlineStr">
        <is>
          <t>For 3 years have had progressive (and off and on) symptoms of repeated clearing throat, difficulty swallowing, near-constant post nasal drip, food getting stuck in throat, hacking up phlegm, and sore throats especially in the mornings. Lately, it has also been starting to affect my ability to speak without pain. Started taking Gaviscon/Pepto daily but not making enough of a difference for me to believe this will go away. Going to see PCP tomorrow.  
From what I can tell, endoscopy and/or laryngoscopy are the main ways to diagnose GERD, LPR, strictures, Barrets syndrome. Because of my high deductible, I'm not excited about incurring the cost of an endoscopy, but if it's needed it's needed. Any other tips when I talk to my doc?
thanks</t>
        </is>
      </c>
      <c r="D144" t="n">
        <v>1</v>
      </c>
      <c r="E144" t="n">
        <v>9</v>
      </c>
      <c r="F144">
        <f>HYPERLINK("https://www.reddit.com/r/GERD/comments/ah4cwy/about_to_embark_on_getting_a_diagnosis/")</f>
        <v/>
      </c>
      <c r="G144" t="inlineStr">
        <is>
          <t>2019-01-17 16:03:14</t>
        </is>
      </c>
      <c r="H144" t="inlineStr"/>
    </row>
    <row r="145">
      <c r="A145" t="inlineStr">
        <is>
          <t>ah4s4a</t>
        </is>
      </c>
      <c r="B145" t="inlineStr">
        <is>
          <t>Advice on coughing choking GERD</t>
        </is>
      </c>
      <c r="C145" t="inlineStr">
        <is>
          <t>I’m on omeprazole and have been for years. Recently, despite the medication, I awake about 1 hour after falling asleep. I awake with what feels like food particles in my throat that causes more saliva in my throat and choking, coughing, and burning. This seems to be becoming an every night occurrence. I drink seltzer or cream to dislodge particles and eliminate the burning. I cut out tea, sweets, and protein shakes after dinner, but it still happened. Any advice from GERD gurus out there. I have a hiatal hernia since college. Thanks!</t>
        </is>
      </c>
      <c r="D145" t="n">
        <v>1</v>
      </c>
      <c r="E145" t="n">
        <v>4</v>
      </c>
      <c r="F145">
        <f>HYPERLINK("https://www.reddit.com/r/GERD/comments/ah4s4a/advice_on_coughing_choking_gerd/")</f>
        <v/>
      </c>
      <c r="G145" t="inlineStr">
        <is>
          <t>2019-01-17 16:46:44</t>
        </is>
      </c>
      <c r="H145" t="inlineStr"/>
    </row>
    <row r="146">
      <c r="A146" t="inlineStr">
        <is>
          <t>ah6wua</t>
        </is>
      </c>
      <c r="B146" t="inlineStr">
        <is>
          <t>Experience with GERD, Doctor, and Employer? First post, General GERD experience</t>
        </is>
      </c>
      <c r="C146" t="inlineStr">
        <is>
          <t xml:space="preserve">Welp, this was the thing that finally got me to make a Reddit account, ironically enough. Have been reading a lot lately, though. Here goes nothing. Please forgive the large post.
&amp;amp;#x200B;
27 y/o male. I've had an off and on battle with my stomach since about 2015, after college things started, really. I had some acid reflux/stomach issues, and one interesting issue I had was if I ate a large / bad meal near going to bed, I would wake up in the middle of the night and have sort of a"didn't digest right" feeling, and have to vomit. Things got better after I got a different job (was working late in a kitchen, got office job) which allowed me to have a more normal dietary schedule, and I didn't have any issues really, other than the sporadic heartburn after a big burrito every once in a while. My problems now are primarily with reflux/GERD issues, but I've never actually been to a doctor to pursue a treatment plan/diagnosis, until now. I have an appointment set up with a primary care doctor in a week, which for an added twist will be my first visit with this doctor, and the first doctor I've had to choose myself after moving 1,200 miles from home for a new job. Needless to say, I had a hell of a time trying to figure out how to make that decision. After finding a doctor that I \*hope\* seems promising from online reviews and information gathered, I'll be going with a fairly detailed journal of my experience. Here's a short synopsis-
&amp;amp;#x200B;
I took a new job in Denver (hello) in May of 2018. Training lasted until July, at which point I was put on an 11:30-8pm shift. This is when my stomach problems returned. Acid reflux / non-acidic reflux returned around October, after a few months of having to eat dinner at 9pm every night consistently. Started taking 20mg Prilosec in the morning every day around December 1, which helped with the heartburn, but I still have some food come back up sometimes. I've tried to do what I can with eating at work, but it's a perfect storm in that this new job is in a call center, and I'm on the phone pretty much the entire day. No time to eat during the day other than a 30min assigned lunch, which on that shift is around 2pm. So my mealtimes are 2pm and 9pm. Can't jam my face while I'm at my desk as I could get a phone call at any time, and if I eat at night when I get home, i'm essentially forced to stay awake until 1am to try to give time to digest. Around a month ago, I started having a weird nausea / pain in my stomach every morning right when I wake up, that slowly tapers off after an hour or so. Probably a 2/10 on a pain scale, enough to know it's there, like a weird pain/tightness/nausea. Generally don't experience it during the day, but sometimes have it at night if I haven't eaten dinner yet. My job will not give me an earlier shift without a doctors recommendation, I'm looking at another 9 months on the shift before I can apply to any other positions internally which would have normal hours. I have confirmed with a team lead however, that they would give me an earlier shift if I have this recommendation. My essential question is this, and I realize it may be dumb or naive, but as someone with limited medical experience, I am having a really hard time with this.
***Will this be a compelling case for a doctor? Do they care about the backstory? How willing are doctors to write a recommendation for an employer in cases such as this? It's not like I'm asking for Oxycontin or something.***
&amp;amp;#x200B;
I am afraid to go to the Dr. and have them just give me some pills. Even if I have medication, I feel like I will be canceling out any potential good it may do by being forced to have such a late meal consistently every day. I understand this will vary greatly by doctor. But there must be some sort of gameplan created other than just taking more Prilosec, right? If that gameplan involves needing an earlier shift, can a doctor overlook that? Has anyone had an experience with GERD and an employer or workplace? Search didn't turn up much. If I can get an earlier shift, back to eating at normal times, I know that I can mitigate my symptoms hopefully before they progress. I want to form a comprehensive plan to do everything I can to stop this in it's tracks, because my history has shown it only occurs due to dietary restrictions. I also have a high deductible health plan, and would really like to try to get this taken care of without having an endoscopy if possible. If it's necessary it's necessary, but that is another thing on my mind.
&amp;amp;#x200B;
Curious of anyone's thoughts or experiences with GERD, doctors, workplace accommodations, or anything related.
&amp;amp;#x200B;
tl;dr, how willing are doctors to write a recommendation for work.   
Thanks for any insight. </t>
        </is>
      </c>
      <c r="D146" t="n">
        <v>1</v>
      </c>
      <c r="E146" t="n">
        <v>2</v>
      </c>
      <c r="F146">
        <f>HYPERLINK("https://www.reddit.com/r/GERD/comments/ah6wua/experience_with_gerd_doctor_and_employer_first/")</f>
        <v/>
      </c>
      <c r="G146" t="inlineStr">
        <is>
          <t>2019-01-17 20:50:33</t>
        </is>
      </c>
      <c r="H146" t="inlineStr"/>
    </row>
    <row r="147">
      <c r="A147" t="inlineStr">
        <is>
          <t>ah9ter</t>
        </is>
      </c>
      <c r="B147" t="inlineStr">
        <is>
          <t>Sudden Diaghpram spasm, intense pain</t>
        </is>
      </c>
      <c r="C147" t="inlineStr">
        <is>
          <t>Hey, anyone have any experience with this? Yesterday I wanted to stand up from the couch and i got this sudden jolt through my diaghpram which hurt a lot. The pain is still lingering today..
Should I be worried? I've had this before but not so intense like yesterday</t>
        </is>
      </c>
      <c r="D147" t="n">
        <v>1</v>
      </c>
      <c r="E147" t="n">
        <v>2</v>
      </c>
      <c r="F147">
        <f>HYPERLINK("https://www.reddit.com/r/GERD/comments/ah9ter/sudden_diaghpram_spasm_intense_pain/")</f>
        <v/>
      </c>
      <c r="G147" t="inlineStr">
        <is>
          <t>2019-01-18 04:08:11</t>
        </is>
      </c>
      <c r="H147" t="inlineStr"/>
    </row>
    <row r="148">
      <c r="A148" t="inlineStr">
        <is>
          <t>ahadvq</t>
        </is>
      </c>
      <c r="B148" t="inlineStr">
        <is>
          <t>Linx device in south africa ?</t>
        </is>
      </c>
      <c r="C148" t="inlineStr">
        <is>
          <t>Been searching if we have the linx/msad device in south africa ?</t>
        </is>
      </c>
      <c r="D148" t="n">
        <v>1</v>
      </c>
      <c r="E148" t="n">
        <v>0</v>
      </c>
      <c r="F148">
        <f>HYPERLINK("https://www.reddit.com/r/GERD/comments/ahadvq/linx_device_in_south_africa/")</f>
        <v/>
      </c>
      <c r="G148" t="inlineStr">
        <is>
          <t>2019-01-18 05:22:17</t>
        </is>
      </c>
      <c r="H148" t="inlineStr"/>
    </row>
    <row r="149">
      <c r="A149" t="inlineStr">
        <is>
          <t>ahbwl7</t>
        </is>
      </c>
      <c r="B149" t="inlineStr">
        <is>
          <t>Functional dyspepsia relief?</t>
        </is>
      </c>
      <c r="C149" t="inlineStr">
        <is>
          <t>Five years ago I had an ulcer, cause unknown (negative for h pylori, never taken NSAIDs). Ever since then, I have had bouts of intense burning stomach pain that mimics the ulcer but have had multiple endoscopies that show absolutely nothing wrong with my stomach. Despite taking the maximum daily dose of Prilosec I was often in agonizing pain. Eventually I heard about low stomach acid and began taking betaine HCl which was a huge help, and kept me mostly feeling good for about a year and a half.
Eventually I saw a new GI doctor who doctor diagnosed me with functional dyspepsia and had me take 100mg of gabapentin plus Prilosec instead of Betaine HCl, which helped a lot for about a year. Then that stopped working and he switched me to Amitryptiline 25mg and Prilosec, which again helped a lot for about a year. However, I have gotten to the point where absolutely nothing is helping now - the amitriptyline stopped, the gabapentin stopped, the Prilosec stopped and the betaine HCl does nothing as well. I have tried CBD, marijuana, acupuncture, artichoke extract, apple cider vinegar, it feels like everything under the sun. I am in agony, taking every medication I can, and have found no relief. Starting to feel hopeless and depressed. Any suggestions?
&amp;amp;#x200B;
F 28</t>
        </is>
      </c>
      <c r="D149" t="n">
        <v>1</v>
      </c>
      <c r="E149" t="n">
        <v>3</v>
      </c>
      <c r="F149">
        <f>HYPERLINK("https://www.reddit.com/r/GERD/comments/ahbwl7/functional_dyspepsia_relief/")</f>
        <v/>
      </c>
      <c r="G149" t="inlineStr">
        <is>
          <t>2019-01-18 08:03:20</t>
        </is>
      </c>
      <c r="H149" t="inlineStr"/>
    </row>
    <row r="150">
      <c r="A150" t="inlineStr">
        <is>
          <t>aheapx</t>
        </is>
      </c>
      <c r="B150" t="inlineStr">
        <is>
          <t>Weird combination of symptoms - GERD maybe?</t>
        </is>
      </c>
      <c r="C150" t="inlineStr">
        <is>
          <t>I do have a doctor's appointment next Thursday, I was just curious if these sound like GERD. She has talked about the possibility before, but ended up diagnosing me with gastritis last time. 
Some things have changed this time around, however, and it's just a really weird combination of symptoms. 
Currently, it is:
Nausea  
Dry, scratchy throat  
Increased saliva/thickened saliva near the back of my tongue (annoying and gross)  
Some acid reflux symptoms like the bile/burning taste in back of throat  
Weird burning sensation on side of tongue (could be totally unrelated)
I have some heartburn, but that part isn't too severe. It's the other weirdness I am curious about. I also get this heavy/cramping feeling in my upper abdomen when I eat, which is when I started seeing her for gastritis. I also get upper abdominal bloating, but that could also be unrelated.
This morning I got a lot of weird symptoms all happen after having just 1 cup of coffee with my protein shake. It's the chocolate Evolve kind, so it's dairy-free, but flavored with chocolate. Not sure if that's enough to trigger anything.
&amp;amp;#x200B;</t>
        </is>
      </c>
      <c r="D150" t="n">
        <v>1</v>
      </c>
      <c r="E150" t="n">
        <v>1</v>
      </c>
      <c r="F150">
        <f>HYPERLINK("https://www.reddit.com/r/GERD/comments/aheapx/weird_combination_of_symptoms_gerd_maybe/")</f>
        <v/>
      </c>
      <c r="G150" t="inlineStr">
        <is>
          <t>2019-01-18 11:54:14</t>
        </is>
      </c>
      <c r="H150" t="inlineStr"/>
    </row>
    <row r="151">
      <c r="A151" t="inlineStr">
        <is>
          <t>ahh7hf</t>
        </is>
      </c>
      <c r="B151" t="inlineStr">
        <is>
          <t>How to stop acid reflux coughing while speaking</t>
        </is>
      </c>
      <c r="C151" t="inlineStr">
        <is>
          <t>Tums, Rolaids,Maalox, what stops coughing best when I have to speak?????</t>
        </is>
      </c>
      <c r="D151" t="n">
        <v>1</v>
      </c>
      <c r="E151" t="n">
        <v>6</v>
      </c>
      <c r="F151">
        <f>HYPERLINK("https://www.reddit.com/r/GERD/comments/ahh7hf/how_to_stop_acid_reflux_coughing_while_speaking/")</f>
        <v/>
      </c>
      <c r="G151" t="inlineStr">
        <is>
          <t>2019-01-18 17:03:30</t>
        </is>
      </c>
      <c r="H151" t="inlineStr"/>
    </row>
    <row r="152">
      <c r="A152" t="inlineStr">
        <is>
          <t>ahjlti</t>
        </is>
      </c>
      <c r="B152" t="inlineStr">
        <is>
          <t>Help?</t>
        </is>
      </c>
      <c r="C152" t="inlineStr">
        <is>
          <t>My mother refuses to take me to the doctor to get me checked for GERD. I have all the symptoms such as indigestionx regurgitation, nausea, heartbern, etc. I don't have the bloody stools or vomit though. Any help? P.S I'm also only 13... I'm capable of taking care of myself though...</t>
        </is>
      </c>
      <c r="D152" t="n">
        <v>1</v>
      </c>
      <c r="E152" t="n">
        <v>6</v>
      </c>
      <c r="F152">
        <f>HYPERLINK("https://www.reddit.com/r/GERD/comments/ahjlti/help/")</f>
        <v/>
      </c>
      <c r="G152" t="inlineStr">
        <is>
          <t>2019-01-18 22:22:16</t>
        </is>
      </c>
      <c r="H152" t="inlineStr"/>
    </row>
    <row r="153">
      <c r="A153" t="inlineStr">
        <is>
          <t>ahpx3r</t>
        </is>
      </c>
      <c r="B153" t="inlineStr">
        <is>
          <t>heartburn HELP ME</t>
        </is>
      </c>
      <c r="C153" t="inlineStr">
        <is>
          <t xml:space="preserve">i have never once had an issue with GERD. i have IBS so normally my symptoms include diarrhea, abdominal cramps, etc. i currently have really
terrible heartburn and i’m concerned and wondering why this is happening. i’m in a lot of pain, i feel like i need to puke but i cant, and i don’t what to do to get rid of it.
i took tums and an antiacid and nothing. </t>
        </is>
      </c>
      <c r="D153" t="n">
        <v>1</v>
      </c>
      <c r="E153" t="n">
        <v>10</v>
      </c>
      <c r="F153">
        <f>HYPERLINK("https://www.reddit.com/r/GERD/comments/ahpx3r/heartburn_help_me/")</f>
        <v/>
      </c>
      <c r="G153" t="inlineStr">
        <is>
          <t>2019-01-19 12:31:20</t>
        </is>
      </c>
      <c r="H153" t="inlineStr"/>
    </row>
    <row r="154">
      <c r="A154" t="inlineStr">
        <is>
          <t>ahyvnt</t>
        </is>
      </c>
      <c r="B154" t="inlineStr">
        <is>
          <t>Anyone else here have chest symptoms with LPR, or throat symptoms with GERD?</t>
        </is>
      </c>
      <c r="C154" t="inlineStr">
        <is>
          <t>Hi there,
I'm seeing my PCP tomorrow to get some clarity on what's going on with me. In the meantime, I'm wondering if any of you have also had chest tightness/burning with LPR, or globus sensation/excess mucus in the throat from GERD. Lately my reflux symptoms have been more LPR like (soreness in throat after eating certain foods, a feeling like something in the throat is scratched or scarred when swallowing certain foods, throat mucus in the morning, or mild laryngitis after talking for an extended period of time) but this all began with a feeling I had some excess mucus in my chest and resultant burning pain/tightness. Took PPIs for two weeks; that seemed to help on some days but not others. Trying to suss out my triggers as well. 
Anyone else have this?</t>
        </is>
      </c>
      <c r="D154" t="n">
        <v>1</v>
      </c>
      <c r="E154" t="n">
        <v>5</v>
      </c>
      <c r="F154">
        <f>HYPERLINK("https://www.reddit.com/r/GERD/comments/ahyvnt/anyone_else_here_have_chest_symptoms_with_lpr_or/")</f>
        <v/>
      </c>
      <c r="G154" t="inlineStr">
        <is>
          <t>2019-01-20 08:04:12</t>
        </is>
      </c>
      <c r="H154" t="inlineStr"/>
    </row>
    <row r="155">
      <c r="A155" t="inlineStr">
        <is>
          <t>ahyyy2</t>
        </is>
      </c>
      <c r="B155" t="inlineStr">
        <is>
          <t>Reflux Band keeps sliding off to the side</t>
        </is>
      </c>
      <c r="C155" t="inlineStr">
        <is>
          <t xml:space="preserve">I bought a reflux band since most of my problems seem to stem from reflux in my throat, and I’ve found that if it happens overnight, the following day will be worse for it. 
I’ve been using it for 4 nights now. Overall, I haven’t found it particularly uncomfortable. My main problem is that I’ve been waking up several times throughout the night to find it has slid off to one side or another and I’ve started getting reflux in my throat. 
Has anyone else experienced this? Any recommendations for how to get the most of the band? I’ll keep trying it for another week or two but so far it doesn’t seem to really be doing much. </t>
        </is>
      </c>
      <c r="D155" t="n">
        <v>1</v>
      </c>
      <c r="E155" t="n">
        <v>12</v>
      </c>
      <c r="F155">
        <f>HYPERLINK("https://www.reddit.com/r/GERD/comments/ahyyy2/reflux_band_keeps_sliding_off_to_the_side/")</f>
        <v/>
      </c>
      <c r="G155" t="inlineStr">
        <is>
          <t>2019-01-20 08:14:07</t>
        </is>
      </c>
      <c r="H155" t="inlineStr"/>
    </row>
    <row r="156">
      <c r="A156" t="inlineStr">
        <is>
          <t>ai1p3f</t>
        </is>
      </c>
      <c r="B156" t="inlineStr">
        <is>
          <t>Does Anyone Else Feel Hunger Pains After Eating?</t>
        </is>
      </c>
      <c r="C156" t="inlineStr">
        <is>
          <t>I was recently diagnosed with both IBS and GERD. Lately I have noticed that after eating I will experience hunger pains right below my ribs. I know I’m not hungry as I just ate. Has anyone else experienced this or have any advice on how to stop it?</t>
        </is>
      </c>
      <c r="D156" t="n">
        <v>1</v>
      </c>
      <c r="E156" t="n">
        <v>2</v>
      </c>
      <c r="F156">
        <f>HYPERLINK("https://www.reddit.com/r/GERD/comments/ai1p3f/does_anyone_else_feel_hunger_pains_after_eating/")</f>
        <v/>
      </c>
      <c r="G156" t="inlineStr">
        <is>
          <t>2019-01-20 12:05:31</t>
        </is>
      </c>
      <c r="H156" t="inlineStr"/>
    </row>
    <row r="157">
      <c r="A157" t="inlineStr">
        <is>
          <t>ai37n3</t>
        </is>
      </c>
      <c r="B157" t="inlineStr">
        <is>
          <t>Anyone else have a extreme panic attack type of episode?</t>
        </is>
      </c>
      <c r="C157" t="inlineStr">
        <is>
          <t>I recently was rushed to the hospital because I couldn't breath, felt so light headed that I couldn't function, and had a VERY fast heart rate.
I was originally diagnosed with PE but after they've seen how small my "PE" was and heard the other symptoms I've been having for a while, They've decided it's LPR.
 Has anyone had a similar story to this? Just hoping I'm not a lone wolf..</t>
        </is>
      </c>
      <c r="D157" t="n">
        <v>1</v>
      </c>
      <c r="E157" t="n">
        <v>1</v>
      </c>
      <c r="F157">
        <f>HYPERLINK("https://www.reddit.com/r/GERD/comments/ai37n3/anyone_else_have_a_extreme_panic_attack_type_of/")</f>
        <v/>
      </c>
      <c r="G157" t="inlineStr">
        <is>
          <t>2019-01-20 14:31:38</t>
        </is>
      </c>
      <c r="H157" t="inlineStr"/>
    </row>
    <row r="158">
      <c r="A158" t="inlineStr">
        <is>
          <t>ai5luu</t>
        </is>
      </c>
      <c r="B158" t="inlineStr">
        <is>
          <t>Does anyone else have peeling lips?</t>
        </is>
      </c>
      <c r="C158" t="inlineStr">
        <is>
          <t>My lips seem to be in a constant state of shedding. They shed a layer every couple of days and constant care with vaseline doesnt seem to solve the problem.</t>
        </is>
      </c>
      <c r="D158" t="n">
        <v>1</v>
      </c>
      <c r="E158" t="n">
        <v>11</v>
      </c>
      <c r="F158">
        <f>HYPERLINK("https://www.reddit.com/r/GERD/comments/ai5luu/does_anyone_else_have_peeling_lips/")</f>
        <v/>
      </c>
      <c r="G158" t="inlineStr">
        <is>
          <t>2019-01-20 18:53:31</t>
        </is>
      </c>
      <c r="H158" t="inlineStr"/>
    </row>
    <row r="159">
      <c r="A159" t="inlineStr">
        <is>
          <t>ai7wcs</t>
        </is>
      </c>
      <c r="B159" t="inlineStr">
        <is>
          <t>Tonights gerd and insomnia are sponsored by taco Bell</t>
        </is>
      </c>
      <c r="C159" t="inlineStr">
        <is>
          <t>Taco Bell, most of our customers are on meth!</t>
        </is>
      </c>
      <c r="D159" t="n">
        <v>1</v>
      </c>
      <c r="E159" t="n">
        <v>4</v>
      </c>
      <c r="F159">
        <f>HYPERLINK("https://www.reddit.com/r/GERD/comments/ai7wcs/tonights_gerd_and_insomnia_are_sponsored_by_taco/")</f>
        <v/>
      </c>
      <c r="G159" t="inlineStr">
        <is>
          <t>2019-01-20 23:46:05</t>
        </is>
      </c>
      <c r="H159" t="inlineStr"/>
    </row>
    <row r="160">
      <c r="A160" t="inlineStr">
        <is>
          <t>aiahdr</t>
        </is>
      </c>
      <c r="B160" t="inlineStr">
        <is>
          <t>Any success going gluten free?</t>
        </is>
      </c>
      <c r="C160" t="inlineStr">
        <is>
          <t xml:space="preserve">I’ve been dealing with GERD for a while now, and this year it’s really making its impact on my throat. Vocal cord damage, potential vocal cord paralysis (as noted by a CT scan).
I got Dr. Koufman’s book and I’ve done the induction diet, currently sticking with the induction diet and easing back into the maintenance diet. I have found, though, that bread seems to be one of my triggers- so I plan to go gluten free for a bit to see if that helps.
Has anybody else done gluten free? Did you see any change in your GERD symptoms? </t>
        </is>
      </c>
      <c r="D160" t="n">
        <v>1</v>
      </c>
      <c r="E160" t="n">
        <v>7</v>
      </c>
      <c r="F160">
        <f>HYPERLINK("https://www.reddit.com/r/GERD/comments/aiahdr/any_success_going_gluten_free/")</f>
        <v/>
      </c>
      <c r="G160" t="inlineStr">
        <is>
          <t>2019-01-21 06:17:17</t>
        </is>
      </c>
      <c r="H160" t="inlineStr"/>
    </row>
    <row r="161">
      <c r="A161" t="inlineStr">
        <is>
          <t>aif2f8</t>
        </is>
      </c>
      <c r="B161" t="inlineStr">
        <is>
          <t>Working for Me: Intermittent Fasting / Time Restricted Eating</t>
        </is>
      </c>
      <c r="C161" t="inlineStr">
        <is>
          <t xml:space="preserve">I've had LPR for 3 years now and I'm excited to share one of the few things I'm finding actually works to alleviate symptoms. 
I restrict all my eating to an 8 hour window each day. Food goes in my mouth at 9am and stops at 5pm. According to Dr. Rhonda Patrick, even drinks like coffee and herbal tea contain compounds that must be broken down by the digestive system. So the *only* thing that I consume during my fast period is water. 
Sticking to this restricted eating window has other benefits as well: better sleep, more energy, more controlled appetite, etc. In addition to this, I try to avoid carbs, especially grains. That is working well for me too, as I suspect gut bacteria fermenting starches and sugars has something to do with my LPR as well.
&amp;amp;#x200B;
Hope this helps. Curious to see if anyone else has had success with this as well. </t>
        </is>
      </c>
      <c r="D161" t="n">
        <v>1</v>
      </c>
      <c r="E161" t="n">
        <v>10</v>
      </c>
      <c r="F161">
        <f>HYPERLINK("https://www.reddit.com/r/GERD/comments/aif2f8/working_for_me_intermittent_fasting_time/")</f>
        <v/>
      </c>
      <c r="G161" t="inlineStr">
        <is>
          <t>2019-01-21 13:18:40</t>
        </is>
      </c>
      <c r="H161" t="inlineStr"/>
    </row>
    <row r="162">
      <c r="A162" t="inlineStr">
        <is>
          <t>aih9sf</t>
        </is>
      </c>
      <c r="B162" t="inlineStr">
        <is>
          <t>Does this sound like gerd?</t>
        </is>
      </c>
      <c r="C162" t="inlineStr">
        <is>
          <t>For the last few months I have been getting some weird chest pain and belching more then I ever did before. Pretty much anything I eat I almost immediately belch. I have to admit the chest pressure relieves itself for a bit right after a belch. I have noticed recently that sometimes I can get this twitching/flutter sensation right over my sternum. It kind of freaks me out for a few seconds then goes away. Are these just muscle spasms or acid reflux? My anxiety in my says heart issues. I let my doc know and she did an ekg on the spot and nothing came up. But at this time I did not have the feeling. She ordered an Echocardiogram that came back fine as well. Should I not be concerned about it being a heart issue and more of an acid reflux issue? I am at the point where I get nervous to overexert myself thinking I am going to have a heart attack or something. My heart rate does seem higher then it normally was working out a year ago but I am more out of shape. Does the relief upon belching clearly mean its Acid reflux?</t>
        </is>
      </c>
      <c r="D162" t="n">
        <v>1</v>
      </c>
      <c r="E162" t="n">
        <v>2</v>
      </c>
      <c r="F162">
        <f>HYPERLINK("https://www.reddit.com/r/GERD/comments/aih9sf/does_this_sound_like_gerd/")</f>
        <v/>
      </c>
      <c r="G162" t="inlineStr">
        <is>
          <t>2019-01-21 16:54:48</t>
        </is>
      </c>
      <c r="H162" t="inlineStr"/>
    </row>
    <row r="163">
      <c r="A163" t="inlineStr">
        <is>
          <t>aij10n</t>
        </is>
      </c>
      <c r="B163" t="inlineStr">
        <is>
          <t>Failed manometry testing?</t>
        </is>
      </c>
      <c r="C163" t="inlineStr">
        <is>
          <t xml:space="preserve">I went in for manometry testing a few months ago but due to having very small nasal passages, my GI couldn’t even get the tube into my throat and we had to stop the procedure. Usually when I get sinus scopes they use the pediatric scope, but my dr told me that manometry is calibrated to specific pressures based on age so he couldn’t use the pediatric tube. 
Has anyone else had this happen to them? And if so, was there anyway to do the test differently so it could be completed? 
I am likely at the point where surgery is going to be my next step but I cannot get surgery without a completed manometry test so I’m not sure what to do at this point! Really just trying to avoid esophageal cancer here and be able to eat somewhat normally again. Thanks! </t>
        </is>
      </c>
      <c r="D163" t="n">
        <v>1</v>
      </c>
      <c r="E163" t="n">
        <v>4</v>
      </c>
      <c r="F163">
        <f>HYPERLINK("https://www.reddit.com/r/GERD/comments/aij10n/failed_manometry_testing/")</f>
        <v/>
      </c>
      <c r="G163" t="inlineStr">
        <is>
          <t>2019-01-21 20:14:40</t>
        </is>
      </c>
      <c r="H163" t="inlineStr"/>
    </row>
    <row r="164">
      <c r="A164" t="inlineStr">
        <is>
          <t>ain4ks</t>
        </is>
      </c>
      <c r="B164" t="inlineStr">
        <is>
          <t>Interesting</t>
        </is>
      </c>
      <c r="C164" t="inlineStr">
        <is>
          <t xml:space="preserve">I did get diagnosed and am taking 40mg omepraloze. Does GERD cause any pain on left side as opposed to center?. A few inches below left pectoral?  Sometimes I have fast spasms out of nowhere and a dull feeling. 
If so, is there any tips ?  I have tried ginger tea and try to drink it daily. </t>
        </is>
      </c>
      <c r="D164" t="n">
        <v>1</v>
      </c>
      <c r="E164" t="n">
        <v>11</v>
      </c>
      <c r="F164">
        <f>HYPERLINK("https://www.reddit.com/r/GERD/comments/ain4ks/interesting/")</f>
        <v/>
      </c>
      <c r="G164" t="inlineStr">
        <is>
          <t>2019-01-22 06:04:39</t>
        </is>
      </c>
      <c r="H164" t="inlineStr"/>
    </row>
    <row r="165">
      <c r="A165" t="inlineStr">
        <is>
          <t>aip3l7</t>
        </is>
      </c>
      <c r="B165" t="inlineStr">
        <is>
          <t>Celery Juice Craze</t>
        </is>
      </c>
      <c r="C165" t="inlineStr">
        <is>
          <t xml:space="preserve">Someone here (forgive me, I forgot who it was) mentioned in a thread that they drink celery juice on an empty stomach every morning before eating. They explained some benefits and then I looked it up and got excited. 
I told my co-worker about it since she is super into health and fitness. She told me that this whole "celery juice trend" is a bunch of BS and that "celery is basically water and fiber and that's it...there's no real reason to drink celery juice for magical powers. it's great if you want to have some veggie juice to boost your micronutrient intake but otherwise, it's just celebrity/marketing garbage."
So that was kind of a buzzkill because I borrowed my mom's juicer (who also drinks celery juice) and was all ready. But if it is just some hyped up trend then I don't know...
For those who have drank celery juice regularly, what do you think? Have you noticed a difference/has it helped your upper GI issues? </t>
        </is>
      </c>
      <c r="D165" t="n">
        <v>1</v>
      </c>
      <c r="E165" t="n">
        <v>26</v>
      </c>
      <c r="F165">
        <f>HYPERLINK("https://www.reddit.com/r/GERD/comments/aip3l7/celery_juice_craze/")</f>
        <v/>
      </c>
      <c r="G165" t="inlineStr">
        <is>
          <t>2019-01-22 09:24:55</t>
        </is>
      </c>
      <c r="H165" t="inlineStr"/>
    </row>
    <row r="166">
      <c r="A166" t="inlineStr">
        <is>
          <t>aipl62</t>
        </is>
      </c>
      <c r="B166" t="inlineStr">
        <is>
          <t>Question about endoscopy</t>
        </is>
      </c>
      <c r="C166" t="inlineStr">
        <is>
          <t xml:space="preserve">I have an endoscopy scheduled next month.   I've had two prior ones, most recent probably 5 years ago.    GI doctor said notes show I had high tolerance to sedatives in past procedures and required high dose so he is recommending anesthesia.     Does this mean propofol?  Is this safe? </t>
        </is>
      </c>
      <c r="D166" t="n">
        <v>1</v>
      </c>
      <c r="E166" t="n">
        <v>5</v>
      </c>
      <c r="F166">
        <f>HYPERLINK("https://www.reddit.com/r/GERD/comments/aipl62/question_about_endoscopy/")</f>
        <v/>
      </c>
      <c r="G166" t="inlineStr">
        <is>
          <t>2019-01-22 10:10:05</t>
        </is>
      </c>
      <c r="H166" t="inlineStr"/>
    </row>
    <row r="167">
      <c r="A167" t="inlineStr">
        <is>
          <t>aira1y</t>
        </is>
      </c>
      <c r="B167" t="inlineStr">
        <is>
          <t>No omeprazole before test</t>
        </is>
      </c>
      <c r="C167" t="inlineStr">
        <is>
          <t>No meds for a week before the 24 test. This is brutal....</t>
        </is>
      </c>
      <c r="D167" t="n">
        <v>1</v>
      </c>
      <c r="E167" t="n">
        <v>13</v>
      </c>
      <c r="F167">
        <f>HYPERLINK("https://www.reddit.com/r/GERD/comments/aira1y/no_omeprazole_before_test/")</f>
        <v/>
      </c>
      <c r="G167" t="inlineStr">
        <is>
          <t>2019-01-22 12:47:41</t>
        </is>
      </c>
      <c r="H167" t="inlineStr"/>
    </row>
    <row r="168">
      <c r="A168" t="inlineStr">
        <is>
          <t>aiscds</t>
        </is>
      </c>
      <c r="B168" t="inlineStr">
        <is>
          <t>Constant burning in mid throat.</t>
        </is>
      </c>
      <c r="C168" t="inlineStr">
        <is>
          <t>I know I've made a similar post before, but I've had basically non stop burning and a slushy feeling all the way up and down my throat 24/7 for the past few weeks.
I feel regurgitation every ten or so minutes and my symptoms have seemed to only gotten worse since my.last endoscopy and dialation in December.
Is there anything I can do??</t>
        </is>
      </c>
      <c r="D168" t="n">
        <v>1</v>
      </c>
      <c r="E168" t="n">
        <v>6</v>
      </c>
      <c r="F168">
        <f>HYPERLINK("https://www.reddit.com/r/GERD/comments/aiscds/constant_burning_in_mid_throat/")</f>
        <v/>
      </c>
      <c r="G168" t="inlineStr">
        <is>
          <t>2019-01-22 14:18:18</t>
        </is>
      </c>
      <c r="H168" t="inlineStr"/>
    </row>
    <row r="169">
      <c r="A169" t="inlineStr">
        <is>
          <t>aiwfng</t>
        </is>
      </c>
      <c r="B169" t="inlineStr">
        <is>
          <t>Does Choline (CDP Choline , Alpha GPC) increase GERD Symptoms for you?</t>
        </is>
      </c>
      <c r="C169" t="inlineStr">
        <is>
          <t>For those of you who suppliment for nootropic reasons. I stopped taking Alpha GPC in large amounts because of this reason: [https://www.livecortex.com/heres-why-you-have-acid-reflux-with-nootropics/](https://www.livecortex.com/heres-why-you-have-acid-reflux-with-nootropics/)  
Was wondering if anyone had experiences with this.</t>
        </is>
      </c>
      <c r="D169" t="n">
        <v>1</v>
      </c>
      <c r="E169" t="n">
        <v>1</v>
      </c>
      <c r="F169">
        <f>HYPERLINK("https://www.reddit.com/r/GERD/comments/aiwfng/does_choline_cdp_choline_alpha_gpc_increase_gerd/")</f>
        <v/>
      </c>
      <c r="G169" t="inlineStr">
        <is>
          <t>2019-01-22 21:32:54</t>
        </is>
      </c>
      <c r="H169" t="inlineStr"/>
    </row>
    <row r="170">
      <c r="A170" t="inlineStr">
        <is>
          <t>aj1exz</t>
        </is>
      </c>
      <c r="B170" t="inlineStr">
        <is>
          <t>GERD &amp;amp; the Keto Diet: Does it work for you? Looking to start the diet, however I am looking for opinions/experiences from the GERD reddit community.</t>
        </is>
      </c>
      <c r="C170" t="inlineStr">
        <is>
          <t>To add, I know most of my GERD triggers (coffee, tomato based products, chocolate, mint), but haven't really noticed fats triggering my GERD. I need to lose weight. Some of my friends have found success in the Keto Diet (they dont have GERD), so I am looking to give it a shot. I am currently on the generic version of Dexilant.
Does it work for you? Does it not?
I also haven't seen a lot of posts with regards to these two subjects (except for one, but did not have enough responses). So Mods, please don't delete 🙂
Thanks in advance ya'll. I really appreciate you. Enjoy the rest of your day.</t>
        </is>
      </c>
      <c r="D170" t="n">
        <v>1</v>
      </c>
      <c r="E170" t="n">
        <v>4</v>
      </c>
      <c r="F170">
        <f>HYPERLINK("https://www.reddit.com/r/GERD/comments/aj1exz/gerd_the_keto_diet_does_it_work_for_you_looking/")</f>
        <v/>
      </c>
      <c r="G170" t="inlineStr">
        <is>
          <t>2019-01-23 08:27:11</t>
        </is>
      </c>
      <c r="H170" t="inlineStr"/>
    </row>
    <row r="171">
      <c r="A171" t="inlineStr">
        <is>
          <t>aj1vz6</t>
        </is>
      </c>
      <c r="B171" t="inlineStr">
        <is>
          <t>"Stick" food getting stuck in chest with a ton of burping accompanying it. GERD, or just a shitty esophagus?</t>
        </is>
      </c>
      <c r="C171" t="inlineStr">
        <is>
          <t>I'm most likely going to get it checked out, but over the past few years I've noticed that when I eat things like Tuna Fish, or Cream Cheese, or Potatoes, that if I don't take small mouthfuls and chew it - it gets stuck in my chest.
&amp;amp;#x200B;
But what it feels like is that there's a burp trying to come up at the same time as the food is going down. I  have no idea if that's true or not.  I'll usually have a strong urge to burp, the burp will get stuck and it'll feel like i'm about to regurgitate the food.
&amp;amp;#x200B;
After 10-15 seconds or so I'll feel the food "slide" down, and then I'll have a *massive* burp.  
&amp;amp;#x200B;
I'll feel fine afterwards.
&amp;amp;#x200B;
It's only with those aforementioned foods.  So I don't know if I'm just not chewing them/eating them right, or if its something more serious.  What kind of doctor should I see?</t>
        </is>
      </c>
      <c r="D171" t="n">
        <v>1</v>
      </c>
      <c r="E171" t="n">
        <v>9</v>
      </c>
      <c r="F171">
        <f>HYPERLINK("https://www.reddit.com/r/GERD/comments/aj1vz6/stick_food_getting_stuck_in_chest_with_a_ton_of/")</f>
        <v/>
      </c>
      <c r="G171" t="inlineStr">
        <is>
          <t>2019-01-23 09:09:33</t>
        </is>
      </c>
      <c r="H171" t="inlineStr"/>
    </row>
    <row r="172">
      <c r="A172" t="inlineStr">
        <is>
          <t>aj37yx</t>
        </is>
      </c>
      <c r="B172" t="inlineStr">
        <is>
          <t>Flu like symptoms</t>
        </is>
      </c>
      <c r="C172" t="inlineStr">
        <is>
          <t>I am currently being treated for GERD and ibs with omeprazol. My questions is if this sounds like anyone else's experience with GERD. I do not have any heart burn symptoms, but I do have cold like symptoms that flair occasionally. When it flairs (about once a week for 3 days) I am incredibly tired, have pressure in my ears, and have a sore throat and headache. The doctors guess is this is caused by inflamation from GERD. have any of you had similar symptoms? How did you treat them? Thank you</t>
        </is>
      </c>
      <c r="D172" t="n">
        <v>1</v>
      </c>
      <c r="E172" t="n">
        <v>8</v>
      </c>
      <c r="F172">
        <f>HYPERLINK("https://www.reddit.com/r/GERD/comments/aj37yx/flu_like_symptoms/")</f>
        <v/>
      </c>
      <c r="G172" t="inlineStr">
        <is>
          <t>2019-01-23 11:10:13</t>
        </is>
      </c>
      <c r="H172" t="inlineStr"/>
    </row>
    <row r="173">
      <c r="A173" t="inlineStr">
        <is>
          <t>aj4l5n</t>
        </is>
      </c>
      <c r="B173" t="inlineStr">
        <is>
          <t>Nissen Fundoplication: How I got rid of my acid reflux</t>
        </is>
      </c>
      <c r="C173" t="inlineStr">
        <is>
          <t>I dealt with acid reflux for more than a decade, and it ultimately got so bad that even the strongest medications, tilting the bed/laying under pillow wedges, and going hours without food/drink before bed, did little-to-nothing to prevent me from waking up with acid up in my throat, lungs, and even my mouth.
So in October 2017, I underwent a robotically assisted laparoscopic Nissen Fundoplication and hiatal hernia repair, in which they pushed the hiatal hernia back down into my stomach, then wrapped the top of my stomach around itself and stapled it together, which keeps food and liquids down in my stomach where they belong.
Almost 16 months later, and I haven't had a single episode of acid reflux since, haven't had to take any pills or Tums, and I no longer have that 24/7 burning sensation in my chest that feels exactly like a heart attack.
Hardest parts were the [liquid diet](https://www.upmc.com/-/media/upmc/patients-visitors/education/unique-pdfs/dietaftrnissen.pdf) for the first couple of weeks post-op, then soft foods only for another 3-4 weeks, but I'm basically eating whatever I want now, as long as I eat smaller portions (the volume of my stomach is significantly smaller than it was before the surgery) and chewchewchew until the food is liquefied before I swallow anything. Also, soft drinks are out of the questions, as I can't make myself burp, so the gas from the carbonation gets stuck, builds up, and can get super uncomfortable. All gas comes out as farts now (my partner hates it, but loves not being woken up at night), and I can't vomit either, but it's totally worth it. I take Simethicone (for gas) and Zofran (for nausea, because I cannot vomit without risking destroying the wrap) with me everywhere I go, just in case.
The tests you'll go through to determine if you're a good candidate for the surgery are rough, but you'll get through them. One is a probe they shove into your nose and down into your esophagus/stomach, and then they'll have you swallow/drink a bunch to measure the strength of your stomach sphincter. The other test involves a device they implant into your stomach that measures the acid levels for a 24-hour period. You push a little button on this wireless device whenever you feel acid building up, and it then takes a measurement and records the data. Both suck, but are worth the effort to make sure it'll work well in the long run. That second test can also determine if you'll get a full wrap (Nissen) or partial wrap (Toupet).
But other than soft drinks, I haven't found a single thing I can't eat or drink. Burgers, pizza, beer, liquor, sandwiches: It's all good as long as I go slow and watch my portion sizes. Behavior-wise, I avoid lifting/pushing/pulling anything more than 50 lbs., as doing so is one of the biggest causes of destroying the wrap. Better safe than sorry, and it's better for my knees and back anyway. My main workouts are yoga, which is great, and has really helped me build up my core to protect the wrap.  
My single-biggest piece of advice is to find a surgeon that is a \*master\* at this procedure, and has done it hundreds/thousands of times. This isn't something you want to put in the hands of just any surgeon. When you're looking for a surgeon, don't be afraid to say no and then move onto the next candidate. If you need help identifying excellent surgeons and/or want a bunch of additional information, check out [this](https://www.facebook.com/groups/NissenFundoplication/?ref=br_rs) and [this](https://www.facebook.com/groups/948922121821790/) Facebook group. They both have a bunch of information that helped me prepare for the procedure.
If you have bad acid reflux, find yourself a surgeon who's done lots of these, take the tests, and get it done. My only regret is that I didn't do it years ago. I'm sure I forgot a whole bunch of things I wanted to mention, so let me know if there are any questions I can answer.</t>
        </is>
      </c>
      <c r="D173" t="n">
        <v>1</v>
      </c>
      <c r="E173" t="n">
        <v>12</v>
      </c>
      <c r="F173">
        <f>HYPERLINK("https://www.reddit.com/r/GERD/comments/aj4l5n/nissen_fundoplication_how_i_got_rid_of_my_acid/")</f>
        <v/>
      </c>
      <c r="G173" t="inlineStr">
        <is>
          <t>2019-01-23 13:13:33</t>
        </is>
      </c>
      <c r="H173" t="inlineStr"/>
    </row>
    <row r="174">
      <c r="A174" t="inlineStr">
        <is>
          <t>aj5kbu</t>
        </is>
      </c>
      <c r="B174" t="inlineStr">
        <is>
          <t>GERD Symptoms and PPIs Ineffective</t>
        </is>
      </c>
      <c r="C174" t="inlineStr">
        <is>
          <t>I first started experiencing GERD like symptoms last March. Primarily, just upper abdominal burning. I took antacids for a week and then the burning sensation disappeared. Fast Forward to 4 weeks ago when I had a nasty cold (Cough/Congestion) which I moronically just treated with dayquil. About a week after those symptoms subsided the GERD symptoms came back in full force. Now I have constant pressure in upper abdomen right below my sternum, and when i say constant, I mean all day, whether thats standing or sitting. I've also felt a lump in my throat although I'm not experiencing much difficulty getting food down. This only tends to effect me in between meals. Heartburn really hasn't been prominent so I'm wondering why this pressure is sitting in my upper abdomen. 
&amp;amp;#x200B;
My PCP diagnosed me with GERD and I also had a Barium Swallow which came back normal. I've been taking PPI's for about 3-4 weeks and have shown no improvements in regard to symptoms. I was hesitant to reach out but my anxiety is through the roof (wondering if thats making symptoms worse) so wanted to see if anyone can relate while I wait to get in with a GI.
&amp;amp;#x200B;
Thanks!
&amp;amp;#x200B;</t>
        </is>
      </c>
      <c r="D174" t="n">
        <v>1</v>
      </c>
      <c r="E174" t="n">
        <v>4</v>
      </c>
      <c r="F174">
        <f>HYPERLINK("https://www.reddit.com/r/GERD/comments/aj5kbu/gerd_symptoms_and_ppis_ineffective/")</f>
        <v/>
      </c>
      <c r="G174" t="inlineStr">
        <is>
          <t>2019-01-23 14:44:12</t>
        </is>
      </c>
      <c r="H174" t="inlineStr"/>
    </row>
    <row r="175">
      <c r="A175" t="inlineStr">
        <is>
          <t>aj5x2a</t>
        </is>
      </c>
      <c r="B175" t="inlineStr">
        <is>
          <t>Neutralizing acidic fruit in smoothies</t>
        </is>
      </c>
      <c r="C175" t="inlineStr">
        <is>
          <t xml:space="preserve">I've read that unsweetened almond milk does a good job of neutralizing the acidity of certain berries in a smoothie. I'm wondering, would using alkaline water (I usually use water as a base for smoothies) achieve the same affect? </t>
        </is>
      </c>
      <c r="D175" t="n">
        <v>1</v>
      </c>
      <c r="E175" t="n">
        <v>3</v>
      </c>
      <c r="F175">
        <f>HYPERLINK("https://www.reddit.com/r/GERD/comments/aj5x2a/neutralizing_acidic_fruit_in_smoothies/")</f>
        <v/>
      </c>
      <c r="G175" t="inlineStr">
        <is>
          <t>2019-01-23 15:18:27</t>
        </is>
      </c>
      <c r="H175" t="inlineStr"/>
    </row>
    <row r="176">
      <c r="A176" t="inlineStr">
        <is>
          <t>aj6gjy</t>
        </is>
      </c>
      <c r="B176" t="inlineStr">
        <is>
          <t>Worried about stomach cancer?</t>
        </is>
      </c>
      <c r="C176" t="inlineStr">
        <is>
          <t xml:space="preserve">I’m a 24 year old male. Starting 2 years ago I started getting bad acid indigestion and loss of appetite. The loss of appetite would last 2-3 weeks and then it would go away and my hunger would come back. I would feel normal for 2-4 months and then my loss of appetite would come back again for a couple weeks and then things would subside. When I lose my appetite I feel bloated and discomfort in my abdomen. I don’t have any pain after I eat, just the feeling of always being full of bloated. 
It flared up 2 months ago and my appetite has pretty much been gone since then. Once every couple days I’ll feel a little hungry but rarely. I currently feel bloated and tightness in my upper left abdomen. Also I have back pain, opposite of where the stomach sits, that shoots into my shoulder blade and my hip sometimes. 
Last week I went to my doctor to talk about the loss of appetite and he did a blood count and organ blood test and ordered me to do an x Ray. He had no concern since I have no pain after eating, no weight loss, fever, fatigue or night sweats. I ended up skipping the X-ray after I got my blood test back and everything came back normal. I’m regular and my stool color is normal. But my loss of appetite is still here. I feel constantly bloated. Sometimes it feels like my stomach isn’t producing enough acid? 
Should I go back to the doctor? Should I be concerned about cancer? Could a back injury cause loss of appetite? Could this be the early stages of cancer? 
</t>
        </is>
      </c>
      <c r="D176" t="n">
        <v>1</v>
      </c>
      <c r="E176" t="n">
        <v>2</v>
      </c>
      <c r="F176">
        <f>HYPERLINK("https://www.reddit.com/r/GERD/comments/aj6gjy/worried_about_stomach_cancer/")</f>
        <v/>
      </c>
      <c r="G176" t="inlineStr">
        <is>
          <t>2019-01-23 16:15:19</t>
        </is>
      </c>
      <c r="H176" t="inlineStr"/>
    </row>
    <row r="177">
      <c r="A177" t="inlineStr">
        <is>
          <t>ajcpjp</t>
        </is>
      </c>
      <c r="B177" t="inlineStr">
        <is>
          <t>Sickly</t>
        </is>
      </c>
      <c r="C177" t="inlineStr">
        <is>
          <t>My kids have had a 24 hours virus around the house. I messed up and ate fajitas last night and woke up around 4am with a feeling of fullness in my esophagus.  After a bit I threw up and felt better. 15 minutes later the same thing happened. I’m sure I have the bug but also the reflux is on more than usual. I take the omeprozole 40mg once a day I’m the afternoon. I drank a ginger ale to try to release some burping but that juts aggravated me again. Guess I’ll try some antacid tabs or something. 
Any ideas?</t>
        </is>
      </c>
      <c r="D177" t="n">
        <v>1</v>
      </c>
      <c r="E177" t="n">
        <v>2</v>
      </c>
      <c r="F177">
        <f>HYPERLINK("https://www.reddit.com/r/GERD/comments/ajcpjp/sickly/")</f>
        <v/>
      </c>
      <c r="G177" t="inlineStr">
        <is>
          <t>2019-01-24 06:03:33</t>
        </is>
      </c>
      <c r="H177" t="inlineStr"/>
    </row>
    <row r="178">
      <c r="A178" t="inlineStr">
        <is>
          <t>ajd58f</t>
        </is>
      </c>
      <c r="B178" t="inlineStr">
        <is>
          <t>Morning nausea---anyone else get this? Could it be correlated with not raising head of bed?</t>
        </is>
      </c>
      <c r="C178" t="inlineStr">
        <is>
          <t xml:space="preserve">Hi All, 
Was diagnosed with esophagitis 2 days ago after feeling throat/chest symptoms for a few weeks following antibiotic treatment. Doc has me on Omeprazole 40mg 2x a day for 6 weeks. Mild nausea has set in over the past few days, mostly in the morning after I wake, or waking in the middle of the night on occasion. Sitting up seems to help the latter. Anyone else get this? I suspect it's the ol' reflux traveling up my esophagus when I'm sleeping and wreaking havoc on my pipe/larynx. 
I'm suspecting this could this be remedied by raising the head of my bed, the last piece of the recommended GERD treatment matrix I have to address. Already monitoring trigger foods (cut out caffeine entirely, haven't been drinking alcohol anyway and not about to resume, and no spicy/minimally fatty foods). I'm waiting on bed risers to ship to my local Target, but that's the next step in my battle against this beast. 
Anyone else have this particular symptom? Did raising the head of your bed help? 
Thanks! </t>
        </is>
      </c>
      <c r="D178" t="n">
        <v>1</v>
      </c>
      <c r="E178" t="n">
        <v>5</v>
      </c>
      <c r="F178">
        <f>HYPERLINK("https://www.reddit.com/r/GERD/comments/ajd58f/morning_nauseaanyone_else_get_this_could_it_be/")</f>
        <v/>
      </c>
      <c r="G178" t="inlineStr">
        <is>
          <t>2019-01-24 06:51:39</t>
        </is>
      </c>
      <c r="H178" t="inlineStr"/>
    </row>
    <row r="179">
      <c r="A179" t="inlineStr">
        <is>
          <t>ajdqsh</t>
        </is>
      </c>
      <c r="B179" t="inlineStr">
        <is>
          <t>Does this sound like GERD, LPR, or neither?</t>
        </is>
      </c>
      <c r="C179" t="inlineStr">
        <is>
          <t>I have a few questions regarding GERD and LPR as a whole:
&amp;amp;#x200B;
1.) Is it possible to have either without heartburn?
2.) Can GERD and LPR both make swallowing feel different? Especially with liquids?
3.) How long does it take ranitidine to start reducing acid levels? I know that it takes 30 to 60 minutes for it to provide relief for heartburn, but I have read some places that it takes a few weeks for acid reflux to begin showing signs of improving when taking 300mg of ranitidine a day. Is this true for anybody out there?
&amp;amp;#x200B;
Thanks for any help!</t>
        </is>
      </c>
      <c r="D179" t="n">
        <v>1</v>
      </c>
      <c r="E179" t="n">
        <v>3</v>
      </c>
      <c r="F179">
        <f>HYPERLINK("https://www.reddit.com/r/GERD/comments/ajdqsh/does_this_sound_like_gerd_lpr_or_neither/")</f>
        <v/>
      </c>
      <c r="G179" t="inlineStr">
        <is>
          <t>2019-01-24 07:52:49</t>
        </is>
      </c>
      <c r="H179" t="inlineStr"/>
    </row>
    <row r="180">
      <c r="A180" t="inlineStr">
        <is>
          <t>ajhx7v</t>
        </is>
      </c>
      <c r="B180" t="inlineStr">
        <is>
          <t>GERD without Esophagitis</t>
        </is>
      </c>
      <c r="C180" t="inlineStr">
        <is>
          <t>I had an Upper GI done in April, the doctor did a biopsy at the gastroesphogeal junction and noted there was inflammation. They marked on my chart as GERD with no Esophagitis, I asked if I had a hiatal hernia and they said that my esophagus was very snug on the scope and that my stomach was perfect. 
&amp;amp;#x200B;
Since last Feb however, I've been having bad acid reflux and it's gotten to the point where I get very bloated and full with every meal and I have trouble breathing, not that I'm short of breath but I feel like I can't inhale fully. Plus it's difficult to sing, which I used to do often, but now I run out of breath when I'm trying to carry a tune relatively quickly.  
Is this GERD? Could they have missed a hiatal hernia? I've had tons of MRI's and Cardiac workups in the months afterwards and everything comes back normal.</t>
        </is>
      </c>
      <c r="D180" t="n">
        <v>1</v>
      </c>
      <c r="E180" t="n">
        <v>11</v>
      </c>
      <c r="F180">
        <f>HYPERLINK("https://www.reddit.com/r/GERD/comments/ajhx7v/gerd_without_esophagitis/")</f>
        <v/>
      </c>
      <c r="G180" t="inlineStr">
        <is>
          <t>2019-01-24 14:11:13</t>
        </is>
      </c>
      <c r="H180" t="inlineStr"/>
    </row>
    <row r="181">
      <c r="A181" t="inlineStr">
        <is>
          <t>ajif0v</t>
        </is>
      </c>
      <c r="B181" t="inlineStr">
        <is>
          <t>PPI discontinued</t>
        </is>
      </c>
      <c r="C181" t="inlineStr">
        <is>
          <t xml:space="preserve">I was on a prevacid and zantac and discontinued both as it helped my ulcer but made me completely unable to go to the bathroom, it felt like food wasn't getting past my stomach. I discontinued both nearly a week and a half ago and I'm still having major issues going to the bathroom :( how long does it take for acid to return? </t>
        </is>
      </c>
      <c r="D181" t="n">
        <v>1</v>
      </c>
      <c r="E181" t="n">
        <v>4</v>
      </c>
      <c r="F181">
        <f>HYPERLINK("https://www.reddit.com/r/GERD/comments/ajif0v/ppi_discontinued/")</f>
        <v/>
      </c>
      <c r="G181" t="inlineStr">
        <is>
          <t>2019-01-24 14:59:40</t>
        </is>
      </c>
      <c r="H181" t="inlineStr"/>
    </row>
    <row r="182">
      <c r="A182" t="inlineStr">
        <is>
          <t>ajijnq</t>
        </is>
      </c>
      <c r="B182" t="inlineStr">
        <is>
          <t>Lump in stomach after eating protein</t>
        </is>
      </c>
      <c r="C182" t="inlineStr">
        <is>
          <t xml:space="preserve">Anyone else get the feeling that there’s just a rock in your stomach after eating a food high in protein such as salmon or chicken breast? It just feels like a lump sitting in my stomach and it’s physically protruding and very uncomfortable. </t>
        </is>
      </c>
      <c r="D182" t="n">
        <v>1</v>
      </c>
      <c r="E182" t="n">
        <v>4</v>
      </c>
      <c r="F182">
        <f>HYPERLINK("https://www.reddit.com/r/GERD/comments/ajijnq/lump_in_stomach_after_eating_protein/")</f>
        <v/>
      </c>
      <c r="G182" t="inlineStr">
        <is>
          <t>2019-01-24 15:12:40</t>
        </is>
      </c>
      <c r="H182" t="inlineStr"/>
    </row>
    <row r="183">
      <c r="A183" t="inlineStr">
        <is>
          <t>ajjx09</t>
        </is>
      </c>
      <c r="B183" t="inlineStr">
        <is>
          <t>New here: worth it to have stomach probed?</t>
        </is>
      </c>
      <c r="C183" t="inlineStr">
        <is>
          <t xml:space="preserve">I'm a healthy 25 year old male who stays active, especially in the summer when it is warmer outside. I'm the type that has a crazy high metabolism and eat relatively healthy (only eat fried food or fast food maybe once a week tops). I've never been a morning person and sometimes wake up with what I refer to as "male morning sickness". I progressively feel better after I've been up about an hour. As long as I'm getting enough sleep, I don't really get morning sickness, although I'm not a morning person one bit! 
Last fall there would be certain days that I would not have an appetite which seemed weird since I am usually hungry all the time. I would usually notice it about 90 minutes after a meal. I would feel maybe a 7/10 on a sickness scale. Nothing serious, but detracting enough to notice it. I finally went to the Dr in December and he proscribed me 20mg of omeprazole for 90 days. I'm about 35 days in and so far I've never really lost my appetite, but I still sometimes feel sick to my stomach at different times throughout the day. Again, nothing serious, maybe 7/10, but it is super annoying as I'm way more health conscious now because of it. I've kept a food diary and don't really find any common theme. I haven't really noticed much difference in these 35 days except I usually never lose my appetite. I do however still feel sick sometimes on different days.
&amp;amp;#x200B;
I will be traveling quite a bit the next 4-5 months and really want this to be taken care of and or properly diagnosed. If I request to have my stomach probed, will that give them a lot more information about what potentially is going on? I know one of the things I need to do is probably be more patient, but this is the first time I've ever had any health challenge in my life that I haven't quickly gotten over. </t>
        </is>
      </c>
      <c r="D183" t="n">
        <v>1</v>
      </c>
      <c r="E183" t="n">
        <v>5</v>
      </c>
      <c r="F183">
        <f>HYPERLINK("https://www.reddit.com/r/GERD/comments/ajjx09/new_here_worth_it_to_have_stomach_probed/")</f>
        <v/>
      </c>
      <c r="G183" t="inlineStr">
        <is>
          <t>2019-01-24 17:41:28</t>
        </is>
      </c>
      <c r="H183" t="inlineStr"/>
    </row>
    <row r="184">
      <c r="A184" t="inlineStr">
        <is>
          <t>ajplgn</t>
        </is>
      </c>
      <c r="B184" t="inlineStr">
        <is>
          <t>Eosinophilic Esophagitis</t>
        </is>
      </c>
      <c r="C184" t="inlineStr">
        <is>
          <t xml:space="preserve">My husband recently had an endoscopy and was diagnosed with Eosinophilic Esophagitis. From what I have read this is a recently known condition. As anyone had this or know someone who has? </t>
        </is>
      </c>
      <c r="D184" t="n">
        <v>1</v>
      </c>
      <c r="E184" t="n">
        <v>3</v>
      </c>
      <c r="F184">
        <f>HYPERLINK("https://www.reddit.com/r/GERD/comments/ajplgn/eosinophilic_esophagitis/")</f>
        <v/>
      </c>
      <c r="G184" t="inlineStr">
        <is>
          <t>2019-01-25 06:35:11</t>
        </is>
      </c>
      <c r="H184" t="inlineStr"/>
    </row>
    <row r="185">
      <c r="A185" t="inlineStr">
        <is>
          <t>ajq1na</t>
        </is>
      </c>
      <c r="B185" t="inlineStr">
        <is>
          <t>Awful sore throat overnight, could this really be from acid reflux?</t>
        </is>
      </c>
      <c r="C185" t="inlineStr">
        <is>
          <t xml:space="preserve">So I have a history of acid reflux and had a flare of gastritis before Christmas that sent it spiraling out of control. Since then it improved but the past week and a half it got pretty unmanageable again so I cut out every trigger went on a super basic diet in conjunction with all my supplements. I have also been sleeping sitting up and eating my last meal 5+ hours before bed. Following all the rules to a t essentially. 
It seemed to be getting better since I wasn’t waking in the middle of the night with indigestion but yesterday morning I woke up with a decently sore throat which proceeded to decline rapidly and now this morning is so bad I can barley swallow and feels like strep level pain. I am wondering could this honestly be from acid reflux or if this is probably a cold or something. I’m still burping quite often so it does concern me that this could be a result. Has anyone experienced a rapid sore throat to this degree from gerd? Trying to determine if I’m jus totally failing at my regimen and need to take drastic measures or if I’m just super unlucky and happened to have picked up a bug on top of it. </t>
        </is>
      </c>
      <c r="D185" t="n">
        <v>1</v>
      </c>
      <c r="E185" t="n">
        <v>5</v>
      </c>
      <c r="F185">
        <f>HYPERLINK("https://www.reddit.com/r/GERD/comments/ajq1na/awful_sore_throat_overnight_could_this_really_be/")</f>
        <v/>
      </c>
      <c r="G185" t="inlineStr">
        <is>
          <t>2019-01-25 07:22:36</t>
        </is>
      </c>
      <c r="H185" t="inlineStr"/>
    </row>
    <row r="186">
      <c r="A186" t="inlineStr">
        <is>
          <t>ajru53</t>
        </is>
      </c>
      <c r="B186" t="inlineStr">
        <is>
          <t>Any suggestions for raising the head of the bed without risers?</t>
        </is>
      </c>
      <c r="C186" t="inlineStr">
        <is>
          <t>Hey all,
I've been able to raise the head of my bed using bed risers to combat overnight reflux, but will be traveling for work and then on to see my parents in a couple of weeks. I can probably use my spare risers on my parents' bed, but not in the hotel I'll be staying in for work. 
Any suggestions for how to raise my bed/sleeping position up in the hotel? I want to make progress in healing from esophagitis, would hate to regress. I think the overnight reflux is messing me up. I tried a wedge pillow some time ago but had trouble falling asleep. 
Thanks!</t>
        </is>
      </c>
      <c r="D186" t="n">
        <v>1</v>
      </c>
      <c r="E186" t="n">
        <v>8</v>
      </c>
      <c r="F186">
        <f>HYPERLINK("https://www.reddit.com/r/GERD/comments/ajru53/any_suggestions_for_raising_the_head_of_the_bed/")</f>
        <v/>
      </c>
      <c r="G186" t="inlineStr">
        <is>
          <t>2019-01-25 10:14:26</t>
        </is>
      </c>
      <c r="H186" t="inlineStr"/>
    </row>
    <row r="187">
      <c r="A187" t="inlineStr">
        <is>
          <t>ajsos6</t>
        </is>
      </c>
      <c r="B187" t="inlineStr">
        <is>
          <t>For anyone afraid of endoscopy</t>
        </is>
      </c>
      <c r="C187" t="inlineStr">
        <is>
          <t>First of all sorry for my poor english and the bad format, I'm on mobile.
I just had an endoscopy(one hour ago) and let me tell you something.I was PETRIFIED, I was literally sobbing when they put me on the table, it doesn't help that I have a severe needle phobia either(the IV hurts a bit but really nothing too bad).I have a horrible gag reflex and yet I didn't gag from the spray as most people say.Alright so after they put the IV they started the sedative and the room immediately started spinng.It wasn't a bad feeling, it was actually pretty fun, and then it knocked me out in seconds.I woke up as soon as it was over feeling drunk as hell.I remember I told them I really liked that stuff, and I also told the nurse she has nice tits lmao.The recovery was short, I went home with no problems, I'm able to drink water and right now I'm about to eat something.I know you will still be scared, it's normal, just know it's really nothing to worry about, the easiest medical procedure I ever had.</t>
        </is>
      </c>
      <c r="D187" t="n">
        <v>1</v>
      </c>
      <c r="E187" t="n">
        <v>38</v>
      </c>
      <c r="F187">
        <f>HYPERLINK("https://www.reddit.com/r/GERD/comments/ajsos6/for_anyone_afraid_of_endoscopy/")</f>
        <v/>
      </c>
      <c r="G187" t="inlineStr">
        <is>
          <t>2019-01-25 11:35:16</t>
        </is>
      </c>
      <c r="H187" t="inlineStr"/>
    </row>
    <row r="188">
      <c r="A188" t="inlineStr">
        <is>
          <t>ajtvom</t>
        </is>
      </c>
      <c r="B188" t="inlineStr">
        <is>
          <t>Heaviness on left side of stomach (stomach itself not colon)</t>
        </is>
      </c>
      <c r="C188" t="inlineStr">
        <is>
          <t>So I just recently had issues with acid reflux, I've always been someone who scarfed down food and didn't fully chew so the fault is on me, I went to see my doctor yesterday and was told to get take some tests and come back for the results when they have them (going tomorrow, but for reasons I'll state). So here's the interesting thing, I moved away from eating large amounts of food, not chewing etc and what most people would consider 'trigger' foods, and my acid reflux has gone down significantly, I'd even say its almost gone completely as long as I keep this style of eating. HOWEVER, something that seems to be getting worse or more noticeable is the fact I have a weird heaviness on the left side of my stomach (right under the rib cage) which now seems to be gaining an added itchiness near my navel, I'm hesitant to go do the breath test and other things if I can just fix all this at home (I'd rather not be on meds either, that's a horrible life) but what I do notice is that if I press or massage the area it seems to stop but if I press slightly above it, there's an aching sensation ever so slightly.   
My question to those of you who have experience would be that does this sound like GERD from IBS (as I previously ate like a mad man with loads of fiber and had lots of bloating) or is this from H.Pylori?   
Also in terms of natural "treatments" (I'm not someone who shuns medicine as it can do things most foods can't), I've found lots of conflicting information, there's videos like this [https://www.youtube.com/watch?v=efqfcUX0VsQ](https://www.youtube.com/watch?v=efqfcUX0VsQ) which show garlic actually aiding someone, there's been posts on this reddit about probiotics and around the internet, a weird "celery drink" craze which doesn't sound very logical to me and I'm sorta at a loss, like I said would rather not take meds of any kind but I do want to fix this issue for myself.   
Thank you for taking the time to read.</t>
        </is>
      </c>
      <c r="D188" t="n">
        <v>1</v>
      </c>
      <c r="E188" t="n">
        <v>1</v>
      </c>
      <c r="F188">
        <f>HYPERLINK("https://www.reddit.com/r/GERD/comments/ajtvom/heaviness_on_left_side_of_stomach_stomach_itself/")</f>
        <v/>
      </c>
      <c r="G188" t="inlineStr">
        <is>
          <t>2019-01-25 13:30:05</t>
        </is>
      </c>
      <c r="H188" t="inlineStr"/>
    </row>
    <row r="189">
      <c r="A189" t="inlineStr">
        <is>
          <t>ajvmxe</t>
        </is>
      </c>
      <c r="B189" t="inlineStr">
        <is>
          <t>Any sauces that I can still have?</t>
        </is>
      </c>
      <c r="C189" t="inlineStr">
        <is>
          <t>I love hot sauce. But can’t have it anymore. I can’t eat tomatoes either? Is there anything out there?</t>
        </is>
      </c>
      <c r="D189" t="n">
        <v>1</v>
      </c>
      <c r="E189" t="n">
        <v>6</v>
      </c>
      <c r="F189">
        <f>HYPERLINK("https://www.reddit.com/r/GERD/comments/ajvmxe/any_sauces_that_i_can_still_have/")</f>
        <v/>
      </c>
      <c r="G189" t="inlineStr">
        <is>
          <t>2019-01-25 16:19:57</t>
        </is>
      </c>
      <c r="H189" t="inlineStr"/>
    </row>
    <row r="190">
      <c r="A190" t="inlineStr">
        <is>
          <t>ajx7f2</t>
        </is>
      </c>
      <c r="B190" t="inlineStr">
        <is>
          <t>Cough and dry heave</t>
        </is>
      </c>
      <c r="C190" t="inlineStr">
        <is>
          <t>Has anyone had a symptom like this, where you have a cough that goes straight into a dry heave or gag? For the last year i have had this, off and on. I can go weeks without it and then out of no where it is persistent for like a week or so. No food seems to trigger it. And with it comes a pain in my left side right under the ribs (i dont know if its linked or what) it usually happens like an hour or 2 after eating. 
It sucks cuz it tends to happen when im at work and pretty much stops me from being in any contact with customers (mostly cuz everyone thinks im about to vomit but that never happens)</t>
        </is>
      </c>
      <c r="D190" t="n">
        <v>1</v>
      </c>
      <c r="E190" t="n">
        <v>3</v>
      </c>
      <c r="F190">
        <f>HYPERLINK("https://www.reddit.com/r/GERD/comments/ajx7f2/cough_and_dry_heave/")</f>
        <v/>
      </c>
      <c r="G190" t="inlineStr">
        <is>
          <t>2019-01-25 19:23:54</t>
        </is>
      </c>
      <c r="H190" t="inlineStr"/>
    </row>
    <row r="191">
      <c r="A191" t="inlineStr">
        <is>
          <t>ak277i</t>
        </is>
      </c>
      <c r="B191" t="inlineStr">
        <is>
          <t>Anyone else experience weight loss from GERD? Not necessarily through dieting or exercise.</t>
        </is>
      </c>
      <c r="C191" t="inlineStr">
        <is>
          <t xml:space="preserve">Hi all, 
I've been monitoring my weight over the past few weeks and seem to have lost 3-4 pounds: 
2 weeks ago: Consistent at 160lb for 7 days, sudden drop to 158 overnight 2 Fridays ago
1 week ago: Fluctuated between 158-9
This past week: Fluctuated between 157-8, mostly 157 and dropped to 156 overnight last night
Was diagnosed with esophagitis by my PCP this past Monday after a few weeks of symptoms (what felt at first like chest congestion, some burning behind the sternum, a little discomfort on swallowing, occasional laryngitis, mucus in throat). 
No endo yet, on Omeprazole 40mg for 6 weeks, will be referred for an endo after that if symptoms persist. Had been on Omeprazole OTC 20mg for 2 weeks prior. Omeprazole seems to be helping a little, but still have some reflux symptoms. CBC came back clean, WBC was a little on the low side but not abnormal. Haven't had caffeine in 3 weeks, diet is similar but trying to take smaller portion sizes, reduce trigger foods (still figuring out what does it). Been excercising a little more, trying to do 1-2 hikes a week of about 3-4 miles instead of 1 hike every few weeks. 
I've also been struggling pretty hard with health anxiety for the past 2.5 months. GERD-like symptoms seemed to flare up after antibiotic treatment for another issue this past fall. I imagine my overall stress levels the past 3 months or so have not helped, either.
All in all perhaps these factors have all contributed to me dropping a few pounds. I'm still freaked out about esophageal cancer, though PCP said he was not concerned. Anyone else drop a few pounds because of this GERD-damn disorder? </t>
        </is>
      </c>
      <c r="D191" t="n">
        <v>1</v>
      </c>
      <c r="E191" t="n">
        <v>23</v>
      </c>
      <c r="F191">
        <f>HYPERLINK("https://www.reddit.com/r/GERD/comments/ak277i/anyone_else_experience_weight_loss_from_gerd_not/")</f>
        <v/>
      </c>
      <c r="G191" t="inlineStr">
        <is>
          <t>2019-01-26 08:17:21</t>
        </is>
      </c>
      <c r="H191" t="inlineStr"/>
    </row>
    <row r="192">
      <c r="A192" t="inlineStr">
        <is>
          <t>ak2fga</t>
        </is>
      </c>
      <c r="B192" t="inlineStr">
        <is>
          <t>How to know if gaviscon advance has gone bad</t>
        </is>
      </c>
      <c r="C192" t="inlineStr">
        <is>
          <t xml:space="preserve">The past few days my throat gunk has been coming back pretty bad. I woke up after a night of throat clearing to an incredibly sore throat. And of course the minute I start talking to tell my wife, the gunky feeling in my throat starts up.
I haven't taken gaviscon in a few weeks, but I've only had it since December, and the expiration isn't until 2020. When I poured it out, it looked chunky. Like, when milk gets left out too long. I shook the hell out of it, but it still looks a little chunky.
Is it safe to take still? </t>
        </is>
      </c>
      <c r="D192" t="n">
        <v>1</v>
      </c>
      <c r="E192" t="n">
        <v>2</v>
      </c>
      <c r="F192">
        <f>HYPERLINK("https://www.reddit.com/r/GERD/comments/ak2fga/how_to_know_if_gaviscon_advance_has_gone_bad/")</f>
        <v/>
      </c>
      <c r="G192" t="inlineStr">
        <is>
          <t>2019-01-26 08:41:29</t>
        </is>
      </c>
      <c r="H192" t="inlineStr"/>
    </row>
    <row r="193">
      <c r="A193" t="inlineStr">
        <is>
          <t>ak7blm</t>
        </is>
      </c>
      <c r="B193" t="inlineStr">
        <is>
          <t>Papaya Enzymes - makes it better or not?</t>
        </is>
      </c>
      <c r="C193" t="inlineStr">
        <is>
          <t>Hi all,
Got acid reflux/GERD in September. My symptoms get better sometimes then others reverts back from the tiniest thing. Like, there was not even half a teaspoon of pepper on some salmon I had and it gave me reflux.
I recently got papaya enzymes, though I'm not sure if they're working or not. The first night they seemed to not give me reflux, and on and off. But they do contain citric acid. My dietian says that should be okay, but I'm not sure? Has anyone else taken these? What were your results?</t>
        </is>
      </c>
      <c r="D193" t="n">
        <v>1</v>
      </c>
      <c r="E193" t="n">
        <v>6</v>
      </c>
      <c r="F193">
        <f>HYPERLINK("https://www.reddit.com/r/GERD/comments/ak7blm/papaya_enzymes_makes_it_better_or_not/")</f>
        <v/>
      </c>
      <c r="G193" t="inlineStr">
        <is>
          <t>2019-01-26 17:11:10</t>
        </is>
      </c>
      <c r="H193" t="inlineStr"/>
    </row>
    <row r="194">
      <c r="A194" t="inlineStr">
        <is>
          <t>ak7g77</t>
        </is>
      </c>
      <c r="B194" t="inlineStr">
        <is>
          <t>MEDICATION ROUTE or NATURAL WAY</t>
        </is>
      </c>
      <c r="C194" t="inlineStr">
        <is>
          <t xml:space="preserve">I have been having a really bad flare up this month with almost no relief. I have changed my diet completely even while on vacation. My symptoms are the lump in the throat feeling and nausea and  pain especially when I need to eat. I also have constipated off and on.
The problem I'm facing is that I prefer to try as many natural remedies as possible before going to medication. Which is what the doctor is suggesting. However working out makes the flare up worse ! I am now feeling a little depressed because food for me is like my favorite past time ESPECIALLY CHEESE AND PICKLES AND PIZZA. And yes I need to lose some weight .....of course.
I've never wanted a gyro so bad. 
Also I'm still figuring out what all my triggers are. 
I stay away from the basics and gave otc medicine but I'm afraid of the medication and rebound route. 
I also do not want to feel like this for another month while in school. This is the worst I've ever had it. 
Any suggestions I would really appreciate. I've been following the basic food guidelines to a "T" no tomatoes, low carbs, no sweets, no caffeine, veggies. No onions, everything baked or grilled um I havnt tried any of the acv tea or celery juicing yet cause it scares me lol. But idk if I should just take the meds and keep working on better health or just try to keep up with the new diet for a little while?
</t>
        </is>
      </c>
      <c r="D194" t="n">
        <v>1</v>
      </c>
      <c r="E194" t="n">
        <v>2</v>
      </c>
      <c r="F194">
        <f>HYPERLINK("https://www.reddit.com/r/GERD/comments/ak7g77/medication_route_or_natural_way/")</f>
        <v/>
      </c>
      <c r="G194" t="inlineStr">
        <is>
          <t>2019-01-26 17:26:56</t>
        </is>
      </c>
      <c r="H194" t="inlineStr"/>
    </row>
    <row r="195">
      <c r="A195" t="inlineStr">
        <is>
          <t>ak8rbo</t>
        </is>
      </c>
      <c r="B195" t="inlineStr">
        <is>
          <t>CONSTANT FARTING, PLEASE HELP!!</t>
        </is>
      </c>
      <c r="C195" t="inlineStr">
        <is>
          <t>Hi, fellow sufferers.  I have had GRED most of my life and recently some IBS on and off. At one point things got so bad that I had to go get a colonoscopy/endoscopy which was ok.  Long story short, about 4 months after the procedure, i started having flatulence. Mostly after eating and some times through out the day even.  Its like the gas is generating form now where. Mostly doesn't even smell. I went through about 2 months of VSL#3 which should have stabilized my good bacteria in the gut, but that did nothing to improve the farting situation. 
I already cut out dairy and eating gluten free for many months now and staying away from eggs but its still happening. 
To be clear, there is no cramping or bloating or pain in the abdominal, the gas just generates and i fart it right out. Stool is fine too.  I am chewing my food slowly and doing all the things to prevent air.  I am starting digestive enzymes today and we'll see what happens.  
Has anyone experienced such an odd problem? Can any one suggest anything? 
Thanks</t>
        </is>
      </c>
      <c r="D195" t="n">
        <v>1</v>
      </c>
      <c r="E195" t="n">
        <v>5</v>
      </c>
      <c r="F195">
        <f>HYPERLINK("https://www.reddit.com/r/GERD/comments/ak8rbo/constant_farting_please_help/")</f>
        <v/>
      </c>
      <c r="G195" t="inlineStr">
        <is>
          <t>2019-01-26 20:14:21</t>
        </is>
      </c>
      <c r="H195" t="inlineStr"/>
    </row>
    <row r="196">
      <c r="A196" t="inlineStr">
        <is>
          <t>ak9o43</t>
        </is>
      </c>
      <c r="B196" t="inlineStr">
        <is>
          <t>Primary had me stop Nexium for Dexilant</t>
        </is>
      </c>
      <c r="C196" t="inlineStr">
        <is>
          <t>I was taking 40mg of Nexium and was advised to drop it for 60mg of Dexilant. It's only been a few days after the change, but I feel horrible. Is it possible that I'm suffering from withdrawals even though both drugs are PPIs? 
I'm considering reinstating the Nexium tomorrow. I hate how dependent my body has become on Nexium, and the fact that even Nexium doesn't give me huge relief. This is a nightmare.</t>
        </is>
      </c>
      <c r="D196" t="n">
        <v>1</v>
      </c>
      <c r="E196" t="n">
        <v>4</v>
      </c>
      <c r="F196">
        <f>HYPERLINK("https://www.reddit.com/r/GERD/comments/ak9o43/primary_had_me_stop_nexium_for_dexilant/")</f>
        <v/>
      </c>
      <c r="G196" t="inlineStr">
        <is>
          <t>2019-01-26 22:27:10</t>
        </is>
      </c>
      <c r="H196" t="inlineStr"/>
    </row>
    <row r="197">
      <c r="A197" t="inlineStr">
        <is>
          <t>ak9zc9</t>
        </is>
      </c>
      <c r="B197" t="inlineStr">
        <is>
          <t>Reflux and Heartburn While Fasting?</t>
        </is>
      </c>
      <c r="C197" t="inlineStr">
        <is>
          <t>I'm currently on the thirty-sixth hour of a three day fast and have had terrible reflux and heartburn for the whole time. What gives? I thought for sure that not eating would help my reflux but it has made it worse. Anyone have a similar experience or reason as to why this might be?</t>
        </is>
      </c>
      <c r="D197" t="n">
        <v>1</v>
      </c>
      <c r="E197" t="n">
        <v>8</v>
      </c>
      <c r="F197">
        <f>HYPERLINK("https://www.reddit.com/r/GERD/comments/ak9zc9/reflux_and_heartburn_while_fasting/")</f>
        <v/>
      </c>
      <c r="G197" t="inlineStr">
        <is>
          <t>2019-01-26 23:19:03</t>
        </is>
      </c>
      <c r="H197" t="inlineStr"/>
    </row>
    <row r="198">
      <c r="A198" t="inlineStr">
        <is>
          <t>akczyc</t>
        </is>
      </c>
      <c r="B198" t="inlineStr">
        <is>
          <t>Have you noticed a change in the consistency of your bowel movements since going on PPIs?</t>
        </is>
      </c>
      <c r="C198" t="inlineStr">
        <is>
          <t>Mine have become a lot firmer and of uniform consistency. Anyone else?</t>
        </is>
      </c>
      <c r="D198" t="n">
        <v>1</v>
      </c>
      <c r="E198" t="n">
        <v>7</v>
      </c>
      <c r="F198">
        <f>HYPERLINK("https://www.reddit.com/r/GERD/comments/akczyc/have_you_noticed_a_change_in_the_consistency_of/")</f>
        <v/>
      </c>
      <c r="G198" t="inlineStr">
        <is>
          <t>2019-01-27 07:37:02</t>
        </is>
      </c>
      <c r="H198" t="inlineStr"/>
    </row>
    <row r="199">
      <c r="A199" t="inlineStr">
        <is>
          <t>akeqib</t>
        </is>
      </c>
      <c r="B199" t="inlineStr">
        <is>
          <t>What kind of snacks do you have throughout the day</t>
        </is>
      </c>
      <c r="C199" t="inlineStr">
        <is>
          <t>Specifically through the work day. So on the go or able to take with</t>
        </is>
      </c>
      <c r="D199" t="n">
        <v>1</v>
      </c>
      <c r="E199" t="n">
        <v>17</v>
      </c>
      <c r="F199">
        <f>HYPERLINK("https://www.reddit.com/r/GERD/comments/akeqib/what_kind_of_snacks_do_you_have_throughout_the_day/")</f>
        <v/>
      </c>
      <c r="G199" t="inlineStr">
        <is>
          <t>2019-01-27 10:48:36</t>
        </is>
      </c>
      <c r="H199" t="inlineStr"/>
    </row>
    <row r="200">
      <c r="A200" t="inlineStr">
        <is>
          <t>aki6fk</t>
        </is>
      </c>
      <c r="B200" t="inlineStr">
        <is>
          <t>Just started 40mg of PPI (Magnesium) anything I should know?</t>
        </is>
      </c>
      <c r="C200" t="inlineStr">
        <is>
          <t>Was just put on a PPI due to extreme stomach pain and navel pain, I'm going tomorrow to do tests to figure out whether or not I have H-P. One thing I've noticed when taking this just for today is that I've developed a mild headache. The pain in my stomach has decreased but I don't know if that side effect is really worth.   
Should I be taking anything along side my ppi in order to combat its side effects? I read antibiotics can help the damage they cause but I'm also concerned about kidney damage. My prescription is a month, any info would be much appreciated!!!</t>
        </is>
      </c>
      <c r="D200" t="n">
        <v>1</v>
      </c>
      <c r="E200" t="n">
        <v>5</v>
      </c>
      <c r="F200">
        <f>HYPERLINK("https://www.reddit.com/r/GERD/comments/aki6fk/just_started_40mg_of_ppi_magnesium_anything_i/")</f>
        <v/>
      </c>
      <c r="G200" t="inlineStr">
        <is>
          <t>2019-01-27 17:10:29</t>
        </is>
      </c>
      <c r="H200" t="inlineStr"/>
    </row>
    <row r="201">
      <c r="A201" t="inlineStr">
        <is>
          <t>akj3rq</t>
        </is>
      </c>
      <c r="B201" t="inlineStr">
        <is>
          <t>Just started a GERD diet</t>
        </is>
      </c>
      <c r="C201" t="inlineStr">
        <is>
          <t>Hi all, I just found this subreddit and have already learned and read a lot. Ive been dealing with gerd for years now. ~3 years ago, after a scope doctor put me on PPI and said to change my diet and lose some weight (I’m def a little overweight but not too much). So obviously I did none of those...if I take the PPI religiously every morning, I’m good to go and can eat whatever I want. I recently (about 6 months ago) started getting some GI distress and weird bowels. So I decided I wanted to get off the PPI and get this under control.
I read A TON of information online about diets and such. I’ve brought my diet down to the barest of bones in regards to food and cut out all normal triggers. I’m also drinking kombucha which helps calm my gut, taking fiber and spirulina etc. My heartburn is no where near what it was when I’d forget to take my PPI, but it’s still lingering. It’s been about 3 weeks—I have broken three times, taken a PPI, and eaten gerd-unfriendly foods those days. 
My questions to you all: Did it take a while for your gut to “normalize” after starting a strict diet? Is it likely that my triggers are just different from the norm and something I’m still eating is a trigger for me? Are there things y’all found to be bulls**t on forums, websites, etc? Doctors aren’t cheap, so if I need to go back to get scoped again, I want to make sure I’ve done everything I can. 
(TL/DR: just focus on the questions)
Thanks!!</t>
        </is>
      </c>
      <c r="D201" t="n">
        <v>1</v>
      </c>
      <c r="E201" t="n">
        <v>5</v>
      </c>
      <c r="F201">
        <f>HYPERLINK("https://www.reddit.com/r/GERD/comments/akj3rq/just_started_a_gerd_diet/")</f>
        <v/>
      </c>
      <c r="G201" t="inlineStr">
        <is>
          <t>2019-01-27 18:59:00</t>
        </is>
      </c>
      <c r="H201" t="inlineStr"/>
    </row>
    <row r="202">
      <c r="A202" t="inlineStr">
        <is>
          <t>akjb4n</t>
        </is>
      </c>
      <c r="B202" t="inlineStr">
        <is>
          <t>Recently diagnosed and trying to keep calm</t>
        </is>
      </c>
      <c r="C202" t="inlineStr">
        <is>
          <t xml:space="preserve">A little bit of background: In the middle of November I got hit with a bout of nausea, vomiting and  slight lightheadedness that I just couldn't get rid of. It got bad enough that I went to the ER where I was diagnosed with "labyrinthitis" in my ear and given a referral to an ENT.  I go to the ENT, who tells me that he doesn't think it's my ear and basically does nothing for me.  
A month later I go to a different hospital because I'm still nauseous and vomiting, and now when I'm throwing up it feels like the pits of hell coming out of my stomach. They ended up keeping me there for four days because I was severely dehydrated and my body was starting to starve. I had a ton of blood work done, which all came back normal, a CT scan of my abdomen which was also normal, and a negative h pylori test. The GI doctor told me that I have GERD, and I was put on pantoprazole and domperidome which finally stopped my vomiting. 
This was almost three weeks ago now. I still occasionally vomit up what I can only describe as foam, but I'm no where near as bad as before. I generally just feel kind of like crap all the time, which is really not doing wonders for my anxiety. I've cut everything bad out of my diet and I'm trying my best to be calm but it's been hard.
I'm just wondering how long it took you guys to feel better after starting meds and changing your diet. I've been getting really down on myself lately feeling like I'm never going to get better, even though I'm not as bad as I was before.
</t>
        </is>
      </c>
      <c r="D202" t="n">
        <v>1</v>
      </c>
      <c r="E202" t="n">
        <v>14</v>
      </c>
      <c r="F202">
        <f>HYPERLINK("https://www.reddit.com/r/GERD/comments/akjb4n/recently_diagnosed_and_trying_to_keep_calm/")</f>
        <v/>
      </c>
      <c r="G202" t="inlineStr">
        <is>
          <t>2019-01-27 19:22:03</t>
        </is>
      </c>
      <c r="H202" t="inlineStr"/>
    </row>
    <row r="203">
      <c r="A203" t="inlineStr">
        <is>
          <t>akp26q</t>
        </is>
      </c>
      <c r="B203" t="inlineStr">
        <is>
          <t>For those of you who eat salad regularly, what do you put in it?</t>
        </is>
      </c>
      <c r="C203" t="inlineStr">
        <is>
          <t>I normally use spinach, cucumbers, and black olives but I feel like I need a bit more, I’m just drawing on blank on what else I could add lol
Thanks in advance :)</t>
        </is>
      </c>
      <c r="D203" t="n">
        <v>1</v>
      </c>
      <c r="E203" t="n">
        <v>12</v>
      </c>
      <c r="F203">
        <f>HYPERLINK("https://www.reddit.com/r/GERD/comments/akp26q/for_those_of_you_who_eat_salad_regularly_what_do/")</f>
        <v/>
      </c>
      <c r="G203" t="inlineStr">
        <is>
          <t>2019-01-28 08:27:22</t>
        </is>
      </c>
      <c r="H203" t="inlineStr"/>
    </row>
    <row r="204">
      <c r="A204" t="inlineStr">
        <is>
          <t>akqmha</t>
        </is>
      </c>
      <c r="B204" t="inlineStr">
        <is>
          <t>Swallowing issues (GERD Related)</t>
        </is>
      </c>
      <c r="C204" t="inlineStr">
        <is>
          <t>I choked on a piece of beef.  My girlfriend ended up doing the heimlich maneuver to get the chunk of beef out. From there I started to have issues swallowing which ended up making me go to the ER for not being able to eat even simple smoothies, juices or water. They said I have esophagitis and prescribed me PPI 40MG  Pantoprazole, plus I have a endoscopy scheduled with a GI later this week. 
&amp;amp;#x200B;
However, until then I've still been having a constant struggle in swallowing most things. My lower jaw, neck and throat just kinda give up after awhile and I can't get it passed my mouth.  My stomach is growly, I have constant gas but I have no trouble breathing.
&amp;amp;#x200B;
Has anyone experienced this? And if so how did you eat (help yourself to get better?)</t>
        </is>
      </c>
      <c r="D204" t="n">
        <v>1</v>
      </c>
      <c r="E204" t="n">
        <v>4</v>
      </c>
      <c r="F204">
        <f>HYPERLINK("https://www.reddit.com/r/GERD/comments/akqmha/swallowing_issues_gerd_related/")</f>
        <v/>
      </c>
      <c r="G204" t="inlineStr">
        <is>
          <t>2019-01-28 10:54:58</t>
        </is>
      </c>
      <c r="H204" t="inlineStr"/>
    </row>
    <row r="205">
      <c r="A205" t="inlineStr">
        <is>
          <t>akrfa7</t>
        </is>
      </c>
      <c r="B205" t="inlineStr">
        <is>
          <t>GERD causing extreme fatigue?</t>
        </is>
      </c>
      <c r="C205" t="inlineStr">
        <is>
          <t>Hi everyone,  
I'm hoping to see if anybody else have this issue. I've been dealing with extreme fatigue for about a month. No matter how much I sleep, I still feel tired, and I have zero motivation to do anything. This started with my GERD symptoms and I can't seem to figure out why this is happening. It gets even worse after a meal. Your comments are greatly appreciated.</t>
        </is>
      </c>
      <c r="D205" t="n">
        <v>1</v>
      </c>
      <c r="E205" t="n">
        <v>23</v>
      </c>
      <c r="F205">
        <f>HYPERLINK("https://www.reddit.com/r/GERD/comments/akrfa7/gerd_causing_extreme_fatigue/")</f>
        <v/>
      </c>
      <c r="G205" t="inlineStr">
        <is>
          <t>2019-01-28 12:08:10</t>
        </is>
      </c>
      <c r="H205" t="inlineStr"/>
    </row>
    <row r="206">
      <c r="A206" t="inlineStr">
        <is>
          <t>akruhp</t>
        </is>
      </c>
      <c r="B206" t="inlineStr">
        <is>
          <t>Is this all just anxiety?</t>
        </is>
      </c>
      <c r="C206" t="inlineStr">
        <is>
          <t xml:space="preserve">So my senior year in h.s (2012) I started having REALLY bad anxiety. I couldn't eat, I would get shoulder pains, light headed and I started to become a hypochondriac and I had such bad breathing issues. Towards the end of the school year I was diagnosed with generalized anxiety order, and post nasal drip. Knowing this I started going out with friends more and I felt GREAT. My anxiety barely bothered me. Fast forward to 2017 my grandmother passed away and then 7 months later my mom did. Those symptoms came back but they came back with other symptoms I don't recognize. I went to the doctor October 4th and got blood work done and everything was good. Out of nowhere one day, late October I got reallyyyyy lightheaded and that lasted for a few months before it just stopped, but then when I walk I feel like this tightness in my stomach and I'd get heartburn everytime I eat. Then I started being hyper aware of my heartbeat every time I moved and people keep telling me it's just anxiety and to calm down but it shakes me up anyway. I lay in the house everyday because this has gotten so annoying I don't want to trigger anything. Fast forward to a few weeks ago I started to feel a bit better and able to manage it but I randomly had a panic attack and after the panic attack I had flu like symptoms. My voice was gone, my head felt cloudy and I had a really bad cough but no fever, or aches. I went to the doctor and he said that I had a throat infection which he gave me antibiotics for which have now cleared it up and he gave me acid reflux meds because he said that was also an issue and why my voice was gone. It's been about two weeks and my voice is back but still kinda hoarse but I still feel the palpitations and I still feel cloudy and have a hard time eating anything that's not soup. Could it be my anxiety mixed with GERD? It's really worrying me </t>
        </is>
      </c>
      <c r="D206" t="n">
        <v>1</v>
      </c>
      <c r="E206" t="n">
        <v>15</v>
      </c>
      <c r="F206">
        <f>HYPERLINK("https://www.reddit.com/r/GERD/comments/akruhp/is_this_all_just_anxiety/")</f>
        <v/>
      </c>
      <c r="G206" t="inlineStr">
        <is>
          <t>2019-01-28 12:46:52</t>
        </is>
      </c>
      <c r="H206" t="inlineStr"/>
    </row>
    <row r="207">
      <c r="A207" t="inlineStr">
        <is>
          <t>aktyp0</t>
        </is>
      </c>
      <c r="B207" t="inlineStr">
        <is>
          <t>Apple cider vinegar remedy/other natural remedies</t>
        </is>
      </c>
      <c r="C207" t="inlineStr">
        <is>
          <t xml:space="preserve">Hello everyone does apple cider work for you?  Have you tried liquorice root or milk of magnesia?   What are some natural remedies that ACTUALLY WORK, I am desperate to find something that works, I am sick of talking zantac and the PPI's are making my joints ache.  </t>
        </is>
      </c>
      <c r="D207" t="n">
        <v>1</v>
      </c>
      <c r="E207" t="n">
        <v>0</v>
      </c>
      <c r="F207">
        <f>HYPERLINK("https://www.reddit.com/r/GERD/comments/aktyp0/apple_cider_vinegar_remedyother_natural_remedies/")</f>
        <v/>
      </c>
      <c r="G207" t="inlineStr">
        <is>
          <t>2019-01-28 16:05:37</t>
        </is>
      </c>
      <c r="H207" t="inlineStr"/>
    </row>
    <row r="208">
      <c r="A208" t="inlineStr">
        <is>
          <t>akuku7</t>
        </is>
      </c>
      <c r="B208" t="inlineStr">
        <is>
          <t>Nervous for my endoscopy</t>
        </is>
      </c>
      <c r="C208" t="inlineStr">
        <is>
          <t>So I'm scheduled for an endoscopy next week and I'm a super anxious person, especially around anything health/hospital related. The doctor told me not to eat anything after 12 am the night before, clear fluids until 4 am, and the procedure is at 7 am. I have bad acid reflux and nausea at the moment due to a condition that has yet to be diagnosed. The doctor also said that I will be given propofol for the procedure which should knock me right out. I'm super worried about the after effects of the endoscopy/propofol when I wake up. Will it make me nauseous afterwards? Will I throw up? I'm so scared to throw up, especially while drugged up. What will I expect for the next 12 hours after the procedure?
&amp;amp;#x200B;
Any tips and advice helps.
&amp;amp;#x200B;</t>
        </is>
      </c>
      <c r="D208" t="n">
        <v>1</v>
      </c>
      <c r="E208" t="n">
        <v>35</v>
      </c>
      <c r="F208">
        <f>HYPERLINK("https://www.reddit.com/r/GERD/comments/akuku7/nervous_for_my_endoscopy/")</f>
        <v/>
      </c>
      <c r="G208" t="inlineStr">
        <is>
          <t>2019-01-28 17:09:44</t>
        </is>
      </c>
      <c r="H208" t="inlineStr"/>
    </row>
    <row r="209">
      <c r="A209" t="inlineStr">
        <is>
          <t>akut55</t>
        </is>
      </c>
      <c r="B209" t="inlineStr">
        <is>
          <t>This is very unpleasant</t>
        </is>
      </c>
      <c r="C209" t="inlineStr">
        <is>
          <t>So the last few days have been rough with acid reflux. Wet burps (gross, sorry), heartburn, mucus in throat, coughing, etc. this game after a weekend with mire wine, coffee and desserts than I normally eat. Is that enough to trigger this?
I tried Zantac for two days but that did nothing. So I bought the OTC Pepcid 2 week treatment and took my first dose today. Any idea how long for that to work, if it does? 
It’s been years since I’ve had a bad flare like this, so any tips and advice would be much appreciated.</t>
        </is>
      </c>
      <c r="D209" t="n">
        <v>1</v>
      </c>
      <c r="E209" t="n">
        <v>1</v>
      </c>
      <c r="F209">
        <f>HYPERLINK("https://www.reddit.com/r/GERD/comments/akut55/this_is_very_unpleasant/")</f>
        <v/>
      </c>
      <c r="G209" t="inlineStr">
        <is>
          <t>2019-01-28 17:35:26</t>
        </is>
      </c>
      <c r="H209" t="inlineStr"/>
    </row>
    <row r="210">
      <c r="A210" t="inlineStr">
        <is>
          <t>akvh99</t>
        </is>
      </c>
      <c r="B210" t="inlineStr">
        <is>
          <t>Anyone having itching stomach/bellybutton?</t>
        </is>
      </c>
      <c r="C210" t="inlineStr">
        <is>
          <t>As the title says, I've noticed that this has become mroe of a thing within the past few days and its infuiriating as hell. The first day I took my ppi it felt a little better but I doubt this is just GERD on its own? Any tips or anything I should know in relation to this?</t>
        </is>
      </c>
      <c r="D210" t="n">
        <v>1</v>
      </c>
      <c r="E210" t="n">
        <v>1</v>
      </c>
      <c r="F210">
        <f>HYPERLINK("https://www.reddit.com/r/GERD/comments/akvh99/anyone_having_itching_stomachbellybutton/")</f>
        <v/>
      </c>
      <c r="G210" t="inlineStr">
        <is>
          <t>2019-01-28 18:47:30</t>
        </is>
      </c>
      <c r="H210" t="inlineStr"/>
    </row>
    <row r="211">
      <c r="A211" t="inlineStr">
        <is>
          <t>akvn54</t>
        </is>
      </c>
      <c r="B211" t="inlineStr">
        <is>
          <t>New to GERD, Ate A Trigger Food</t>
        </is>
      </c>
      <c r="C211" t="inlineStr">
        <is>
          <t>Hey everyone,
I was recently diagnosed with GERD and could potentially also gave gastroparesis. I'm still waiting to do a gastric emptying study.
I'm still trying to get a hang of the GERD diet and I think I ate something that's on the no-no list. My stomach feels like it's full of acid, I'm super nauseous, and I'm farting like crazy. I've been taking Zantac regularly for a few weeks now and I've already taken 2 today. I'm also on Zofran and that didn't seem to do anything.
Is there any other way to alleviate my symptoms or is this a wait it out situation?</t>
        </is>
      </c>
      <c r="D211" t="n">
        <v>1</v>
      </c>
      <c r="E211" t="n">
        <v>1</v>
      </c>
      <c r="F211">
        <f>HYPERLINK("https://www.reddit.com/r/GERD/comments/akvn54/new_to_gerd_ate_a_trigger_food/")</f>
        <v/>
      </c>
      <c r="G211" t="inlineStr">
        <is>
          <t>2019-01-28 19:05:05</t>
        </is>
      </c>
      <c r="H211" t="inlineStr"/>
    </row>
    <row r="212">
      <c r="A212" t="inlineStr">
        <is>
          <t>akwq7o</t>
        </is>
      </c>
      <c r="B212" t="inlineStr">
        <is>
          <t>GERD and Motion Sickness</t>
        </is>
      </c>
      <c r="C212" t="inlineStr">
        <is>
          <t xml:space="preserve">Hello Everyone,
Earlier this year I've been starting to get severe motion sickness up to the point any movement will make me feel like throwing up. This means I am unable to drive, watch movies or play games without getting sick. I used to be able to do these activities without any issues. Since young, I do get motion sickness (planes, boat, ship) but not up to this point. I also have GERD and diagnosed with Esophagitis about a year ago. 
Could this be made worse by GERD? Does anyone experience the same symptoms? Any tips or advice would be appreciated. </t>
        </is>
      </c>
      <c r="D212" t="n">
        <v>1</v>
      </c>
      <c r="E212" t="n">
        <v>5</v>
      </c>
      <c r="F212">
        <f>HYPERLINK("https://www.reddit.com/r/GERD/comments/akwq7o/gerd_and_motion_sickness/")</f>
        <v/>
      </c>
      <c r="G212" t="inlineStr">
        <is>
          <t>2019-01-28 21:12:13</t>
        </is>
      </c>
      <c r="H212" t="inlineStr"/>
    </row>
    <row r="213">
      <c r="A213" t="inlineStr">
        <is>
          <t>akx4s5</t>
        </is>
      </c>
      <c r="B213" t="inlineStr">
        <is>
          <t>Trouble with antibiotics</t>
        </is>
      </c>
      <c r="C213" t="inlineStr">
        <is>
          <t xml:space="preserve">Hi all, my wife seems to be suffering from h pylori and has started antibiotics in pill form (obviously prescribed). We are waiting on an endoscopy. She has not been able to eat more than a few small spoonfuls of oatbran or potatoes. Just started on drinking boost. The problem is that antibiotic pills are getting stuck at the esphophigal sphincter and are causing a burning feeling. We are 4 days into the treatment and she doesn't feel any better.
Can anyone comment on this?
</t>
        </is>
      </c>
      <c r="D213" t="n">
        <v>1</v>
      </c>
      <c r="E213" t="n">
        <v>6</v>
      </c>
      <c r="F213">
        <f>HYPERLINK("https://www.reddit.com/r/GERD/comments/akx4s5/trouble_with_antibiotics/")</f>
        <v/>
      </c>
      <c r="G213" t="inlineStr">
        <is>
          <t>2019-01-28 22:06:22</t>
        </is>
      </c>
      <c r="H213" t="inlineStr"/>
    </row>
    <row r="214">
      <c r="A214" t="inlineStr">
        <is>
          <t>al12ju</t>
        </is>
      </c>
      <c r="B214" t="inlineStr">
        <is>
          <t>Chest pain in the back</t>
        </is>
      </c>
      <c r="C214" t="inlineStr">
        <is>
          <t>I had an endoscopy and have gerd and esophagitis.  I get really bad pain in between my shoulder blades in the back. I don't get heartburn.  Usually after eating anything that is not totally bland. I take prilosec and zantac.  I have a bed that is adjustable, so I can prop up my bed. But I cannot lie on my left side. It really makes me have that pain. Anyone else have this sort of pain? Is there anything that would help it while it's happening?  It also makes it hard to breathe.  Sometimes I can hardly even walk to my car! Any suggestions?</t>
        </is>
      </c>
      <c r="D214" t="n">
        <v>1</v>
      </c>
      <c r="E214" t="n">
        <v>10</v>
      </c>
      <c r="F214">
        <f>HYPERLINK("https://www.reddit.com/r/GERD/comments/al12ju/chest_pain_in_the_back/")</f>
        <v/>
      </c>
      <c r="G214" t="inlineStr">
        <is>
          <t>2019-01-29 07:27:07</t>
        </is>
      </c>
      <c r="H214" t="inlineStr"/>
    </row>
    <row r="215">
      <c r="A215" t="inlineStr">
        <is>
          <t>al2w7q</t>
        </is>
      </c>
      <c r="B215" t="inlineStr">
        <is>
          <t>LINX and sports?</t>
        </is>
      </c>
      <c r="C215" t="inlineStr">
        <is>
          <t xml:space="preserve">If you have the Nissen fundoplication, [you're apparently not supposed to lift/push/pull anything heavier than 50 lbs](https://www.reddit.com/r/GERD/comments/aj4l5n/nissen_fundoplication_how_i_got_rid_of_my_acid/), and there's a risk of ruining the wrap if you experience a sudden chest compression (e.g. from a fall). 
Well, that rules out a lot of sports. 
I've been unable to find any corresponding information about LINX - does anyone know what the guidelines are there? 
[http://www.toraxmedical.com/linx/instructionsForUse.php](http://www.toraxmedical.com/linx/instructionsForUse.php) doesn't cover it. </t>
        </is>
      </c>
      <c r="D215" t="n">
        <v>1</v>
      </c>
      <c r="E215" t="n">
        <v>13</v>
      </c>
      <c r="F215">
        <f>HYPERLINK("https://www.reddit.com/r/GERD/comments/al2w7q/linx_and_sports/")</f>
        <v/>
      </c>
      <c r="G215" t="inlineStr">
        <is>
          <t>2019-01-29 10:19:56</t>
        </is>
      </c>
      <c r="H215" t="inlineStr"/>
    </row>
    <row r="216">
      <c r="A216" t="inlineStr">
        <is>
          <t>al52tu</t>
        </is>
      </c>
      <c r="B216" t="inlineStr">
        <is>
          <t>Drinking Maalox all day</t>
        </is>
      </c>
      <c r="C216" t="inlineStr">
        <is>
          <t>Do you suppose there is some bad side effect or worry about drinking this stuff almost every hour, every day? I couldn’t find info on past posts in here. It says not to take more than 80mL a day so I’m not. Just wondering if long term use is bad. What could possibly happen?</t>
        </is>
      </c>
      <c r="D216" t="n">
        <v>1</v>
      </c>
      <c r="E216" t="n">
        <v>3</v>
      </c>
      <c r="F216">
        <f>HYPERLINK("https://www.reddit.com/r/GERD/comments/al52tu/drinking_maalox_all_day/")</f>
        <v/>
      </c>
      <c r="G216" t="inlineStr">
        <is>
          <t>2019-01-29 13:37:45</t>
        </is>
      </c>
      <c r="H216" t="inlineStr"/>
    </row>
    <row r="217">
      <c r="A217" t="inlineStr">
        <is>
          <t>al5poz</t>
        </is>
      </c>
      <c r="B217" t="inlineStr">
        <is>
          <t>What to do about the smell?</t>
        </is>
      </c>
      <c r="C217" t="inlineStr">
        <is>
          <t>What are you doing about the bad breath that comes from gerd? I used to chew mint gum, but I think mint is not ideal for the whole gerd situation.  
To be sure, I also brush my tongue, floss, use mouthwash. Though sometimes mouthwash seems to make the smell worse, what's up with that?
Anything else you can do?</t>
        </is>
      </c>
      <c r="D217" t="n">
        <v>1</v>
      </c>
      <c r="E217" t="n">
        <v>2</v>
      </c>
      <c r="F217">
        <f>HYPERLINK("https://www.reddit.com/r/GERD/comments/al5poz/what_to_do_about_the_smell/")</f>
        <v/>
      </c>
      <c r="G217" t="inlineStr">
        <is>
          <t>2019-01-29 14:36:30</t>
        </is>
      </c>
      <c r="H217" t="inlineStr"/>
    </row>
    <row r="218">
      <c r="A218" t="inlineStr">
        <is>
          <t>al6x65</t>
        </is>
      </c>
      <c r="B218" t="inlineStr">
        <is>
          <t>TIF or STRETTA ?</t>
        </is>
      </c>
      <c r="C218" t="inlineStr">
        <is>
          <t>Has anyone had a TIF or STRETTA procedure with good results? I’m very interested in the minimal invasive methods but they just don’t have a lot of research yet. 
Thanks!</t>
        </is>
      </c>
      <c r="D218" t="n">
        <v>1</v>
      </c>
      <c r="E218" t="n">
        <v>1</v>
      </c>
      <c r="F218">
        <f>HYPERLINK("https://www.reddit.com/r/GERD/comments/al6x65/tif_or_stretta/")</f>
        <v/>
      </c>
      <c r="G218" t="inlineStr">
        <is>
          <t>2019-01-29 16:37:39</t>
        </is>
      </c>
      <c r="H218" t="inlineStr"/>
    </row>
    <row r="219">
      <c r="A219" t="inlineStr">
        <is>
          <t>al8lli</t>
        </is>
      </c>
      <c r="B219" t="inlineStr">
        <is>
          <t>Do I have GERD</t>
        </is>
      </c>
      <c r="C219" t="inlineStr">
        <is>
          <t>Hey all, I'm a 23 year old male from Canada and I'm worried about getting GERD
I do have a bad habit of going to sleep just around after eating dinner since I finish work late and Im starting to notice frequent heartburn symptoms (between 1 to 2 times a week, sometimes 0 on a good week) is there any other signs that I should be paying attention to or should I contact my physician immediately
Thanks!</t>
        </is>
      </c>
      <c r="D219" t="n">
        <v>1</v>
      </c>
      <c r="E219" t="n">
        <v>2</v>
      </c>
      <c r="F219">
        <f>HYPERLINK("https://www.reddit.com/r/GERD/comments/al8lli/do_i_have_gerd/")</f>
        <v/>
      </c>
      <c r="G219" t="inlineStr">
        <is>
          <t>2019-01-29 19:42:15</t>
        </is>
      </c>
      <c r="H219" t="inlineStr"/>
    </row>
    <row r="220">
      <c r="A220" t="inlineStr">
        <is>
          <t>al9am8</t>
        </is>
      </c>
      <c r="B220" t="inlineStr">
        <is>
          <t>New symptoms | lump in throat</t>
        </is>
      </c>
      <c r="C220" t="inlineStr">
        <is>
          <t>Hey all - 
I’ve had GERD for roughly 10 years, since I was about 18. Up until very recently,  my symptoms have primarily consisted of the typical acidic burning in my throat which has been horrible if not properly managed or I skip a Nexium dose. I’ve tried everything, and have found solace in Nexium. About 1.5-2 weeks ago, I suddenly started having that dreaded lump-in-my-throat feeling.
I’ve been scrolling through everyone’s posts and it seems fairly common, but I just wondered what everyone’s experience is with it? I wasn’t even aware of this symptom until I went to my primary physician to get it checked out and she explained that this “Globus sensation” can be a symptom of GERD. She felt my neck up, peered through my mouth, and asked a bunch of pre-cursory questions before assuring me that she wasn’t showing signs of cancer, which was my primary concern when the symptom arose suddenly.
I’m still freaked out by it, but I wanted to understand what a typical experience is for this sensation. Might be worth mentioning that my doctor also prescribed me with Pantoprazole during my visit (mainly because my insurance was asking for me to try something other than Nexium). I’m definitely willing to give it a shot. I guess the lump mixed with higher levels of anxiety (another trigger for Globus sensation) and a new medication just simply have me on edge. I would be safe in saying that my wife is even starting to become worn out by my concerns and complaining.
I appreciate all comments. Thanks, guys!</t>
        </is>
      </c>
      <c r="D220" t="n">
        <v>1</v>
      </c>
      <c r="E220" t="n">
        <v>6</v>
      </c>
      <c r="F220">
        <f>HYPERLINK("https://www.reddit.com/r/GERD/comments/al9am8/new_symptoms_lump_in_throat/")</f>
        <v/>
      </c>
      <c r="G220" t="inlineStr">
        <is>
          <t>2019-01-29 21:06:25</t>
        </is>
      </c>
      <c r="H220" t="inlineStr"/>
    </row>
    <row r="221">
      <c r="A221" t="inlineStr">
        <is>
          <t>alfjf9</t>
        </is>
      </c>
      <c r="B221" t="inlineStr">
        <is>
          <t>Think I may have pill induced esophagitis</t>
        </is>
      </c>
      <c r="C221" t="inlineStr">
        <is>
          <t>So as the title says, I was swallowing 2 capsules of a vitamin at the same timew with little water and minutes later I felt them stuck.   I went to get more water as this has happened before in the past but this time the chest pain still persists and it hurts when swallowing.  I also burp a lot and it is exacerbated by citrus or acidic like foods.  I also have always had acid reflux with lots of different kinds of foods but never this. I am concerned that that might affect it too.  I do not have a cough however.  
What should I do?</t>
        </is>
      </c>
      <c r="D221" t="n">
        <v>1</v>
      </c>
      <c r="E221" t="n">
        <v>17</v>
      </c>
      <c r="F221">
        <f>HYPERLINK("https://www.reddit.com/r/GERD/comments/alfjf9/think_i_may_have_pill_induced_esophagitis/")</f>
        <v/>
      </c>
      <c r="G221" t="inlineStr">
        <is>
          <t>2019-01-30 10:11:49</t>
        </is>
      </c>
      <c r="H221" t="inlineStr"/>
    </row>
    <row r="222">
      <c r="A222" t="inlineStr">
        <is>
          <t>alfsqi</t>
        </is>
      </c>
      <c r="B222" t="inlineStr">
        <is>
          <t>Been a lurker for a while, tried most recommendations on here but it didn’t work, here’s what did.</t>
        </is>
      </c>
      <c r="C222" t="inlineStr">
        <is>
          <t xml:space="preserve">So I’ve had GERD for about 5yrs now, at first I thought it was a lingering cough that wouldn’t go away from my cold. It would last about 4 months each year. After the 2nd year of getting this never ending cough I even went to the doctors. They thought I had walking pneumonia and prescribed inhaler for me which I used for months. The following year, same thing. This time they did an X-Ray on my lungs and did some lung tests but found nothing. 
It was then I looked into it and figured it must be from my acid reflux. I was already taking a ton of meds for my stomach problems (separate issue) this includes 5-6 pills of Zegerid for years. But after learning it was GERD last year I started trying everything I could. I even with to a holistic doctor to try something non-medicated, he prescribed licorice pills.. that didn’t work, so I researched...looked up forums, discussion boards and of course this sub. I tried most of the top recommendations on this sub including HCL Pecid and a few other stuff I grabbed at Whole Foods.. still nothing worked. Of course I was very cautious of my diet, no more soda, I stopped drinking coffee which was the hardest, no red sauce, nothing acidic.. still didn’t help.
The only thing that gave me temporary relief was a prescription called Sucrafate which is just a big pill that dissolved in water. This helped a little but I was still coughing every 20 seconds the entire day. 
Here’s what worked for me, I went on a trip a couple weeks ago to Vegas CES and I forgot all of my pills, this included my Zegrid which I have been taking religiously for many years and always seem to help my heart burn (but not my GERD).. I was just so busy walking around the convention and I would always forget to go to the store and get my over the counter meds even though my heartburn and coughing was happening.
Long story short, after 3-4 days of not taking any of my meds, I stopped coughing. Strange I didn’t put two and two together, I figured it must be because I wasn’t eating too much while in Vegas so when I got back home I started taking my meds again. The cough came back the next day... so my wife suggested it could be the meds. I told her I need it because I have horrible heart burn, but she convinced me to just try not taking it again for a few days. 
And that’s what worked. If I would have read this story I would have thought this was a stupid idea because I needed my meds because of the horrible heart burn I get. I still get it, I have heart burn right now but after 3-4 days of not taking it, the GERD went away. If my heart burn is really unbearable, I’ll take 2 Zegrid but and it will help immediately and my cough doesn’t come back, I only do this every 3 days if needed. It seemed to work because I haven’t coughed in 2 weeks.
I’m not recommending not taking your meds, some of you may need it more than I do (did) but I just wanted to share my story with you guys and I’m 100% positive this is what stopped my coughing. </t>
        </is>
      </c>
      <c r="D222" t="n">
        <v>1</v>
      </c>
      <c r="E222" t="n">
        <v>0</v>
      </c>
      <c r="F222">
        <f>HYPERLINK("https://www.reddit.com/r/GERD/comments/alfsqi/been_a_lurker_for_a_while_tried_most/")</f>
        <v/>
      </c>
      <c r="G222" t="inlineStr">
        <is>
          <t>2019-01-30 10:35:31</t>
        </is>
      </c>
      <c r="H222" t="inlineStr"/>
    </row>
    <row r="223">
      <c r="A223" t="inlineStr">
        <is>
          <t>alfzp1</t>
        </is>
      </c>
      <c r="B223" t="inlineStr">
        <is>
          <t>Loss of appetite for 2 months?</t>
        </is>
      </c>
      <c r="C223" t="inlineStr">
        <is>
          <t xml:space="preserve">I’m a 24 year old male. Starting 2 years ago I started getting bad acid indigestion and loss of appetite. The loss of appetite would last 2-3 weeks and then it would go away and my hunger would come back. I would feel normal for 2-4 months and then my loss of appetite would come back again for a couple weeks and then things would subside. When I lose my appetite I feel bloated and discomfort in my abdomen. I don’t have any pain after I eat, just the feeling of always being full of bloated. 
It flared up 2 months ago and my appetite has pretty much been gone since then. Once every couple days I’ll feel a little hungry but rarely. I currently feel bloated and tightness in my upper left abdomen. Also I have back pain, opposite of where the stomach sits, that shoots into my shoulder blade and my hip sometimes. 
Last week I went to my doctor to talk about the loss of appetite and he did a blood count and organ blood test and ordered me to do an x Ray. He had no concern since I have no pain after eating, no weight loss, fever, fatigue or night sweats. I ended up skipping the X-ray after I got my blood test back and everything came back normal. I’m regular and my stool color is normal. But my loss of appetite is still here. I feel constantly bloated. Sometimes it feels like my stomach isn’t producing enough acid? 
Should I go back to the doctor? Should I be concerned about cancer? Could a back injury cause loss of appetite? Could this be the early stages of cancer? 
</t>
        </is>
      </c>
      <c r="D223" t="n">
        <v>1</v>
      </c>
      <c r="E223" t="n">
        <v>6</v>
      </c>
      <c r="F223">
        <f>HYPERLINK("https://www.reddit.com/r/GERD/comments/alfzp1/loss_of_appetite_for_2_months/")</f>
        <v/>
      </c>
      <c r="G223" t="inlineStr">
        <is>
          <t>2019-01-30 10:53:13</t>
        </is>
      </c>
      <c r="H223" t="inlineStr"/>
    </row>
    <row r="224">
      <c r="A224" t="inlineStr">
        <is>
          <t>almn0c</t>
        </is>
      </c>
      <c r="B224" t="inlineStr">
        <is>
          <t>Any experience with the feeling of something being in your throat?</t>
        </is>
      </c>
      <c r="C224" t="inlineStr">
        <is>
          <t>I'm really fed up over this. For over two years I've had the feeling of something being in my throat. Alternating Zantac and Prilosec worked somewhat but now nothing is working. My doc put me on 30mg of Prevacid and it's like taking nothing. I'm taking allergy pills everyday, too. But nothing is helping. Eating mashed foods is the only solution I've found but then I just end up with a sore throat. 
Does anyone know what else this can be?</t>
        </is>
      </c>
      <c r="D224" t="n">
        <v>1</v>
      </c>
      <c r="E224" t="n">
        <v>9</v>
      </c>
      <c r="F224">
        <f>HYPERLINK("https://www.reddit.com/r/GERD/comments/almn0c/any_experience_with_the_feeling_of_something/")</f>
        <v/>
      </c>
      <c r="G224" t="inlineStr">
        <is>
          <t>2019-01-30 22:22:25</t>
        </is>
      </c>
      <c r="H224" t="inlineStr"/>
    </row>
    <row r="225">
      <c r="A225" t="inlineStr">
        <is>
          <t>alq8va</t>
        </is>
      </c>
      <c r="B225" t="inlineStr">
        <is>
          <t>Throat gets a dry feeling whenever I laugh too much or at night when I'm trying to sleep</t>
        </is>
      </c>
      <c r="C225" t="inlineStr">
        <is>
          <t xml:space="preserve">Whenever I try sleep my throat gets really dry and I'm trying to clear my throat  every minute it keeps me awake and when I stay at my partners I don't want to keep him up by it
When I laugh too much it does the same 
I used to take gaviscon all the time every day nearly 
But it stopped for a while 
</t>
        </is>
      </c>
      <c r="D225" t="n">
        <v>1</v>
      </c>
      <c r="E225" t="n">
        <v>0</v>
      </c>
      <c r="F225">
        <f>HYPERLINK("https://www.reddit.com/r/GERD/comments/alq8va/throat_gets_a_dry_feeling_whenever_i_laugh_too/")</f>
        <v/>
      </c>
      <c r="G225" t="inlineStr">
        <is>
          <t>2019-01-31 06:58:29</t>
        </is>
      </c>
      <c r="H225" t="inlineStr"/>
    </row>
    <row r="226">
      <c r="A226" t="inlineStr">
        <is>
          <t>alriju</t>
        </is>
      </c>
      <c r="B226" t="inlineStr">
        <is>
          <t>Do I have Gerd now?</t>
        </is>
      </c>
      <c r="C226" t="inlineStr">
        <is>
          <t xml:space="preserve">So for the past 3 days I've had these horrible burning pains radiating from my top abdoment to my lower chest and sometimes all my chest, where it feels like it's on fire. At first I just noticed minor chest burns, and didn't think much of it. But now it's getting much worse. As soon as I wake up I get this burning feeling that last all day. It seems to get worse whenever I eat or drink anything. 
Honestly I don't know why it happened, but I did recently get through a horrible cold that lasted like 3 weeks. My diet isn't really too bad either, since I try to eat healthy. I don't know If I should tell my parents, I'm 18 but was told my medicaid expired recently so im hoping it isn't too serious, since I don't know if we can afford going to the doctor for something so trivial. I'm not overweight or eat unhealthy, so that's why I'm curious to why i suddenly got this horrible burning pain.
</t>
        </is>
      </c>
      <c r="D226" t="n">
        <v>1</v>
      </c>
      <c r="E226" t="n">
        <v>4</v>
      </c>
      <c r="F226">
        <f>HYPERLINK("https://www.reddit.com/r/GERD/comments/alriju/do_i_have_gerd_now/")</f>
        <v/>
      </c>
      <c r="G226" t="inlineStr">
        <is>
          <t>2019-01-31 08:57:18</t>
        </is>
      </c>
      <c r="H226" t="inlineStr"/>
    </row>
    <row r="227">
      <c r="A227" t="inlineStr">
        <is>
          <t>alrpqs</t>
        </is>
      </c>
      <c r="B227" t="inlineStr">
        <is>
          <t>It’s not going away</t>
        </is>
      </c>
      <c r="C227" t="inlineStr">
        <is>
          <t>Help</t>
        </is>
      </c>
      <c r="D227" t="n">
        <v>1</v>
      </c>
      <c r="E227" t="n">
        <v>0</v>
      </c>
      <c r="F227">
        <f>HYPERLINK("https://www.reddit.com/r/GERD/comments/alrpqs/its_not_going_away/")</f>
        <v/>
      </c>
      <c r="G227" t="inlineStr">
        <is>
          <t>2019-01-31 09:15:36</t>
        </is>
      </c>
      <c r="H227" t="inlineStr"/>
    </row>
    <row r="228">
      <c r="A228" t="inlineStr">
        <is>
          <t>alrpw5</t>
        </is>
      </c>
      <c r="B228" t="inlineStr">
        <is>
          <t>Ranitidine 150mg x 2 a day or 300mg before bed?</t>
        </is>
      </c>
      <c r="C228" t="inlineStr">
        <is>
          <t>Nothing seems to help me but thinking of changing to 300mg before bed.</t>
        </is>
      </c>
      <c r="D228" t="n">
        <v>1</v>
      </c>
      <c r="E228" t="n">
        <v>1</v>
      </c>
      <c r="F228">
        <f>HYPERLINK("https://www.reddit.com/r/GERD/comments/alrpw5/ranitidine_150mg_x_2_a_day_or_300mg_before_bed/")</f>
        <v/>
      </c>
      <c r="G228" t="inlineStr">
        <is>
          <t>2019-01-31 09:15:59</t>
        </is>
      </c>
      <c r="H228" t="inlineStr"/>
    </row>
    <row r="229">
      <c r="A229" t="inlineStr">
        <is>
          <t>alsme7</t>
        </is>
      </c>
      <c r="B229" t="inlineStr">
        <is>
          <t>My GERD wakes me up at 5:30 am every single morning.</t>
        </is>
      </c>
      <c r="C229" t="inlineStr">
        <is>
          <t xml:space="preserve">I feel like everything triggers my acid reflux and some days I just won’t eat because I don’t want to feel nauseous and bloated and gross. But when I eat, the next morning I always wake up at 5:30 with the stomach cramps from hell.
Then, some days I’ll also throw up whatever is in my stomach and some days just bile will come out. Some days I won’t throw up, just gag. But it always seems to happen when I can’t move from the toilet and I’m forced to throw up in the bathtub and rinse it down the drain like a heathen. I truly feel disgusting.
Any advice? Maybe there’s some foods I haven’t tried, admittedly my diet isn’t perfect but I need some cheap ideas because I’m broke. Also, best over the counter acid reflux pills?
Just in case anyone is going to say this: Yes, I’m sure I’m not just pregnant. </t>
        </is>
      </c>
      <c r="D229" t="n">
        <v>1</v>
      </c>
      <c r="E229" t="n">
        <v>17</v>
      </c>
      <c r="F229">
        <f>HYPERLINK("https://www.reddit.com/r/GERD/comments/alsme7/my_gerd_wakes_me_up_at_530_am_every_single_morning/")</f>
        <v/>
      </c>
      <c r="G229" t="inlineStr">
        <is>
          <t>2019-01-31 10:36:44</t>
        </is>
      </c>
      <c r="H229" t="inlineStr"/>
    </row>
    <row r="230">
      <c r="A230" t="inlineStr">
        <is>
          <t>alt0oa</t>
        </is>
      </c>
      <c r="B230" t="inlineStr">
        <is>
          <t>Is it worth cutting caffeine completely ?</t>
        </is>
      </c>
      <c r="C230" t="inlineStr">
        <is>
          <t>I have no insurance atm, and my reflux and esophagus issues have gotten a lot worse. Gurgles and croaks and gas with a closed throat feeling all the time. . Can't sleep at night.   Only thing I'm doing is buying omeprezole. It helps but not much .  I can't get insurance without a job . And I cannot see a gastro and ent without insurance so.. As much a Im miserable I guess I need to get serious and make it work . Extremely worried about being embarrassed with regurgitation and acid, plus running to the bathroom and diareah in the months where I'm waiting to see a doctor after I start work to but it is what it is.  
 Coffee and tea are something I'm way to dependant on. So I'm thinking besides what I'm eating it's the easiest thing to target .. But the caffeine withdrawal and headaches are making it difficult to follow through with it. 
  So is it worth quiting cold turkey ? I'm guessing I'll be in for a miserable week with the migraines. Is it worth it to just drink water and cut everything out completely ? Or will the benefits not be good enough to make it worth while.</t>
        </is>
      </c>
      <c r="D230" t="n">
        <v>1</v>
      </c>
      <c r="E230" t="n">
        <v>7</v>
      </c>
      <c r="F230">
        <f>HYPERLINK("https://www.reddit.com/r/GERD/comments/alt0oa/is_it_worth_cutting_caffeine_completely/")</f>
        <v/>
      </c>
      <c r="G230" t="inlineStr">
        <is>
          <t>2019-01-31 11:12:14</t>
        </is>
      </c>
      <c r="H230" t="inlineStr"/>
    </row>
    <row r="231">
      <c r="A231" t="inlineStr">
        <is>
          <t>alt2qp</t>
        </is>
      </c>
      <c r="B231" t="inlineStr">
        <is>
          <t>Digestive enzymes recommendations without acid</t>
        </is>
      </c>
      <c r="C231" t="inlineStr">
        <is>
          <t>Hi all,
I'm trying out digestive enzymes to help my reflux. I just started taking source natural digestive enzymes. This brand is usually recommended, but it does contain static acid. Is that Okay? If you've tried this brand, what did u think?
I also recently tried papaya enzymes, which contain citric acid - gave me reflux. 
Does anyone any any effective brands they could recommend?
Also, for my digestion I've tried to take probiotic, trunature brand. This made me bloat like crazy. Did anyone else have a similar reaction?</t>
        </is>
      </c>
      <c r="D231" t="n">
        <v>1</v>
      </c>
      <c r="E231" t="n">
        <v>0</v>
      </c>
      <c r="F231">
        <f>HYPERLINK("https://www.reddit.com/r/GERD/comments/alt2qp/digestive_enzymes_recommendations_without_acid/")</f>
        <v/>
      </c>
      <c r="G231" t="inlineStr">
        <is>
          <t>2019-01-31 11:17:20</t>
        </is>
      </c>
      <c r="H231" t="inlineStr"/>
    </row>
    <row r="232">
      <c r="A232" t="inlineStr">
        <is>
          <t>alt7tj</t>
        </is>
      </c>
      <c r="B232" t="inlineStr">
        <is>
          <t>Acid reflux actually calms down with coffee</t>
        </is>
      </c>
      <c r="C232" t="inlineStr">
        <is>
          <t>Hey guys ive looked everywhere and I can’t find a solid answer, I know coffee is to be avoided with acid reflux but when I have acid reflux coffee actually does the opposite and calms my stomach.
From what I’ve research my theory is that maybe I have low stomach acid and the acidity in the coffee balances it out? Idk 😐 I’m still at a loss for answer. 
Any thoughts?</t>
        </is>
      </c>
      <c r="D232" t="n">
        <v>1</v>
      </c>
      <c r="E232" t="n">
        <v>6</v>
      </c>
      <c r="F232">
        <f>HYPERLINK("https://www.reddit.com/r/GERD/comments/alt7tj/acid_reflux_actually_calms_down_with_coffee/")</f>
        <v/>
      </c>
      <c r="G232" t="inlineStr">
        <is>
          <t>2019-01-31 11:30:28</t>
        </is>
      </c>
      <c r="H232" t="inlineStr"/>
    </row>
    <row r="233">
      <c r="A233" t="inlineStr">
        <is>
          <t>aluo33</t>
        </is>
      </c>
      <c r="B233" t="inlineStr">
        <is>
          <t>Would stretching over an exercise ball help loosen a hiatal hernia?</t>
        </is>
      </c>
      <c r="C233" t="inlineStr">
        <is>
          <t>?????</t>
        </is>
      </c>
      <c r="D233" t="n">
        <v>1</v>
      </c>
      <c r="E233" t="n">
        <v>4</v>
      </c>
      <c r="F233">
        <f>HYPERLINK("https://www.reddit.com/r/GERD/comments/aluo33/would_stretching_over_an_exercise_ball_help/")</f>
        <v/>
      </c>
      <c r="G233" t="inlineStr">
        <is>
          <t>2019-01-31 13:47:41</t>
        </is>
      </c>
      <c r="H233" t="inlineStr"/>
    </row>
    <row r="234">
      <c r="A234" t="inlineStr">
        <is>
          <t>alv9du</t>
        </is>
      </c>
      <c r="B234" t="inlineStr">
        <is>
          <t>For those suffering from digestive problems and not seeing improvement...my story of what worked.</t>
        </is>
      </c>
      <c r="C234" t="inlineStr">
        <is>
          <t>After becoming wildly ill from over eating healthy-ish foods over the years and then really overdoing it one day I found myself after 24 hours in the ER 10 pounds lighter than the day before.
I assumed my body would quickly recover but unfortunately I noticed that my digestion never did seem to get back on track and when I ate at that time I would experience a lot of pain and discomfort. After suffering like that for about three weeks I figured something more serious was wrong and I went to my primary doctor and he gave me some Prilosec. Despairingly, that actually made my symptoms worse but I took it faithfully assuming that Dr. knows best.
A month goes by, and I decided to stop taking the Prilosec because regardless of how educated this doctor may have been my body was informing me otherwise.
I did not understand nutrition, holistic healing, natural medicine, or what a truly healthy diet was at that time.
So since I noticed that every time I ate I experienced pain I just stopped eating as much. This resulted in me of course wasting away and losing weight rapidly. My family became concerned and they advised me to go to a gastroenterologist. They performed their tests and determined that I was completely fine. However, to appease me they sent me to have an endoscopy done. (Which is where they stick a camera down your throat to look into your stomach).
They found nothing wrong.
It was at that point that I really started living in the land of anxiety.
I mustered up all of my strength, energy, and any free time I had, and spent all of it at the bookstore trying to figure out what was wrong with my body.
After 3 months of this, I began noticing a slight improvement. But it plateaued. During this time I also began seeking God fervently because I realized everything about my situation was out of my control, out of the doctors’ control, and I was slowly dying.
I committed to God that I would pursue Him with all my heart, trust Him whatever the outcome, and prioritize Him above everything.
Sadly, I saw little imporvement in my health for an entire year.
Then, on one fateful day, following a year of daily prayer, God gave me peace that He heard every single one of my prayers and was going to heal me.
Another year after that experience and I was the healthiest I had ever been in my entire life.
Praise God!
A woman in my church also dealing with digestive issues had directed me to a naturopathic doctor that she was seeing and although he did not accept insurance and I was a college student and didn’t make a lot of money I spent all of my money and began being treated by him. $1000 later my health was beaming! Over the years I’ve continued to practice what I’ve learned and expanded upon what that naturopathic doctor taught me.
If you have any questions or I can be of any help please ask. 
I’m not a doctor, but I’m somebody who’s been in the trenches when traditional doctors and gastroenterologists failed and made a complete recovery. 
Check my profile for my blog for more of my story and video testimony.
Thanks for reading! Be blessed!</t>
        </is>
      </c>
      <c r="D234" t="n">
        <v>1</v>
      </c>
      <c r="E234" t="n">
        <v>8</v>
      </c>
      <c r="F234">
        <f>HYPERLINK("https://www.reddit.com/r/GERD/comments/alv9du/for_those_suffering_from_digestive_problems_and/")</f>
        <v/>
      </c>
      <c r="G234" t="inlineStr">
        <is>
          <t>2019-01-31 14:43:59</t>
        </is>
      </c>
      <c r="H234" t="inlineStr"/>
    </row>
    <row r="235">
      <c r="A235" t="inlineStr">
        <is>
          <t>alvc8o</t>
        </is>
      </c>
      <c r="B235" t="inlineStr">
        <is>
          <t>GERD?</t>
        </is>
      </c>
      <c r="C235" t="inlineStr">
        <is>
          <t>Does this sound like GERD?  For 4 days now I have had the sensation as something is stuck in my throat. Best way I can describe it.  It doesn't hurt but is weird/uncomfortable feeling. It goes from about middle of my throat to like under my collarbone. No burning or anything. I thought maybe indigestion/heartburn, so I've tried over the counter meds for them, and it hasn't made a difference. When I eat or drink, It feels like it moves very slowly through that part/like its squeezing through. Then I burb almost right after I finish swallowing. Could this still be acid reflux? I've never had issues with acid reflux/heartburn/indigestion before. Obviously if it doesn't clear up I'll make a doctor appointment, but thought maybe some of you might know some over the counter meds to try first?</t>
        </is>
      </c>
      <c r="D235" t="n">
        <v>1</v>
      </c>
      <c r="E235" t="n">
        <v>2</v>
      </c>
      <c r="F235">
        <f>HYPERLINK("https://www.reddit.com/r/GERD/comments/alvc8o/gerd/")</f>
        <v/>
      </c>
      <c r="G235" t="inlineStr">
        <is>
          <t>2019-01-31 14:51:38</t>
        </is>
      </c>
      <c r="H235" t="inlineStr"/>
    </row>
    <row r="236">
      <c r="A236" t="inlineStr">
        <is>
          <t>alvkk5</t>
        </is>
      </c>
      <c r="B236" t="inlineStr">
        <is>
          <t>Started 30 days of antibiotics (Trimethoprim) last night and it feels like a nuke went off in my stomach. Picture in thread of things I’m taking/eating to help my stomach. Feedback and suggestions would be much appreciated!</t>
        </is>
      </c>
      <c r="C236" t="inlineStr">
        <is>
          <t>[stomach aid](https://imgur.com/gallery/EUoTxa3)</t>
        </is>
      </c>
      <c r="D236" t="n">
        <v>1</v>
      </c>
      <c r="E236" t="n">
        <v>0</v>
      </c>
      <c r="F236">
        <f>HYPERLINK("https://www.reddit.com/r/GERD/comments/alvkk5/started_30_days_of_antibiotics_trimethoprim_last/")</f>
        <v/>
      </c>
      <c r="G236" t="inlineStr">
        <is>
          <t>2019-01-31 15:13:52</t>
        </is>
      </c>
      <c r="H236" t="inlineStr"/>
    </row>
    <row r="237">
      <c r="A237" t="inlineStr">
        <is>
          <t>alya81</t>
        </is>
      </c>
      <c r="B237" t="inlineStr">
        <is>
          <t>Just ate but need to sleep</t>
        </is>
      </c>
      <c r="C237" t="inlineStr">
        <is>
          <t>I heard that laying down after eating with gerd is a big no no, i ate out and ate a lot of food, but i need to wake up at 5:30 am for school, so what should i do?</t>
        </is>
      </c>
      <c r="D237" t="n">
        <v>1</v>
      </c>
      <c r="E237" t="n">
        <v>3</v>
      </c>
      <c r="F237">
        <f>HYPERLINK("https://www.reddit.com/r/GERD/comments/alya81/just_ate_but_need_to_sleep/")</f>
        <v/>
      </c>
      <c r="G237" t="inlineStr">
        <is>
          <t>2019-01-31 20:27:33</t>
        </is>
      </c>
      <c r="H237" t="inlineStr"/>
    </row>
    <row r="238">
      <c r="A238" t="inlineStr">
        <is>
          <t>alz946</t>
        </is>
      </c>
      <c r="B238" t="inlineStr">
        <is>
          <t>Can hunched shoulders and anterior pelvic tilt contribute to GERD?</t>
        </is>
      </c>
      <c r="C238" t="inlineStr">
        <is>
          <t>Hi all!
I've had an issue with anterior pelvic tilt ( i stick my butt out, my lower back arches and lower abs disengage) as well as super hunched shoulders.
For GERD, I think I've elevated my bed enough and have gotten to a good diet, but still have some reflux.
I'm wondering if this poor posture is contributing? I'm currently trying to undo it with exercises. What do you think?</t>
        </is>
      </c>
      <c r="D238" t="n">
        <v>1</v>
      </c>
      <c r="E238" t="n">
        <v>5</v>
      </c>
      <c r="F238">
        <f>HYPERLINK("https://www.reddit.com/r/GERD/comments/alz946/can_hunched_shoulders_and_anterior_pelvic_tilt/")</f>
        <v/>
      </c>
      <c r="G238" t="inlineStr">
        <is>
          <t>2019-01-31 22:32:11</t>
        </is>
      </c>
      <c r="H238" t="inlineStr"/>
    </row>
    <row r="239">
      <c r="A239" t="inlineStr">
        <is>
          <t>alzhlp</t>
        </is>
      </c>
      <c r="B239" t="inlineStr">
        <is>
          <t>Epigastric pain when hungry, turned into chronic epigastric gnawing, deep pain.</t>
        </is>
      </c>
      <c r="C239" t="inlineStr">
        <is>
          <t>Trying to figure out if I have GERD or something worse. Been dealing with chronic pain for the past 4 months in what seems to be different parts of my stomach when hungry (food made the pain go away). Now, over the past few days, the pain has turned into a chronic pain that is only mildly fixed by food.
I was tested as H. Pylori negative, and given a prescription of Omeprazole for about 2 months, which did not have any effect on my symptoms. The pain causes me to have headaches and an overall achy feel. Does anyone have any thoughts? What are my options short of an endoscopy? I’m meeting with my doctor next week but I’m worried I’ll just be prescribed more PPIs even though my first go round for two months had no relief.</t>
        </is>
      </c>
      <c r="D239" t="n">
        <v>1</v>
      </c>
      <c r="E239" t="n">
        <v>1</v>
      </c>
      <c r="F239">
        <f>HYPERLINK("https://www.reddit.com/r/GERD/comments/alzhlp/epigastric_pain_when_hungry_turned_into_chronic/")</f>
        <v/>
      </c>
      <c r="G239" t="inlineStr">
        <is>
          <t>2019-01-31 23:05:52</t>
        </is>
      </c>
      <c r="H239" t="inlineStr"/>
    </row>
    <row r="240">
      <c r="A240" t="inlineStr">
        <is>
          <t>am2pvh</t>
        </is>
      </c>
      <c r="B240" t="inlineStr">
        <is>
          <t>New Here</t>
        </is>
      </c>
      <c r="C240" t="inlineStr">
        <is>
          <t xml:space="preserve">Hi everyone. I am a 22 yo female. I haven't properly been diagnosed with GERD, but I am positive I have it. I have acid reflux/heartburn like 2 or 3 times a week. Sometimes I even have episodes where it will last days and no meds really help. Anyway, lately I have been feeling like i have mucus or something in the back of my throat. I also feel short of breath sometimes and I worry that I have aspirated the acid into my lungs. I am a hypochondriac, so this really bothers me. Has anyone else experienced shortness of breath from  GERD? </t>
        </is>
      </c>
      <c r="D240" t="n">
        <v>1</v>
      </c>
      <c r="E240" t="n">
        <v>6</v>
      </c>
      <c r="F240">
        <f>HYPERLINK("https://www.reddit.com/r/GERD/comments/am2pvh/new_here/")</f>
        <v/>
      </c>
      <c r="G240" t="inlineStr">
        <is>
          <t>2019-02-01 06:47:49</t>
        </is>
      </c>
      <c r="H240" t="inlineStr"/>
    </row>
    <row r="241">
      <c r="A241" t="inlineStr">
        <is>
          <t>am3chc</t>
        </is>
      </c>
      <c r="B241" t="inlineStr">
        <is>
          <t>Please, I need a pros (you guys) opinion on nexium. To take or not to take..</t>
        </is>
      </c>
      <c r="C241" t="inlineStr">
        <is>
          <t>Okay so Ill try and not make this too long winded. Or just skip to the bottom for the question.
Currently I am 33. Probably when I was around 20 I started getting acid reflux. I took tums here and there and it always solved the problem.
Within the last year it started getting more frequent. 
Roughly 8 months ago was the first time I realized just how bad/painful it can get. Every burp literally felt like acid was being splashed on the back of my throat. Thankfully that degree of pain was a 1 time thing.
Now, within the past three months my acid reflux has become a daily thing. But never as bad as that one experience. And for the most part always treatable with maybe 8-10 tums daily. But after 3 months of doing that I figure its probably time to try and find an alternative.
I’ve had been thinking about going to see a doc but figured it could wait until I have a more serious unrelated issue and just bring it up at the same time.
Now this bring us to the past 2 weeks. 
I was on vacation out of the country and while away I developed a very sore tooth in need of a root canal. So seeing as I am not made of money and this was the first time I had been on a vacation like this I’d be damned if I was gonna let my tooth bring me down.
To combat this I was taking about 8 Advil a day for a week straight for my tooth. Also being on vacation I was boozing pretty heavily. This lead to once again getting that severe reflux in the back of my throat and lead me to take 16 tums (the max dose) a day.
Now while I was talking about my issues with my gf another vacationer overheard me and having acid reflux problems herself sympathized with me. She gave me a 40mg doze of nexium from her prescribed stash and I blindly took it needing anything to cure the pain.
Now, 3 weeks later, I haven’t had to take a tum or any sort of acid reducer until today.
That one dose of nexium worked so well I didn’t have to take anything for 3 weeks. 
I went to a pharmacy and realized I could get it prescribed over the counter from the pharmacist. What he told me to do was a 14 day treatment (20mg a day) and that might solve my problems for good. But after reading about nexium online it seems people are completely dependant on it and aren’t even able to quit taking it. 
Question: Should I listen to my pharmacist and do the 14 day treatment (20mg a day) and hope that cures me or should I just keep them and take one whenever I need it, hoping it will be like the first time and help me for a few weeks. 
OR should I avoid this drug all together seeing as it seems to have become a dependency for a lot of people. 
Any advice is welcome! Even if I just get a bunch of responses telling me to go see a doctor!
Thanks</t>
        </is>
      </c>
      <c r="D241" t="n">
        <v>1</v>
      </c>
      <c r="E241" t="n">
        <v>4</v>
      </c>
      <c r="F241">
        <f>HYPERLINK("https://www.reddit.com/r/GERD/comments/am3chc/please_i_need_a_pros_you_guys_opinion_on_nexium/")</f>
        <v/>
      </c>
      <c r="G241" t="inlineStr">
        <is>
          <t>2019-02-01 07:48:58</t>
        </is>
      </c>
      <c r="H241" t="inlineStr"/>
    </row>
    <row r="242">
      <c r="A242" t="inlineStr">
        <is>
          <t>am5c3a</t>
        </is>
      </c>
      <c r="B242" t="inlineStr">
        <is>
          <t>Rebound Reflux and other questions</t>
        </is>
      </c>
      <c r="C242" t="inlineStr">
        <is>
          <t>Hi, I was diagnosed with GERD back in early December; I took Omeprazole 20mg once a day for two weeks, then was converted to Pantoprazole 40mg once a day for three additional weeks, after which biopsies from upper endoscopy revealed healthy stomach/esophagus, with symptoms of GERD in the LES. All the while I was taking Ranitidine 150mg twice a day along with the PPIs.
At that point the GI specialist told me it's okay to be off the PPI and continue the Ranitidine 150mg twice a day. (I was complaining of bad chest pressures, unexplained hair loss and utter inability to digest and poop) Now it has been about 2 and a half weeks since I've been on Ranitidine only, and I get rebound reflux every now and then starting last week (especially when I eat a lot or when my stomach is empty before dinner). Is Rebound reflux common for patients who's only took PPIs for 4-6 weeks like me? I'm all for fighting through if it ends eventually as PPIs were hell. 
Nowadays I practice very clean eating habits (no spicy, no pepper, no alcohol, no smoking, finish dinner 3 hours before bed, vitaminD/fish oil with probiotics and enzymes), and activities (workout 3xweek, yoga 2xweek, meditation once a day). I am going on a pre-planned trip to Thailand in mid-march where I am thinking about drinking. Is it okay to drink there after being on ranitidine for ~12 weeks, or should I start incorporating a light beer here and there now and see how I respond? I am not going to drink in Thailand if my body won't allow but also want to have a little fun as this maybe my last trip in a while.</t>
        </is>
      </c>
      <c r="D242" t="n">
        <v>1</v>
      </c>
      <c r="E242" t="n">
        <v>5</v>
      </c>
      <c r="F242">
        <f>HYPERLINK("https://www.reddit.com/r/GERD/comments/am5c3a/rebound_reflux_and_other_questions/")</f>
        <v/>
      </c>
      <c r="G242" t="inlineStr">
        <is>
          <t>2019-02-01 10:47:49</t>
        </is>
      </c>
      <c r="H242" t="inlineStr"/>
    </row>
    <row r="243">
      <c r="A243" t="inlineStr">
        <is>
          <t>am5f5q</t>
        </is>
      </c>
      <c r="B243" t="inlineStr">
        <is>
          <t>Do you ever cough up orange stuff?</t>
        </is>
      </c>
      <c r="C243" t="inlineStr">
        <is>
          <t>Hi guys, I've been reading through this forum for about half an hour and haven't seen this asked. Is it common for people to cough up reflux fluid that is orange? After some Googling I found this: [https://healthunlocked.com/oesophagus/posts/136461799/reflux-cough-bile](https://healthunlocked.com/oesophagus/posts/136461799/reflux-cough-bile) 
This is the colour of stuff that I was coughing up this morning. Seems to be bile of some kind? I had a nighttime reflux attack last night... and this morning my lungs hurt, especially on my walk to work with the cold/snow etc. Feels unbelievably harsh. Sore throat too, and wheezing that turns into coughing/heaving when I breathe out. :(
I assume you can have GERD and LPR concurrently? I am positive I have both as I reflux all the way up into my nose at the worst of times.
I have been dealing with reflux issues for about 10+ years now (I'm 30). I go through periods, a couple weeks even, where I don't have any symptoms, then all of a sudden they flare up and I'm refluxing every night - even if I'm eating very, very bland foods. It's inexplicable, it's miserable. I have been on pantoprazole before, but it didn't really work for me, so I'm on Dexilant now. It seems to work a bit better. But I feel like I've tried everything from apple cider vinegar to orange peel extract (d-limonene) to Gaviscon Advance, and I'm still looking for something that will make me feel better. To be honest, I'm scared to get the tests done. I have crippling health anxiety, and even though I know it's better to know, I still don't want to. You know?</t>
        </is>
      </c>
      <c r="D243" t="n">
        <v>1</v>
      </c>
      <c r="E243" t="n">
        <v>1</v>
      </c>
      <c r="F243">
        <f>HYPERLINK("https://www.reddit.com/r/GERD/comments/am5f5q/do_you_ever_cough_up_orange_stuff/")</f>
        <v/>
      </c>
      <c r="G243" t="inlineStr">
        <is>
          <t>2019-02-01 10:55:35</t>
        </is>
      </c>
      <c r="H243" t="inlineStr"/>
    </row>
    <row r="244">
      <c r="A244" t="inlineStr">
        <is>
          <t>am62lx</t>
        </is>
      </c>
      <c r="B244" t="inlineStr">
        <is>
          <t>Creating a general guide for people who are new to this board</t>
        </is>
      </c>
      <c r="C244" t="inlineStr">
        <is>
          <t xml:space="preserve">&amp;amp;#x200B;
# *** IF YOU WOULD LIKE TO CONTRIBUTE TO THIS GUIDE PLEASE MESSAGE ME***
I like the rest of you have GERD. It's not the end of the world but its probably one of the worst things you can have to life with in your life. Please keep in mind when reading this post that I'm not someone with allot of knowledge or understanding in this field but I'm here to try to help and looking for more people who have proper experience dealing or even fixing their GERD. Now lets get on to the meat of the topic.   
# What causes GERD?
There's a numerous amount of things that can cause it, and even other underlying issues that could be worse. From basic to most severe. Many people claim that GERD is caused by your body not producing enough acid but this is dependent on the person, the mostly likely reason is that your body is either overproducing acid, have an irritated stomach, or have a weak LES not that it's not producing enough. 
&amp;amp;#x200B;
**DO NOT THINK THE WORST, ALWAYS GO TO YOUR GP/DOCTOR BEFORE TAKING THIS ADVICE. I AM NOT A PROFESSIONAL AND THE INFORMATION HERE IS PURELY FOR THE GENERAL PUBLIC.** 
* **Overeating in one meal and/or Eating too fast**
   * Overeating can stretch your stomach and cause your stomach to produce more acid than it should. It can also lead   
to a hernia so I'd highly recommend you chew your food and keep meals at a moderate size, everyone schedule      and lifestyles are different but you can easily avoid having intestinal issues by just eating at a more paced speed      and moderate amount. 
&amp;amp;#x200B;
* **Poor posture during/after eating**
   * You'd be surprised how much our posture actually effects us. Remember to sit up straight and don't put pressure on your stomach, don't clench it after you eat and try to be as straight as possible either by standing or sitting in your chair. Likewise when you sleep remember to not put pressure on your stomach, it's a fleshy bit and fleshy bits CAN be damaged. 
&amp;amp;#x200B;
* **Being overweight and generally unhealthy**
   * This is pretty self explanatory, being overweight in itself causes tons of different issues. IF you're overweight you're putting pressure on your stomach and causing your body to push your food back into your esophagus. Hit the gym, this should be a normal thing for most people but allot of people feel like they're invincible until it's too late. Save yourself the heart trip and the acid trip by being healthy and eating proper food, if you're constantly eating fatty, greasy, high-sugar foods you're not helping your stomach in any way. 
&amp;amp;#x200B;
* **Stress**
   * Stress has been proven to cause all sorts of issues in your body, if you're under constant stress or are a naturally anxious person GERD is a very common symptom to have. You need to deal with whats causing you stress and try to eliminate it, ironically gerd makes you even more stressed so for most people this can be quiet difficult but try to talk to your GP or a therapist if you need. **STRESS IS SERIOUS DO NOT OVERLOOK THIS**
&amp;amp;#x200B;
* **Other diseases**
   * There are a host of diseases that can cause similar issues to GERD, a hernia being the most common among those who have GERD and H.Pylori, even something like stomach cancer can cause it. IF you feel a bulge in your stomach or colon **GO SEE A DOCTOR**, this could be a sign of anything and your body will always try to warn you before its too late. 
# Symptoms of GERD
* Difficulty breathing
* Difficulty swallowing small portions of food
* Acid reflux that lasts for more than 30 minutes
* Acid reflux when you lie down
* Burning radiating from your stomach to your navel (more prominent in those with h.pylori or a hernia)
* Stomach feels like sandpaper
* Weird gurguling and excessive burping
* Burning in throat
* Horrible breath
* Horrible gas
* Coughing phlem
* Coughing blood
* etc
Those are the most common ones, not in order but if you have any of these (minus the blood coughing) there's a high chance you have GERD. Now how exactly can we relieve these symptoms? There are two ways to do so, one being the antibiotic route and the other being "naturally". **If you are given medication PLEASE take it as its prescribed to you by your doctor, the most likely outcome is it fixing your underlying issue over the short term with minimal effects over the long term.** 
&amp;amp;#x200B;
# Alleviation methods
* Eat slower, smaller meals and space your meals out every few hours
* Workout: Keep it at a pace you can do until your stomach doesn't bother you while you do them
* Don't take anti-acids, go to your doctor and ask them to give you PPIs or H2 blockers
* Probiotics:  Very subjective depending on your gut micro-biome
   * L. Acidophilus: Some people claim (including myself) that it helps with digestion when you eat something, the bacteria does digest some of the carbs associated with certain foods but it wont work for everything. 
   * Multi-Strains: These are really hit or miss, if you want to read up on them there's a nice thread from someone telling his experience on this topic: [https://www.reddit.com/r/HumanMicrobiome/comments/6k5h9d/guide\_to\_probiotics/](https://www.reddit.com/r/HumanMicrobiome/comments/6k5h9d/guide_to_probiotics/)  
Please keep in mind that again, dependent entirely on your micro-biome
* Apple Cider Vinegar: For those who think their body isn't producing enough acid, also a way to test for a hernia but isn't very reliable - **CAN BE A TRIGGER FOR SOME PEOPLE BE CAUTIOUS**
* Garlic Water: Some people believe this can help your stomach work its own thing, look up how to do this online and try it if you want - **CAN BE A TRIGGER FOR SOME PEOPLE BE CAUTIOUS**
* Tumeric: Has been shown to have anti-inflammatory properties due to curcumin, take in pill form do NOT take it by the spoon
* Broccoli Sprouts: Some people (myself included) have found benefits form eating around 70 - 100 g of this a day, they're mildly spicy and if you don't have a problem with taste as they're bland, they can help your stomach in various ways
* If you have anything else you'd like to add (that's not a sponsored product or religious ramblings) please feel free to suggest and I'll add. 
&amp;amp;#x200B;
# Things not to do/prepare for
* Check your trigger foods, it's incredibly important to keep track of what causes your gerd to flare up vs others. Some people can't eat gluten, some can't eat tomatoes etc. 
* Eat foods with more fiber, oats are a good source of soluble fiber so it'll absorb liquids better while things like buckwheat, quinoa and others will have insoluble which will bulk your stool, look up what grains you feel like trying and go for it. 
* Eat more vegetables, greens especially. 
* Vit k2 mq 7 to counterattack the effects of high calcium levels in your body if you have this issue
* Be cautious when you're going out, make sure the places you eat at do not hold your trigger foods and keep a list of places you can eat at.
* Again if you have anything, let me know and I'll add.   
I hope this helps anyone looking for answers, some people will get better with just meds, others might require much more, everyone's different but remember to keep fighting through this, there's always hope at the end of this. </t>
        </is>
      </c>
      <c r="D244" t="n">
        <v>1</v>
      </c>
      <c r="E244" t="n">
        <v>6</v>
      </c>
      <c r="F244">
        <f>HYPERLINK("https://www.reddit.com/r/GERD/comments/am62lx/creating_a_general_guide_for_people_who_are_new/")</f>
        <v/>
      </c>
      <c r="G244" t="inlineStr">
        <is>
          <t>2019-02-01 11:55:41</t>
        </is>
      </c>
      <c r="H244" t="inlineStr"/>
    </row>
    <row r="245">
      <c r="A245" t="inlineStr">
        <is>
          <t>am7f7o</t>
        </is>
      </c>
      <c r="B245" t="inlineStr">
        <is>
          <t>Mebeverine and pantoprazole?</t>
        </is>
      </c>
      <c r="C245" t="inlineStr">
        <is>
          <t>I’ve been taking ranitidine for a while but it’s recently stopped having an affect. I have been prescribed pantoprazole instead, I also take mebeverine, the doctor didn’t mention anything so I assume it fine. But I was wondering if anyone had any experience of taking both together. Many thanks in advance.</t>
        </is>
      </c>
      <c r="D245" t="n">
        <v>1</v>
      </c>
      <c r="E245" t="n">
        <v>1</v>
      </c>
      <c r="F245">
        <f>HYPERLINK("https://www.reddit.com/r/GERD/comments/am7f7o/mebeverine_and_pantoprazole/")</f>
        <v/>
      </c>
      <c r="G245" t="inlineStr">
        <is>
          <t>2019-02-01 14:08:33</t>
        </is>
      </c>
      <c r="H245" t="inlineStr"/>
    </row>
    <row r="246">
      <c r="A246" t="inlineStr">
        <is>
          <t>am7tyj</t>
        </is>
      </c>
      <c r="B246" t="inlineStr">
        <is>
          <t>Food Help for LINX</t>
        </is>
      </c>
      <c r="C246" t="inlineStr">
        <is>
          <t>Hey all. Does anyone have any advice for someone who just got the LINX procedure a couple weeks ago? Such as what foods to eat and how long to eat them and when will you feel normal again? My sis just got this and is in terrible pain with spasms. She’s having trouble eating anything and her doctor has been of little help. Please advise!!</t>
        </is>
      </c>
      <c r="D246" t="n">
        <v>1</v>
      </c>
      <c r="E246" t="n">
        <v>7</v>
      </c>
      <c r="F246">
        <f>HYPERLINK("https://www.reddit.com/r/GERD/comments/am7tyj/food_help_for_linx/")</f>
        <v/>
      </c>
      <c r="G246" t="inlineStr">
        <is>
          <t>2019-02-01 14:50:05</t>
        </is>
      </c>
      <c r="H246" t="inlineStr"/>
    </row>
    <row r="247">
      <c r="A247" t="inlineStr">
        <is>
          <t>am89a0</t>
        </is>
      </c>
      <c r="B247" t="inlineStr">
        <is>
          <t>I'm losing hope...</t>
        </is>
      </c>
      <c r="C247" t="inlineStr">
        <is>
          <t>I began experiencing chest pain in the spring of last year. The doctor first prescribed ranitidine. That didn't work, so the next step was omeprazole, and that did work. I took that for a few months, and stopped taking it, since the problem went away. I started experiencing chest pain around Christmas last year, and two weeks ago I started taking omeprazole and ranitidine, and I noticed to little to no change. The doctor now suggests I take ranitidine and lansoprazole. I've been taking both for two days, and still no improvement. 
Has anyone had a similar experience? I'm only nineteen years old! My health shouldn't be breaking down at nineteen! I want to live to see my 60s and 70s at least, but currently I'm surprised when I wake up in the morning. This could be esophageal cancer, or throat cancer, or barett's esophagus, or a hiatal hernia, but whatever it is, I cannot seem to find the root cause. It might be medication-induced, because I've been taking sertraline for a few years now, and I was put on mirtazapine a few months ago. It could be stress. I don't smoke. I'm not overweight or obese. I get plenty of exercise. I don't eat a lot of spicy or acidic food. I've been eating smaller portions. 
I needed to vent. If you read this far, I applaud you. I'm hoping someone can help me put things into perspective. And I plan to see a specialist, by the way, in case you plan to suggest that. The body is so delicate, but I also think it's resilient, and can restore itself to health if you give it a little push.</t>
        </is>
      </c>
      <c r="D247" t="n">
        <v>1</v>
      </c>
      <c r="E247" t="n">
        <v>13</v>
      </c>
      <c r="F247">
        <f>HYPERLINK("https://www.reddit.com/r/GERD/comments/am89a0/im_losing_hope/")</f>
        <v/>
      </c>
      <c r="G247" t="inlineStr">
        <is>
          <t>2019-02-01 15:35:13</t>
        </is>
      </c>
      <c r="H247" t="inlineStr"/>
    </row>
    <row r="248">
      <c r="A248" t="inlineStr">
        <is>
          <t>amamr3</t>
        </is>
      </c>
      <c r="B248" t="inlineStr">
        <is>
          <t>Newly Diagnosed with GERD - Feeling weird symptoms after taking Pepcid</t>
        </is>
      </c>
      <c r="C248" t="inlineStr">
        <is>
          <t xml:space="preserve">I am 24 ( almost 25 ) and I have been recently having upper right abdomen pain . symptoms were lose of appetite , severe pain on that side of my body , some nausa , and constipation. I went to an urgent care and did all the tests. They thought it was a liver/ gallbladder related , but those came up negative. they then diagnosed me with GERD and gave me pepcid (20mg ) twice a day for a month.
&amp;amp;#x200B;
After taking one pill, I felt immediate relief and everything went back to normal . Problems is bloating/ pain in my middle to low abdomen and having alot of bowel movements that causes intense pain / has no billirubin in the stool. This happens with certain types of food. Fat and Coffee do the least damage ( actually calms down my stomach to some degree before and after my medication ) and I go as normal. This usually happens when I eat any types of vegetables and certain types of fish ( salmon and shrimp) during a given day when I mostly eat that type of food
&amp;amp;#x200B;
Could this be a symptom of the medication, Complications of GERD , or a whole different condition.  </t>
        </is>
      </c>
      <c r="D248" t="n">
        <v>1</v>
      </c>
      <c r="E248" t="n">
        <v>0</v>
      </c>
      <c r="F248">
        <f>HYPERLINK("https://www.reddit.com/r/GERD/comments/amamr3/newly_diagnosed_with_gerd_feeling_weird_symptoms/")</f>
        <v/>
      </c>
      <c r="G248" t="inlineStr">
        <is>
          <t>2019-02-01 20:14:49</t>
        </is>
      </c>
      <c r="H248" t="inlineStr"/>
    </row>
    <row r="249">
      <c r="A249" t="inlineStr">
        <is>
          <t>ambpob</t>
        </is>
      </c>
      <c r="B249" t="inlineStr">
        <is>
          <t>Pain and burning between shoulder blades with GERD?</t>
        </is>
      </c>
      <c r="C249" t="inlineStr">
        <is>
          <t xml:space="preserve">Ive started having a lot of reflux and heartburn recently. Have been on Esomeprazole 40 mg twice a day for 3 weeks now. It has helped a little but not that much. 
The reflux is accompanied by a pain in my upper back between the shoulder blades and a warm burning sensation in the same region. Does anyone else also have this symptom?
</t>
        </is>
      </c>
      <c r="D249" t="n">
        <v>1</v>
      </c>
      <c r="E249" t="n">
        <v>10</v>
      </c>
      <c r="F249">
        <f>HYPERLINK("https://www.reddit.com/r/GERD/comments/ambpob/pain_and_burning_between_shoulder_blades_with_gerd/")</f>
        <v/>
      </c>
      <c r="G249" t="inlineStr">
        <is>
          <t>2019-02-01 22:49:05</t>
        </is>
      </c>
      <c r="H249" t="inlineStr"/>
    </row>
    <row r="250">
      <c r="A250" t="inlineStr">
        <is>
          <t>amgf0e</t>
        </is>
      </c>
      <c r="B250" t="inlineStr">
        <is>
          <t>SSRI making reflux worse?</t>
        </is>
      </c>
      <c r="C250" t="inlineStr">
        <is>
          <t>I was prescribed a low dosage (10mg) of Prozac to try to help with my anxiety, both for my personal life and to see if that helps improve my GERD symptoms. Today was my first day of taking it. I took the pill about an hour and a half ago, and for the past hour I've been experiencing really bad reflux (even before I ate anything).
Has anyone else had a similar experience? I'm feeling a bit bummed out and unsure how to proceed from here.</t>
        </is>
      </c>
      <c r="D250" t="n">
        <v>1</v>
      </c>
      <c r="E250" t="n">
        <v>11</v>
      </c>
      <c r="F250">
        <f>HYPERLINK("https://www.reddit.com/r/GERD/comments/amgf0e/ssri_making_reflux_worse/")</f>
        <v/>
      </c>
      <c r="G250" t="inlineStr">
        <is>
          <t>2019-02-02 09:48:46</t>
        </is>
      </c>
      <c r="H250" t="inlineStr"/>
    </row>
    <row r="251">
      <c r="A251" t="inlineStr">
        <is>
          <t>amhwzl</t>
        </is>
      </c>
      <c r="B251" t="inlineStr">
        <is>
          <t>Does anybody here feel like they can't go out and socialize because of GERD?</t>
        </is>
      </c>
      <c r="C251" t="inlineStr">
        <is>
          <t>I live in Amsterdam, and all the food near the bars and clubs are all mostly composed of trigger foods.
I'm an extrovert at heart and I like to go out and meet new people, however since I got GERD two weeks ago, it has been a literal pain for me to do that and at least at home I have all my meds and emergency food like bananas and oatmeal.
&amp;amp;#x200B;
It's just that I've been feeling very lonely recently because of it. Does anyone else feel the same?</t>
        </is>
      </c>
      <c r="D251" t="n">
        <v>1</v>
      </c>
      <c r="E251" t="n">
        <v>7</v>
      </c>
      <c r="F251">
        <f>HYPERLINK("https://www.reddit.com/r/GERD/comments/amhwzl/does_anybody_here_feel_like_they_cant_go_out_and/")</f>
        <v/>
      </c>
      <c r="G251" t="inlineStr">
        <is>
          <t>2019-02-02 12:17:12</t>
        </is>
      </c>
      <c r="H251" t="inlineStr"/>
    </row>
    <row r="252">
      <c r="A252" t="inlineStr">
        <is>
          <t>amimm3</t>
        </is>
      </c>
      <c r="B252" t="inlineStr">
        <is>
          <t>Gastric Emptying Test</t>
        </is>
      </c>
      <c r="C252" t="inlineStr">
        <is>
          <t xml:space="preserve">Having this test done this coming week. Dr.  said there are no side effects. Anyone out there has had it? Any issues? </t>
        </is>
      </c>
      <c r="D252" t="n">
        <v>1</v>
      </c>
      <c r="E252" t="n">
        <v>6</v>
      </c>
      <c r="F252">
        <f>HYPERLINK("https://www.reddit.com/r/GERD/comments/amimm3/gastric_emptying_test/")</f>
        <v/>
      </c>
      <c r="G252" t="inlineStr">
        <is>
          <t>2019-02-02 13:30:04</t>
        </is>
      </c>
      <c r="H252" t="inlineStr"/>
    </row>
    <row r="253">
      <c r="A253" t="inlineStr">
        <is>
          <t>amivj2</t>
        </is>
      </c>
      <c r="B253" t="inlineStr">
        <is>
          <t>What do they biopsy for when finding "mild inflammation in esophagus and stomach" after endoscopy?</t>
        </is>
      </c>
      <c r="C253" t="inlineStr">
        <is>
          <t xml:space="preserve">I had an endoscopy yesterday. All they said for findings was "mild inflammation in esophagus and stomach - biopsies taken." They said they'll contact me in 1-2 weeks with the results. What would they be looking for in the biopsy? 
I had an endoscopy about 9 years ago with a different GI in a different facility in my area, and I'm pretty sure it was more like 3-4 days for the results, not 1-2 weeks! That place gave me a very detailed report as I left the procedure - I dug it up this year to bring to my ENT and this new GI doctor and it even had photos in the report. At that time they found a medium-sized hiatal hernia and typical signs of reflux - irregular z-line, etc. 
My report didn't even mention the hiatal hernia - one thing I've been worried about because of my symptoms is that it may have gotten much bigger over the past several years.   
I was a little annoyed that I literally didn't see my GI doctor who did the procedure, not even for a second. I talked to the anesthesiologist before and very briefly after, but the GI must not have come into the procedure room until after they knocked me out. When they brought me in there were some nurses and someone who said he was the technician who was going to be helping Dr. X, but the doctor wasn't in there yet. The last time I had one, the doctor was doing the procedure came in right before and introduced himself. He wasn't even officially my GI doctor, as my primary care had referred me for that endoscopy. 
I actually wasn't expecting to be completely knocked out, either. When I had the endoscopy the last time, they gave me the "twilight sleep" stuff, where you're technically awake, though you usually don't remember anything afterwards (and I didn't, really). This time they gave me a general anesthesia, although they said it would only be for about 5 minutes. 
I'm feeling unsettled by the whole experience. Not sure why, no one did anything wrong exactly. I guess because I thought I knew what to expect because I'd had this done before, but it didn't quite go as I thought. </t>
        </is>
      </c>
      <c r="D253" t="n">
        <v>1</v>
      </c>
      <c r="E253" t="n">
        <v>6</v>
      </c>
      <c r="F253">
        <f>HYPERLINK("https://www.reddit.com/r/GERD/comments/amivj2/what_do_they_biopsy_for_when_finding_mild/")</f>
        <v/>
      </c>
      <c r="G253" t="inlineStr">
        <is>
          <t>2019-02-02 13:54:48</t>
        </is>
      </c>
      <c r="H253" t="inlineStr"/>
    </row>
    <row r="254">
      <c r="A254" t="inlineStr">
        <is>
          <t>amjg5o</t>
        </is>
      </c>
      <c r="B254" t="inlineStr">
        <is>
          <t>Anyone else have rebound reflux from being on ranitidine (not from going off it)?</t>
        </is>
      </c>
      <c r="C254" t="inlineStr">
        <is>
          <t xml:space="preserve">Everyone talks about rebound reflux going off PPIs (which I have had), but what about rebound reflux from going \*on\* ranitidine?
I started taking ranitidine regularly about a year ago (after just taking it on occasion) and then after a month or so I stopped because I felt like when it wore off I was getting a rebound where the reflux was often worse than it was before I started taking it regularly.  It wasn't that hard to get off, a couple of days of rebound and then it was fine.
But then several months later I started taking it again at bedtime, because I found out from my ENT that I have LPR and that my chronic sinus problems, sore throat, and often waking up with a stuffy nose was due to the LP reflux and not allergies like I thought.  And the ranitidine worked like a charm.
Then I started having to take it every morning too. Then it seemed like it was getting earlier and earlier in the day that my reflux would start again and I would need to take the second dose. 
I went on omeprazole along with the ranitidine for a couple of months and had horrible side effects from that so just recently weaned myself off that. Now I'm trying to wean myself off the ranitidine because I have the feeling that it's actually making my reflux worse overall. I'm having a really hard time getting off of it this time, I guess because I've been on it longer.    
</t>
        </is>
      </c>
      <c r="D254" t="n">
        <v>1</v>
      </c>
      <c r="E254" t="n">
        <v>6</v>
      </c>
      <c r="F254">
        <f>HYPERLINK("https://www.reddit.com/r/GERD/comments/amjg5o/anyone_else_have_rebound_reflux_from_being_on/")</f>
        <v/>
      </c>
      <c r="G254" t="inlineStr">
        <is>
          <t>2019-02-02 14:53:43</t>
        </is>
      </c>
      <c r="H254" t="inlineStr"/>
    </row>
    <row r="255">
      <c r="A255" t="inlineStr">
        <is>
          <t>amkwcz</t>
        </is>
      </c>
      <c r="B255" t="inlineStr">
        <is>
          <t>Lower Esophageal Sphincter / PPI not helping / Losing Hope</t>
        </is>
      </c>
      <c r="C255" t="inlineStr">
        <is>
          <t xml:space="preserve">Hey everyone, 
I've been on PPI for about 3 weeks now and I'm absolutely MISERABLE. Since I started taking it my symptoms have gotten miles worse. I almost never feel relief from heartburn, don't sleep anymore, and eating is so stressful. Anyway.
I was put on PPI's to help heal my stomach lining, as I am diagnosed with GERD and Gastritis (No H. Pylori). I am 18 years old, I eat an extremely clean and anti-inflammatory diet as I also have a few autoimmune conditions. I still don't know the cause of my digestive disorders. All I know is that I've been getting heartburn on/off for almost a year now and a few months ago I started getting bloated every single day and getting reflux every day.
The thing is, I don't get reflux in my neck area (upper esophageal Sphincter). I've read a lot about people getting a "lump" sensation in their throat and I don't get that. What my endoscopy / pain indicates is a problem with my lower esophageal sphincter. 
I'm just really stuck right now, because the PPI is making things so miserable and while it was bad before the PPI has made things unbearable. Except I want to stay on it at least for a while so I can say I gave it a shot. 
I'm trying to find the underlying condition, I have a pituitary tumor, hashimotos disease, a bunch of weird hormone issues. Do hormones weaken the Sphincter? I got nothing. Maybe I have low stomach acid? I'm deficient in a bunch of metals despite eating them and protien sits like a rock in my stomach. 
I take digestive enzymes, probiotics, don't drink caffeine, alcohol, etc. I get reflux when I eat and when I don't eat. 
Losing hope. 
</t>
        </is>
      </c>
      <c r="D255" t="n">
        <v>1</v>
      </c>
      <c r="E255" t="n">
        <v>11</v>
      </c>
      <c r="F255">
        <f>HYPERLINK("https://www.reddit.com/r/GERD/comments/amkwcz/lower_esophageal_sphincter_ppi_not_helping_losing/")</f>
        <v/>
      </c>
      <c r="G255" t="inlineStr">
        <is>
          <t>2019-02-02 17:35:16</t>
        </is>
      </c>
      <c r="H255" t="inlineStr"/>
    </row>
    <row r="256">
      <c r="A256" t="inlineStr">
        <is>
          <t>ampuzj</t>
        </is>
      </c>
      <c r="B256" t="inlineStr">
        <is>
          <t>Afraid that my gerd is getting severe fast</t>
        </is>
      </c>
      <c r="C256" t="inlineStr">
        <is>
          <t xml:space="preserve">My gerd feels like my throat is closing up/ I have a lump in my throat under my chin.
I'm a singer and this bugs me as well.
I can see a little red, swollen rawness near the back of my throat in my mouth, im afraid that's how bad my esphogus looks like.
It's been pretty chronic since just Sept 2018. I'm wondering if this is normal or more severe. I'm seeing my doctor again tomorrow, but he never sounds like he knows what he's fucking talking about. I also see a dietitian who helps with diet, but at this point I'm on both acid reflux and fodmap. I'm following them well but still having issues. 
I'm pretty scared at how uncontrollable this feels. </t>
        </is>
      </c>
      <c r="D256" t="n">
        <v>1</v>
      </c>
      <c r="E256" t="n">
        <v>15</v>
      </c>
      <c r="F256">
        <f>HYPERLINK("https://www.reddit.com/r/GERD/comments/ampuzj/afraid_that_my_gerd_is_getting_severe_fast/")</f>
        <v/>
      </c>
      <c r="G256" t="inlineStr">
        <is>
          <t>2019-02-03 06:11:30</t>
        </is>
      </c>
      <c r="H256" t="inlineStr"/>
    </row>
    <row r="257">
      <c r="A257" t="inlineStr">
        <is>
          <t>amr8dl</t>
        </is>
      </c>
      <c r="B257" t="inlineStr">
        <is>
          <t>Husband treated for LPR still has AM chronic throat clearing/cough</t>
        </is>
      </c>
      <c r="C257" t="inlineStr">
        <is>
          <t xml:space="preserve">My 58 yr old husband for years had chronic cough &amp;amp; throat clearing.  Cough in the morning was so bad he'd throw up at least one morning a week.  He does have some allergies, kept complaining of post nasal drip.  Sinus irrigation, flonase &amp;amp; allergy pills/Singulair helped only some.  
After research, I suggested he investigate LPR &amp;amp; he was diagnosed.  I can't remember what reflux med he's on but it's helped some - no more early AM throwing up.  He's modified his diet some but still likes his evening cocktail &amp;amp; will not give up STRONG am coffee.
He continues to have MADDENING (as in drives me CRAZY).  Its hard to watch morning TV or even talk with him in the morning.
Anyone have a remedy for early AM phlegm?  Sorry if post is too long.   </t>
        </is>
      </c>
      <c r="D257" t="n">
        <v>1</v>
      </c>
      <c r="E257" t="n">
        <v>9</v>
      </c>
      <c r="F257">
        <f>HYPERLINK("https://www.reddit.com/r/GERD/comments/amr8dl/husband_treated_for_lpr_still_has_am_chronic/")</f>
        <v/>
      </c>
      <c r="G257" t="inlineStr">
        <is>
          <t>2019-02-03 08:45:05</t>
        </is>
      </c>
      <c r="H257" t="inlineStr"/>
    </row>
    <row r="258">
      <c r="A258" t="inlineStr">
        <is>
          <t>amsgsh</t>
        </is>
      </c>
      <c r="B258" t="inlineStr">
        <is>
          <t>Does anyone have bad breath from GERD?</t>
        </is>
      </c>
      <c r="C258" t="inlineStr">
        <is>
          <t xml:space="preserve">Is it just me or bad breath is one of GERD symptoms. I brush, floss, and clean my tongue daily but I still get bad breath. 
I visited my dentist last week and he told my gums and teeth are all good there is no cavities and no gum disease. I feel like my bad breath is coming from my throat. Could it be GERD? If yes how do you deal with it ? I’m feeling so down lately because I’m embarrassed to attend social gatherings due to my bad breath. </t>
        </is>
      </c>
      <c r="D258" t="n">
        <v>1</v>
      </c>
      <c r="E258" t="n">
        <v>6</v>
      </c>
      <c r="F258">
        <f>HYPERLINK("https://www.reddit.com/r/GERD/comments/amsgsh/does_anyone_have_bad_breath_from_gerd/")</f>
        <v/>
      </c>
      <c r="G258" t="inlineStr">
        <is>
          <t>2019-02-03 10:42:36</t>
        </is>
      </c>
      <c r="H258" t="inlineStr"/>
    </row>
    <row r="259">
      <c r="A259" t="inlineStr">
        <is>
          <t>amt077</t>
        </is>
      </c>
      <c r="B259" t="inlineStr">
        <is>
          <t>Finally found a doctor who was actually concerned!</t>
        </is>
      </c>
      <c r="C259" t="inlineStr">
        <is>
          <t>Like the title says, finally found a doctor who finally referred me to a GI and is taking this thin serious instead of just handing me meds and telling me to get over it. My last doctor wasn’t even concerned about the fact that a (at the time) 19 year old would get heartburn to the point of vomiting from something as simple as a salad with no dressing. I’m so happy and can’t wait to at least figure out what’s the cause</t>
        </is>
      </c>
      <c r="D259" t="n">
        <v>1</v>
      </c>
      <c r="E259" t="n">
        <v>7</v>
      </c>
      <c r="F259">
        <f>HYPERLINK("https://www.reddit.com/r/GERD/comments/amt077/finally_found_a_doctor_who_was_actually_concerned/")</f>
        <v/>
      </c>
      <c r="G259" t="inlineStr">
        <is>
          <t>2019-02-03 11:32:02</t>
        </is>
      </c>
      <c r="H259" t="inlineStr"/>
    </row>
    <row r="260">
      <c r="A260" t="inlineStr">
        <is>
          <t>amvcwz</t>
        </is>
      </c>
      <c r="B260" t="inlineStr">
        <is>
          <t>Does this sound like LPR or Gerd?</t>
        </is>
      </c>
      <c r="C260" t="inlineStr">
        <is>
          <t xml:space="preserve">This all started Dec.18th 207 with a dull leg aching for no reason which over a few weeks turned to intense leg aching that only felt a little better with walking then I started having panic attacks for no reason and night sweats and then problems sleeping and staying asleep then the end of Jan. 2018 my throat starting feeling like it was closing off and like someone was lightly chocking me so I went to ENT and had thyroid panel done and ultrasound on neck and doctor found nothing but I was still having problems so I did some other blood work and everything came back normal.I looked up my symptoms on google and it brought up Gerd and LPR and I do  have a few symptoms everything still doesn't match up. My symptoms are  the throat feeling closed off but this comes and goes some times I'll have it for a few days then not for months only to come  back again. Also I get a drippy nose some days that drips down my face and on to the floor and gets worse when its cold.But I dont have heartburn or cough at all no hoarse voice no stinky breath. No foods seem  to help or hurt it I've cut out acidic foods for 2 months at one time,onions,tomatoes,I dont drink alcohol or coffee.I also feel this weird feeling sometimes in my stomach like hunger or a gnawing feeling even when I just ate. I started drinking ph 9.5 water because I read if it is acid it will neutralize it in the mouth and throat but feel it made no difference I also chew gum through out the day in case its getting in my mouth.I went to the dentist in nov. 2018 for exam and xrays and brought it up to them but they said my teeth looked good then jan.9th this year I went back for a cleaning since I now had insurance and hygienist said my teeth looked good also. I don't taste any acid as people say it taste bad and makes them cough and throw up but I do get a hot feeling in my throat that has no taste.The feeling in my throat in down by where the neck meets the collar bone and not on the side of throat like I've seen some people say that's where they feel it. Oh ya tmi before all this I had been having diarrhea for several months before but I started taking probiiotics and that went away so I dont know if that made any difference. I know I need to go see a ENT again and  gastroenterologist but I'm afraid it will be expensive and all the will wanna do is put me on PPIs.Iv'e tried 1000mg tums and Zantac and neither made a difference.I just don't know what to do anymore. :(  </t>
        </is>
      </c>
      <c r="D260" t="n">
        <v>1</v>
      </c>
      <c r="E260" t="n">
        <v>3</v>
      </c>
      <c r="F260">
        <f>HYPERLINK("https://www.reddit.com/r/GERD/comments/amvcwz/does_this_sound_like_lpr_or_gerd/")</f>
        <v/>
      </c>
      <c r="G260" t="inlineStr">
        <is>
          <t>2019-02-03 15:16:14</t>
        </is>
      </c>
      <c r="H260" t="inlineStr"/>
    </row>
    <row r="261">
      <c r="A261" t="inlineStr">
        <is>
          <t>amw8ix</t>
        </is>
      </c>
      <c r="B261" t="inlineStr">
        <is>
          <t>Is my throat has damages by reflux?</t>
        </is>
      </c>
      <c r="C261" t="inlineStr">
        <is>
          <t>Some photos:
https://serving.photos.photobox.com/40490462bdfe6cb78a3d99e154fdd24318f449addb89b1441d28e9db4f60f5a9bd0af5bb.jpg
https://serving.photos.photobox.com/42673669e0724d747d53e054be882843363331ed88d4f9d82371288e3b4cbe21705c06a9.jpg
I know the photos are not high quality, sorry for that.</t>
        </is>
      </c>
      <c r="D261" t="n">
        <v>1</v>
      </c>
      <c r="E261" t="n">
        <v>2</v>
      </c>
      <c r="F261">
        <f>HYPERLINK("https://www.reddit.com/r/GERD/comments/amw8ix/is_my_throat_has_damages_by_reflux/")</f>
        <v/>
      </c>
      <c r="G261" t="inlineStr">
        <is>
          <t>2019-02-03 16:56:48</t>
        </is>
      </c>
      <c r="H261" t="inlineStr"/>
    </row>
    <row r="262">
      <c r="A262" t="inlineStr">
        <is>
          <t>an02om</t>
        </is>
      </c>
      <c r="B262" t="inlineStr">
        <is>
          <t>Nighttime GERD</t>
        </is>
      </c>
      <c r="C262" t="inlineStr">
        <is>
          <t xml:space="preserve">Hey guys! This is my first post here. It’s currently 4:19 A.M. my tummy is growling like crazy, but there is a lump in my throat and my chest is burning, of course... I was diagnosed with GERD at age 12 and I am now 21. I managed it well from around age 15-20 but the last year has been HELL (or what I assume hell would be like) for my insides. The past 4 1/2 weeks worse than ever though. I’ve been rotating Ranitidine and Omeprazole, but things just seem to be getting worse. I’ve tried avoiding all trigger foods, and I wait at least 5 hours after a meal before sleeping, but I’ve started to notice that I have a lot of 4 A.M. wake ups if I get too hungry. I’ve been to the doctor 3 times in the last 4 1/2 weeks and I was told “it’s just stress” come back in 2 months if your symptoms aren’t better... so now I’m just waiting praying and hoping things get better, but also frustrated that I’m not being taken seriously. This is a constant battle and I’m trying not to let it get the best of me, but it is effecting my day to day life, and I’ve almost used all of my sick days already. Yay for vomiting... 😭 anyways, I know everyone’s body is different, but I could use some tips and words of encouragement! </t>
        </is>
      </c>
      <c r="D262" t="n">
        <v>1</v>
      </c>
      <c r="E262" t="n">
        <v>7</v>
      </c>
      <c r="F262">
        <f>HYPERLINK("https://www.reddit.com/r/GERD/comments/an02om/nighttime_gerd/")</f>
        <v/>
      </c>
      <c r="G262" t="inlineStr">
        <is>
          <t>2019-02-04 01:29:41</t>
        </is>
      </c>
      <c r="H262" t="inlineStr"/>
    </row>
    <row r="263">
      <c r="A263" t="inlineStr">
        <is>
          <t>an0rn0</t>
        </is>
      </c>
      <c r="B263" t="inlineStr">
        <is>
          <t>PPIs not stopped it, what next?</t>
        </is>
      </c>
      <c r="C263" t="inlineStr">
        <is>
          <t xml:space="preserve">I get really bad silent reflux episodes roughly every 2-3 months that start with a sore throat and lump in throat then lots of mucus that makes me vomit a lot. It hurts to talk and I’m constantly coughing up chunks of mucus (occasionally with blood) and wrenching and clearing throat. Eating makes it worse, I can barely eat anything and only drink water. It also seems to bring on a blocked nose, headache and blocked sinuses.
The episode usually lasts about a week but this time it’s the eighth day and I’ve been only having water, plain boiled rice, dry crackers and a bit of plain chicken. I’m on 20mg Omeprazole and I’ve already cut out coke and spicy foods, and cut down on coffee and alcohol which I know are all triggers. I don’t want to have to stop coffee and alcohol for good, is there a stronger medication to try? I’m slim and have a pretty balanced diet so I don’t know what I’m doing to deserve such terrible reflux! </t>
        </is>
      </c>
      <c r="D263" t="n">
        <v>1</v>
      </c>
      <c r="E263" t="n">
        <v>4</v>
      </c>
      <c r="F263">
        <f>HYPERLINK("https://www.reddit.com/r/GERD/comments/an0rn0/ppis_not_stopped_it_what_next/")</f>
        <v/>
      </c>
      <c r="G263" t="inlineStr">
        <is>
          <t>2019-02-04 03:24:32</t>
        </is>
      </c>
      <c r="H263" t="inlineStr"/>
    </row>
    <row r="264">
      <c r="A264" t="inlineStr">
        <is>
          <t>an37om</t>
        </is>
      </c>
      <c r="B264" t="inlineStr">
        <is>
          <t>Very severe spitting</t>
        </is>
      </c>
      <c r="C264" t="inlineStr">
        <is>
          <t xml:space="preserve"> Age: 16, Male, 62kg, 185cm. Hi, so basically ever since last summer I have been spitting what I assume is mucus. In the morning my throat is full of it and it's white and dense. Through out the whole day i spit every 20 minutes and then it's transparent, its very slimy and might even look like saliva, but too slimy. I have problem with my nose, a lot of times I have to blow the nose and the same stuff comes out of it. After I eat, the spitting gets very severe, if I eat chocolate I spit a brown pudding, literally. All of this stuff makes me feel very uncomfortable in the throat. I have been to the doctor 3 times: First time they gave me medication to cure infected sinuses, after I finished taking that medication after 2 weeks, the situation didn't change. Second time a different doctor gave me different medication for the same reason, infected sinus, even tough he said they are not very infected. The third time another doctor told me that I have a very deviated septum, from a injury on my nose that happened like 6 years ago, at that time the doctors said nothing was broken but as it seems something was injured. They told me that I have to get a nose operation, but to get it I have to wait until I'm 18. I don't know what the problem is but this is affecting my life very much. Now I want to ask if anyone has an idea if the operation will fix this issue and if there is another way to make it less severe until then. I already tried drinking only tea and nothing else, i tried going gluten free, it doesn't help.  
Today in school after i ate  vegetable spread I almost puked multiple times, because i felt like there was a lump in my throat, I was spitting mucus the whole time and the lump is still there after like 7 hours.   
This feels so fucking bad, I have a 4th ENT doctor appointment in 2 weeks, but every week it gets a lot worse, I cant even hold on a day with this shit it feels so bad.</t>
        </is>
      </c>
      <c r="D264" t="n">
        <v>1</v>
      </c>
      <c r="E264" t="n">
        <v>13</v>
      </c>
      <c r="F264">
        <f>HYPERLINK("https://www.reddit.com/r/GERD/comments/an37om/very_severe_spitting/")</f>
        <v/>
      </c>
      <c r="G264" t="inlineStr">
        <is>
          <t>2019-02-04 08:18:49</t>
        </is>
      </c>
      <c r="H264" t="inlineStr"/>
    </row>
    <row r="265">
      <c r="A265" t="inlineStr">
        <is>
          <t>an3g4v</t>
        </is>
      </c>
      <c r="B265" t="inlineStr">
        <is>
          <t>Stomach pains anyone?</t>
        </is>
      </c>
      <c r="C265" t="inlineStr">
        <is>
          <t>I’ve got lpr which seems to have been gradually getting worse since September 2017. However, about a month ago I’ve started getting pains in my lower left abdomen. 
It’s not really a stabbing pain it’s more of a dull ache that’s there all the time. Sometimes eases after eating. 
Going to go to the docs tomorrow just wondering if anyone else has had similar? 
I’m 29 FYI.</t>
        </is>
      </c>
      <c r="D265" t="n">
        <v>1</v>
      </c>
      <c r="E265" t="n">
        <v>3</v>
      </c>
      <c r="F265">
        <f>HYPERLINK("https://www.reddit.com/r/GERD/comments/an3g4v/stomach_pains_anyone/")</f>
        <v/>
      </c>
      <c r="G265" t="inlineStr">
        <is>
          <t>2019-02-04 08:41:02</t>
        </is>
      </c>
      <c r="H265" t="inlineStr"/>
    </row>
    <row r="266">
      <c r="A266" t="inlineStr">
        <is>
          <t>an3p7s</t>
        </is>
      </c>
      <c r="B266" t="inlineStr">
        <is>
          <t>Meds</t>
        </is>
      </c>
      <c r="C266" t="inlineStr">
        <is>
          <t xml:space="preserve">Best over the counter medicine for gerd? </t>
        </is>
      </c>
      <c r="D266" t="n">
        <v>1</v>
      </c>
      <c r="E266" t="n">
        <v>15</v>
      </c>
      <c r="F266">
        <f>HYPERLINK("https://www.reddit.com/r/GERD/comments/an3p7s/meds/")</f>
        <v/>
      </c>
      <c r="G266" t="inlineStr">
        <is>
          <t>2019-02-04 09:04:40</t>
        </is>
      </c>
      <c r="H266" t="inlineStr"/>
    </row>
    <row r="267">
      <c r="A267" t="inlineStr">
        <is>
          <t>an4731</t>
        </is>
      </c>
      <c r="B267" t="inlineStr">
        <is>
          <t>Omeprazole to Ranitidine, feel like I'm getting sick now</t>
        </is>
      </c>
      <c r="C267" t="inlineStr">
        <is>
          <t>I found a thread on this from a year ago but didn't understand some of it.  My new doctor told me I need to get off omeprazole, which I have been taking for 15 years 20mg/day.  Somehow I got it in to my head that the medical guidance had changed and that it was okay to take long term.  Wrong!   She said, just up and switch to zantac.   So I finally did it, and was ok for a couple days.
But after a week I feel hungry when I go to bed, and get reflux in the back of my throat, wake up real thirsty, sore throat and feel like I'm coming down with something.   That's from the GERD, right?   
 Maybe I should have tapered first?  I keep thinking I can DO THIS but forget how bad you can feel overall from a bad stomach!
&amp;amp;#x200B;</t>
        </is>
      </c>
      <c r="D267" t="n">
        <v>1</v>
      </c>
      <c r="E267" t="n">
        <v>21</v>
      </c>
      <c r="F267">
        <f>HYPERLINK("https://www.reddit.com/r/GERD/comments/an4731/omeprazole_to_ranitidine_feel_like_im_getting/")</f>
        <v/>
      </c>
      <c r="G267" t="inlineStr">
        <is>
          <t>2019-02-04 09:50:45</t>
        </is>
      </c>
      <c r="H267" t="inlineStr"/>
    </row>
    <row r="268">
      <c r="A268" t="inlineStr">
        <is>
          <t>an6dyh</t>
        </is>
      </c>
      <c r="B268" t="inlineStr">
        <is>
          <t>Gaviscon Advance</t>
        </is>
      </c>
      <c r="C268" t="inlineStr">
        <is>
          <t xml:space="preserve">Anyone here from the US buy the gaviscon advance from amazon?  I want to but it scares the hell out of me.  Also, in the reviews it looks like recent orders are all messed up (lumpy/ broken) etc. 
My LPR has reach a peak. I can’t take it anymore. </t>
        </is>
      </c>
      <c r="D268" t="n">
        <v>1</v>
      </c>
      <c r="E268" t="n">
        <v>19</v>
      </c>
      <c r="F268">
        <f>HYPERLINK("https://www.reddit.com/r/GERD/comments/an6dyh/gaviscon_advance/")</f>
        <v/>
      </c>
      <c r="G268" t="inlineStr">
        <is>
          <t>2019-02-04 13:10:48</t>
        </is>
      </c>
      <c r="H268" t="inlineStr"/>
    </row>
    <row r="269">
      <c r="A269" t="inlineStr">
        <is>
          <t>an7bdp</t>
        </is>
      </c>
      <c r="B269" t="inlineStr">
        <is>
          <t>LPR morphing into regular GERD after taking Prilosec?</t>
        </is>
      </c>
      <c r="C269" t="inlineStr">
        <is>
          <t>I've been taking Zantac before bed for LPR that flares up at night where I'm woken up with a gurgling sensation in my throat. It has recently stopped working as well so I decided to add a Prilosec in the morning as well. What that's done is now cause more burning in the abdomen/chest without really helping the sore throat. Does anyone know what's happening here?</t>
        </is>
      </c>
      <c r="D269" t="n">
        <v>1</v>
      </c>
      <c r="E269" t="n">
        <v>0</v>
      </c>
      <c r="F269">
        <f>HYPERLINK("https://www.reddit.com/r/GERD/comments/an7bdp/lpr_morphing_into_regular_gerd_after_taking/")</f>
        <v/>
      </c>
      <c r="G269" t="inlineStr">
        <is>
          <t>2019-02-04 14:37:42</t>
        </is>
      </c>
      <c r="H269" t="inlineStr"/>
    </row>
    <row r="270">
      <c r="A270" t="inlineStr">
        <is>
          <t>an7f0e</t>
        </is>
      </c>
      <c r="B270" t="inlineStr">
        <is>
          <t>Just diagnosed - scared and could really use some advice/friendship</t>
        </is>
      </c>
      <c r="C270" t="inlineStr">
        <is>
          <t xml:space="preserve">I have had heartburn once or twice in my life previously, but it always went away soon after taking tums or pepto. 
Several days ago, I woke up in bed around 4AM with chest pain and shortness of breath. I'd never felt that combo before, and I thought it might be my heart. I felt somewhat dizzy and scared.  
I ended up in Urgent Care and they told to go to the ER. The ER docs did an EKG (normal), listened to my heart (normal), took my blood pressure (normal), did blood work to see if I had evidence of heart disease/failure (normal). Since all of those returned normal results and I am not quite yet 30, they seemed positive that my chest pain and shortness of breath have nothing to do with my heart and is most likely GERD. 
They gave me something in an IV and I was prescribed Omeprazole and sent home.
Ever since then, I have had constant heartburn with shortness of breath that comes and goes. The shortness of breath is very frightening - I am able to breathe, but it sometimes feels hard and labored.
I was very glad to hear that it's most likely not my heart, but was still so scared at home that I followed up with my PCP. He agrees with the GERD/acid reflux assessment.
I'm really afraid. I objectively know that they've ruled out heart problems, but my chest feels tight and like I can't breathe. Is this really what it's like? Can you tell me about what it feels like for you? How are you all not trembling in fear? I am googling diets and ways to help myself, but I feel scared and I could really use any sort of advice or encouragement anyone might have.
I live alone and about 40 minutes from the nearest hospital. I just keep thinking I'm going to pass out and no one will know for days and I'll die. </t>
        </is>
      </c>
      <c r="D270" t="n">
        <v>1</v>
      </c>
      <c r="E270" t="n">
        <v>85</v>
      </c>
      <c r="F270">
        <f>HYPERLINK("https://www.reddit.com/r/GERD/comments/an7f0e/just_diagnosed_scared_and_could_really_use_some/")</f>
        <v/>
      </c>
      <c r="G270" t="inlineStr">
        <is>
          <t>2019-02-04 14:47:57</t>
        </is>
      </c>
      <c r="H270" t="inlineStr"/>
    </row>
    <row r="271">
      <c r="A271" t="inlineStr">
        <is>
          <t>ana0or</t>
        </is>
      </c>
      <c r="B271" t="inlineStr">
        <is>
          <t>3 days on ppi, decided to take 2 days off and had horrible heart burn and throat pain</t>
        </is>
      </c>
      <c r="C271" t="inlineStr">
        <is>
          <t xml:space="preserve">Prior to taking the ppi (40mg) my only symptoms were an irritated stomach and slight burning in the lower chest, I was managing ok with my meals but I kept being told that stress can cause ulcers so I was told to take ppis to cure thisa. I decided to go off the meds because I was feeling really poor while on them (although the resolved the stomach pain) due to me having started feeling nauseated and light headed and couldn't stand taking them, now when I eat anything I feel like death. Is this some form of acid rebound? I had 0 esophageal damage prior (to my knowledge, been pressuring doctor for a test but they refuse) and I'm wondering whether or not its now become inflamed. </t>
        </is>
      </c>
      <c r="D271" t="n">
        <v>1</v>
      </c>
      <c r="E271" t="n">
        <v>4</v>
      </c>
      <c r="F271">
        <f>HYPERLINK("https://www.reddit.com/r/GERD/comments/ana0or/3_days_on_ppi_decided_to_take_2_days_off_and_had/")</f>
        <v/>
      </c>
      <c r="G271" t="inlineStr">
        <is>
          <t>2019-02-04 19:32:09</t>
        </is>
      </c>
      <c r="H271" t="inlineStr"/>
    </row>
    <row r="272">
      <c r="A272" t="inlineStr">
        <is>
          <t>anbdmt</t>
        </is>
      </c>
      <c r="B272" t="inlineStr">
        <is>
          <t>Annoying Nausea</t>
        </is>
      </c>
      <c r="C272" t="inlineStr">
        <is>
          <t>I have had GERD since October and Im only 16. My main symptom is definately nausea. What are the best remedies for it other than continue to take my PPIs (dont really help tbh)</t>
        </is>
      </c>
      <c r="D272" t="n">
        <v>1</v>
      </c>
      <c r="E272" t="n">
        <v>3</v>
      </c>
      <c r="F272">
        <f>HYPERLINK("https://www.reddit.com/r/GERD/comments/anbdmt/annoying_nausea/")</f>
        <v/>
      </c>
      <c r="G272" t="inlineStr">
        <is>
          <t>2019-02-04 22:21:15</t>
        </is>
      </c>
      <c r="H272" t="inlineStr"/>
    </row>
    <row r="273">
      <c r="A273" t="inlineStr">
        <is>
          <t>ane4z4</t>
        </is>
      </c>
      <c r="B273" t="inlineStr">
        <is>
          <t>Diagnosed with GERD yesterday. Feeling anxious and afraid.</t>
        </is>
      </c>
      <c r="C273" t="inlineStr">
        <is>
          <t xml:space="preserve">I’ll be the first to admit that I love fast food I love junk food. Being a marijuana smoker, I never sensed any nausea or discomfort. 
I stopped smoking because I wanted to improve my health and not feel high all the time. 
Anyway, for the past 3 weeks since I quit I’ve had the worst heartburn and throwing up acid every morning. My digestion is also messed up. 
We ruled out pregnancy with my doctor and sent me to a GI specialist since Zantac wasn’t helping. 
My GI told me it was most likely GERD but will send me for an endoscopy. He prescribed me Zantac twice daily now. 
I’m anxious. I’m afraid. I dropped 5 pounds in 3 days. It’s gotten worse and I feel like I can’t eat anything. I’m worried that I won’t be “normal” again. The nausea is constant and the only relief is throwing up acid. 
I’ve been starting the BRAT diet but I still feel weak and depleted in calories. I used to be able to have energy to exercise and now I feel so exhausted always. 
I definitely think my anxiety and stress is playing a big factor. I just can’t seem to calm down. I’m afraid of eating anything because of throwing up and having to find a bathroom. 
Anyone have similar experiences? What should I be eating? Should I keep a food diary? 
Also this may be under the wrong thread but anyone use marijuana for nausea? It works better than Zofran in my opinion. 
:( 
</t>
        </is>
      </c>
      <c r="D273" t="n">
        <v>1</v>
      </c>
      <c r="E273" t="n">
        <v>8</v>
      </c>
      <c r="F273">
        <f>HYPERLINK("https://www.reddit.com/r/GERD/comments/ane4z4/diagnosed_with_gerd_yesterday_feeling_anxious_and/")</f>
        <v/>
      </c>
      <c r="G273" t="inlineStr">
        <is>
          <t>2019-02-05 05:34:10</t>
        </is>
      </c>
      <c r="H273" t="inlineStr"/>
    </row>
    <row r="274">
      <c r="A274" t="inlineStr">
        <is>
          <t>ane9k7</t>
        </is>
      </c>
      <c r="B274" t="inlineStr">
        <is>
          <t>Omeprazole linked to depression</t>
        </is>
      </c>
      <c r="C274" t="inlineStr">
        <is>
          <t>I started taking omeprazole a few months ago and it wasn't working that well so my GI increased my dosage to 20 mg twice a day. I started feeling really depressed and after some research found out there are well-documented links between PPIs and depression. I took it for about a year about 9 years ago and did not have this problem then. However, I have been going through some difficult family stuff so my guess is I was because I was under a lot of stress this time I was more prone to this side effect. 
Needless to say, I have tapered off of it and I'm sticking to ranitidine. 
[https://www.medicalnewstoday.com/articles/321164.php](https://www.medicalnewstoday.com/articles/321164.php)
 "A new study — now published in the journal *Psychotherapy and Psychosomatics*  — has found a link between a common class of stomach drugs called  proton pump inhibitors and depression. The researchers suggest that the  pills might lead to major depressive disorder by disrupting the gut's  bacteria. "
[https://www.washingtonpost.com/national/health-science/depression-can-be-a-side-effect-of-some-common-drugs-including-ones-for-acid-reflux-and-hypertension/2018/12/21/6525811e-fc9e-11e8-ad40-cdfd0e0dd65a\_story.html?utm\_term=.f3d32c82dc26](https://www.washingtonpost.com/national/health-science/depression-can-be-a-side-effect-of-some-common-drugs-including-ones-for-acid-reflux-and-hypertension/2018/12/21/6525811e-fc9e-11e8-ad40-cdfd0e0dd65a_story.html?utm_term=.f3d32c82dc26)
&amp;amp;#x200B;
[https://www.seattletimes.com/life/wellness/drugs-to-battle-heartburn-linked-to-depression/](https://www.seattletimes.com/life/wellness/drugs-to-battle-heartburn-linked-to-depression/)</t>
        </is>
      </c>
      <c r="D274" t="n">
        <v>1</v>
      </c>
      <c r="E274" t="n">
        <v>10</v>
      </c>
      <c r="F274">
        <f>HYPERLINK("https://www.reddit.com/r/GERD/comments/ane9k7/omeprazole_linked_to_depression/")</f>
        <v/>
      </c>
      <c r="G274" t="inlineStr">
        <is>
          <t>2019-02-05 05:49:30</t>
        </is>
      </c>
      <c r="H274" t="inlineStr"/>
    </row>
    <row r="275">
      <c r="A275" t="inlineStr">
        <is>
          <t>angu3r</t>
        </is>
      </c>
      <c r="B275" t="inlineStr">
        <is>
          <t>Dexilant</t>
        </is>
      </c>
      <c r="C275" t="inlineStr">
        <is>
          <t xml:space="preserve">My doctor prescribed Dexilant after finding some bile in my intestines during an endoscopy. Are there any bad side effects for Dexilant? My pharmacist said there aren't any, but I'd like to make doubly sure. </t>
        </is>
      </c>
      <c r="D275" t="n">
        <v>1</v>
      </c>
      <c r="E275" t="n">
        <v>9</v>
      </c>
      <c r="F275">
        <f>HYPERLINK("https://www.reddit.com/r/GERD/comments/angu3r/dexilant/")</f>
        <v/>
      </c>
      <c r="G275" t="inlineStr">
        <is>
          <t>2019-02-05 10:07:59</t>
        </is>
      </c>
      <c r="H275" t="inlineStr"/>
    </row>
    <row r="276">
      <c r="A276" t="inlineStr">
        <is>
          <t>ankk0w</t>
        </is>
      </c>
      <c r="B276" t="inlineStr">
        <is>
          <t>Wedge pillow help please</t>
        </is>
      </c>
      <c r="C276" t="inlineStr">
        <is>
          <t>I have LPR and want to try sleeping on an incline to lessen my symptoms. I can't raise my bed on an angle as I sit on it sideways for watching TV. I've been looking at wedge pillows but can't find very much information on what height to get. At the moment I'm considering between 10cm (4") , 19cm (7.5") or 25cm (9.8"). I have less options because I am from NZ, so the 10cm or 25cm ones are cheaper but it seems like the incline might be too small/large?   
Does anyone have recommendations for what foam is better too? I've seen a range of combinations from full memory foam to regular foam with a memory foam layer and memory foam with a 'cool gel' layer. Also, I'm a side sleeper and can't find much info on the best way to sleep on a wedge pillow, do people normally sleep straight on the pillow or use another pillow for their head on top?</t>
        </is>
      </c>
      <c r="D276" t="n">
        <v>1</v>
      </c>
      <c r="E276" t="n">
        <v>12</v>
      </c>
      <c r="F276">
        <f>HYPERLINK("https://www.reddit.com/r/GERD/comments/ankk0w/wedge_pillow_help_please/")</f>
        <v/>
      </c>
      <c r="G276" t="inlineStr">
        <is>
          <t>2019-02-05 16:06:08</t>
        </is>
      </c>
      <c r="H276" t="inlineStr"/>
    </row>
    <row r="277">
      <c r="A277" t="inlineStr">
        <is>
          <t>anlutw</t>
        </is>
      </c>
      <c r="B277" t="inlineStr">
        <is>
          <t>Facial symptoms with GERD</t>
        </is>
      </c>
      <c r="C277" t="inlineStr">
        <is>
          <t>I just want to know if other people experience these symptoms:
Heaviness in lower face (mouth and cheeks)
Tingling in lips
Jaw pain/ ear pain
Headache 
My gastro doc doesn't think these symptoms are caused by reflux but I think they are related. Anyone else?</t>
        </is>
      </c>
      <c r="D277" t="n">
        <v>1</v>
      </c>
      <c r="E277" t="n">
        <v>8</v>
      </c>
      <c r="F277">
        <f>HYPERLINK("https://www.reddit.com/r/GERD/comments/anlutw/facial_symptoms_with_gerd/")</f>
        <v/>
      </c>
      <c r="G277" t="inlineStr">
        <is>
          <t>2019-02-05 18:24:01</t>
        </is>
      </c>
      <c r="H277" t="inlineStr"/>
    </row>
    <row r="278">
      <c r="A278" t="inlineStr">
        <is>
          <t>anmtb8</t>
        </is>
      </c>
      <c r="B278" t="inlineStr">
        <is>
          <t>Testing myself to see what works - DAY 1</t>
        </is>
      </c>
      <c r="C278" t="inlineStr">
        <is>
          <t>I was hte guy who tried making a guide before on what to do for gerd (didn't get approved for certain reasons but thats ok) and I'm back but this time to say what I've currently tested and what's been working for me.   
So to preface this I was someone who ate a TON of carbs, "healthy" ones mostly and I had absolutely upsetting gerd. I would eat things like oats, buckwheat, quinoa, amaranth you name it, I also mostly ate extra lean ground turkey and chicken breast, toast and english muffins (english muffins with any type of nut butter is amazing but always hurt my stomach for some reason) and loads of fruits. I've always worked out (almost 3 - 4 years) and I would always shovel my face with food and try to gain weight.  
My symptoms all started 3 weeks ago after consuming a massive bowl of quinoa and meat and I just had mild burning in my chest, after that I was put on ppis and since my family has history with health issues (my father was a dialysis patient and sadly passed away in the CVICU recently due to ulcers and bacterial infections)  I was not going to just stand by and take them, especially after reading what I have on the matter. I decided to go off the ppis and felt incredibly burning paining in my throat and chest no matter how much I ate, small or not. I never contributed this to the grains because I read online that what I was eating was proper and that if I maintained at least some semblance of that it would feel better.   
I had two theories after rearching about every possible type of issue I could have (LES, hernia etc) and I was at my wits end trying to figure out what my issue was, I just wanted a good night of sleep. One of the things I did pick up on was fermented foods and interestingly enough that led me to understand that as someone who ate allot of carbs I was at a high possiblity for either having low acid or having a really messed up gut microbiome and so here are my results for those of you who are interested.  
So here's an updated daily log of sorts on what I've been doing to try to combat it. 
&amp;amp;#x200B;
FYI My stools have always been labored and got to the point I was bleeding post relief (as nasty as that sounds)  
**Day 1.**   
Woke up with an empty stomach, burning in throat as usual, decided to go to the gym and pick up Saurkraut as I had heard taking it while eating might help with burning. I decided to also go on a low carb diet (veggies/minimal fruit only) and started on that.  
I decided along the way today, that I would try doing a Paleo diet (not risking for keto, I still like eating lots of veg) . Apple cider vinegar made me feel worse and I had tried everything from eating oats and bananas to taking slippery elm in tea form, which actually made my acid reflux symptoms worse for some odd reason. I am NOT advocating for this diet, I'm merly using this as a test because at this point this is the only thing I can do.   
Here were my meals for the day [https://puu.sh/CHVKk/36b89e5f45.png](https://puu.sh/CHVKk/36b89e5f45.png), I did enough research to know what I need and what I should eat while on this. It's both low fodmap and paleo friendly, I'm sure if you wanted to do keto it would be similar. 
&amp;amp;#x200B;
*Meal 1*
No acid reflux, everything seemed good. It was a very small meal though as I was fairly afraid of having to have the pain in my throat again.
&amp;amp;#x200B;
*Meal 2*
I just decided to blend everything in a smoothie, I used 2 tablespoons of collagen in this too (something I've always taken). Prior to all of this garbage I used to take a tea spoon of cocoa powder a day too with my drinks and more, would highly recommend against that for us as it can relax the gerd too often and cause more problems. The goat butter makes everything taste like goat milk so thats a plus, butter is a grey area for paleo but I enjoy it so meh. Very little acid reflux, I think because it was bigger it acted up more
*Meal 3*
Same as meal 2 but bigger because I was feeling riskier. Mild reflux, I decided to take slippery elm in between but for some reason my reflux triggered massively. DGL helped but not as much. 
*Snack*  
Just slathered the chicken in the butter and then added the residue onto the cleery, minimal acid reflux. Subsided after about 10 mins post meal.
&amp;amp;#x200B;
Meal 4  
I'm currently eating this, added an avocado to this to up the calroeis and I can say I don't really feel anything so far.   
Current thoughts of the day:  
Pleasantly surprised, I thought the fat would cause more of a burn but it hasn't. Again not advocating, this was pretty much my last attempt at anything. The problems could all be resolved because fo the Kraut though so for all I know I didn't need to take anything more than that. I'll be testing tomorrow without kraut to see how it goes.   
I'll be continuing this in a new thread tomorrow</t>
        </is>
      </c>
      <c r="D278" t="n">
        <v>1</v>
      </c>
      <c r="E278" t="n">
        <v>2</v>
      </c>
      <c r="F278">
        <f>HYPERLINK("https://www.reddit.com/r/GERD/comments/anmtb8/testing_myself_to_see_what_works_day_1/")</f>
        <v/>
      </c>
      <c r="G278" t="inlineStr">
        <is>
          <t>2019-02-05 20:08:42</t>
        </is>
      </c>
      <c r="H278" t="inlineStr"/>
    </row>
    <row r="279">
      <c r="A279" t="inlineStr">
        <is>
          <t>ann2m6</t>
        </is>
      </c>
      <c r="B279" t="inlineStr">
        <is>
          <t>Advice on PPIs?</t>
        </is>
      </c>
      <c r="C279" t="inlineStr">
        <is>
          <t>Doctor prescribed omeprazole 3 weeks ago but I still haven't taken them. I'm so scared of side effects. I'm still on bland diet and am searching for natural supplements.
Should I take PPIs?
And what supplements helped you with gerd symptoms?</t>
        </is>
      </c>
      <c r="D279" t="n">
        <v>1</v>
      </c>
      <c r="E279" t="n">
        <v>20</v>
      </c>
      <c r="F279">
        <f>HYPERLINK("https://www.reddit.com/r/GERD/comments/ann2m6/advice_on_ppis/")</f>
        <v/>
      </c>
      <c r="G279" t="inlineStr">
        <is>
          <t>2019-02-05 20:37:45</t>
        </is>
      </c>
      <c r="H279" t="inlineStr"/>
    </row>
    <row r="280">
      <c r="A280" t="inlineStr">
        <is>
          <t>anpy3h</t>
        </is>
      </c>
      <c r="B280" t="inlineStr">
        <is>
          <t>Food poisoning + GERD &amp;amp; IBS: how do I get relief?</t>
        </is>
      </c>
      <c r="C280" t="inlineStr">
        <is>
          <t>Fuck am I miserable
I have GERD and IBS and I'm pretty sure I got food poisoning from sushi I had yesterday afternoon. Either that or I'm having a really bad flare up. 
When I'm not puking, I'm going into fits of hiccups and burps, acid in my chest and throat, and my stomach is killing me. Can't even think about food, can barely think about taking sips of water let alone any meds. 
Has anyone had this horrible combo before? What did you do to get some relief?</t>
        </is>
      </c>
      <c r="D280" t="n">
        <v>1</v>
      </c>
      <c r="E280" t="n">
        <v>3</v>
      </c>
      <c r="F280">
        <f>HYPERLINK("https://www.reddit.com/r/GERD/comments/anpy3h/food_poisoning_gerd_ibs_how_do_i_get_relief/")</f>
        <v/>
      </c>
      <c r="G280" t="inlineStr">
        <is>
          <t>2019-02-06 03:51:50</t>
        </is>
      </c>
      <c r="H280" t="inlineStr"/>
    </row>
    <row r="281">
      <c r="A281" t="inlineStr">
        <is>
          <t>ansjfm</t>
        </is>
      </c>
      <c r="B281" t="inlineStr">
        <is>
          <t>Stress related GERD story</t>
        </is>
      </c>
      <c r="C281" t="inlineStr">
        <is>
          <t>About 2 months ago I had the worst, acid reflux/GERD experience. Admittedly, I don't eat a great diet so it does not come as a surprise, that I woke up clutching my chest one night because I scarfed down an entire pizza just hours before. I went to the ER because I thought it was something serious. They ran a bunch of tests, and told me nothing was wrong and it was probably acid reflux. 
I went to primary care days after. They gave me Prilosec. This seemed to work intermittently, but I was still having issues keeping food down. It seemed anything I ate that was a top trigger (coffee, alcohol, tomato sauce, spicy food), would cause serious chest pain, and tense throat pain. I lost 7 pounds in like 3 days for not eating. I was also slightly depressed because of this.
Anyways, during all this happening I was under an extreme amount of stress due to work, and I was trying to pass a certification for my job. The day I passed the certification is the day all the pain and issues with my chest went away. I stopped taking the PPI's and I am eating what I want again. I plan on radically changing my diet, because I feel like in times of stress your body needs actual good food to compensate. I feel like the spike in stress can drastically influence GERD/acid reflux symptoms.</t>
        </is>
      </c>
      <c r="D281" t="n">
        <v>1</v>
      </c>
      <c r="E281" t="n">
        <v>4</v>
      </c>
      <c r="F281">
        <f>HYPERLINK("https://www.reddit.com/r/GERD/comments/ansjfm/stress_related_gerd_story/")</f>
        <v/>
      </c>
      <c r="G281" t="inlineStr">
        <is>
          <t>2019-02-06 08:38:18</t>
        </is>
      </c>
      <c r="H281" t="inlineStr"/>
    </row>
    <row r="282">
      <c r="A282" t="inlineStr">
        <is>
          <t>anweuw</t>
        </is>
      </c>
      <c r="B282" t="inlineStr">
        <is>
          <t>GERD and eating disorders</t>
        </is>
      </c>
      <c r="C282" t="inlineStr">
        <is>
          <t>is it possible to have developed GERD from months of disordered eating (extreme caloric restriction / binge eating episodes) ?</t>
        </is>
      </c>
      <c r="D282" t="n">
        <v>1</v>
      </c>
      <c r="E282" t="n">
        <v>5</v>
      </c>
      <c r="F282">
        <f>HYPERLINK("https://www.reddit.com/r/GERD/comments/anweuw/gerd_and_eating_disorders/")</f>
        <v/>
      </c>
      <c r="G282" t="inlineStr">
        <is>
          <t>2019-02-06 14:22:51</t>
        </is>
      </c>
      <c r="H282" t="inlineStr"/>
    </row>
    <row r="283">
      <c r="A283" t="inlineStr">
        <is>
          <t>ao0md0</t>
        </is>
      </c>
      <c r="B283" t="inlineStr">
        <is>
          <t>Profits AC side effects?</t>
        </is>
      </c>
      <c r="C283" t="inlineStr">
        <is>
          <t>Can taking pepcid AC (20mg twice a day) cause problems when someone doesn't have GERD? I've been taking it for a week or two now and I think I may not have GERD as it hasn't helped my primary symptom (burping) at all and I feel super nauseous. So I'm wondering...what does it do when you don't have too much acid in the first place and what kind of side effects could it have?</t>
        </is>
      </c>
      <c r="D283" t="n">
        <v>1</v>
      </c>
      <c r="E283" t="n">
        <v>2</v>
      </c>
      <c r="F283">
        <f>HYPERLINK("https://www.reddit.com/r/GERD/comments/ao0md0/profits_ac_side_effects/")</f>
        <v/>
      </c>
      <c r="G283" t="inlineStr">
        <is>
          <t>2019-02-06 21:52:34</t>
        </is>
      </c>
      <c r="H283" t="inlineStr"/>
    </row>
    <row r="284">
      <c r="A284" t="inlineStr">
        <is>
          <t>ao3f94</t>
        </is>
      </c>
      <c r="B284" t="inlineStr">
        <is>
          <t>Stretta not covered by insurance</t>
        </is>
      </c>
      <c r="C284" t="inlineStr">
        <is>
          <t>Have bcbs/excellus for insurance. They don’t cover the stretta procedure plus no one even performs the procedure near me (live in central NY). Had a nissen about 15 years ago, but it loosened about a year ago and my symptoms have gotten progressively worse. Also have barrettes now. Ppis and the like don’t work much. Take name brand nexium 40 mg, and 300 mg ranitidine, plus recently carafate.
I’ve called some of the doctors from the stretta physician finder on their website to just get a cash price. Besides getting annoyed at the ineptness of the office personnel, I was able to get a ballpark price of 6-10k, which is way out of my ability to pay out of pocket. It seems the price differs based on state. I’m disabled for several health issues so don’t make a lot on disability. What are any recommendations on getting this done and paid for? Other insurance companies cover it, but that doesn’t help me. I can’t go through another nissen, I’d die first, as the side effects were too much for me.</t>
        </is>
      </c>
      <c r="D284" t="n">
        <v>1</v>
      </c>
      <c r="E284" t="n">
        <v>7</v>
      </c>
      <c r="F284">
        <f>HYPERLINK("https://www.reddit.com/r/GERD/comments/ao3f94/stretta_not_covered_by_insurance/")</f>
        <v/>
      </c>
      <c r="G284" t="inlineStr">
        <is>
          <t>2019-02-07 04:53:17</t>
        </is>
      </c>
      <c r="H284" t="inlineStr"/>
    </row>
    <row r="285">
      <c r="A285" t="inlineStr">
        <is>
          <t>ao3v0m</t>
        </is>
      </c>
      <c r="B285" t="inlineStr">
        <is>
          <t>My GERD Story and Current things...</t>
        </is>
      </c>
      <c r="C285" t="inlineStr">
        <is>
          <t xml:space="preserve">Hey folks, 
So I, like most of you, suffer from GERD. It started for me ~6 years ago and progressed rather swiftly. 
I started off with just mild heartburn. I would take a tums and it would go away. At first, it was just with some foods and I figured "Meh, im 30... just getting older so I gotta take it easy on the spicy." But it began to become more common and with more foods. Eventually, it started happening with just about everything I ate and I was taking tums every day.
It was at this point that my wife said "Babe, it's time to speak to the doctor". This was 5 years ago. I went to my PCP and they prescribed Protonix. I took protonix for a few weeks (per the prescription) and everything went back to normal. I went to my followup and felt great! And then a few weeks later, the acid came back. I went back to the doctor and this time it was omeprazole. And again, worked for a few weeks, acid went away, but then it came back. We swapped between them, tried off periods/on periods, etc to see if we could get it under control, but nothing really worked for more than a week at most and then it would come back. This went on for a few years.
Fast forward to ~ 2 years ago. By now, the PPIs wouldnt work even if combined with H2 blockers. I would have acid reflux even without food. Just for large parts of every single day I would sit with severe reflux. I carried tums everywhere I went and would chew on them all day long. Eventually, about 2 years ago, I was sent to a specialist to have some tests done (dont know why it took PCP that long to set that up). 
The GI doc setup Endocscopy w/ bravo, barium swallow, and manometry after hearing my history. My results from the endoscopy after 4 years of constant heartburn was barretts esophagus, LA Grade B esophigtis, and a Hiatal hernia to with it. My ES was also damaged. After the bravo was done, it showed that I was in reflux for 6 1/2 hours per day. I was scheduled with a GI Surgeon immediately to see my options while we waited to do manometry 
The barium swallow results showed the liquid as soon as it got down would freely splash and come back up. I regurgitate everything, so this wasn't a surprise (including liquids). The manometry results were very alarming as well. The only working part of the esophagus was the upper esophagus. It registered no pressure anywhere below the first third. 
Surgeon time and the suggestion was a fundoplication after all tests were said and done. It was explained how the fundo would stop acid from coming out and could restore a normal life balance. So... I said fuck yea! Lets get it done. So one month later, I did. And it was as easy (on me) as taking a nap!
Hold on, let me explain the worst part. It wasn't the pain for the first week after recovering. That was meh... It was from the moment I woke up after until they removed the damn NG tube. That is the worst thing of ALL OF IT. And you know what, I was awake for 24 straight hours until they removed it post op. I couldn't sleep. I couldn't talk. I could barely breathe right. It was TERRIBLE. But it was out (they were going to leave it in for another 12 hours, but I told them take it out or I rip it out).
So life was/is still great afterwards. I feel amazing. I can eat everything except Indian food (its a trigger for not reflux, but indigestion). And I am OK with that. Except... 
I went for a one year checkup at the GI doc. I was happy to be there, told him I felt great, etc... He said its time to do the first year post surgery endoscopy, and since I have diverticulosis, its a good time to check the booty as well. So we scheduled up and three weeks ago, I had it done.
The results were bad. Turns out, the fundo didn't work 100%. Sure, acid no longer comes all the way up, but its still coming up. I just no longer have any feeling down there. I now have 4 ulcers that were all bad enough that they needed an hemoclip for each to seal. Thats 4 of them... The barretts is worse than the previous exam. I now have LA Grade D Esophigitis. And they had to clip a growth and seal that as well. 
Long story short, I am 5 days away from my followup to get full results of biopsy. I also had a fibro scan done to check on a hemangioma in my liver as well as the fatty liver I have (mind you, im not super heavy, I weigh 210 lbs at 5'10", but its mostly on the muscle side). I am nervous about the results. But all this in 6 years. Not even sure why its as severe as it is. But hey, its life. I think the biggest worry is the C word since it runs heavily in my family. 
</t>
        </is>
      </c>
      <c r="D285" t="n">
        <v>1</v>
      </c>
      <c r="E285" t="n">
        <v>5</v>
      </c>
      <c r="F285">
        <f>HYPERLINK("https://www.reddit.com/r/GERD/comments/ao3v0m/my_gerd_story_and_current_things/")</f>
        <v/>
      </c>
      <c r="G285" t="inlineStr">
        <is>
          <t>2019-02-07 05:44:29</t>
        </is>
      </c>
      <c r="H285" t="inlineStr"/>
    </row>
    <row r="286">
      <c r="A286" t="inlineStr">
        <is>
          <t>ao43gc</t>
        </is>
      </c>
      <c r="B286" t="inlineStr">
        <is>
          <t>Why does excess stomach acid cause so many problems?</t>
        </is>
      </c>
      <c r="C286" t="inlineStr">
        <is>
          <t>I guess I am just curious and can't really find anything online.
But why and how does excess stomach acid cause so many problems. The list is almost never ending and I am just curious as to like step by step process of all these things happening.</t>
        </is>
      </c>
      <c r="D286" t="n">
        <v>1</v>
      </c>
      <c r="E286" t="n">
        <v>8</v>
      </c>
      <c r="F286">
        <f>HYPERLINK("https://www.reddit.com/r/GERD/comments/ao43gc/why_does_excess_stomach_acid_cause_so_many/")</f>
        <v/>
      </c>
      <c r="G286" t="inlineStr">
        <is>
          <t>2019-02-07 06:10:07</t>
        </is>
      </c>
      <c r="H286" t="inlineStr"/>
    </row>
    <row r="287">
      <c r="A287" t="inlineStr">
        <is>
          <t>ao44z9</t>
        </is>
      </c>
      <c r="B287" t="inlineStr">
        <is>
          <t>What medications seem to irritate your symptoms? Generally antibiotics and antivirals</t>
        </is>
      </c>
      <c r="C287" t="inlineStr">
        <is>
          <t xml:space="preserve">I’m kind of just trying to find out if my discomfort is due to the antivirals I just finished or perhaps something else. I just got over the flu but I might need to have some antibiotics as well. Antivirals were Tamiflu. </t>
        </is>
      </c>
      <c r="D287" t="n">
        <v>1</v>
      </c>
      <c r="E287" t="n">
        <v>4</v>
      </c>
      <c r="F287">
        <f>HYPERLINK("https://www.reddit.com/r/GERD/comments/ao44z9/what_medications_seem_to_irritate_your_symptoms/")</f>
        <v/>
      </c>
      <c r="G287" t="inlineStr">
        <is>
          <t>2019-02-07 06:14:24</t>
        </is>
      </c>
      <c r="H287" t="inlineStr"/>
    </row>
    <row r="288">
      <c r="A288" t="inlineStr">
        <is>
          <t>ao4if6</t>
        </is>
      </c>
      <c r="B288" t="inlineStr">
        <is>
          <t>Gerd related to poor gallbladder?</t>
        </is>
      </c>
      <c r="C288" t="inlineStr">
        <is>
          <t>I had my gallbladder removed last year because I was feeling sick 24/24. Endoscopy showed slight gerd but doc said its because of the gallbladder. The biopsy report after surgery confirmed that.
Now after 6 months I have symptoms of low stomach acid!? ( nausea, dry skin, belching ).Every morning I wake up feeling fainted and weak and most of the day I feel tired, restless,nauseated, feeling faint ).
Should I get back to sucralfate? Before surgery it worked pretty well...</t>
        </is>
      </c>
      <c r="D288" t="n">
        <v>1</v>
      </c>
      <c r="E288" t="n">
        <v>16</v>
      </c>
      <c r="F288">
        <f>HYPERLINK("https://www.reddit.com/r/GERD/comments/ao4if6/gerd_related_to_poor_gallbladder/")</f>
        <v/>
      </c>
      <c r="G288" t="inlineStr">
        <is>
          <t>2019-02-07 06:54:27</t>
        </is>
      </c>
      <c r="H288" t="inlineStr"/>
    </row>
    <row r="289">
      <c r="A289" t="inlineStr">
        <is>
          <t>ao6g1l</t>
        </is>
      </c>
      <c r="B289" t="inlineStr">
        <is>
          <t>Bile reflux perhaps? I'd like to punch GERD in the face.</t>
        </is>
      </c>
      <c r="C289" t="inlineStr">
        <is>
          <t xml:space="preserve">Will keep this as short as I can.
Acid reflux sufferer for 20 years. Prilosec 80mg a day has worked for those 20 years. In fact, so great that I could eat and drink whatever I wanted.
All of a sudden recently I've had a burn at the top of my stomach. No pain, just burn. Added zantac and carafate to my daily routine, but it did nothing.  I have BE, but have had no abnormality. Endoscopy recently showed nothing out of sorts. Ultrasound was done, again, so abnormalities. I changed my diet to bland foods, cut out caffeine etc. 
Dr. has given up. He doesn't know what the problem is. He gave me Colestipol as somewhat of a hail mary to see if it may help in case I had bile reflux.  Seems to be helping a little, however I can't deviate from my bland diet, or miss a pill or it's all down hill.
Having the tests done to measure my acid and functionality of my esophagus in a couple of weeks. I don't know what this is really going to tell me. Of course I have acid. I have for 20 years. And of course my esophagus sucks. So what then? What the hell is next? 
Anyone who has gone through something similar - I'd love to hear from you. 
 </t>
        </is>
      </c>
      <c r="D289" t="n">
        <v>1</v>
      </c>
      <c r="E289" t="n">
        <v>4</v>
      </c>
      <c r="F289">
        <f>HYPERLINK("https://www.reddit.com/r/GERD/comments/ao6g1l/bile_reflux_perhaps_id_like_to_punch_gerd_in_the/")</f>
        <v/>
      </c>
      <c r="G289" t="inlineStr">
        <is>
          <t>2019-02-07 09:56:58</t>
        </is>
      </c>
      <c r="H289" t="inlineStr"/>
    </row>
    <row r="290">
      <c r="A290" t="inlineStr">
        <is>
          <t>ao7o4z</t>
        </is>
      </c>
      <c r="B290" t="inlineStr">
        <is>
          <t>Gerd not getting better</t>
        </is>
      </c>
      <c r="C290" t="inlineStr">
        <is>
          <t>Just before the end of my twice a day 30 day prescription. It was gone Saturday and gone Sunday.  Then I started taking just one 40mg a day.  When I woke up I felt no acid reflux but after I take one pill it feels worse. Any suggestions should I not take it in the morning if I don’t feel any reflux.  I have started since yesterday taking 2 a day again but it’s still bad.  Got an appointment with a gastroenterologist tomorrow which not sure if it will be beneficial or not or should I wait a week.</t>
        </is>
      </c>
      <c r="D290" t="n">
        <v>1</v>
      </c>
      <c r="E290" t="n">
        <v>14</v>
      </c>
      <c r="F290">
        <f>HYPERLINK("https://www.reddit.com/r/GERD/comments/ao7o4z/gerd_not_getting_better/")</f>
        <v/>
      </c>
      <c r="G290" t="inlineStr">
        <is>
          <t>2019-02-07 11:45:10</t>
        </is>
      </c>
      <c r="H290" t="inlineStr"/>
    </row>
    <row r="291">
      <c r="A291" t="inlineStr">
        <is>
          <t>ao8ju6</t>
        </is>
      </c>
      <c r="B291" t="inlineStr">
        <is>
          <t>Omeprazole and Headache</t>
        </is>
      </c>
      <c r="C291" t="inlineStr">
        <is>
          <t>Hello, looking for input here.
I've been on Prilosec for a month after going to an ENT doctor and him scoping my throat because I had swollen throat glands which could not be explained (strep test was negative).  He said where the esophagus meets the stomach looked irritated and said it's probably acid reflux.  So I started Prilosec. For the past week and a couple of days I've been having crazy headaches that seem to come on in the afternoons/evenings.  I've been living on Tylenol but obviously that is not a long term solution.
I never really had bad acid reflux, I had swollen throat glands and tightness in my chest.  I would have a slight occasional heartburn while sleeping if I woke up and burped. 
My question is, if someone else has developed headaches from Omeprazole, how long after you stopped taking the pill did the headaches stop?  Today is day 2 without the pill, and I realize it could still be in my system.  I'm just hoping there is a light at the end of the tunnel and my headaches will get better.
I've also completely changed my diet and now exercise and have lost a considerable amount of weight in the month, and I avoid all reflux triggers except for coffee (which I am in the process of weaning off completely, down from 2 cups a day to 1 and reducing the size cup slowly).</t>
        </is>
      </c>
      <c r="D291" t="n">
        <v>1</v>
      </c>
      <c r="E291" t="n">
        <v>4</v>
      </c>
      <c r="F291">
        <f>HYPERLINK("https://www.reddit.com/r/GERD/comments/ao8ju6/omeprazole_and_headache/")</f>
        <v/>
      </c>
      <c r="G291" t="inlineStr">
        <is>
          <t>2019-02-07 13:01:18</t>
        </is>
      </c>
      <c r="H291" t="inlineStr"/>
    </row>
    <row r="292">
      <c r="A292" t="inlineStr">
        <is>
          <t>ao916n</t>
        </is>
      </c>
      <c r="B292" t="inlineStr">
        <is>
          <t>Swallowed gum, now what?</t>
        </is>
      </c>
      <c r="C292" t="inlineStr">
        <is>
          <t xml:space="preserve">Not sure if this is the right subreddit, and the booking for my ENT doctor is always full, so I've had this problem for like 5 months : so when I swallow something I feel it stuck on my throat,  and I always get acid going back up a lot(dont know what that symptom is called) , but no heartburn and no pain, just the feeling that the food I swallowed is just there,  as of now I have gotten used to this, whenever I wake up, the food I ate last day is gone already or is still there but it never affected my life and daily things, it just concerns me a lot. Today I swallowed gum and I got acid coming back up at least 6 times after that, is that a concern? I don't feel pain, but I feel it in my throat. 
</t>
        </is>
      </c>
      <c r="D292" t="n">
        <v>1</v>
      </c>
      <c r="E292" t="n">
        <v>6</v>
      </c>
      <c r="F292">
        <f>HYPERLINK("https://www.reddit.com/r/GERD/comments/ao916n/swallowed_gum_now_what/")</f>
        <v/>
      </c>
      <c r="G292" t="inlineStr">
        <is>
          <t>2019-02-07 13:44:29</t>
        </is>
      </c>
      <c r="H292" t="inlineStr"/>
    </row>
    <row r="293">
      <c r="A293" t="inlineStr">
        <is>
          <t>aoe2pq</t>
        </is>
      </c>
      <c r="B293" t="inlineStr">
        <is>
          <t>Not sure if this is the right subreddit</t>
        </is>
      </c>
      <c r="C293" t="inlineStr">
        <is>
          <t xml:space="preserve">I went to urgent care today for pretty bad chest pain (felt like a balloon under my sternum, also I’m a 28 year old male with no health issues)
After the doctor made sure I wasn’t dying of a heart attack or whatever, they said it was most likely GERD.
I’m just confused because it doesn’t feel like a burning or anything in my throat, it just feels like there’s a big bubble in my stomach that won’t move.
I have anxiety as well and this is driving me insane, has anyone else experienced this with GERD? Pressure / feeling of gas trapped and slight tightness in the chest when taking s deep breath?
</t>
        </is>
      </c>
      <c r="D293" t="n">
        <v>1</v>
      </c>
      <c r="E293" t="n">
        <v>27</v>
      </c>
      <c r="F293">
        <f>HYPERLINK("https://www.reddit.com/r/GERD/comments/aoe2pq/not_sure_if_this_is_the_right_subreddit/")</f>
        <v/>
      </c>
      <c r="G293" t="inlineStr">
        <is>
          <t>2019-02-07 23:11:28</t>
        </is>
      </c>
      <c r="H293" t="inlineStr"/>
    </row>
    <row r="294">
      <c r="A294" t="inlineStr">
        <is>
          <t>aoe3et</t>
        </is>
      </c>
      <c r="B294" t="inlineStr">
        <is>
          <t>Is an esophageal manometry the only way to diagnose ELS disorders?</t>
        </is>
      </c>
      <c r="C294" t="inlineStr">
        <is>
          <t xml:space="preserve">So I have an assortment of chronic disorders, one of which is the daily, near constant regurgitation of whatever my esophagus can get its hands on. Sometimes it’s what I ate last, sometimes it’s stomach bile, sometimes it’s just clear/white “foam” or bubbles. It has somewhat of a cycle: it comes up, I swallow it back down, repeat all day every day. It happens every minute or so. Sometimes it’s really fast and squirts the food of my mouth. Sometimes when I’m home, I’ll spit it out, but I’m so used to it that I almost don’t notice that I’m doing it.
So far, my GI doctor diagnosed this as GERD. However, most of the time it doesn’t burn/feel acidic like heartburn does. Prilosec did nothing for it. Tums does nothing for it. Nothing effects it at all. So GI ordered a manometry, but when I showed up for it and they explained the process, (and my copay would be $250) I left. That test sounds like torture. I’m seeing my GI again this week to ask about alternative ways to diagnose the issue. Is there anything I should be aware of going into that conversation?
Also, do my symptoms sound familiar to anyone? For what it’s worth, I’m underweight and I’ve never smoked and I don’t eat acidic foods. </t>
        </is>
      </c>
      <c r="D294" t="n">
        <v>1</v>
      </c>
      <c r="E294" t="n">
        <v>13</v>
      </c>
      <c r="F294">
        <f>HYPERLINK("https://www.reddit.com/r/GERD/comments/aoe3et/is_an_esophageal_manometry_the_only_way_to/")</f>
        <v/>
      </c>
      <c r="G294" t="inlineStr">
        <is>
          <t>2019-02-07 23:14:27</t>
        </is>
      </c>
      <c r="H294" t="inlineStr"/>
    </row>
    <row r="295">
      <c r="A295" t="inlineStr">
        <is>
          <t>aoh13g</t>
        </is>
      </c>
      <c r="B295" t="inlineStr">
        <is>
          <t>Tight Throat</t>
        </is>
      </c>
      <c r="C295" t="inlineStr">
        <is>
          <t xml:space="preserve">Is this a common symptom of GERD? Ive had a flare up recently and this tight throat feeling started last night. It went away before I fell asleep and then after I ate one small piece of something this morning the feeling is back. Its not a feeling of something stuck in my throat, it feels like my throat is swollen or something. Which it's not. </t>
        </is>
      </c>
      <c r="D295" t="n">
        <v>1</v>
      </c>
      <c r="E295" t="n">
        <v>11</v>
      </c>
      <c r="F295">
        <f>HYPERLINK("https://www.reddit.com/r/GERD/comments/aoh13g/tight_throat/")</f>
        <v/>
      </c>
      <c r="G295" t="inlineStr">
        <is>
          <t>2019-02-08 06:29:52</t>
        </is>
      </c>
      <c r="H295" t="inlineStr"/>
    </row>
    <row r="296">
      <c r="A296" t="inlineStr">
        <is>
          <t>aoiu3u</t>
        </is>
      </c>
      <c r="B296" t="inlineStr">
        <is>
          <t>GERD/heartburn only in my back.</t>
        </is>
      </c>
      <c r="C296" t="inlineStr">
        <is>
          <t>So I have suffered tremendously from acid reflux/GERD for 5 years now almost daily. I’ve had many trips to the ER and every symptom you can imagine. I’ve had jaw pain, under the armpit pain, left arm pain, nausea, vomiting, the works. But one thing that makes me feel very lonely is that no matter how hard I look online... I can’t find other people that only have GERD in their back. I literally never get the sternum/front of chest heartburn everyone talks about. For me it’s just a constant fiery burn directly between my shoulder blades. Part of me thinks maybe it’s my posture or what not but yea... 
Anyone else experience this? I get acid reflux so bad sometimes that vomiting feels like the only relief. And I’ve vomited so many times over the years that I don’t even need to use my hand anymore I can just vomit on command. This disease has sunk me. 
And also because it’s such a strong burn in my back I feel so short of breathe some nights when the acid is brutal. I try to take a deep breathe but it never feels full because my entire back center burns. 
I’m 29m. 5’9 overweight (230lbs) Went my whole life never having heartburn once to have GERD OVERNIGHT back in 2013/2014...</t>
        </is>
      </c>
      <c r="D296" t="n">
        <v>1</v>
      </c>
      <c r="E296" t="n">
        <v>7</v>
      </c>
      <c r="F296">
        <f>HYPERLINK("https://www.reddit.com/r/GERD/comments/aoiu3u/gerdheartburn_only_in_my_back/")</f>
        <v/>
      </c>
      <c r="G296" t="inlineStr">
        <is>
          <t>2019-02-08 09:28:52</t>
        </is>
      </c>
      <c r="H296" t="inlineStr"/>
    </row>
    <row r="297">
      <c r="A297" t="inlineStr">
        <is>
          <t>aoj4nz</t>
        </is>
      </c>
      <c r="B297" t="inlineStr">
        <is>
          <t>Has anybody had any luck treating acid reflux with Kombucha tea?</t>
        </is>
      </c>
      <c r="C297" t="inlineStr">
        <is>
          <t xml:space="preserve">I have been dealing with acid reflux/GERD for over twenty years now. I take Nexium every morning and sometimes still need more in the evening so I take a Zantac or one of the others. I have known for several years now that I cannot eat or drink anything for at least four hours before bed. My throat is constantly scratchy and I cough frequently because of it which makes people think I am always sick. (which I guess is true) I know some of the worst things that are triggers for me such as wine and bread. But most of the time it is completely random with no reason at all.
But, two weeks ago, something changed and it seems to have gone away suddenly. The only thing I did differently that day was to drink two bottles of my own home made Kombucha fermented tea. Since then I have even tried to trigger it to make it happen and have gotten close but it seems like it is actually cured. 
I am not selling any products or making any claims. It could have been caused by something else but I have gone over everything I eat and everything I take, and there are no other changes. Can't find any case studies or other people who have had this experience either.
 I have been drinking at least one small glass a day since then because that is all I have. I've started a larger two gallon batch since then. The only other test to do is to completely stop drinking the tea to see if the problem returns. But I really don't want to experience that burning pain waking me up at night ever again. So I would like to know if anybody else has had this experience. I sure hope it's not temporary. I love bread and wine and it is so nice to be able to enjoy them again. </t>
        </is>
      </c>
      <c r="D297" t="n">
        <v>1</v>
      </c>
      <c r="E297" t="n">
        <v>11</v>
      </c>
      <c r="F297">
        <f>HYPERLINK("https://www.reddit.com/r/GERD/comments/aoj4nz/has_anybody_had_any_luck_treating_acid_reflux/")</f>
        <v/>
      </c>
      <c r="G297" t="inlineStr">
        <is>
          <t>2019-02-08 09:56:04</t>
        </is>
      </c>
      <c r="H297" t="inlineStr"/>
    </row>
    <row r="298">
      <c r="A298" t="inlineStr">
        <is>
          <t>aol8li</t>
        </is>
      </c>
      <c r="B298" t="inlineStr">
        <is>
          <t>Try bacteria and try elimination</t>
        </is>
      </c>
      <c r="C298" t="inlineStr">
        <is>
          <t xml:space="preserve">I would HIGHLY advise people to try these things, I just commented in another post similary to this so I'll just copy paste what I put.   
"Try Sauerkraut, I find it helps better than other sources. ACV did nothing, and kombucha is way too expensive for what it gives, most fermented foods do differentiate in their probiotic benefit but you should look up studies and information on prebiotics and their relations to your gut bacteria too. You might be able to make more solid choices using that, it's not all just about probiotics. Kefir is also a solid choice (if you have dairy intolerances or notice dairy flares up, get lactose free with lactase)), but if you're having difficulty with grains (pain after you eat or you notice the flare ups happen more when you consume) I would HIGHLY recommend trying to cut out most and trying to go on either a high plants diet or high fat, whatever cuts out the most resistant starches. "   
I'm someone who was suffering with this for 3 weeks and was told to just suck it up and take meds, 3 doctors refused to give me tests outside a blood test and wouldn't refer me to other sources (GI etc) so I just took it upon myself to try.   
Interestingly enough I had no adverse effects when it came to gluten based foods, I could eat bread fine (up to a certain point where my lower intestines would hurt not my stomach itself) and the gerd was bearable, I did find acidic/spicy foods to just throw me the hell off though so I tried switching off that. Quinoa, Millet and Buckwheat all hurt me too and I used to love eating them. At night was a different story, I felt like the suns underside was throwing its excess down my gullet, wasn't pleasant.   
# The basic point of this post is just a recommendation, I DO NOT endorse anything and I'm not a doctor so the whole "YMMV" thing is in play. If the mods would be so kind as to not remove this, as this can help allot of people who are new or are looking for help. 
Try fermented foods: **Sauerkraut** (worked great for me), **ACV** (worked horribly for me), Kombucha (haven't touched), **Kefir** (lactose free -w- lactase if you have dairy issues, haven't tried)  
Try elimination diets: **Low FODMAP**, **Low REFINED Carb** \- This can be **paleo** or **keto**, either seems to work if you check out their subreddits but there are some who have their effects exacerbated because of the diet. 
&amp;amp;#x200B;
Try probiotics: **Acidophilus** (worked great ONLY when I ate medium sized carb meals, if I ate more or less I had massive heartburn), **multi-strain** (noticed no improvement and got headaches from it)  
Try prebiotics: You'll have to look up which grains and vegetables give it, but they usually tend to contain the "**sprouted**" or "fermented" varieties anyways so might cross section with things you cant and can eat.   
Try "natural" remidies: **DGL** (I use Organika from amazon, it seemed to be the best for the price and amount so I just take if I ever need which is rare now), **Slippery elm** (this doesn't agree with my stomach sadly, theres a tea and capsule form with their own uses, tea is better for throat irratation) **Marshmallow root** (I notice nothing from this, but it works similarly to Slippery Elm in coating your stomach, tea and supplement form are available) **Melatonine** (personally haven't tried this but some people find relief before sleep with this)  
&amp;amp;#x200B;
As a standard all spices should be gone from your choices but allot of people find the combination of fats and carbs to cause havoc on them, so choose one or the other. Your stomach is in a very sensitive state, spices (including things like   
At the end of the day its your own choice, work with what you feel you can manage (will power and resources wise) and try to see if it helps. You DO NOT have to be confined to medications all your life, and even if you have a hernia there are ways to lower stomach acid through diet that could help you stop taking them. </t>
        </is>
      </c>
      <c r="D298" t="n">
        <v>1</v>
      </c>
      <c r="E298" t="n">
        <v>4</v>
      </c>
      <c r="F298">
        <f>HYPERLINK("https://www.reddit.com/r/GERD/comments/aol8li/try_bacteria_and_try_elimination/")</f>
        <v/>
      </c>
      <c r="G298" t="inlineStr">
        <is>
          <t>2019-02-08 13:19:33</t>
        </is>
      </c>
      <c r="H298" t="inlineStr"/>
    </row>
    <row r="299">
      <c r="A299" t="inlineStr">
        <is>
          <t>aom5qq</t>
        </is>
      </c>
      <c r="B299" t="inlineStr">
        <is>
          <t>Sore throats</t>
        </is>
      </c>
      <c r="C299" t="inlineStr">
        <is>
          <t xml:space="preserve">I keep getting sore throats and want to make sure this is acid.  I have been on prescription ppi for 5 months and still getting it.  Either waking up with it or coughing after eating and I guess a little acid hits my throat.  I never taste anything or regurgitate.  
My dr doesn’t believe that acid is burning my throat out because he says that is so rare but I am sure it is.  He is having me do a catheter based 24 hour ph testing and then will recommend tif surgery if it shows acid reaching my throat.  
What do you think?  I also have really bad allergies and post nasal drip and wonder if that could be contributing.  
Does tif surgery last?
Thanks. </t>
        </is>
      </c>
      <c r="D299" t="n">
        <v>1</v>
      </c>
      <c r="E299" t="n">
        <v>4</v>
      </c>
      <c r="F299">
        <f>HYPERLINK("https://www.reddit.com/r/GERD/comments/aom5qq/sore_throats/")</f>
        <v/>
      </c>
      <c r="G299" t="inlineStr">
        <is>
          <t>2019-02-08 14:52:24</t>
        </is>
      </c>
      <c r="H299" t="inlineStr"/>
    </row>
    <row r="300">
      <c r="A300" t="inlineStr">
        <is>
          <t>aom8iq</t>
        </is>
      </c>
      <c r="B300" t="inlineStr">
        <is>
          <t>Doctor says I have functional dyspepsia</t>
        </is>
      </c>
      <c r="C300" t="inlineStr">
        <is>
          <t>Went to see someone about my constant burping and got some conflicting information, like how one doctor last year said I had an esophageal motility disorder and this provider said I didn't. I've tried pretty much every single reflux treatment available with no relief, so we both agreed that it's probably not reflux, or at least not *acid* reflux.
I was put on Elavil (which seems to be an anti-depressant) for the burping and my doctor suggested functional dyspepsia, which I'd never heard of. Not sure what to make of this because from what I understand, Elavil works by targeting the receptors in the brain that deal with pain and making them shut up. Thing is I don't have pain, and I'm a little nervous about taking something that could potentially alter my mental state. Not to mention that one side effect is weight gain - I'm trying to lose weight and gaining back anything I lost is gonna be a big punch in the face.
But I'm the one who said I wanted to do non-invasive methods first, because the next step is another upper endoscopy to see if it's reflux (it's not), or a colonoscopy because it could be a lower GI issue like IBS.
I know I'm not the only one here with this diagnosis, but does anyone else have the primary symptom of belching? I don't even know if I actually have this - doctors are just kinda throwing shit at the wall to see what sticks.</t>
        </is>
      </c>
      <c r="D300" t="n">
        <v>1</v>
      </c>
      <c r="E300" t="n">
        <v>14</v>
      </c>
      <c r="F300">
        <f>HYPERLINK("https://www.reddit.com/r/GERD/comments/aom8iq/doctor_says_i_have_functional_dyspepsia/")</f>
        <v/>
      </c>
      <c r="G300" t="inlineStr">
        <is>
          <t>2019-02-08 15:00:23</t>
        </is>
      </c>
      <c r="H300" t="inlineStr"/>
    </row>
    <row r="301">
      <c r="A301" t="inlineStr">
        <is>
          <t>aonyg2</t>
        </is>
      </c>
      <c r="B301" t="inlineStr">
        <is>
          <t>Gerd is bringing me down</t>
        </is>
      </c>
      <c r="C301" t="inlineStr">
        <is>
          <t>I first got Gerd in September and the doctor recommended I take Prilosec for 2 weeks, which I did and it went away. In November it came back and she told me to take it for 8-12 weeks, which I did and it went away. Then around the second week of January it came back and I let the doctor know and she said to take 2 a day for 2 weeks and if that doesn’t work they would refer me to get an endoscopy. Well in a couple of days it will be 2 weeks but I still feel like my food is getting stuck at the bottom of my throat. I can eat a little better compared to 9 days ago but it’s still bothering me....my only symptoms are having trouble swallowing my food, and I feel like there is something in my throat. I had chest pains 9 days ago but those went away and I have never had an issue with my stomach. I’ve always ate healthy and would only have 1 bad meal a week, but since I got gerd again this last time I have stopped eating eggs, drinking milk and coffee, stopped eating anything spicy, and I haven’t had a bad meal in a month. I do have a autoimmune disease called CRPS so that might be causing this but I’m not to sure. I’ve been really down lately and have lost some weight which I don’t want because I’m a small guy to begin with( I was at 166 and now I’m at 159). I guess I’m going to schedule for an endoscopy next week but I was wondering if I should get it done or ask for them to do another test? I want a test that will actually show if there is anything wrong with me so that I can fix this problem. Like I said earlier, before this Gerd I would eat only one bad meal a week and I would always look forward to doing that on a Saturday night with my wife, but now I can’t even do that. I’m really trying hard to get myself better by doing everything I’m supposed to and it still won’t go away and it’s getting me down, and I’m getting really frustrated. Any advice would be greatly appreciated.</t>
        </is>
      </c>
      <c r="D301" t="n">
        <v>1</v>
      </c>
      <c r="E301" t="n">
        <v>4</v>
      </c>
      <c r="F301">
        <f>HYPERLINK("https://www.reddit.com/r/GERD/comments/aonyg2/gerd_is_bringing_me_down/")</f>
        <v/>
      </c>
      <c r="G301" t="inlineStr">
        <is>
          <t>2019-02-08 18:15:35</t>
        </is>
      </c>
      <c r="H301" t="inlineStr"/>
    </row>
    <row r="302">
      <c r="A302" t="inlineStr">
        <is>
          <t>aoqibf</t>
        </is>
      </c>
      <c r="B302" t="inlineStr">
        <is>
          <t>Is this a side effect of my acid reflux or to do with past bulimia or both?</t>
        </is>
      </c>
      <c r="C302" t="inlineStr">
        <is>
          <t>Almost every time I inhale, it's like my throat opens to my stomach as well. I end up with air in my stomach and it causes me to burp excessively (and if it happens while I'm laying down with my. head not elevated, stomach acid will enter my mouth.) I'm not sure if this has to do with my GERD (I've had it for as long as I can remember, and my father has it too) or if it has to do with past bulimia. (for about a year, staring a year and a half ago.) This "throat opening" hasn't happened before about three months ago and I'm wondering if my bulimic tendencies kicked it into gear or triggered my GERD to go into overdrive or something.
Also, if there's any way to stop this from happening, I ask you to please tell me. Swallowing air nearly every time I breathe is very, very unfun.</t>
        </is>
      </c>
      <c r="D302" t="n">
        <v>1</v>
      </c>
      <c r="E302" t="n">
        <v>2</v>
      </c>
      <c r="F302">
        <f>HYPERLINK("https://www.reddit.com/r/GERD/comments/aoqibf/is_this_a_side_effect_of_my_acid_reflux_or_to_do/")</f>
        <v/>
      </c>
      <c r="G302" t="inlineStr">
        <is>
          <t>2019-02-09 00:23:46</t>
        </is>
      </c>
      <c r="H302" t="inlineStr"/>
    </row>
    <row r="303">
      <c r="A303" t="inlineStr">
        <is>
          <t>aoqrvg</t>
        </is>
      </c>
      <c r="B303" t="inlineStr">
        <is>
          <t>What is going on with me?</t>
        </is>
      </c>
      <c r="C303" t="inlineStr">
        <is>
          <t xml:space="preserve">I don't eat often because financial difficulties, and when I do eat it's usually a sandwich or something, most of the time when I have food in the house to eat, I eat late in the day (I don't have breakfast or anything) and I don't eat much. 
A couple days ago, which was the last time I "really" ate, I had a load of chicken and mashed potatoes, the next morning I woke up with intense stomach pain (hunger pains) like I hadn't eaten in months, I was coughing and had this sour feeling in my stomach, it's been several days since then and it still hasn't cleared up for very long, it seems to come back even after I have water.  I also have pain in my sides (Feels like pulled muscles/ligaments)
Is this normal acid reflux/gerd stuff? Why is this happening after I ate a large meal? What can I do to fix this? </t>
        </is>
      </c>
      <c r="D303" t="n">
        <v>1</v>
      </c>
      <c r="E303" t="n">
        <v>4</v>
      </c>
      <c r="F303">
        <f>HYPERLINK("https://www.reddit.com/r/GERD/comments/aoqrvg/what_is_going_on_with_me/")</f>
        <v/>
      </c>
      <c r="G303" t="inlineStr">
        <is>
          <t>2019-02-09 01:11:41</t>
        </is>
      </c>
      <c r="H303" t="inlineStr"/>
    </row>
    <row r="304">
      <c r="A304" t="inlineStr">
        <is>
          <t>aorcmq</t>
        </is>
      </c>
      <c r="B304" t="inlineStr">
        <is>
          <t>#JustRefluxThings</t>
        </is>
      </c>
      <c r="C304" t="inlineStr">
        <is>
          <t xml:space="preserve">I had tuna and vegetabkes for dinner last night then woke up at 5 in the morning to find the taste back in my mouth, wondering if I even brushed my teeth in the first place. </t>
        </is>
      </c>
      <c r="D304" t="n">
        <v>1</v>
      </c>
      <c r="E304" t="n">
        <v>3</v>
      </c>
      <c r="F304">
        <f>HYPERLINK("https://www.reddit.com/r/GERD/comments/aorcmq/justrefluxthings/")</f>
        <v/>
      </c>
      <c r="G304" t="inlineStr">
        <is>
          <t>2019-02-09 02:53:40</t>
        </is>
      </c>
      <c r="H304" t="inlineStr"/>
    </row>
    <row r="305">
      <c r="A305" t="inlineStr">
        <is>
          <t>aosfkc</t>
        </is>
      </c>
      <c r="B305" t="inlineStr">
        <is>
          <t>LPR or worse</t>
        </is>
      </c>
      <c r="C305" t="inlineStr">
        <is>
          <t xml:space="preserve">Quick background. I’ve had Gerd for probably 15 years. Been on various PPIs throughout the years with mostly success to control symptoms. Only symptoms usually now are sore chest area. Had several endoscopies and tests which indicate gerd without Barrett’s (yet) or esophagitis. 
My GI doc works in a big teaching hospital but doesn’t recommend surgery for me. Says he has seen a lot of the problems with people and if I dont have progression on endoscopy on PPIs that’s my course. 
Last couple of years I keep getting new symptoms including cough and such. 
About a week ago I started getting pain in my neck. Now have laryngitis, sore throat and feeling I need to cough. Also have gunk in my throat. Of course I’m now worried it’s not my reflux but something much worse. Trying to get into an ent to get looked at. 
Anyone progress from regular gerd to lpr?  How do I deal with this hoarseness and pain talking so it will go away. I have an elevated bed, don’t eat late, etc. 
Just want to know if others have these symptoms after having regular gerd for years. </t>
        </is>
      </c>
      <c r="D305" t="n">
        <v>1</v>
      </c>
      <c r="E305" t="n">
        <v>4</v>
      </c>
      <c r="F305">
        <f>HYPERLINK("https://www.reddit.com/r/GERD/comments/aosfkc/lpr_or_worse/")</f>
        <v/>
      </c>
      <c r="G305" t="inlineStr">
        <is>
          <t>2019-02-09 05:44:54</t>
        </is>
      </c>
      <c r="H305" t="inlineStr"/>
    </row>
    <row r="306">
      <c r="A306" t="inlineStr">
        <is>
          <t>aoskhg</t>
        </is>
      </c>
      <c r="B306" t="inlineStr">
        <is>
          <t>Update on IQoro</t>
        </is>
      </c>
      <c r="C306" t="inlineStr">
        <is>
          <t>(To mods: Some people asked if I could do occasional updates on my use of the esophagus trainer [IQoro](https://www.iqoro.com/en/treatment/?gclid=EAIaIQobChMI64TE_eSu4AIVlYKyCh1uEQAeEAAYASAAEgKiivD_BwE). Hope this format is okay, where I post updates as their own threads maybe once a month or so.)
This is a follow up to [my last thread](https://www.reddit.com/r/GERD/comments/a7mddj/iqoro_any_experiences/?st=JRXJ82PO&amp;amp;sh=c647f3fc), as I’ve been using the IQoro for about a month and a half now. Probably won’t be a very satisfying update, but I didn’t want to ghost people.
TL;DR: Some improvement thus far but I’m guessing it’s mostly due to other things than the IQoro. The official estimate for seeing results is up to 6-8 months so I’m hoping it will just take a while longer for me.
Yeah, that’s pretty much it. I’ve been using the device every day for the recommended three sessions (I do them right before meals, which makes it easy to remember and is supposed to help with dysphagia). There’s been some confusing back-and-forth, but overall, my symptoms are clearly better than when they were at their worst 1-2 months ago. I can’t really say how much of it is due to the IQoro, though. I’m currently leaning toward it being mostly the result of correcting a rather bad vitamin D deficiency and trying some diet adjustments, as the timing of the improvements seems to correlate better with those.
I probably shouldn’t be surprised, though, since their official estimates are up to 6-8 months of training to correct hernias and reflux disorders. They don’t quite come out and say it, but some of their customer reports state that they saw improvements within 2-3 weeks, so I was hoping I’d be in that quick responder group. But oh well. Still pinning my hopes on this one.
A small but infuriating detail: The device in general is very painless to use, with almost no discomfort at all, but if you have a mouth ulcer of some kind, things turn hellish. I bit myself on the inside of my cheek pretty bad and had to stop using the IQoro for a week because it would press right on the sore with its raised bumps, which hurt like absolute gargoyle balls until it healed.</t>
        </is>
      </c>
      <c r="D306" t="n">
        <v>1</v>
      </c>
      <c r="E306" t="n">
        <v>1</v>
      </c>
      <c r="F306">
        <f>HYPERLINK("https://www.reddit.com/r/GERD/comments/aoskhg/update_on_iqoro/")</f>
        <v/>
      </c>
      <c r="G306" t="inlineStr">
        <is>
          <t>2019-02-09 06:02:46</t>
        </is>
      </c>
      <c r="H306" t="inlineStr"/>
    </row>
    <row r="307">
      <c r="A307" t="inlineStr">
        <is>
          <t>aotice</t>
        </is>
      </c>
      <c r="B307" t="inlineStr">
        <is>
          <t>got the linx surgery 1 week ago</t>
        </is>
      </c>
      <c r="C307" t="inlineStr">
        <is>
          <t>Hello,
this is my first post in this forum. I have a question i got the linx surgery 1 week ago but i still have heartburn. i still take PPI but i still have heartburn. My surgeon said it is normal during the recovery and it takes 3 weeks to see the result if the heartburn is gone but i´am a little bit scared and afraid of it. 
Does anyone have the same experience with the linx? i would appreciate it if someone answeres me.
Sorry for my bad English.</t>
        </is>
      </c>
      <c r="D307" t="n">
        <v>1</v>
      </c>
      <c r="E307" t="n">
        <v>16</v>
      </c>
      <c r="F307">
        <f>HYPERLINK("https://www.reddit.com/r/GERD/comments/aotice/got_the_linx_surgery_1_week_ago/")</f>
        <v/>
      </c>
      <c r="G307" t="inlineStr">
        <is>
          <t>2019-02-09 07:57:25</t>
        </is>
      </c>
      <c r="H307" t="inlineStr"/>
    </row>
    <row r="308">
      <c r="A308" t="inlineStr">
        <is>
          <t>aotweo</t>
        </is>
      </c>
      <c r="B308" t="inlineStr">
        <is>
          <t>Questions about the Linx surgery</t>
        </is>
      </c>
      <c r="C308" t="inlineStr">
        <is>
          <t>I’ve been reading quite a bit about this surgery, and wondering if it would be a fit for me. I’ve been on PPIs for 20+ years (now age 25) and usually have to supplement with Zantac a couple times a day as well. I don’t believe the surgery has been approved in Canada yet, but I am curious about it. My main question is, are you able to burp or vomit after this procedure? I know it might seem like a weird thing to wonder, but I can’t imagine how uncomfortable that would be, if you couldn’t.
Also, if anyone knows anything about the availability of the procedure in Canada, please let me know! I see my GI for a scope in a couple weeks to follow up and see if I need my hernia repaired and a routine biopsy (Barrett’s).
Thanks!</t>
        </is>
      </c>
      <c r="D308" t="n">
        <v>1</v>
      </c>
      <c r="E308" t="n">
        <v>5</v>
      </c>
      <c r="F308">
        <f>HYPERLINK("https://www.reddit.com/r/GERD/comments/aotweo/questions_about_the_linx_surgery/")</f>
        <v/>
      </c>
      <c r="G308" t="inlineStr">
        <is>
          <t>2019-02-09 08:38:41</t>
        </is>
      </c>
      <c r="H308" t="inlineStr"/>
    </row>
    <row r="309">
      <c r="A309" t="inlineStr">
        <is>
          <t>aov4z0</t>
        </is>
      </c>
      <c r="B309" t="inlineStr">
        <is>
          <t>Anybody experience symptoms after taking less Omeprazole?</t>
        </is>
      </c>
      <c r="C309" t="inlineStr">
        <is>
          <t>I have been taking Omeprazole for a little over 3 months. Throughout my time on it I have had days with really bad brain fog, feeling slightly dizzy, and pressure around my eyes making me feel very tired. It seemed to be alright for a while. Two weeks ago I altered my dosage to 20mg instead of 40mg. A week later the above symptoms came back except they are more severe. I'm very tired and confused a few hours after waking up. Whenever I drive/work and have to force myself to focus I get tension in my forehead. I have a coworker that was on omeprazole and he reported the same thing when he took it for a week. After looking up some stuff here and on reddit it appears a lot of people are having these symptoms from Omeprazole. Have any of you guys had these symptoms on Omeprazole?</t>
        </is>
      </c>
      <c r="D309" t="n">
        <v>1</v>
      </c>
      <c r="E309" t="n">
        <v>10</v>
      </c>
      <c r="F309">
        <f>HYPERLINK("https://www.reddit.com/r/GERD/comments/aov4z0/anybody_experience_symptoms_after_taking_less/")</f>
        <v/>
      </c>
      <c r="G309" t="inlineStr">
        <is>
          <t>2019-02-09 10:40:18</t>
        </is>
      </c>
      <c r="H309" t="inlineStr"/>
    </row>
    <row r="310">
      <c r="A310" t="inlineStr">
        <is>
          <t>aovlap</t>
        </is>
      </c>
      <c r="B310" t="inlineStr">
        <is>
          <t>Could drinking excessive water (a liter or so) close or on meals be the main cause of my GERD?</t>
        </is>
      </c>
      <c r="C310" t="inlineStr">
        <is>
          <t>I stumbled on this video [https://www.youtube.com/watch?v=f-waYo33cBQ](https://www.youtube.com/watch?v=f-waYo33cBQ)
Makes a lot of sense. I've been drinking about 3 liters of carbonated water per day, plus regular water. I don't drink sodas, juices and seldom alcohol.
But I'm ALWAYS over hydrated, every night I get out of bed to go to the toilet, it's always transparent. Could it be the main cause of my GERD was the excessive pressure I was creating against the stomach sphincter and water just spilt out?
Since watching that video, I've been for a full day controlling my intake of water, taking little water an hour before and after a meal (none on the meal, of course) and so far, \*knock on wood\*, I've been feeling much better. Haven't had GERD, my stomach doesn't feel so heavy.
Anyone had a similar experience?</t>
        </is>
      </c>
      <c r="D310" t="n">
        <v>1</v>
      </c>
      <c r="E310" t="n">
        <v>6</v>
      </c>
      <c r="F310">
        <f>HYPERLINK("https://www.reddit.com/r/GERD/comments/aovlap/could_drinking_excessive_water_a_liter_or_so/")</f>
        <v/>
      </c>
      <c r="G310" t="inlineStr">
        <is>
          <t>2019-02-09 11:22:28</t>
        </is>
      </c>
      <c r="H310" t="inlineStr"/>
    </row>
    <row r="311">
      <c r="A311" t="inlineStr">
        <is>
          <t>aow9io</t>
        </is>
      </c>
      <c r="B311" t="inlineStr">
        <is>
          <t>Ehlers Danlos Syndrome?</t>
        </is>
      </c>
      <c r="C311" t="inlineStr">
        <is>
          <t>Wondering if anyone here has GERD/LPR as well as EDS as we definitely have unique issues when it comes to reflux and just wanted to hear about y'alls experiences</t>
        </is>
      </c>
      <c r="D311" t="n">
        <v>1</v>
      </c>
      <c r="E311" t="n">
        <v>5</v>
      </c>
      <c r="F311">
        <f>HYPERLINK("https://www.reddit.com/r/GERD/comments/aow9io/ehlers_danlos_syndrome/")</f>
        <v/>
      </c>
      <c r="G311" t="inlineStr">
        <is>
          <t>2019-02-09 12:23:01</t>
        </is>
      </c>
      <c r="H311" t="inlineStr"/>
    </row>
    <row r="312">
      <c r="A312" t="inlineStr">
        <is>
          <t>aox0i6</t>
        </is>
      </c>
      <c r="B312" t="inlineStr">
        <is>
          <t>Pantoprazole causes low magnesium</t>
        </is>
      </c>
      <c r="C312" t="inlineStr">
        <is>
          <t>29m here.
I’ve been taking pantoloc (pantoprazole) for nearly two weeks now. I was previously given a 14-day prescription of pantoloc 40mg last november for acid reflux and that took care of the gerd symptoms.
When it returned sometime mid january, i purchased another 14 pcs for medication, but suddenly i’ve been having difficulty sleeping. I’m being awakened at around 5 in the morning with cold hands and feet, tremors, palpitations, and even developed sleep apnea.
I was under the impression that what I’m experiencing are symptoms of a panic attack, but due to the suddenness of my sleeping troubles, i looked up the side effects of pantoprazole and found that it does cause low magnesium levels.
I’m really miserable right now since i can’t even sleep. Every time i’m about to, i am jerked awake with a flutter in my chest while gasping for breath.
Anyone else experience this? I’ve only taken this medication a total of 27 days. 14 last november and 13 this month</t>
        </is>
      </c>
      <c r="D312" t="n">
        <v>1</v>
      </c>
      <c r="E312" t="n">
        <v>22</v>
      </c>
      <c r="F312">
        <f>HYPERLINK("https://www.reddit.com/r/GERD/comments/aox0i6/pantoprazole_causes_low_magnesium/")</f>
        <v/>
      </c>
      <c r="G312" t="inlineStr">
        <is>
          <t>2019-02-09 13:33:49</t>
        </is>
      </c>
      <c r="H312" t="inlineStr"/>
    </row>
    <row r="313">
      <c r="A313" t="inlineStr">
        <is>
          <t>ap1h8c</t>
        </is>
      </c>
      <c r="B313" t="inlineStr">
        <is>
          <t>Low stomach acid?</t>
        </is>
      </c>
      <c r="C313" t="inlineStr">
        <is>
          <t>My symptoms are the following
* when I press my stomach with the finger, I feel a pain, like a cramp or something
* can't eat meat properly, but I can handle fish to some degree
* sometimes burping
* suffering from gas if I eat things like popcorn or high fiber foods
* I find peanut butter to be ok, no big problems
* my stomach gets filled too quickly from a single meal, especially when I eat soup
* no bleeding, no vomiting. poop seems to appear normal
What could be the cause? Is that low stomach acid?</t>
        </is>
      </c>
      <c r="D313" t="n">
        <v>1</v>
      </c>
      <c r="E313" t="n">
        <v>6</v>
      </c>
      <c r="F313">
        <f>HYPERLINK("https://www.reddit.com/r/GERD/comments/ap1h8c/low_stomach_acid/")</f>
        <v/>
      </c>
      <c r="G313" t="inlineStr">
        <is>
          <t>2019-02-09 22:23:55</t>
        </is>
      </c>
      <c r="H313" t="inlineStr"/>
    </row>
    <row r="314">
      <c r="A314" t="inlineStr">
        <is>
          <t>ap3sgq</t>
        </is>
      </c>
      <c r="B314" t="inlineStr">
        <is>
          <t>How often do symptoms show?</t>
        </is>
      </c>
      <c r="C314" t="inlineStr">
        <is>
          <t xml:space="preserve">Hi all (sorry for the narrative),
Name says it all really; through most of last year, I would get the occasional heartburn. Freaked me out at first but it would always go away and I wouldn't hear of it for months. The last three weeks have basically been non-stop symptoms: occasional heartburn, throat constricting, worsening pain when I lie down, chronic cough, that sort of thing. 
As it's been about three weeks, I'm going to go to the doctors and see what they have to say. I was taking Mylenta, but that didn't really help. I'm a massive coffee drinker (and am really going to struggle if I have to give it up) and eat a lot of tomato based meals. I've also recently started making myself slow down while I eat, I would previously just tear into my food. 
Basically, what I'm asking is does having symptoms reoccur for three weeks effectively rule out that it's just a case of reflux? Is it definitely now chronic? </t>
        </is>
      </c>
      <c r="D314" t="n">
        <v>1</v>
      </c>
      <c r="E314" t="n">
        <v>4</v>
      </c>
      <c r="F314">
        <f>HYPERLINK("https://www.reddit.com/r/GERD/comments/ap3sgq/how_often_do_symptoms_show/")</f>
        <v/>
      </c>
      <c r="G314" t="inlineStr">
        <is>
          <t>2019-02-10 05:15:38</t>
        </is>
      </c>
      <c r="H314" t="inlineStr"/>
    </row>
    <row r="315">
      <c r="A315" t="inlineStr">
        <is>
          <t>ap4cf4</t>
        </is>
      </c>
      <c r="B315" t="inlineStr">
        <is>
          <t>Tapering start at 80mg/day</t>
        </is>
      </c>
      <c r="C315" t="inlineStr">
        <is>
          <t>Has anyone had access tapering off of PPIs starting at 80 mg/day (40mg twice a day)?  This was the prescription I was on for about 4 months.  I haven't seen a post of anyone successful starting at this dosage.
My GI instructed me to reduce pantoprazole to once daily (40mg) for 2-4 weeks and then to stop taking the medicine, using tums and zantac as needed.
It's been two days and already i have severe sore throat, post nasal drip, cold sweats and have taken a lot of Zantac.
I'm trying to decide whether to return back or keep going. Any feedback would be appreciated.</t>
        </is>
      </c>
      <c r="D315" t="n">
        <v>1</v>
      </c>
      <c r="E315" t="n">
        <v>9</v>
      </c>
      <c r="F315">
        <f>HYPERLINK("https://www.reddit.com/r/GERD/comments/ap4cf4/tapering_start_at_80mgday/")</f>
        <v/>
      </c>
      <c r="G315" t="inlineStr">
        <is>
          <t>2019-02-10 06:29:36</t>
        </is>
      </c>
      <c r="H315" t="inlineStr"/>
    </row>
    <row r="316">
      <c r="A316" t="inlineStr">
        <is>
          <t>ap66d0</t>
        </is>
      </c>
      <c r="B316" t="inlineStr">
        <is>
          <t>Cold air and mucus</t>
        </is>
      </c>
      <c r="C316" t="inlineStr">
        <is>
          <t>Has anyone become more sensitive to cold air since having reflux? Whenever I breathe in cold air now it results in me having to cough up clear mucus. The more cold air I'm exposed to the more mucus.</t>
        </is>
      </c>
      <c r="D316" t="n">
        <v>1</v>
      </c>
      <c r="E316" t="n">
        <v>5</v>
      </c>
      <c r="F316">
        <f>HYPERLINK("https://www.reddit.com/r/GERD/comments/ap66d0/cold_air_and_mucus/")</f>
        <v/>
      </c>
      <c r="G316" t="inlineStr">
        <is>
          <t>2019-02-10 09:38:44</t>
        </is>
      </c>
      <c r="H316" t="inlineStr"/>
    </row>
    <row r="317">
      <c r="A317" t="inlineStr">
        <is>
          <t>ap9odr</t>
        </is>
      </c>
      <c r="B317" t="inlineStr">
        <is>
          <t>Weird coincidence?</t>
        </is>
      </c>
      <c r="C317" t="inlineStr">
        <is>
          <t xml:space="preserve">So weirdly enough I have been taking mucinex for about 12 days and today was my last day taking it.  I swallowed the pill and drank with a full glass of water like I normally do but it felt like the pill got stuck on its way down and now my throat feels a bit tigther. I can eat and drink no problem though but after dealing with globus last year it just gets me freaked out. Any suggestions?
Side note, I was also taking amoxicllin this is day 7, last day for an ear infection. I was flying for work last week and didn't want to risk it. 
I went to an ENT last year, got the scope, was told there was just white mucus on my vocal box and to take omerprazole for 2 months. After 2 days the globus feeling was gone but I did it and then went on to being normal again. 
Hoping today is just a weird coincidence and this shit isn't back because that was a miserable 4 months last year. 
Thoughts? </t>
        </is>
      </c>
      <c r="D317" t="n">
        <v>1</v>
      </c>
      <c r="E317" t="n">
        <v>0</v>
      </c>
      <c r="F317">
        <f>HYPERLINK("https://www.reddit.com/r/GERD/comments/ap9odr/weird_coincidence/")</f>
        <v/>
      </c>
      <c r="G317" t="inlineStr">
        <is>
          <t>2019-02-10 15:07:11</t>
        </is>
      </c>
      <c r="H317" t="inlineStr"/>
    </row>
    <row r="318">
      <c r="A318" t="inlineStr">
        <is>
          <t>apa1z9</t>
        </is>
      </c>
      <c r="B318" t="inlineStr">
        <is>
          <t>Understanding</t>
        </is>
      </c>
      <c r="C318" t="inlineStr">
        <is>
          <t>Last post I'll probably make on this thread because I've pretty much gotten rid of my gerd through the week. I initially wanted to record my progress but quickly understood that would fall on blind eyes so I gave up. I've made one similar post but was in greater detail, would highly reccomend looking for it if you haven't, has beneficial ideas.   
Here's my input.   
# MEDICINE IS NOT THE FINAL ANSWER
I'm no smarts sciency mans (even though I do a science degree) but trust me when I say the way the doctors want to treat you for these types of conditions is NOT the only option.   
**If you have a hernia** \- Work on it, this is the MOST serious issue of all the people who come to this thread, your obesity/over weight nature or poor eating habits (maybe even a combo of both) put you into the situation you are. Loose your weight and if that doesn't fix it, get LYNX surgery. Unfortunately at this time there's very little """"natural"""" stuff that can be done to resolve this, no the jumping up and down things you see on youtube won't help if anything might make it worse so be careful.  
**If you have pain in your stomach that is from h.pylori** \- Just take your damn meds, this is the best case scenario for people on this thread because its the least invasive and lasts for maybe a month at best. Eat Broccoli sprouts and ground mustard seed too as this inhibits its growth, taken L.Acidophillus cause it does the same.   
**If you have pain in your stomach thats from unknown sources -** likely hood is your microbiome, take probiotics and switch your diet. This will work in a HUGE amount of cases, either go vegan, keto or paleo, BUT **ELIMINATE ALL GRAINS**. Bacteria ferments on certain foods, try to figure out what your triggers are using a FODMAP guide. EVEN LOW ACID CAN BE CAUSED BY THIS, HIGH ACID CAN BE CAUSED BY THIS TOO. Imagine eating like garbage for your entire life only to have these little "beneficial" squatters decide to upset the natural balance in your stomach, it can swing either way.   
**ACV IS A TEMPORARY SOLUTION TO A BIGGER ISSUE -** For low stomach acid folk, you're just feeding your gut by using it thereby "fixing" your problem, it might help with digestion in terms of acid production but the reason you're fixing it is because its a FERMENTED food meaning probiotics (even if they're scarce). Others experience blistering hell when they try it because the bacteria they have is in OPPOSITE full swing.   
The biggest issue is people's lack of understanding or stubbornness, if you have these problems get them fixed asap. Do not just keep on trying to find a solution on this Reddit.   
And in case your wondering, I was a healthy guy who went to the gym 5 times a week and had normal blood leavels and the doctors couldn't find anything wrong with me. Tested ACV, fermented foods (which helped, not much of a shocker there considering my issue was over consumption of grains) cut out all grains (used to eat oats and stuff by the buckets) and ate more kimchi (CABBAGE VARIETY) and sauerkraut and within a week no more symptoms.   
Just listen to your own body, start with easy things like kimchi and saurkraut - they do help. 
&amp;amp;#x200B;</t>
        </is>
      </c>
      <c r="D318" t="n">
        <v>1</v>
      </c>
      <c r="E318" t="n">
        <v>1</v>
      </c>
      <c r="F318">
        <f>HYPERLINK("https://www.reddit.com/r/GERD/comments/apa1z9/understanding/")</f>
        <v/>
      </c>
      <c r="G318" t="inlineStr">
        <is>
          <t>2019-02-10 15:47:13</t>
        </is>
      </c>
      <c r="H318" t="inlineStr"/>
    </row>
    <row r="319">
      <c r="A319" t="inlineStr">
        <is>
          <t>apbhhq</t>
        </is>
      </c>
      <c r="B319" t="inlineStr">
        <is>
          <t>Any GERD endurance athletes out there?</t>
        </is>
      </c>
      <c r="C319" t="inlineStr">
        <is>
          <t xml:space="preserve">I’m a GERD sufferer which is in part to both Hiatial Hernia and Celiac Disease. I eat very strict no gluten (or any grain) and am on 20 mg of Nexium daily. Was told that I would likely not be able to go without the PPI for rest of my life. Here’s the thing. My hobbies are centered mainly around cycling/mtb and running but....I cannot for the life of me get through a race without getting intense air build up in my esophagus (leads to violent dry heaving of the deepest and ugliest gagging), general nausea, super duper thick ass phlegm, and/or just reflux per usual (nausea/vomiting after water intake or electrolyte). As for race nutrition, Ive been experimenting with getting all my calories and salts from an isotonic drink mix which certainly helps but hasn’t solved everything. The air build up is the most frustrating. 
If anyone has any advice, I’d be very appreciative!!! </t>
        </is>
      </c>
      <c r="D319" t="n">
        <v>1</v>
      </c>
      <c r="E319" t="n">
        <v>7</v>
      </c>
      <c r="F319">
        <f>HYPERLINK("https://www.reddit.com/r/GERD/comments/apbhhq/any_gerd_endurance_athletes_out_there/")</f>
        <v/>
      </c>
      <c r="G319" t="inlineStr">
        <is>
          <t>2019-02-10 18:26:59</t>
        </is>
      </c>
      <c r="H319" t="inlineStr"/>
    </row>
    <row r="320">
      <c r="A320" t="inlineStr">
        <is>
          <t>ape7ta</t>
        </is>
      </c>
      <c r="B320" t="inlineStr">
        <is>
          <t>H Pylori killed but still have GERD? Are the damages permanent?</t>
        </is>
      </c>
      <c r="C320" t="inlineStr">
        <is>
          <t>So I was diagnosed with H Pylori, and then diagnosed with GERD (camera through the mouth showed that my LES is open). I've been told the H Pylori caused my LES to weaken.
Thing is, I've taken antibiotics and I've killed the H Pylori in my stomach (did a test 1 month ago and my doctor says it's completely gone for the rest of my life).. but the acid reflux is still there!
Will it take time for my body to return to normal after having gotten rid of the H Pylori - or are the damages permanent and I have to live with acid reflux for the rest of my life? Or is there maybe a different reason for my LES being open, and can it be returned to normal?
I've been reading around doing internet research for about a month trying to get rid of my acid reflux but I'm still suffering today as I was 3 months ago when my acid reflux first started...</t>
        </is>
      </c>
      <c r="D320" t="n">
        <v>1</v>
      </c>
      <c r="E320" t="n">
        <v>15</v>
      </c>
      <c r="F320">
        <f>HYPERLINK("https://www.reddit.com/r/GERD/comments/ape7ta/h_pylori_killed_but_still_have_gerd_are_the/")</f>
        <v/>
      </c>
      <c r="G320" t="inlineStr">
        <is>
          <t>2019-02-11 00:27:13</t>
        </is>
      </c>
      <c r="H320" t="inlineStr"/>
    </row>
    <row r="321">
      <c r="A321" t="inlineStr">
        <is>
          <t>apgbxn</t>
        </is>
      </c>
      <c r="B321" t="inlineStr">
        <is>
          <t>New to all of this</t>
        </is>
      </c>
      <c r="C321" t="inlineStr">
        <is>
          <t xml:space="preserve">Hi there,
A couple of weeks ago i started feeing a tightness in my throat and a gurgling or bubbling sensation. No real heartburn, or at least negligible. My doc put me on pantoprazole, 40 mg a day. I have a couple of questions for all of you:
1. Does it take awhile for the PPI to start being effective? Things are good during the day but night is tough. 
2. Will the symptoms go away?
3. Can I drink beer?!? Lol
Thanks! I appreciate any feedback. </t>
        </is>
      </c>
      <c r="D321" t="n">
        <v>1</v>
      </c>
      <c r="E321" t="n">
        <v>0</v>
      </c>
      <c r="F321">
        <f>HYPERLINK("https://www.reddit.com/r/GERD/comments/apgbxn/new_to_all_of_this/")</f>
        <v/>
      </c>
      <c r="G321" t="inlineStr">
        <is>
          <t>2019-02-11 05:37:23</t>
        </is>
      </c>
      <c r="H321" t="inlineStr"/>
    </row>
    <row r="322">
      <c r="A322" t="inlineStr">
        <is>
          <t>apgtlr</t>
        </is>
      </c>
      <c r="B322" t="inlineStr">
        <is>
          <t>Has anyone tried a low acid / low fodmap diet? Did it help?</t>
        </is>
      </c>
      <c r="C322" t="inlineStr">
        <is>
          <t xml:space="preserve">I have been on a PPI for over 10 years now and from what I have read lately that is not safe. I cut my dose in half about a year ago and I do have some breakthrough GERD Symptoms.  I was reading that a low acid / low fodmap diet for 4 - 6 weeks could help and allow the esophagus to heal. Curious if anyone has tried it and if it helped. </t>
        </is>
      </c>
      <c r="D322" t="n">
        <v>1</v>
      </c>
      <c r="E322" t="n">
        <v>10</v>
      </c>
      <c r="F322">
        <f>HYPERLINK("https://www.reddit.com/r/GERD/comments/apgtlr/has_anyone_tried_a_low_acid_low_fodmap_diet_did/")</f>
        <v/>
      </c>
      <c r="G322" t="inlineStr">
        <is>
          <t>2019-02-11 06:33:23</t>
        </is>
      </c>
      <c r="H322" t="inlineStr"/>
    </row>
    <row r="323">
      <c r="A323" t="inlineStr">
        <is>
          <t>aphe3m</t>
        </is>
      </c>
      <c r="B323" t="inlineStr">
        <is>
          <t>Missed a dose and everything came back, normal?</t>
        </is>
      </c>
      <c r="C323" t="inlineStr">
        <is>
          <t xml:space="preserve">So thanks to you guys I got my anxiety in really good check, eating a good diet, taking famatodine 40mg twice a day for Esophagitis and the last 2 months have been a real improvement. Still have symptoms but much lighter.
Well that was until I got an ear infection and had to take antibiotics. So I’m allergic to the normal drugs they give so they gave me a Zpack which said don’t take with antacids. I decided I’d skip my night time one for the first day that I had to take 2 pills and my heartburn came rushing in that night so the next 4 days I just took the night one later at night instead of at 5pm like usual and took the zpack at noon, 6 hours after my morning pill. 
It’s been a week and after spreading out my Pepcid and skipping it that first day some of my symptoms that were almost completely gone are back. 
Symptoms
* A dull pain under my left rib, it was almost all the way gone now it’s back. Not crazy pain just a light one that I know it’s there. 
* Acid taste in my mouth, this was completely gone and now it’s back
* Tight chest. This would come and go at times but mostly been gone
Just wondering if this is normal. I’d think after 2 months of taking my medicine like clockwork and feeling better missing one pill or a week of antibiotics wouldn’t push me back so far. 
</t>
        </is>
      </c>
      <c r="D323" t="n">
        <v>1</v>
      </c>
      <c r="E323" t="n">
        <v>7</v>
      </c>
      <c r="F323">
        <f>HYPERLINK("https://www.reddit.com/r/GERD/comments/aphe3m/missed_a_dose_and_everything_came_back_normal/")</f>
        <v/>
      </c>
      <c r="G323" t="inlineStr">
        <is>
          <t>2019-02-11 07:34:59</t>
        </is>
      </c>
      <c r="H323" t="inlineStr"/>
    </row>
    <row r="324">
      <c r="A324" t="inlineStr">
        <is>
          <t>aphu5j</t>
        </is>
      </c>
      <c r="B324" t="inlineStr">
        <is>
          <t>Are these symptoms even GERD?</t>
        </is>
      </c>
      <c r="C324" t="inlineStr">
        <is>
          <t xml:space="preserve">Basically every day for the past 5 weeks or so, I have been experiencing an irritating sensation in my throat that is hard to describe (sort of feels like something is pressing on it in an uncomfortable area from the outside...like anywhere from below the Adam's apple down to the base of my neck). The only things that relieve it (temporarily) are eating and sleeping.
When I get some sleep, I wake up and the sensation is gone. That is, until I get up and start moving around.
When I eat a sizable meal, the sensation goes away while my stomach is full...at least as long as I remain seated.
There seem to be certain triggers for it when it has been dormant, including getting stressed out over something and turning my head too far in a given direction (when driving). And then just the light touch of clothing generates the sensation that my throat is being pressed on. 
I don't get what I perceive as "burning." Twice in the span of three months, I did wake up with acid in my mouth, but that's it as far as experiencing any actual burning sensation. And both of those incidents were before these throat sensation symptoms started.
I also often feel like there's mucus or perhaps contents that should be in the stomach that are hanging out in my throat and I try to clear the mucus away, just for the mental aspect of feeling like I'm doing *something*, even though I'm not really doing anything that will help it.
I suspect either a hiatal hernia or esophageal cancer, although I calculated that there are only about 70 people per year in the United States who are in my age range and diagnosed with said cancer. It may also be some kind of cancer. I noticed several months ago that my abdomen around my belly button is asymmetric, although I can't remember if that was always the case. </t>
        </is>
      </c>
      <c r="D324" t="n">
        <v>1</v>
      </c>
      <c r="E324" t="n">
        <v>2</v>
      </c>
      <c r="F324">
        <f>HYPERLINK("https://www.reddit.com/r/GERD/comments/aphu5j/are_these_symptoms_even_gerd/")</f>
        <v/>
      </c>
      <c r="G324" t="inlineStr">
        <is>
          <t>2019-02-11 08:19:02</t>
        </is>
      </c>
      <c r="H324" t="inlineStr"/>
    </row>
    <row r="325">
      <c r="A325" t="inlineStr">
        <is>
          <t>apix58</t>
        </is>
      </c>
      <c r="B325" t="inlineStr">
        <is>
          <t>Sudden heartburn flare up, not sure what could be causing it, terrified.</t>
        </is>
      </c>
      <c r="C325" t="inlineStr">
        <is>
          <t>So this is going to require some backstory.
I have IBS, something I've had since I was a teenager (23F) that over the last couple of years I've been treating with probiotics. They work wonders, I can eat normally, I go to the bathroom more regularly, I stand by them. Back in 2015, I was dealing with a lot of really bad heartburn. Basically, any time I ate anything other than plain rice and broth, I was in horrible pain that nothing could really help. Then I got married, and for 5 days straight, basically the entirety of my honeymoon, I was in the worst pain I have ever experienced. After doing some research, I believe I was dealing with a severe gallbladder attack. I couldn't eat, I couldn't sleep without sleep-aids, I was just in horrible pain in both my stomach region and the right side of my upper back. On the fifth day, it just stopped. I haven't had issues with heartburn or my gallbladder since.
Until now, at least.
Last Sunday, February 3rd, my husband and I came to stay with a couple of friends as a sort of vacation. I was drinking a bit for the first couple of days, but then decided not to continue. I have been constipated, needing to take stool softeners in order to go. I've been drinking the same amount of water, except instead of bottled I'm drinking filtered tap water. I'm eating more than I normally do, as I normally have a light breakfast, no lunch, and a normal dinner. Whereas here, I am having breakfast, lunch, and dinner, nothing unhealthy either as our friends are more health conscious. All-in-all, I am taking better care of myself here. I am less stressed.
And yet, for the last few days, I have woken up in the middle of the night feeling nauseous, with tightness in my stomach and pain in my back. Nothing excruciating, but definitely noticeable. Eventually, the feeling goes away after I take tums and gravol, a hot shower for my back. As of the night before last night, however, it has gotten worse. Yesterday I had a small bowl of cereal with almond milk, and for lunch I had an asian soup noodle, plain in flavour with some vegetables, no tomato or onion or garlic. I had a coffee later in the afternoon to try and help me go to the bathroom. It helped, but ever since, the heartburn just won't stop. I ended up lying down at around 8pm, and wasn't able to go to sleep until 11pm when the pain and discomfort finally subsided enough.
I woke up today feeling better, but my back and ribs were still feeling somewhat sore. I had an apple, a glass of water, and a small cup of soy milk for breakfast. That's it. Now I'm back to feeling like crap. My stomach is tight, my mouth tastes gross but I can't tell if that's from heartburn or the tums I keep chewing, and whole upper back is killing me. I'm sitting up straight with a heating pad against my back, and the feeling just won't subside. I don't know what to do, I can't just not eat but the pain is making me terrified to do so. I'm scared it's my gallbladder getting ready to flare up again.
Any advice?
Extra Information:
\-5'8" 160 lbs, Female
\-Without health insurance due to being an immigrant in canada, and thus can't go see a doctor unless it's a true emergency and even then, I am broke. I didn't even see a doctor for the flareup in 2015, I simply toughed it out.
\-Suffers from anxiety and depression
\-On the pill for birth control, no other medication</t>
        </is>
      </c>
      <c r="D325" t="n">
        <v>1</v>
      </c>
      <c r="E325" t="n">
        <v>3</v>
      </c>
      <c r="F325">
        <f>HYPERLINK("https://www.reddit.com/r/GERD/comments/apix58/sudden_heartburn_flare_up_not_sure_what_could_be/")</f>
        <v/>
      </c>
      <c r="G325" t="inlineStr">
        <is>
          <t>2019-02-11 09:58:13</t>
        </is>
      </c>
      <c r="H325" t="inlineStr"/>
    </row>
    <row r="326">
      <c r="A326" t="inlineStr">
        <is>
          <t>apj3ew</t>
        </is>
      </c>
      <c r="B326" t="inlineStr">
        <is>
          <t>GERD is ruining my life and my doctor is no help</t>
        </is>
      </c>
      <c r="C326" t="inlineStr">
        <is>
          <t>What do you do when your doctor won't help you? Find another doctor? Wouldn't that look like you were doctor-hopping?
 I've had a chronic cough for more than a year, and it's driving me nuts. My doctor has blamed it on everything from allergies to infection, but I'm positive it's from the irritation caused by my GERD, since my allergies are well under control with medication. She insists that it can't be caused by GERD because I am medicated for it.
She prescribed Pantoprazole, which helped with the acidity of the reflux but did not stop it. Now, I'm frequently burping up white foam and sour liquid (not the volcanic acid that I experienced before, but not pleasant either.)
This has caused a lot of irritation and mucus in my throat, which makes me cough. Sometimes, it keeps me up at night.
I've tried changing my diet to remove foods like chocolate, mint, and caffeine. Nothing helps.
I've asked her to refer me to a gastroenterologist, but she refuses until I get a chest x-ray to check for bronchitis, which I think will be a waste of money and time. There's nothing in my lungs. It's all in my throat/esophagus.
TL;DR I guess I'm just venting. This cough has been embarassing, painful, and frustrating. I'm afraid I'm going to end up with permanent damage because of it and I just don't know what to do.</t>
        </is>
      </c>
      <c r="D326" t="n">
        <v>1</v>
      </c>
      <c r="E326" t="n">
        <v>16</v>
      </c>
      <c r="F326">
        <f>HYPERLINK("https://www.reddit.com/r/GERD/comments/apj3ew/gerd_is_ruining_my_life_and_my_doctor_is_no_help/")</f>
        <v/>
      </c>
      <c r="G326" t="inlineStr">
        <is>
          <t>2019-02-11 10:13:08</t>
        </is>
      </c>
      <c r="H326" t="inlineStr"/>
    </row>
    <row r="327">
      <c r="A327" t="inlineStr">
        <is>
          <t>apjb06</t>
        </is>
      </c>
      <c r="B327" t="inlineStr">
        <is>
          <t>Discomfort under left rib cage</t>
        </is>
      </c>
      <c r="C327" t="inlineStr">
        <is>
          <t>I've this feeling under my left rib cage when I lean forward. It doesn't hurt but I feel like there is something down there. It comes and go. I notice it when I lean forward to pick something up or exercising. Is this related to GERD or gastritis?</t>
        </is>
      </c>
      <c r="D327" t="n">
        <v>1</v>
      </c>
      <c r="E327" t="n">
        <v>6</v>
      </c>
      <c r="F327">
        <f>HYPERLINK("https://www.reddit.com/r/GERD/comments/apjb06/discomfort_under_left_rib_cage/")</f>
        <v/>
      </c>
      <c r="G327" t="inlineStr">
        <is>
          <t>2019-02-11 10:32:10</t>
        </is>
      </c>
      <c r="H327" t="inlineStr"/>
    </row>
    <row r="328">
      <c r="A328" t="inlineStr">
        <is>
          <t>apn5dj</t>
        </is>
      </c>
      <c r="B328" t="inlineStr">
        <is>
          <t>Gerd and esophageal stricture</t>
        </is>
      </c>
      <c r="C328" t="inlineStr">
        <is>
          <t>I've been bad after an esophageal dilation x 5 years ago, didn't watch diet really, but I have silent gerd mostly. Anywho, I feel I need another dilation because of dysphagia, but I stopped drinking soda and started taking Omeprazole consistently and have a Dr appt soon. Why does my gerd feel worse after stopping sodas and fast food??? 
Thanks guys/gals!</t>
        </is>
      </c>
      <c r="D328" t="n">
        <v>1</v>
      </c>
      <c r="E328" t="n">
        <v>2</v>
      </c>
      <c r="F328">
        <f>HYPERLINK("https://www.reddit.com/r/GERD/comments/apn5dj/gerd_and_esophageal_stricture/")</f>
        <v/>
      </c>
      <c r="G328" t="inlineStr">
        <is>
          <t>2019-02-11 16:30:17</t>
        </is>
      </c>
      <c r="H328" t="inlineStr"/>
    </row>
    <row r="329">
      <c r="A329" t="inlineStr">
        <is>
          <t>apnft6</t>
        </is>
      </c>
      <c r="B329" t="inlineStr">
        <is>
          <t>Weird Symptoms</t>
        </is>
      </c>
      <c r="C329" t="inlineStr">
        <is>
          <t>I'm not sure if this is GERD. 
For over 6 months now I have had a burning sensation in my lips and mouth. Sometimes my throat feels swollen and tender, and I will get strong twitches on the sides of my neck. I have gained weight in my abdomen, and feel like I have a hiatal hernia. I am bloated every single day, it seems worse after eating, but is also random. 
The burning in my lips gets worse sometimes after eating, and sometimes after bending forward, putting pressure on my abdomen. It almost feels as if single nerves around my lips will get hot and sting for a moment. 
My doctor ordered an abdominal ultrasound and some blood work. I tested negative for hpylori and celiac, and everything else was normal. He prescribed PPI and said if things didn't improve after 4 to 6 weeks I could follow up. 
I was on PPI for almost a year, about 3 years ago. I am pretty sure the PPI combined with a vegan diet had given me SIBO, or some sort of dysbiosis. I am familiar with what reflux feels like, and I only experience it sometimes. 
I told the doctor this. He said if GERD was causing my mouth and lips to burn, I would feel it all the way up my esophagus and in my throat..but I dont. He still prescribed me PPI. He wouldn't order an upper endoscopy since I had one in 2015.
Does this sound like GERD? Has anyone else gone through something like this? I am so so tired of dealing with this, but I am scared to make it worse with PPI.</t>
        </is>
      </c>
      <c r="D329" t="n">
        <v>1</v>
      </c>
      <c r="E329" t="n">
        <v>3</v>
      </c>
      <c r="F329">
        <f>HYPERLINK("https://www.reddit.com/r/GERD/comments/apnft6/weird_symptoms/")</f>
        <v/>
      </c>
      <c r="G329" t="inlineStr">
        <is>
          <t>2019-02-11 17:00:50</t>
        </is>
      </c>
      <c r="H329" t="inlineStr"/>
    </row>
    <row r="330">
      <c r="A330" t="inlineStr">
        <is>
          <t>aprd91</t>
        </is>
      </c>
      <c r="B330" t="inlineStr">
        <is>
          <t>My Root Cause - A theory</t>
        </is>
      </c>
      <c r="C330" t="inlineStr">
        <is>
          <t>Endoscopy revealed I have chronic gastritis and GERD, which gave finally explained my bloating and heartburn. 
As a healthy, sober, relaxed 18 year old, I have struggled to find the root cause of my condition. However, i’m fairly certain that i’ve figured out what’s causing all of this and can start a plan to heal myself for good.
I have numerous deficiencies, including zinc, iron, b12, etc, despite eating these nutrients and supplementing. Also, when i eat protein, it feels like a rock in my stomach, and it feels like my throat is tight and can’t get a deep breath. On top of that, i have Hashimoto’s Thyroiditis, which one of the side effects is having a sluggish digestive system. 
All of these factors have concluded that the environment in my stomach is not acidic enough, so i can’t absorb nutrients, digest protein, etc. Food is fermenting in my stomach, producing gas, and putting pressure on my lower esophageal sphincter. 
I have been on a PPI for a few months and i feel a lot worse. 
I’m going to try a different approach.</t>
        </is>
      </c>
      <c r="D330" t="n">
        <v>1</v>
      </c>
      <c r="E330" t="n">
        <v>1</v>
      </c>
      <c r="F330">
        <f>HYPERLINK("https://www.reddit.com/r/GERD/comments/aprd91/my_root_cause_a_theory/")</f>
        <v/>
      </c>
      <c r="G330" t="inlineStr">
        <is>
          <t>2019-02-12 00:52:23</t>
        </is>
      </c>
      <c r="H330" t="inlineStr"/>
    </row>
    <row r="331">
      <c r="A331" t="inlineStr">
        <is>
          <t>aprlix</t>
        </is>
      </c>
      <c r="B331" t="inlineStr">
        <is>
          <t>Daily Omeprezole?</t>
        </is>
      </c>
      <c r="C331" t="inlineStr">
        <is>
          <t xml:space="preserve">I'm going to the doctor wednesday, but I just wanted to ask if any of you also take Omperezole daily. I've been on it for at least four years now. </t>
        </is>
      </c>
      <c r="D331" t="n">
        <v>1</v>
      </c>
      <c r="E331" t="n">
        <v>3</v>
      </c>
      <c r="F331">
        <f>HYPERLINK("https://www.reddit.com/r/GERD/comments/aprlix/daily_omeprezole/")</f>
        <v/>
      </c>
      <c r="G331" t="inlineStr">
        <is>
          <t>2019-02-12 01:28:05</t>
        </is>
      </c>
      <c r="H331" t="inlineStr"/>
    </row>
    <row r="332">
      <c r="A332" t="inlineStr">
        <is>
          <t>aq02av</t>
        </is>
      </c>
      <c r="B332" t="inlineStr">
        <is>
          <t>Weird</t>
        </is>
      </c>
      <c r="C332" t="inlineStr">
        <is>
          <t xml:space="preserve">Can GERD cause urinary tract infections? </t>
        </is>
      </c>
      <c r="D332" t="n">
        <v>1</v>
      </c>
      <c r="E332" t="n">
        <v>12</v>
      </c>
      <c r="F332">
        <f>HYPERLINK("https://www.reddit.com/r/GERD/comments/aq02av/weird/")</f>
        <v/>
      </c>
      <c r="G332" t="inlineStr">
        <is>
          <t>2019-02-12 15:51:46</t>
        </is>
      </c>
      <c r="H332" t="inlineStr"/>
    </row>
    <row r="333">
      <c r="A333" t="inlineStr">
        <is>
          <t>aq0rsq</t>
        </is>
      </c>
      <c r="B333" t="inlineStr">
        <is>
          <t>My GERD story =&amp;gt; Updated</t>
        </is>
      </c>
      <c r="C333" t="inlineStr">
        <is>
          <t>So great news. No cancer this time. The lesions were biopsied and they were clear. Next step is repeat endoscopy in another two months to check progress of Esophigitis (As I mentioned in a former post, its LA Grade D) possibly healing a bit.
Hopefully, I can have the Barretts tissue ablated.
Cheers</t>
        </is>
      </c>
      <c r="D333" t="n">
        <v>1</v>
      </c>
      <c r="E333" t="n">
        <v>12</v>
      </c>
      <c r="F333">
        <f>HYPERLINK("https://www.reddit.com/r/GERD/comments/aq0rsq/my_gerd_story_updated/")</f>
        <v/>
      </c>
      <c r="G333" t="inlineStr">
        <is>
          <t>2019-02-12 17:05:26</t>
        </is>
      </c>
      <c r="H333" t="inlineStr"/>
    </row>
    <row r="334">
      <c r="A334" t="inlineStr">
        <is>
          <t>aq1dtw</t>
        </is>
      </c>
      <c r="B334" t="inlineStr">
        <is>
          <t>Is GERD considered a chronic illness?</t>
        </is>
      </c>
      <c r="C334" t="inlineStr">
        <is>
          <t xml:space="preserve">Hey everyone!
I've was originally diagnosed with GERD when I was in 5th grade, but it didn't get really bad until I was 16. Since that time (I'm nearly 23), I've noticed that I am just extremely tired and fatigued all the time and there's really no explanation for it. I have multiple disorders (GERD, ADHD, and joint hypermobility) that all revolve around the same thing (collagen).  I think the fatigue and tiredness can be linked back to all three of those, but I'm wondering is GERD considered a chronic illness? Do you consider it to be a chronic illness? 
I really started thinking about it the other day when I was describing myself as chronically tired to a coworker, which is definitely made worse when I'm stressed. I find myself relating a lot to people with chronic disorders and the things they experience, if less severe. </t>
        </is>
      </c>
      <c r="D334" t="n">
        <v>1</v>
      </c>
      <c r="E334" t="n">
        <v>13</v>
      </c>
      <c r="F334">
        <f>HYPERLINK("https://www.reddit.com/r/GERD/comments/aq1dtw/is_gerd_considered_a_chronic_illness/")</f>
        <v/>
      </c>
      <c r="G334" t="inlineStr">
        <is>
          <t>2019-02-12 18:11:32</t>
        </is>
      </c>
      <c r="H334" t="inlineStr"/>
    </row>
    <row r="335">
      <c r="A335" t="inlineStr">
        <is>
          <t>aq26yv</t>
        </is>
      </c>
      <c r="B335" t="inlineStr">
        <is>
          <t>Look to interview youth who have GERD for health story</t>
        </is>
      </c>
      <c r="C335" t="inlineStr">
        <is>
          <t xml:space="preserve">Hi everyone, I am a 26-year-old with GERD, and have had it for 11 years. Needless to say, it's been incredibly debilitating for me. I am also a journalist working on a health story about youth who have GERD, because more young people today are being diagnosed with it. The story will be published on a health blog called Catalyst, based out of Carleton University in Ottawa, Canada. I'm hoping to connect with a couple young people from this group for a short Skype/Phone chat about their experiences with GERD as a teenager or young adult. If anyone has undergone surgery to alleviate their symptoms, I'd love to hear from you as well! Please feel free to respond to this message, or send me a DM. :) </t>
        </is>
      </c>
      <c r="D335" t="n">
        <v>1</v>
      </c>
      <c r="E335" t="n">
        <v>0</v>
      </c>
      <c r="F335">
        <f>HYPERLINK("https://www.reddit.com/r/GERD/comments/aq26yv/look_to_interview_youth_who_have_gerd_for_health/")</f>
        <v/>
      </c>
      <c r="G335" t="inlineStr">
        <is>
          <t>2019-02-12 19:39:11</t>
        </is>
      </c>
      <c r="H335" t="inlineStr"/>
    </row>
    <row r="336">
      <c r="A336" t="inlineStr">
        <is>
          <t>aq2aol</t>
        </is>
      </c>
      <c r="B336" t="inlineStr">
        <is>
          <t>Looking to interview youth with GERD for health story</t>
        </is>
      </c>
      <c r="C336" t="inlineStr">
        <is>
          <t>Hi everyone, I am a 26-year-old with GERD, and have had it for 11 years. Needless to say, it's been incredibly debilitating for me. I am also a journalist working on a health story about youth who have GERD, because more young people today are being diagnosed with it. The story will be published on a health blog called Catalyst, based out of Carleton University in Ottawa, Canada. I'm hoping to connect with a couple young people from this group for a short Skype/Phone chat about their experiences with GERD as a teenager or young adult. If anyone has undergone surgery to alleviate their symptoms, I'd love to hear from you as well! Please feel free to respond to this message, or send me a DM. :)</t>
        </is>
      </c>
      <c r="D336" t="n">
        <v>1</v>
      </c>
      <c r="E336" t="n">
        <v>0</v>
      </c>
      <c r="F336">
        <f>HYPERLINK("https://www.reddit.com/r/GERD/comments/aq2aol/looking_to_interview_youth_with_gerd_for_health/")</f>
        <v/>
      </c>
      <c r="G336" t="inlineStr">
        <is>
          <t>2019-02-12 19:50:06</t>
        </is>
      </c>
      <c r="H336" t="inlineStr"/>
    </row>
    <row r="337">
      <c r="A337" t="inlineStr">
        <is>
          <t>aq7d6w</t>
        </is>
      </c>
      <c r="B337" t="inlineStr">
        <is>
          <t>Do I have GERD?</t>
        </is>
      </c>
      <c r="C337" t="inlineStr">
        <is>
          <t>Hey guys, first of all I want to say sorry if I have any grammar errors but I'm in a hurry and want to ask this here.
So, I'm 21, male, I don't have any symptoms like heartburn or vomiting or anything I have ONLY ONE symptom which is this: I feel like there is something in my throat and I have to swallow more often and it makes me annoyed. It's not constant, sometimes I feel this "lump" in my throat for like 2-3 weeks then it disappears for weeks and it comes back again...I don't know what is it, maybe Silent Reflux? 
I was at the "general practitioner" and he said I should take some baking soda with water and if it helps with my symptom then I would probably have GERD but it doesn't help. I don't know what is it, I have depression and anxiety sometimes and my life is full of stress but I don't think it's related to them. 
I'm thinking about go to a special doctor next week, I kinda regret that I haven't been to a special doctor but it haven't bothered me until now and I have never had any kind of pain or whatever. 
Oh and I usually have this problem in winter, when summer comes this symptom rarely comes back. 
I don't know what is it but thanks anyways!</t>
        </is>
      </c>
      <c r="D337" t="n">
        <v>1</v>
      </c>
      <c r="E337" t="n">
        <v>6</v>
      </c>
      <c r="F337">
        <f>HYPERLINK("https://www.reddit.com/r/GERD/comments/aq7d6w/do_i_have_gerd/")</f>
        <v/>
      </c>
      <c r="G337" t="inlineStr">
        <is>
          <t>2019-02-13 06:54:48</t>
        </is>
      </c>
      <c r="H337" t="inlineStr"/>
    </row>
    <row r="338">
      <c r="A338" t="inlineStr">
        <is>
          <t>aq7o5n</t>
        </is>
      </c>
      <c r="B338" t="inlineStr">
        <is>
          <t>Do PPIs cause stomach pain?</t>
        </is>
      </c>
      <c r="C338" t="inlineStr">
        <is>
          <t xml:space="preserve">So I started taking pantoprazole in late August, 40mg a day. It really helped with my acid reflux symptoms like heartburn, coughing up phlegm, etc. Around October, we went up to 80mg/day to see if that would clear everything up completely. The symptoms I had been experiencing for months essentially went away at that point, but then I began to have left upper abdominal pain (like right under where my rib cage ends). For the past month, I’ve been having the pain essentially constantly. I did go down to 40mg but it’s still there.
I recently had an endoscopy so hopefully we’ll be able to see if there’s inflammation, infection, disease, etc. but failing that, I wonder if it’s the PPI itself that is causing me pain. I am considering switching to a H2 blocker to see if that helps me. 
Has anyone had a similar experience? Did tapering off of PPIs help you? </t>
        </is>
      </c>
      <c r="D338" t="n">
        <v>1</v>
      </c>
      <c r="E338" t="n">
        <v>3</v>
      </c>
      <c r="F338">
        <f>HYPERLINK("https://www.reddit.com/r/GERD/comments/aq7o5n/do_ppis_cause_stomach_pain/")</f>
        <v/>
      </c>
      <c r="G338" t="inlineStr">
        <is>
          <t>2019-02-13 07:25:32</t>
        </is>
      </c>
      <c r="H338" t="inlineStr"/>
    </row>
    <row r="339">
      <c r="A339" t="inlineStr">
        <is>
          <t>aq8vyt</t>
        </is>
      </c>
      <c r="B339" t="inlineStr">
        <is>
          <t>Recommendations for mastic gum capsules?</t>
        </is>
      </c>
      <c r="C339" t="inlineStr">
        <is>
          <t>I did ask about this over in /r/supplements and nobody seemed to know what I was talking about, so I brought it here since I've seen a lot of folks mention it as a home remedy for GERD and other digestive issues.
I have read other people's threads and I see everybody recommends the Jarrow brand capsules. But the problem is that Jarrow seems to no longer make capsules and has mastic gum tablets instead, and judging by the reviews on them, it looks like they are a vastly inferior product. Many people report the tablets do absolutely nothing and some even say the tablets pass through them undigested.
I want to give mastic gum a try for my own symptoms, but I don't know what brand to go with if Jarrow now sucks. Could anyone suggest a brand to me?</t>
        </is>
      </c>
      <c r="D339" t="n">
        <v>1</v>
      </c>
      <c r="E339" t="n">
        <v>11</v>
      </c>
      <c r="F339">
        <f>HYPERLINK("https://www.reddit.com/r/GERD/comments/aq8vyt/recommendations_for_mastic_gum_capsules/")</f>
        <v/>
      </c>
      <c r="G339" t="inlineStr">
        <is>
          <t>2019-02-13 09:16:02</t>
        </is>
      </c>
      <c r="H339" t="inlineStr"/>
    </row>
    <row r="340">
      <c r="A340" t="inlineStr">
        <is>
          <t>aqajog</t>
        </is>
      </c>
      <c r="B340" t="inlineStr">
        <is>
          <t>Most annoying thing ever</t>
        </is>
      </c>
      <c r="C340" t="inlineStr">
        <is>
          <t>Does anyone experience random aches and uncomfortableness in left chest area from GERD/Anxiety?</t>
        </is>
      </c>
      <c r="D340" t="n">
        <v>1</v>
      </c>
      <c r="E340" t="n">
        <v>16</v>
      </c>
      <c r="F340">
        <f>HYPERLINK("https://www.reddit.com/r/GERD/comments/aqajog/most_annoying_thing_ever/")</f>
        <v/>
      </c>
      <c r="G340" t="inlineStr">
        <is>
          <t>2019-02-13 11:41:46</t>
        </is>
      </c>
      <c r="H340" t="inlineStr"/>
    </row>
    <row r="341">
      <c r="A341" t="inlineStr">
        <is>
          <t>aqany0</t>
        </is>
      </c>
      <c r="B341" t="inlineStr">
        <is>
          <t>Hiatal hernia not visible during endoscopy?</t>
        </is>
      </c>
      <c r="C341" t="inlineStr">
        <is>
          <t xml:space="preserve">When I had an endoscopy about 8 years ago, one of the findings was a "medium-size hiatal hernia". 
Lately my reflux has gotten much worse, especially in the form of LPR, so I had another endoscopy. The report made no mention of the hiatal hernia. I haven't gotten to talk to the gastroenterologist at all, just someone on the phone at her office who looked up the report and biopsy results for me. But she said if there was a hiatal hernia visible they would usually  note it in the report.
How common is it for a hiatal hernia not to be visible? My symptoms are consistent with a hiatal hernia that gets worse during the course of the day. The more I sit or the later in the day I eat, the more likely it is I will have reflux and the worse it is. I had the endoscopy in the morning. </t>
        </is>
      </c>
      <c r="D341" t="n">
        <v>1</v>
      </c>
      <c r="E341" t="n">
        <v>3</v>
      </c>
      <c r="F341">
        <f>HYPERLINK("https://www.reddit.com/r/GERD/comments/aqany0/hiatal_hernia_not_visible_during_endoscopy/")</f>
        <v/>
      </c>
      <c r="G341" t="inlineStr">
        <is>
          <t>2019-02-13 11:51:41</t>
        </is>
      </c>
      <c r="H341" t="inlineStr"/>
    </row>
    <row r="342">
      <c r="A342" t="inlineStr">
        <is>
          <t>aqbdtj</t>
        </is>
      </c>
      <c r="B342" t="inlineStr">
        <is>
          <t>DAE experiences unsoothable increase in stomach acidity in the wee hours of the morning?</t>
        </is>
      </c>
      <c r="C342" t="inlineStr">
        <is>
          <t>My golden hour is around 4 am. I would wake up with an increase in gastric juice/acidity. Then it usually keeps me awake for an hour or two until it settles down.
I am taking 40 mg pantoprazole but this still happens. The rest of the day is fine though.</t>
        </is>
      </c>
      <c r="D342" t="n">
        <v>1</v>
      </c>
      <c r="E342" t="n">
        <v>8</v>
      </c>
      <c r="F342">
        <f>HYPERLINK("https://www.reddit.com/r/GERD/comments/aqbdtj/dae_experiences_unsoothable_increase_in_stomach/")</f>
        <v/>
      </c>
      <c r="G342" t="inlineStr">
        <is>
          <t>2019-02-13 12:56:03</t>
        </is>
      </c>
      <c r="H342" t="inlineStr"/>
    </row>
    <row r="343">
      <c r="A343" t="inlineStr">
        <is>
          <t>aqcurg</t>
        </is>
      </c>
      <c r="B343" t="inlineStr">
        <is>
          <t>Does anybody feel like GERD is a physically painful wake-up call for a change in lifestyle?</t>
        </is>
      </c>
      <c r="C343" t="inlineStr">
        <is>
          <t>As broad as the title may be, I couldn't help but think that GERD is your body telling you that there's something wrong with the way you are living your life now, and you must change.
&amp;amp;#x200B;
Whether it be that you've been intentionally putting yourself in stressful situations and not confronting the reason why, or that you've been letting your anxiety dictate your actions in your daily life rather than understanding that it's perfectly normal and that it shouldn't stop you from living the life you want to live. Perhaps it's even your body telling you that you've been prioritising your self-created perception of fun/pleasure rather than pursuing your health (physical and mental) through exercise, diet and meditation. 
&amp;amp;#x200B;
Like all things in life, it must hurt for you understand the true value of your health and overall wellbeing.
&amp;amp;#x200B;
Of course this goes over the psychological aspects of what could affect GERD. While I also believe that dysfunctional organs are an underlying cause, maybe one or more of the factors mentioned above induced it?
&amp;amp;#x200B;
But that's just my input, any thoughts?</t>
        </is>
      </c>
      <c r="D343" t="n">
        <v>1</v>
      </c>
      <c r="E343" t="n">
        <v>5</v>
      </c>
      <c r="F343">
        <f>HYPERLINK("https://www.reddit.com/r/GERD/comments/aqcurg/does_anybody_feel_like_gerd_is_a_physically/")</f>
        <v/>
      </c>
      <c r="G343" t="inlineStr">
        <is>
          <t>2019-02-13 15:07:39</t>
        </is>
      </c>
      <c r="H343" t="inlineStr"/>
    </row>
    <row r="344">
      <c r="A344" t="inlineStr">
        <is>
          <t>aqeb2s</t>
        </is>
      </c>
      <c r="B344" t="inlineStr">
        <is>
          <t>Anyone tried celery juice?</t>
        </is>
      </c>
      <c r="C344" t="inlineStr">
        <is>
          <t>You're already probably familiar with the fad, juicing 16oz celery on an empty stomach for 30 days curing a host of medical conditions such as acid reflux.
Curious if anyone has given this one a go. If not I'll try it for science.</t>
        </is>
      </c>
      <c r="D344" t="n">
        <v>1</v>
      </c>
      <c r="E344" t="n">
        <v>10</v>
      </c>
      <c r="F344">
        <f>HYPERLINK("https://www.reddit.com/r/GERD/comments/aqeb2s/anyone_tried_celery_juice/")</f>
        <v/>
      </c>
      <c r="G344" t="inlineStr">
        <is>
          <t>2019-02-13 17:35:14</t>
        </is>
      </c>
      <c r="H344" t="inlineStr"/>
    </row>
    <row r="345">
      <c r="A345" t="inlineStr">
        <is>
          <t>aqgb0w</t>
        </is>
      </c>
      <c r="B345" t="inlineStr">
        <is>
          <t>Having bloating</t>
        </is>
      </c>
      <c r="C345" t="inlineStr">
        <is>
          <t xml:space="preserve">Hello everyone I suffer daily from dysphasia and  GERD. I get bloated easily. I am trying to eat bigger meals but it is hard with me working up my meals. Any advice on what to do for bloating and increasing meal intake. I am tying to gain weight not loose anymore. 
Thank you in advance. </t>
        </is>
      </c>
      <c r="D345" t="n">
        <v>1</v>
      </c>
      <c r="E345" t="n">
        <v>1</v>
      </c>
      <c r="F345">
        <f>HYPERLINK("https://www.reddit.com/r/GERD/comments/aqgb0w/having_bloating/")</f>
        <v/>
      </c>
      <c r="G345" t="inlineStr">
        <is>
          <t>2019-02-13 21:20:25</t>
        </is>
      </c>
      <c r="H345" t="inlineStr"/>
    </row>
    <row r="346">
      <c r="A346" t="inlineStr">
        <is>
          <t>aqgfsz</t>
        </is>
      </c>
      <c r="B346" t="inlineStr">
        <is>
          <t>Going in for LINX procedure on March 7th!</t>
        </is>
      </c>
      <c r="C346" t="inlineStr">
        <is>
          <t>Hey guys. I’ve been lurking on this sub for quite sometime. I’m a 25 year old Canadian who was born with a congenital hiatal hernia(2cm), and have had chronic reflux for pretty much my entire life. Other than that, I’m healthy as an Ox. Been an avid runner since birth and am skinny as a toothpick.
Was put on PPIs when I was 7, only took them on and off. But my reflux continued to get worse as I got older. I started to have to take the PPIs everyday since I was about 17. 
Ever since I turned 22, the PPIs failed to control my symptoms. And I began to begin burping up whatever I ate or drank(even water).
I’m from Canada, and I had to suffer for a long time until I got my tests done. I had esophagitis, but no signs of Barrett’s so I’m lucky there. 
They also did a test on my skeleton. My Bone Mineral Density in my Spine and Hips are .5 below normal. I was 2.0 and normal for my age is 2.5. Osteoporosis is 1.0. Keep in mind I run 12-15 km a day, and I take tons of vitamin D and eat a calcium rich diet. Yet I still had BMD loss from the PPIs.
So I’m really glad I’m going to be able to say goodbye to these drugs forever, I don’t want my skeleton to get damaged anymore. My surgeon said my BMD should recover within 6 to 8 months.
The Nissen looked too extreme for me, and the side effects really put me off. So I’ve opted for the LINX. My surgeon supports this too as I’m young and the device should integrate with me easily. They are also repairing my 2cm HH.
I’ll be going to NY in a few weeks to have it done. If any of you wanna know how my recovery is going just let me know :)
I’m excited to finally have this monster gone forever, my surgeon said I should be reflux free for life. And that the dysphagia post op from this procedure will be minimal due to advances over the last 10 years. But hell, I’ll take anything over this.
OHIP and the Canadian Government agreed to cover my procedure as well. So my case could get the LINX approved in Canada! I actually believe I’m the first one OHIP has covered as far as the LINX goes.
All in all, the procedure came to about 20k CAD. I’m thankful I got help from the government&amp;lt;3
Wish me luck guys. A new life awaits me =]</t>
        </is>
      </c>
      <c r="D346" t="n">
        <v>1</v>
      </c>
      <c r="E346" t="n">
        <v>45</v>
      </c>
      <c r="F346">
        <f>HYPERLINK("https://www.reddit.com/r/GERD/comments/aqgfsz/going_in_for_linx_procedure_on_march_7th/")</f>
        <v/>
      </c>
      <c r="G346" t="inlineStr">
        <is>
          <t>2019-02-13 21:36:51</t>
        </is>
      </c>
      <c r="H346" t="inlineStr"/>
    </row>
    <row r="347">
      <c r="A347" t="inlineStr">
        <is>
          <t>aqi6fh</t>
        </is>
      </c>
      <c r="B347" t="inlineStr">
        <is>
          <t>Symptoms appear way late at night</t>
        </is>
      </c>
      <c r="C347" t="inlineStr">
        <is>
          <t>I know symptoms appear at night. Whether they are caused by dinner or laying down for bed. My symptoms start way late, usually after midnight and I typically don’t even lay down anymore. I don’t eat late either. 
Does anyone else experience this? 
It’s just the throat burning at night and it feels absolutely terrible. Almost as if I had a ball of spiced rum in my throat getting bigger and bigger.</t>
        </is>
      </c>
      <c r="D347" t="n">
        <v>1</v>
      </c>
      <c r="E347" t="n">
        <v>2</v>
      </c>
      <c r="F347">
        <f>HYPERLINK("https://www.reddit.com/r/GERD/comments/aqi6fh/symptoms_appear_way_late_at_night/")</f>
        <v/>
      </c>
      <c r="G347" t="inlineStr">
        <is>
          <t>2019-02-14 01:54:18</t>
        </is>
      </c>
      <c r="H347" t="inlineStr"/>
    </row>
    <row r="348">
      <c r="A348" t="inlineStr">
        <is>
          <t>aqlgsz</t>
        </is>
      </c>
      <c r="B348" t="inlineStr">
        <is>
          <t>Can you loose the ability to burp ?</t>
        </is>
      </c>
      <c r="C348" t="inlineStr">
        <is>
          <t>Can you loose the ability to burp or relax the lower esophageal sphincter with time ?, i have acid reflux for a long time but since a few months ago i can't burp at will, and is easy to notice because when it happens it's really easy to me takes no work, but in other ocasions it does not matter what i do relax or no relax i just can't
Is this anxiety from me ?, or it could be medical a loose my ability to burp</t>
        </is>
      </c>
      <c r="D348" t="n">
        <v>1</v>
      </c>
      <c r="E348" t="n">
        <v>8</v>
      </c>
      <c r="F348">
        <f>HYPERLINK("https://www.reddit.com/r/GERD/comments/aqlgsz/can_you_loose_the_ability_to_burp/")</f>
        <v/>
      </c>
      <c r="G348" t="inlineStr">
        <is>
          <t>2019-02-14 08:22:33</t>
        </is>
      </c>
      <c r="H348" t="inlineStr"/>
    </row>
    <row r="349">
      <c r="A349" t="inlineStr">
        <is>
          <t>aqli7v</t>
        </is>
      </c>
      <c r="B349" t="inlineStr">
        <is>
          <t>Long term PPI user looking for multivitamin</t>
        </is>
      </c>
      <c r="C349" t="inlineStr">
        <is>
          <t xml:space="preserve">24/male, diagnosed with Hiatal hernia about 3/4 years ago and have been on PPIs for about 5 years. I’ve read multiple studies that show ppi use can attribute to deficiencies with multiple vitamins and minerals. Do you all know of a “perfect” multivitamin that can help with this? I know the most common deficiencies are in calcium, iron, b12, D, magnesium. </t>
        </is>
      </c>
      <c r="D349" t="n">
        <v>1</v>
      </c>
      <c r="E349" t="n">
        <v>4</v>
      </c>
      <c r="F349">
        <f>HYPERLINK("https://www.reddit.com/r/GERD/comments/aqli7v/long_term_ppi_user_looking_for_multivitamin/")</f>
        <v/>
      </c>
      <c r="G349" t="inlineStr">
        <is>
          <t>2019-02-14 08:26:21</t>
        </is>
      </c>
      <c r="H349" t="inlineStr"/>
    </row>
    <row r="350">
      <c r="A350" t="inlineStr">
        <is>
          <t>aqmdpe</t>
        </is>
      </c>
      <c r="B350" t="inlineStr">
        <is>
          <t>Pain after endoscopy</t>
        </is>
      </c>
      <c r="C350" t="inlineStr">
        <is>
          <t>I had an upper GI endoscopy done yesterday because I've been experiencing reflux-like pain and burning in my throat/upper esophagus for the last few months. I had all the standard LPR symptoms. They had slowly started to go away, though. 
So, I had the procedure done yesterday to make sure everything's okay. No anesthesia, no pain killers or sedatives, as is the sadistic way of my people. It was pretty horrible, not gonna lie. It's supposed to be painless, but I experienced a lot of pain and pressure in my chest, like a heart attack. Felt okay afterwards, or maybe I was just so relieved to get out. Slight pain in my throat and stomach on the evening but very manageable. 
They didn't find anything wrong, btw. No inflammation, no hiatal hernia. Nothing to explain my symptoms. They took out a polyp, but from what I understand they are usually pretty harmless. Correct me if I'm wrong.
However, I've been experiencing a lot of pain in my stomach and chest today, especially after eating. Sort of like a cramps, or a dull ache. Stronger, stabbing pains every now and then. Sometimes I feel like the pain originates in my heart.
I called the clinic and they told me to go to acute care if the pain doesn't go away or gets worse. That there isn't supposed to be any pain involved. But I don't know. The procedure was pretty invasive and they took quite a lot of samples. And otherwise I'm feeeling okay. 
What do you guys think? Should I worry? Has anyone else had pain like this after an upper GI endoscopy?</t>
        </is>
      </c>
      <c r="D350" t="n">
        <v>1</v>
      </c>
      <c r="E350" t="n">
        <v>17</v>
      </c>
      <c r="F350">
        <f>HYPERLINK("https://www.reddit.com/r/GERD/comments/aqmdpe/pain_after_endoscopy/")</f>
        <v/>
      </c>
      <c r="G350" t="inlineStr">
        <is>
          <t>2019-02-14 09:45:30</t>
        </is>
      </c>
      <c r="H350" t="inlineStr"/>
    </row>
    <row r="351">
      <c r="A351" t="inlineStr">
        <is>
          <t>aqn3uy</t>
        </is>
      </c>
      <c r="B351" t="inlineStr">
        <is>
          <t>Normal endoscopy but still refluxing. Too much stress?</t>
        </is>
      </c>
      <c r="C351" t="inlineStr">
        <is>
          <t>I started spontaneously having reflux symptoms in November of this year after never having any symptoms before in my life.  I had a Gastrocopy done on the 16th of January.  Surgeon diagnosed me with Functional Dyspepsia.  When I asked about my LES he said it appeared normal.  Why am I still refluxing with a normal functioning LES?</t>
        </is>
      </c>
      <c r="D351" t="n">
        <v>1</v>
      </c>
      <c r="E351" t="n">
        <v>26</v>
      </c>
      <c r="F351">
        <f>HYPERLINK("https://www.reddit.com/r/GERD/comments/aqn3uy/normal_endoscopy_but_still_refluxing_too_much/")</f>
        <v/>
      </c>
      <c r="G351" t="inlineStr">
        <is>
          <t>2019-02-14 10:49:47</t>
        </is>
      </c>
      <c r="H351" t="inlineStr"/>
    </row>
    <row r="352">
      <c r="A352" t="inlineStr">
        <is>
          <t>aqq89n</t>
        </is>
      </c>
      <c r="B352" t="inlineStr">
        <is>
          <t>GERD and inability to burp</t>
        </is>
      </c>
      <c r="C352" t="inlineStr">
        <is>
          <t>I just thought I would post because this has come up a few times on this sub and I think it is somewhat GERD related.  Some people can't burp, instead we get annoying throat gurgles that give no releif at all.  We also get bloating and some other GERD symptoms.  If this sounds like you there are dozens of us, check out r/noburp.</t>
        </is>
      </c>
      <c r="D352" t="n">
        <v>1</v>
      </c>
      <c r="E352" t="n">
        <v>2</v>
      </c>
      <c r="F352">
        <f>HYPERLINK("https://www.reddit.com/r/GERD/comments/aqq89n/gerd_and_inability_to_burp/")</f>
        <v/>
      </c>
      <c r="G352" t="inlineStr">
        <is>
          <t>2019-02-14 15:36:53</t>
        </is>
      </c>
      <c r="H352" t="inlineStr"/>
    </row>
    <row r="353">
      <c r="A353" t="inlineStr">
        <is>
          <t>aqqcvk</t>
        </is>
      </c>
      <c r="B353" t="inlineStr">
        <is>
          <t>My doctor said I need more fun in my life</t>
        </is>
      </c>
      <c r="C353" t="inlineStr">
        <is>
          <t xml:space="preserve">I came in today to discuss my endoscopy results, and wanted to know what vitamins I should consume to better my immune system because my reflux has been out of control these past few days. He said I need to have more fun in my life, are doctors just giving up these days? I think I need to start going the holistic approach, and hit the gym. I'm done with doctors. </t>
        </is>
      </c>
      <c r="D353" t="n">
        <v>1</v>
      </c>
      <c r="E353" t="n">
        <v>21</v>
      </c>
      <c r="F353">
        <f>HYPERLINK("https://www.reddit.com/r/GERD/comments/aqqcvk/my_doctor_said_i_need_more_fun_in_my_life/")</f>
        <v/>
      </c>
      <c r="G353" t="inlineStr">
        <is>
          <t>2019-02-14 15:50:01</t>
        </is>
      </c>
      <c r="H353" t="inlineStr"/>
    </row>
    <row r="354">
      <c r="A354" t="inlineStr">
        <is>
          <t>aqs1z8</t>
        </is>
      </c>
      <c r="B354" t="inlineStr">
        <is>
          <t>GERD or Silent Reflux?</t>
        </is>
      </c>
      <c r="C354" t="inlineStr">
        <is>
          <t>I was diagnosed with GERD when I was around 1 year old and have had it my whole life. However, people with GERD always talk about "heartburn" and I never really related because I've never had heartburn? 
Instead, I get an intense burning sensation in the back of my throat, and nobody I've met that suffers from reflux related to it. I know that people with silent reflux tend to have acid go into their vocal cords and such, but I don't really get a scratchy voice or struggle with coughing. 
But I also get gas pains and difficulty burping. I had an EGD, and they told me everything was normal :/ ... 
My sinuses get really bad if my reflux I bad, and I've had a sinus infection for about a week now 🙃 Because I forgot to take prilosec for 2 weeks in a row. 
Is this some weird demonic mix between the two??? I'm just so confused???</t>
        </is>
      </c>
      <c r="D354" t="n">
        <v>1</v>
      </c>
      <c r="E354" t="n">
        <v>0</v>
      </c>
      <c r="F354">
        <f>HYPERLINK("https://www.reddit.com/r/GERD/comments/aqs1z8/gerd_or_silent_reflux/")</f>
        <v/>
      </c>
      <c r="G354" t="inlineStr">
        <is>
          <t>2019-02-14 18:56:21</t>
        </is>
      </c>
      <c r="H354" t="inlineStr"/>
    </row>
    <row r="355">
      <c r="A355" t="inlineStr">
        <is>
          <t>aqs6mi</t>
        </is>
      </c>
      <c r="B355" t="inlineStr">
        <is>
          <t>Has anyone had this procedure: gastroesophageal valvuloplasty</t>
        </is>
      </c>
      <c r="C355" t="inlineStr">
        <is>
          <t xml:space="preserve">Seems conceptually like LINX but with an elastic band instead.
https://www.healingwell.com/community/default.aspx?f=45&amp;amp;m=3937469
</t>
        </is>
      </c>
      <c r="D355" t="n">
        <v>1</v>
      </c>
      <c r="E355" t="n">
        <v>3</v>
      </c>
      <c r="F355">
        <f>HYPERLINK("https://www.reddit.com/r/GERD/comments/aqs6mi/has_anyone_had_this_procedure_gastroesophageal/")</f>
        <v/>
      </c>
      <c r="G355" t="inlineStr">
        <is>
          <t>2019-02-14 19:10:52</t>
        </is>
      </c>
      <c r="H355" t="inlineStr"/>
    </row>
    <row r="356">
      <c r="A356" t="inlineStr">
        <is>
          <t>aqv6ef</t>
        </is>
      </c>
      <c r="B356" t="inlineStr">
        <is>
          <t>How do you manage your GERD flare ups?</t>
        </is>
      </c>
      <c r="C356" t="inlineStr">
        <is>
          <t>I’m having a really bad week. My throat feels like I’ve been drinking nothing but whisky, although it’s quiet the opposite. I’m on strict FODMAP, just one beer for the last two weeks, no coffee, three pillows in bed to sleep upright. Nothing works..
How do you manage your GERD flare ups? Do you take a higher dose of PPI, eat different, sleep different?</t>
        </is>
      </c>
      <c r="D356" t="n">
        <v>1</v>
      </c>
      <c r="E356" t="n">
        <v>6</v>
      </c>
      <c r="F356">
        <f>HYPERLINK("https://www.reddit.com/r/GERD/comments/aqv6ef/how_do_you_manage_your_gerd_flare_ups/")</f>
        <v/>
      </c>
      <c r="G356" t="inlineStr">
        <is>
          <t>2019-02-15 02:12:03</t>
        </is>
      </c>
      <c r="H356" t="inlineStr"/>
    </row>
    <row r="357">
      <c r="A357" t="inlineStr">
        <is>
          <t>aqw0m3</t>
        </is>
      </c>
      <c r="B357" t="inlineStr">
        <is>
          <t>ENT Doctor perscribed PPIs to treat my Eustachian Tubes issue.</t>
        </is>
      </c>
      <c r="C357" t="inlineStr">
        <is>
          <t>Hi,
&amp;amp;#x200B;
I came to the ENT to understand why I have difficulties equalizing when freediving. After examining my nasopharyngeal cavity he said that I show symptoms of GERD. He also asked if I find myself clearing my throat a lot or otherwise get words "stuck" because of saliva, which I do. He asked if anyone tells me I snore and I said some do and some say I don't - he proclaimed that those who say I don't are probably deaf. 
In truth, I have been suffering from heartburn for years now. I can no longer afford to eat croissants and the likes because a following heartburn is inevitable. I also had a really bad heartburn this year from not sleeping enough (woke up at 4AM and after a few minutes it was hell). Recently I had a minor heartburn from eating chinese new year's treats (sugar mainly).
&amp;amp;#x200B;
The doctor prescribed PPIs for a month to see if that will help with my Eustachian tubes, and if it does - to see a gastro specialist for additional treatment. After the visit I read a little on GERD and it seems that it actually can affect my Eustachian tubes even if I don't actually feel a heartburn. It was weird going to the ENT expecting to be diagnosed with symptoms of allergy and instead learning that the thing you have for years now is doing some harm even if you don't feel it. How is that possible though? heartburns are painful - if I would get acid in my nasal cavity I would surely feel that, no?
&amp;amp;#x200B;
Just wanted to share. It seems like taking the pills will be the right thing because I do suffer from GERD symptoms. Maybe it's for the best. 
&amp;amp;#x200B;
&amp;amp;#x200B;</t>
        </is>
      </c>
      <c r="D357" t="n">
        <v>1</v>
      </c>
      <c r="E357" t="n">
        <v>2</v>
      </c>
      <c r="F357">
        <f>HYPERLINK("https://www.reddit.com/r/GERD/comments/aqw0m3/ent_doctor_perscribed_ppis_to_treat_my_eustachian/")</f>
        <v/>
      </c>
      <c r="G357" t="inlineStr">
        <is>
          <t>2019-02-15 04:20:10</t>
        </is>
      </c>
      <c r="H357" t="inlineStr"/>
    </row>
    <row r="358">
      <c r="A358" t="inlineStr">
        <is>
          <t>aqwam5</t>
        </is>
      </c>
      <c r="B358" t="inlineStr">
        <is>
          <t>Is it really GERD?</t>
        </is>
      </c>
      <c r="C358" t="inlineStr">
        <is>
          <t xml:space="preserve">This started a few days ago(Monday/Tuesday): Whenever I would swallow, it would feel like something was stuck in my throat and was slowly moving down, once it felt like it had cleared my throat it would cause a pain in my chest.  Fast forward to yesterday, the pain was so bad that I was hunched over the bathroom sink crying, and debated going to the hospital. I decided not to, and I would just go see my doctor the next day. So I went yesterday and he said that he believes it’s GERD. He gave me a prescription for Esomeprazole 40mg to take once a day (enough for 14 days) and told me if it doesn’t give me any relief by Tuesday to go back to him, and we would go from there. And mentioned something about getting a scope? 
Anyways, I was taken back by his diagnosis because I feel like the pain that I’m experiencing is way worse than anything I’ve been able to find online or from talking to people. I haven’t been eating, because it causes so much pain when I swallow. And the only time I can eat is when I have taken 2 extra strength Advil and it starts to give a tiny bit of relief. Also in the past 2 nights I’ve slept a total of 5 hours because being up and moving around is the only thing that is preventing me from crying in pain. 
Has anyone else’s experience been this bad? 
 If this really is GERD, does this pain ever go away? Or am I going to be taking Advil all day for the rest of my life? Right now I’m taking 2 extra strength pills 3 times a day, sometimes 4 just to be able to function, and day 2 of taking the Esomeprazole.
Thanks in advance to anyone for their opinion/experience/advice.
</t>
        </is>
      </c>
      <c r="D358" t="n">
        <v>1</v>
      </c>
      <c r="E358" t="n">
        <v>12</v>
      </c>
      <c r="F358">
        <f>HYPERLINK("https://www.reddit.com/r/GERD/comments/aqwam5/is_it_really_gerd/")</f>
        <v/>
      </c>
      <c r="G358" t="inlineStr">
        <is>
          <t>2019-02-15 04:56:39</t>
        </is>
      </c>
      <c r="H358" t="inlineStr"/>
    </row>
    <row r="359">
      <c r="A359" t="inlineStr">
        <is>
          <t>aqx03y</t>
        </is>
      </c>
      <c r="B359" t="inlineStr">
        <is>
          <t>Coffee/Tea alternatives</t>
        </is>
      </c>
      <c r="C359" t="inlineStr">
        <is>
          <t xml:space="preserve"> I read online that since coffeein is a no go all coffee's and tea's should be avoided regardless of their acidity level. Since sugar is obviously not helpful, which which stimulating thing is there still left? It's been a week without coffee and i try not to fall asleep all afternoon everyday. </t>
        </is>
      </c>
      <c r="D359" t="n">
        <v>1</v>
      </c>
      <c r="E359" t="n">
        <v>12</v>
      </c>
      <c r="F359">
        <f>HYPERLINK("https://www.reddit.com/r/GERD/comments/aqx03y/coffeetea_alternatives/")</f>
        <v/>
      </c>
      <c r="G359" t="inlineStr">
        <is>
          <t>2019-02-15 06:20:29</t>
        </is>
      </c>
      <c r="H359" t="inlineStr"/>
    </row>
    <row r="360">
      <c r="A360" t="inlineStr">
        <is>
          <t>aqx341</t>
        </is>
      </c>
      <c r="B360" t="inlineStr">
        <is>
          <t>Anyone have skin problems from taking omeprazole long term?</t>
        </is>
      </c>
      <c r="C360" t="inlineStr">
        <is>
          <t>I'll try to keep this short.
Been taking 20mg of omeprazole every day for over 10 years.  I have tried to stop several times but the withdrawal is unbearable.  I had a family member get esophageal cancer so I decided it is better to just take the omeprazole for life than end up with cancer.  Within the last year I have been having some skin problems...been to the doc several times, they said it was fungus at first and gave me some pills and creams...the creams didnt help.  They sent me to a dermatologist...he gave me alcortin A which makes the rash go away, but as soon as i stop using it (even if i use it for several days AFTER the rash is gone) the rash comes back.  
THe dermatologist said it was probably 'Fixed drug eruption' and he asked what drugs i took...at the time i was taking ibuprofen daily and omeprazole.  I have stopped taking the ibuprofen (its been months since i have had any of that) but now, again, i am trying to stop taking prilosec....
As everyone here knows, its extremely hard and painful to stop omeprazole...but this rash has to go....its been 10 months of this rash.  Has anyone else had an issue like this that was told to be related to prilosec? I would hate to stop prilosec only to still have a rash.
I'm lost and my doc only says 'change your diet' and shit...come on now...if i had to eat cardboard and shit for the rest of my life, i'd just as soon keep taking the prilosec.  But at the same time...i need this rash to go away!
The next step is going BACK to the derm and having a biopsy done on the skin rash...but I've already spent a shit load of money on just doc visits.
TLDR: Got a rash, is it from omeprazole? Possibly 'Fixed drug eruption'?</t>
        </is>
      </c>
      <c r="D360" t="n">
        <v>1</v>
      </c>
      <c r="E360" t="n">
        <v>2</v>
      </c>
      <c r="F360">
        <f>HYPERLINK("https://www.reddit.com/r/GERD/comments/aqx341/anyone_have_skin_problems_from_taking_omeprazole/")</f>
        <v/>
      </c>
      <c r="G360" t="inlineStr">
        <is>
          <t>2019-02-15 06:29:41</t>
        </is>
      </c>
      <c r="H360" t="inlineStr"/>
    </row>
    <row r="361">
      <c r="A361" t="inlineStr">
        <is>
          <t>aqy4xa</t>
        </is>
      </c>
      <c r="B361" t="inlineStr">
        <is>
          <t>No relief from PPIs - SSRI use?</t>
        </is>
      </c>
      <c r="C361" t="inlineStr">
        <is>
          <t>I’ve been struggling with my GERD pretty hard over the past few months - I don’t think I’ve had one morning without nausea and stomach pain for at least 5 hours. By afternoon/night things improve.
My doctor hasn’t been much help - I’ve been propping myself up while I sleep, was on Pantoprazole for a while and now trying out Nexium...she recommended I cut dairy out of my diet which I have, but it doesn’t seem to be doing anything. I’ve been a vegetarian for 10 yrs so following a strict FODMAP diet can be difficult nutrition-wise, but I generally eat pretty healthy (5’6”, 118lbs...been losing too much weight with the nausea). I’m currently getting B12 injections.
I’ve been taking Bupropion for 6mos for depression, but am thinking of switching to an SSRI to see if it would better calm my anxiety and maybe improve symptoms? Has anyone had some success with that?
I know I need to get a scope but my doctor seems to be putting it off, what can I do in the meantime?</t>
        </is>
      </c>
      <c r="D361" t="n">
        <v>1</v>
      </c>
      <c r="E361" t="n">
        <v>7</v>
      </c>
      <c r="F361">
        <f>HYPERLINK("https://www.reddit.com/r/GERD/comments/aqy4xa/no_relief_from_ppis_ssri_use/")</f>
        <v/>
      </c>
      <c r="G361" t="inlineStr">
        <is>
          <t>2019-02-15 08:13:57</t>
        </is>
      </c>
      <c r="H361" t="inlineStr"/>
    </row>
    <row r="362">
      <c r="A362" t="inlineStr">
        <is>
          <t>aqzxzu</t>
        </is>
      </c>
      <c r="B362" t="inlineStr">
        <is>
          <t>Concerned I have GERD &amp;amp; need opinions</t>
        </is>
      </c>
      <c r="C362" t="inlineStr">
        <is>
          <t>Recently, I've been having serious issues with eating and drinking, it all feels like it piles into my stomach and feels like a lump in the back of my throat and I'm always on the verge of vomiting. In the past two weeks or so, I'd been vomiting up basically everything I ate after 7 PM and there was always yellow-y mucus coming up towards the end of the sessions. I've had an incredibly difficult time sleeping recently and it feels hard to breathe whenever I'm doing basically anything other than standing and walking. My back also hurts all of the time, it feels like I'm putting pressure on it when I go to breathe.
&amp;amp;#x200B;
I totally know this isn't the right place to come for diagnosis, obviously. I'm just so confused and young and won't have access to decent medical care unless I contact my mother, which I really don't want to have to do. I still feel physically fit enough that I feel like this isn't something that should be happening, but I've also had some serious problems with alcohol and can see how that could have to do with something? Or something? I don't know! I'm just mostly really scared about my recent bout with shortness of breath. I hadn't really noticed any significant problems in my body until that, and the breathing problems only started about three or four days ago. 
&amp;amp;#x200B;
Any thoughts on all this would be swell. I'm so lost.</t>
        </is>
      </c>
      <c r="D362" t="n">
        <v>1</v>
      </c>
      <c r="E362" t="n">
        <v>5</v>
      </c>
      <c r="F362">
        <f>HYPERLINK("https://www.reddit.com/r/GERD/comments/aqzxzu/concerned_i_have_gerd_need_opinions/")</f>
        <v/>
      </c>
      <c r="G362" t="inlineStr">
        <is>
          <t>2019-02-15 11:02:24</t>
        </is>
      </c>
      <c r="H362" t="inlineStr"/>
    </row>
    <row r="363">
      <c r="A363" t="inlineStr">
        <is>
          <t>ar0gtf</t>
        </is>
      </c>
      <c r="B363" t="inlineStr">
        <is>
          <t>Stabbing pain in my chest</t>
        </is>
      </c>
      <c r="C363" t="inlineStr">
        <is>
          <t>I haven't been eating well lately - a lot of coffee and junk food every day. Which I know is my mistake but I had been feeling normal lately and that's why I started eating oily and spicy food again.
I have a stabbing pain in my chest now. It's a little numb now but I could feel it more last night. I have also been feeling a little constipated and gassy for the past few days. I am wondering whether that exacerbates acid reflux? Have any of you had a similar experience?
Also, I read that chamomile tea is good for acid reflux. Has this worked for anyone.
If anybody has tips for combating this naturally (while avoiding triggering foods), I would love to hear it! Thanks!</t>
        </is>
      </c>
      <c r="D363" t="n">
        <v>1</v>
      </c>
      <c r="E363" t="n">
        <v>1</v>
      </c>
      <c r="F363">
        <f>HYPERLINK("https://www.reddit.com/r/GERD/comments/ar0gtf/stabbing_pain_in_my_chest/")</f>
        <v/>
      </c>
      <c r="G363" t="inlineStr">
        <is>
          <t>2019-02-15 11:49:37</t>
        </is>
      </c>
      <c r="H363" t="inlineStr"/>
    </row>
    <row r="364">
      <c r="A364" t="inlineStr">
        <is>
          <t>ar1698</t>
        </is>
      </c>
      <c r="B364" t="inlineStr">
        <is>
          <t>Any LPR suffers Tests for lpr before Nissan Fundoplication</t>
        </is>
      </c>
      <c r="C364" t="inlineStr">
        <is>
          <t xml:space="preserve">Any lpr suffers did any of you get the  bravo ph test for lpr or capsule endoscopy or 
The Manometry for lpr and what were your results I have to get these before the Nissan Fundoplication and I am wondering if these are going to be accurate for lpr </t>
        </is>
      </c>
      <c r="D364" t="n">
        <v>1</v>
      </c>
      <c r="E364" t="n">
        <v>0</v>
      </c>
      <c r="F364">
        <f>HYPERLINK("https://www.reddit.com/r/GERD/comments/ar1698/any_lpr_suffers_tests_for_lpr_before_nissan/")</f>
        <v/>
      </c>
      <c r="G364" t="inlineStr">
        <is>
          <t>2019-02-15 12:57:13</t>
        </is>
      </c>
      <c r="H364" t="inlineStr"/>
    </row>
    <row r="365">
      <c r="A365" t="inlineStr">
        <is>
          <t>ar2aqw</t>
        </is>
      </c>
      <c r="B365" t="inlineStr">
        <is>
          <t>Just got my endoscopy today</t>
        </is>
      </c>
      <c r="C365" t="inlineStr">
        <is>
          <t>I just got my endoscopy done this morning and my physician found non-severe non-erosive esophagitis, erythematous mucosa in the antrum, and normal examined duodenum. They also did a biopsy and I should be getting the results back in a week. I’ve always been one to eat healthy and would only eat one cheat meal(unhealthy) a week. Well ever since I got Gerd I’ve been on a really strict diet....I’ve cut out milk, eggs, coffee, spicy foods, and I don’t even have my cheat meal for the week anymore, and I’ve lost so much weight and I’m don’t want to lose weight but with this diet I have no choice.   I asked my physician if I should continue my strict diet and they just told me to stay away from high acidic foods, and said I could eat eggs, drink milk, and coffee....she even said I could have my chest meal every Saturday but nothing acidic. I’m not sure if I should start eating all that stuff or not, but my wife is telling me that I should just listen since the doctor told me I can eat it. I really want to start eating all that food again but I’m just scared it’s going to affect me getting better. I was wondering if anyone could give me their opinion....your help would be greatly appreciated.</t>
        </is>
      </c>
      <c r="D365" t="n">
        <v>1</v>
      </c>
      <c r="E365" t="n">
        <v>12</v>
      </c>
      <c r="F365">
        <f>HYPERLINK("https://www.reddit.com/r/GERD/comments/ar2aqw/just_got_my_endoscopy_today/")</f>
        <v/>
      </c>
      <c r="G365" t="inlineStr">
        <is>
          <t>2019-02-15 14:46:58</t>
        </is>
      </c>
      <c r="H365" t="inlineStr"/>
    </row>
    <row r="366">
      <c r="A366" t="inlineStr">
        <is>
          <t>ar362o</t>
        </is>
      </c>
      <c r="B366" t="inlineStr">
        <is>
          <t>Gym and diet</t>
        </is>
      </c>
      <c r="C366" t="inlineStr">
        <is>
          <t>I've been trying to eat more food because I'm trying to bulk up. Does anyone here workout and have to deal with GERD? I'm trying to eat 3500 calories a day due to my active job and gym.</t>
        </is>
      </c>
      <c r="D366" t="n">
        <v>4</v>
      </c>
      <c r="E366" t="n">
        <v>21</v>
      </c>
      <c r="F366">
        <f>HYPERLINK("https://www.reddit.com/r/GERD/comments/ar362o/gym_and_diet/")</f>
        <v/>
      </c>
      <c r="G366" t="inlineStr">
        <is>
          <t>2019-02-15 16:18:05</t>
        </is>
      </c>
      <c r="H366" t="inlineStr"/>
    </row>
    <row r="367">
      <c r="A367" t="inlineStr">
        <is>
          <t>ar7bxj</t>
        </is>
      </c>
      <c r="B367" t="inlineStr">
        <is>
          <t>[study] back strength and GERD</t>
        </is>
      </c>
      <c r="C367" t="inlineStr">
        <is>
          <t>[https://www.ncbi.nlm.nih.gov/pmc/articles/PMC3481106/](https://www.ncbi.nlm.nih.gov/pmc/articles/PMC3481106/)
&amp;amp;#x200B;
Interesting read, might be worth addressing those low back issues after all</t>
        </is>
      </c>
      <c r="D367" t="n">
        <v>8</v>
      </c>
      <c r="E367" t="n">
        <v>4</v>
      </c>
      <c r="F367">
        <f>HYPERLINK("https://www.reddit.com/r/GERD/comments/ar7bxj/study_back_strength_and_gerd/")</f>
        <v/>
      </c>
      <c r="G367" t="inlineStr">
        <is>
          <t>2019-02-16 01:36:39</t>
        </is>
      </c>
      <c r="H367" t="inlineStr"/>
    </row>
    <row r="368">
      <c r="A368" t="inlineStr">
        <is>
          <t>arb2bf</t>
        </is>
      </c>
      <c r="B368" t="inlineStr">
        <is>
          <t>Atypical symptoms</t>
        </is>
      </c>
      <c r="C368" t="inlineStr">
        <is>
          <t>Looking for others who haven’t presented with the classic symptoms. Female/ 33 and I’ve had heartburn off and on for about 10 years. It started after having my gallbladder removed and Delixant worked great after a month. Stopped all meds then. 
For the past year, I’ve been off and on PPIs, but after each round they’ve worked...until now. The last three months I’ve been miserable. I’m on Protonix 40mg twice a day and it doesn’t seem to help. Upper endoscopy was normal as well as an abdominal ultrasound. Blood work and chest X-ray, and ekg good as well. I don’t have classic heartburn, but my chest feels on fire all the time. I’ve been eating an extremely bland diet with water only to drink. It almost feels like sternum pain, but they say it’s not Costochondritis. Most of the pain is under my left breast kinda in the ribs. The pain radiates to my breast, armpit, and left arm. I’m so tired of constantly being in pain with nothing showing up in tests. I’m seeing a cardiologist soon to rule that out, but my GI dr doesn’t think it’s cardiac. Next step with him would be the Bravo Ph testing. Thanks for reading, I’d love to hear from others with atypical symptoms.</t>
        </is>
      </c>
      <c r="D368" t="n">
        <v>1</v>
      </c>
      <c r="E368" t="n">
        <v>3</v>
      </c>
      <c r="F368">
        <f>HYPERLINK("https://www.reddit.com/r/GERD/comments/arb2bf/atypical_symptoms/")</f>
        <v/>
      </c>
      <c r="G368" t="inlineStr">
        <is>
          <t>2019-02-16 09:45:09</t>
        </is>
      </c>
      <c r="H368" t="inlineStr"/>
    </row>
    <row r="369">
      <c r="A369" t="inlineStr">
        <is>
          <t>arbfop</t>
        </is>
      </c>
      <c r="B369" t="inlineStr">
        <is>
          <t>PPI and Zinc</t>
        </is>
      </c>
      <c r="C369" t="inlineStr">
        <is>
          <t>Hello,
I've been taking 10mg of omeprozol for years and recently I've been reading how some PPIs can reduce your zinc absorption.
https://www.ncbi.nlm.nih.gov/pmc/articles/PMC5139861/
So today I bought some 15mg zinc tables, do you think 15mg is enough? Will it make any difference?
I appreciate I should really talk to a GP but wondered if what people's experiences are?
Thanks</t>
        </is>
      </c>
      <c r="D369" t="n">
        <v>1</v>
      </c>
      <c r="E369" t="n">
        <v>1</v>
      </c>
      <c r="F369">
        <f>HYPERLINK("https://www.reddit.com/r/GERD/comments/arbfop/ppi_and_zinc/")</f>
        <v/>
      </c>
      <c r="G369" t="inlineStr">
        <is>
          <t>2019-02-16 10:22:13</t>
        </is>
      </c>
      <c r="H369" t="inlineStr"/>
    </row>
    <row r="370">
      <c r="A370" t="inlineStr">
        <is>
          <t>arblnt</t>
        </is>
      </c>
      <c r="B370" t="inlineStr">
        <is>
          <t>Off PPI's but choking sensation persists</t>
        </is>
      </c>
      <c r="C370" t="inlineStr">
        <is>
          <t>Hey guys, due to the scare of the long term effects of Prilosec, I quit cold turkey a couple of months ago. DO NOT RECOMMEND AT ALL, 0/10, worst decision ever. Now that the rebound has subsided, I have the occasional, mild burning stomach which isn't awful. But the one thing that bothers me the most is the feeling like someone is pressing firmly on my throat. It doesn't burn and I'm not burping or regurgitating. I know this is a thing you can get with GERD, like it's inflammation of the esophagus, but it's almost unbearable. It's like trying to loosen a necktie that isn't there.
Does anyone have any remedies they've tried that relieves them of this one annoying symptom? I suppose if it doesn't get any better, I'm afraid I might have to go back on some medication, but I really don't want to have to go down that route. Then again, it may be worse to be off meds when we all know GERD never goes away. :(
Any advice would be greatly appreciated! I'm all about changing the way I eat but I just want to be comfortable again!</t>
        </is>
      </c>
      <c r="D370" t="n">
        <v>2</v>
      </c>
      <c r="E370" t="n">
        <v>9</v>
      </c>
      <c r="F370">
        <f>HYPERLINK("https://www.reddit.com/r/GERD/comments/arblnt/off_ppis_but_choking_sensation_persists/")</f>
        <v/>
      </c>
      <c r="G370" t="inlineStr">
        <is>
          <t>2019-02-16 10:38:34</t>
        </is>
      </c>
      <c r="H370" t="inlineStr"/>
    </row>
    <row r="371">
      <c r="A371" t="inlineStr">
        <is>
          <t>ard3ut</t>
        </is>
      </c>
      <c r="B371" t="inlineStr">
        <is>
          <t>GERD medications</t>
        </is>
      </c>
      <c r="C371" t="inlineStr">
        <is>
          <t>I got an endoscopy done yesterday and they prescribed me ranitidine, pantoprazole, and dexilant. Has anyone tried these and did it help with your Gerd?</t>
        </is>
      </c>
      <c r="D371" t="n">
        <v>1</v>
      </c>
      <c r="E371" t="n">
        <v>4</v>
      </c>
      <c r="F371">
        <f>HYPERLINK("https://www.reddit.com/r/GERD/comments/ard3ut/gerd_medications/")</f>
        <v/>
      </c>
      <c r="G371" t="inlineStr">
        <is>
          <t>2019-02-16 13:10:54</t>
        </is>
      </c>
      <c r="H371" t="inlineStr"/>
    </row>
    <row r="372">
      <c r="A372" t="inlineStr">
        <is>
          <t>ardcj2</t>
        </is>
      </c>
      <c r="B372" t="inlineStr">
        <is>
          <t>Throat tightness/GERD?</t>
        </is>
      </c>
      <c r="C372" t="inlineStr">
        <is>
          <t xml:space="preserve">So about 1 month ago I started feeling a huge amount of pressure in my throat that was akin to the feeling of being choked. I never had any stomach burning issues, or vomiting ,etc. After going to the ER twice to figure out what was causing this, my family doctor prescribed omeprazole 40mg and told me to take this for a month. After 3 weeks, my throat tightness is a little better, but I still feel like I am choking most of the day. Has anyone had these symptoms? How long did it take to heal and not feel the throat symptoms anymore? </t>
        </is>
      </c>
      <c r="D372" t="n">
        <v>1</v>
      </c>
      <c r="E372" t="n">
        <v>8</v>
      </c>
      <c r="F372">
        <f>HYPERLINK("https://www.reddit.com/r/GERD/comments/ardcj2/throat_tightnessgerd/")</f>
        <v/>
      </c>
      <c r="G372" t="inlineStr">
        <is>
          <t>2019-02-16 13:35:21</t>
        </is>
      </c>
      <c r="H372" t="inlineStr"/>
    </row>
    <row r="373">
      <c r="A373" t="inlineStr">
        <is>
          <t>ardn0j</t>
        </is>
      </c>
      <c r="B373" t="inlineStr">
        <is>
          <t>Symptoms returning with stress even if on PPIs?</t>
        </is>
      </c>
      <c r="C373" t="inlineStr">
        <is>
          <t xml:space="preserve">Hi All, 
I've been on Omeprazole 20mg 2x daily to treat what my PCP suspects is esophagitis for the past 3 weeks. He didn't order a scope yet, wanted to treat with meds (omeprazole 40mg daily for 6 weeks) first to see if that helped.
My symptoms were gradually improving for the first couple of weeks, but after traveling this past week and coming into contact with a few trigger foods, I noticed a sort of dry throat/irritated esophagus symptom I'd felt previously come back, mucusy in my throat, and felt generally shitty in the area of my breastplate. After eating mild, non-triggering foods for the past 2 days, I was starting to feel better until a stressful incident with my family brought back some of the mucusy throat/dry throat feelings this afternoon. 
I've tried to be good about sticking to a GERD-friendly diet, sleeping on an incline (at least before I traveled), not sleeping 3 hours before eating, taking probiotics and vitamin D to restore gut health (was on antibiotics for an infection a couple of months ago), etc. 
I will say the only symptom that has objectively disappeared while on PPIs is my irritated throat. I don't feel like I have damaged tissue back there when I swallow, and I don't lose my voice when talking for extended periods of time anymore. 
So, does anyone else still get symptoms from stress even on PPIs? Does it sound like I re-damaged my esophagus, or is this more a more GERD-type thing? </t>
        </is>
      </c>
      <c r="D373" t="n">
        <v>2</v>
      </c>
      <c r="E373" t="n">
        <v>3</v>
      </c>
      <c r="F373">
        <f>HYPERLINK("https://www.reddit.com/r/GERD/comments/ardn0j/symptoms_returning_with_stress_even_if_on_ppis/")</f>
        <v/>
      </c>
      <c r="G373" t="inlineStr">
        <is>
          <t>2019-02-16 14:05:13</t>
        </is>
      </c>
      <c r="H373" t="inlineStr"/>
    </row>
    <row r="374">
      <c r="A374" t="inlineStr">
        <is>
          <t>arduti</t>
        </is>
      </c>
      <c r="B374" t="inlineStr">
        <is>
          <t>What is the point of PPIs</t>
        </is>
      </c>
      <c r="C374" t="inlineStr">
        <is>
          <t>So what I understand is they stop the burning sensation by lowering levels of stomach acid produced that ends up in your throat. I never even really got a burning sensation in my throat my main symptom is nausea like constantly and PPI’s are they supposed to like lower the reflux. I can still feel reflux in my throat although not painful it is still nauseating</t>
        </is>
      </c>
      <c r="D374" t="n">
        <v>5</v>
      </c>
      <c r="E374" t="n">
        <v>19</v>
      </c>
      <c r="F374">
        <f>HYPERLINK("https://www.reddit.com/r/GERD/comments/arduti/what_is_the_point_of_ppis/")</f>
        <v/>
      </c>
      <c r="G374" t="inlineStr">
        <is>
          <t>2019-02-16 14:27:29</t>
        </is>
      </c>
      <c r="H374" t="inlineStr"/>
    </row>
    <row r="375">
      <c r="A375" t="inlineStr">
        <is>
          <t>areger</t>
        </is>
      </c>
      <c r="B375" t="inlineStr">
        <is>
          <t>Bravo ph test capsule endoscopy monomentry</t>
        </is>
      </c>
      <c r="C375" t="inlineStr">
        <is>
          <t xml:space="preserve">Has anyone gotten the bravo ph test , capsule endoscopy and monometry for silent reflux and are these tests accurate for silent reflux </t>
        </is>
      </c>
      <c r="D375" t="n">
        <v>1</v>
      </c>
      <c r="E375" t="n">
        <v>6</v>
      </c>
      <c r="F375">
        <f>HYPERLINK("https://www.reddit.com/r/GERD/comments/areger/bravo_ph_test_capsule_endoscopy_monomentry/")</f>
        <v/>
      </c>
      <c r="G375" t="inlineStr">
        <is>
          <t>2019-02-16 15:29:26</t>
        </is>
      </c>
      <c r="H375" t="inlineStr"/>
    </row>
    <row r="376">
      <c r="A376" t="inlineStr">
        <is>
          <t>arfh4o</t>
        </is>
      </c>
      <c r="B376" t="inlineStr">
        <is>
          <t>Immediate symptoms with caffeine?</t>
        </is>
      </c>
      <c r="C376" t="inlineStr">
        <is>
          <t xml:space="preserve">When I drink tea or coffee, my throat feels like it is closing up. Not super badly, but it's tight and uncomfortable. I can't figure out if it's LPR-related, or allergies. If it's GERD/LPR, does this sensation happen immediately, or does it take a while (until the drink reaches the LES?) </t>
        </is>
      </c>
      <c r="D376" t="n">
        <v>11</v>
      </c>
      <c r="E376" t="n">
        <v>9</v>
      </c>
      <c r="F376">
        <f>HYPERLINK("https://www.reddit.com/r/GERD/comments/arfh4o/immediate_symptoms_with_caffeine/")</f>
        <v/>
      </c>
      <c r="G376" t="inlineStr">
        <is>
          <t>2019-02-16 17:18:05</t>
        </is>
      </c>
      <c r="H376" t="inlineStr"/>
    </row>
    <row r="377">
      <c r="A377" t="inlineStr">
        <is>
          <t>arfodr</t>
        </is>
      </c>
      <c r="B377" t="inlineStr">
        <is>
          <t>Download HEARTBURN NO MORE FREE COPY, The Best Online Heartburn Cure</t>
        </is>
      </c>
      <c r="C377" t="inlineStr">
        <is>
          <t xml:space="preserve"> " Have You Seen Jeff Martin's new Acid Reflux System yet? It's called "Heartburn No More" I've read the whole thing (all 150 pages) and there's some great information in there about how to naturally and permanently eliminate your heartburn without drugs, antacids or any kind of gimmicks. I highly recommend it - it's very honest and straightforward without all the hype and b.s. you see all over the net these days. Here's the website where you can get [free copy here](http://naturalremediesacidreflux.com/free-download/)
&amp;amp;#x200B;</t>
        </is>
      </c>
      <c r="D377" t="n">
        <v>1</v>
      </c>
      <c r="E377" t="n">
        <v>2</v>
      </c>
      <c r="F377">
        <f>HYPERLINK("https://www.reddit.com/r/GERD/comments/arfodr/download_heartburn_no_more_free_copy_the_best/")</f>
        <v/>
      </c>
      <c r="G377" t="inlineStr">
        <is>
          <t>2019-02-16 17:40:52</t>
        </is>
      </c>
      <c r="H377" t="inlineStr"/>
    </row>
    <row r="378">
      <c r="A378" t="inlineStr">
        <is>
          <t>arh745</t>
        </is>
      </c>
      <c r="B378" t="inlineStr">
        <is>
          <t>First GI appointment tips?</t>
        </is>
      </c>
      <c r="C378" t="inlineStr">
        <is>
          <t xml:space="preserve">Well, not actually my first, but my first GERD-specific appointment since I was first diagnosed about 10 years ago. At that time, they told me to take a PPI when I needed to without any additional instruction. That’s worked well enough except for a couple exercise-induced incidents that took me about a month to recover from.
Now I’m pregnant and the GERD has flared up and has been making me miserable for the past month with no sign of relenting. From what I understand, it only gets worse as pregnancy continues.
Thanks to this group, I’ve changed a few things, but I’m still having issues. 
- I have a 12” incline wedge pillow.
- I sleep on my back or left side.
- No caffeine, chocolate, fried or fatty food, citrus, spicy food, alcohol, or carbonated drinks. My only protein sources are seafood and plant-based.
- I stop eating at least 3 hours before bed (and I wake up feeling pretty good. GERD starts kicking in after lunch and is worse at night.)
- I eat small meals and snacks about 5-6 times a day. Maybe could go smaller, but it gets complicated because...
- I wait to drink water an hour before or after I eat. 
- I take a omeprazole pill when I wake up and before dinner. I take 150 mg Zantac before bed.
- I have yogurt almost daily.
Not only am I uncomfortable most of the day, I’m worried that I’m not staying hydrated enough and I’m missing out on important prenatal exercise. Also concerned that it’ll affect my calorie intake in my second and third trimesters.
So my question is: Is there anything else I should bring up with my GI doctor? Any medication or tips I should ask about? Is there something obvious I’m missing? I want to be my best advocate and making sure I’ve covered everything. Would also like to try to pull back in PPIs during pregnancy if possible.
Thanks for listening!
</t>
        </is>
      </c>
      <c r="D378" t="n">
        <v>2</v>
      </c>
      <c r="E378" t="n">
        <v>4</v>
      </c>
      <c r="F378">
        <f>HYPERLINK("https://www.reddit.com/r/GERD/comments/arh745/first_gi_appointment_tips/")</f>
        <v/>
      </c>
      <c r="G378" t="inlineStr">
        <is>
          <t>2019-02-16 20:42:51</t>
        </is>
      </c>
      <c r="H378" t="inlineStr"/>
    </row>
    <row r="379">
      <c r="A379" t="inlineStr">
        <is>
          <t>arh7ft</t>
        </is>
      </c>
      <c r="B379" t="inlineStr">
        <is>
          <t>ANY LPR suffers PLEASE HELP</t>
        </is>
      </c>
      <c r="C379" t="inlineStr">
        <is>
          <t>Have any of you had the bravo ph test and or the capsule endoscopy or the Monomentry for lpr and were the results accurate</t>
        </is>
      </c>
      <c r="D379" t="n">
        <v>1</v>
      </c>
      <c r="E379" t="n">
        <v>1</v>
      </c>
      <c r="F379">
        <f>HYPERLINK("https://www.reddit.com/r/GERD/comments/arh7ft/any_lpr_suffers_please_help/")</f>
        <v/>
      </c>
      <c r="G379" t="inlineStr">
        <is>
          <t>2019-02-16 20:44:04</t>
        </is>
      </c>
      <c r="H379" t="inlineStr"/>
    </row>
    <row r="380">
      <c r="A380" t="inlineStr">
        <is>
          <t>ark3zm</t>
        </is>
      </c>
      <c r="B380" t="inlineStr">
        <is>
          <t>Can you develop sleep apnea with GERD?</t>
        </is>
      </c>
      <c r="C380" t="inlineStr">
        <is>
          <t>I don’t know if I’ve developed insomnia or even sleep apnea simply due to acid reflux. Anyone else with the same issue? Or have i simply acquired both separately?</t>
        </is>
      </c>
      <c r="D380" t="n">
        <v>4</v>
      </c>
      <c r="E380" t="n">
        <v>11</v>
      </c>
      <c r="F380">
        <f>HYPERLINK("https://www.reddit.com/r/GERD/comments/ark3zm/can_you_develop_sleep_apnea_with_gerd/")</f>
        <v/>
      </c>
      <c r="G380" t="inlineStr">
        <is>
          <t>2019-02-17 04:24:02</t>
        </is>
      </c>
      <c r="H380" t="inlineStr"/>
    </row>
    <row r="381">
      <c r="A381" t="inlineStr">
        <is>
          <t>arkk20</t>
        </is>
      </c>
      <c r="B381" t="inlineStr">
        <is>
          <t>GERD worse after recovering from food poisoning</t>
        </is>
      </c>
      <c r="C381" t="inlineStr">
        <is>
          <t xml:space="preserve">Hey everyone!
So recently I had a pretty rubbish time of having food poisoning. No vomiting, just pretty rubbish diarrhea.
I'm all fine now and it has two weeks since the incident. However my GERD has flared up really badly since then as I'm having chest pains, reflux, the works basically.
Anyone else had this happen? Any advice on what helped you calm symptoms would be great!
</t>
        </is>
      </c>
      <c r="D381" t="n">
        <v>1</v>
      </c>
      <c r="E381" t="n">
        <v>1</v>
      </c>
      <c r="F381">
        <f>HYPERLINK("https://www.reddit.com/r/GERD/comments/arkk20/gerd_worse_after_recovering_from_food_poisoning/")</f>
        <v/>
      </c>
      <c r="G381" t="inlineStr">
        <is>
          <t>2019-02-17 05:30:11</t>
        </is>
      </c>
      <c r="H381" t="inlineStr"/>
    </row>
    <row r="382">
      <c r="A382" t="inlineStr">
        <is>
          <t>arlpyi</t>
        </is>
      </c>
      <c r="B382" t="inlineStr">
        <is>
          <t>Does this sound like LPR?</t>
        </is>
      </c>
      <c r="C382" t="inlineStr">
        <is>
          <t>so in early oct of 2018 i developed gastritis after a night of drinking and bad food. took it easy for a few weeks and it went away. then in mid December i attended a holiday party and after drinking that night the symptoms came back. my symptoms were the standard gastritis burning, gnawning, and general unwell feeling with just my stomach. i had no other symptoms at this time. 
late december i saw a GI doc who put me on omeprazole 20mg once daily. he also ordered me blood work and and endoscope which i had done the first week of January. The bloodwork came back ok but the endoscope found some redness and some healing associated with gastritis (no h pylori). While taking the omeprazole i started to notice that i had this foul taste in my mouth. its a sort of bitter/metallic taste that never goes away. i also developed severe anxiety and depression during this time. i just associated it with the medicine but still kept taking the omperazole because it was helping my stomach. 
a little over a week ago i went back to my GI after the 6 weeks of omperazole to see where i stood. forgot to mention that i cleaned up my eating and haven't had any alcohol since mid December. Anyway, he said that i could start to taper/ween off the omperazole if i wanted to. i tapered the omperazole 20mg every other day for about 5/6 days. i called my GI doc and told him about this bad taste that i was having along with a sort of gray/white coloring on the back of my tongue. he said that it sounded like thrush and that i should see my regular doc or urgent care. i went to the urgent care and the doctor there said she didnt think it was thrush but probably just acid reflux.  then called my GI and explained that the urgent care said it wasn't thrush but acid reflux. he then recommended that i UP my does of omperazole to 40mg a day. At this point i was exasperated at hearing that b/c just a few days prior he said i could ween off this awful medicine. i told the GI that i didnt want to take anymore omperzaole b/c of how awful it made me feel. he said that he "doesn't know what that means" and stated that "we can treat the reflux or not". I requested another prescription and he called pepcid 40 mg 1 tablet daily. at this point i lost confidence in my GI doc and resolved to stop taking the meds to see if i felt better. i have still yet to pick up the perscription as i feel almost as though the meds are the thing that started these symptoms of bad the bad taste and anxiety. 
it has now been 5 days since i stopped all meds and i still have this foul/metallic taste in my mouth! my aniexty isn't much better but i don't feel as weird as when i was on omperazole. I am sort of at a loss as to where to go from here. it seems that i have developed a problem where i didnt have one before! 
i don't really have any noticeable other symptoms other than the bad taste. when i first started to ween off the omperazole i did feel like had to swallow a bit more and had a sort of sore throat. not sure if this was acid rebound or not as my stomach was ok during this. since then though the only real symptom seems to be just the bad taste. i never have had any heartburn since all of this started.
i have been doing some reading on the internet and saw that some of the above symptoms match LPR. is it possible that i may have developed LPR from my gastritis? 
Is it possible that my upper or lower esophagus could have been damaged during my endoscopy? i find it strange that i never had any bad taste or reflux symptoms prior, just the gastritis.
also would an ENT be a better doc to see about this bad taste than a GI doc? it seems the GI just wanted to put me on more ppi and then the pepcid when i was hesitant. from what i read on the internet a PPI is not going to help if it is LPR. if its LPR, it seems like there is very little help available for this condition besides raising the head or your bed and a low acid diet. the thought of more PPI's is terrifying b/c of the aniexty they caused me. 
thanks in advance to anyone who has gone through this or can provide some insight. i'm at my wits end here.
thank you</t>
        </is>
      </c>
      <c r="D382" t="n">
        <v>0</v>
      </c>
      <c r="E382" t="n">
        <v>1</v>
      </c>
      <c r="F382">
        <f>HYPERLINK("https://www.reddit.com/r/GERD/comments/arlpyi/does_this_sound_like_lpr/")</f>
        <v/>
      </c>
      <c r="G382" t="inlineStr">
        <is>
          <t>2019-02-17 07:51:19</t>
        </is>
      </c>
      <c r="H382" t="inlineStr"/>
    </row>
    <row r="383">
      <c r="A383" t="inlineStr">
        <is>
          <t>arlvgt</t>
        </is>
      </c>
      <c r="B383" t="inlineStr">
        <is>
          <t>Nothing is working!!! ARRRGGHHHH!</t>
        </is>
      </c>
      <c r="C383" t="inlineStr">
        <is>
          <t xml:space="preserve">I'm a nineteen year old male who suffers from acid reflux. I've been taking lansoprazole for a few weeks now. I've also been weaning off of zoloft, because a doctor told me that long-term use of zoloft could cause esophageal irritation. I also  started chewing two 380mg tablets of DGL before each meal. A few days ago, I put a bunch of books under the front of my bed so it would be raised. I don't smoke. I don't eat a lot of particularly acidic food. I'm not overweight or obese. I get plenty of exercise. I've been eating smaller portions. Nothing seems to be working, and I'm already a hypochondriac, so at times I'm convinced I'm dying. The pain is excruciating. 
I know I need to go to a specialist, but my nurse practitioner is mad at me for weaning off my zoloft (even though I'm doing it under the supervision of my psychiatrist), and I don't see her again for a few weeks, so it probably won't be for another month or so under I CAN see a specialist. And I know this is most likely not a sign of a serious condition, but my frustrations are boiling over. I'm not a doctor, but I suspect it's either a hiatal hernia or esophageal spasms. My nurse practitioner says it's stress, but I don't believe her. "It's only stress" is what people say when they don't care about your symptoms. My research indicates that stress is NOT the underlying cause of acid reflux. 
I don't even know why I'm writing this post. I guess I wanted to vent. If anybody has any thoughts, let me know. There are days I barely leave my apartment due to the pain. This has been going on off and on for over a year, but in recent months it's been pretty constant. I've been to the emergency room. They run EKGs, catscans, have me drink barium, and a few other tests, but the doctors never find anything wrong with me. </t>
        </is>
      </c>
      <c r="D383" t="n">
        <v>14</v>
      </c>
      <c r="E383" t="n">
        <v>33</v>
      </c>
      <c r="F383">
        <f>HYPERLINK("https://www.reddit.com/r/GERD/comments/arlvgt/nothing_is_working_arrrgghhhh/")</f>
        <v/>
      </c>
      <c r="G383" t="inlineStr">
        <is>
          <t>2019-02-17 08:07:24</t>
        </is>
      </c>
      <c r="H383" t="inlineStr"/>
    </row>
    <row r="384">
      <c r="A384" t="inlineStr">
        <is>
          <t>armvsq</t>
        </is>
      </c>
      <c r="B384" t="inlineStr">
        <is>
          <t>Tests for lpr</t>
        </is>
      </c>
      <c r="C384" t="inlineStr">
        <is>
          <t xml:space="preserve">Have any of you had the bravo ph test or the capsule enscopy or monumetry for lpr please help and do any of theses tests work for lpr reflux </t>
        </is>
      </c>
      <c r="D384" t="n">
        <v>3</v>
      </c>
      <c r="E384" t="n">
        <v>5</v>
      </c>
      <c r="F384">
        <f>HYPERLINK("https://www.reddit.com/r/GERD/comments/armvsq/tests_for_lpr/")</f>
        <v/>
      </c>
      <c r="G384" t="inlineStr">
        <is>
          <t>2019-02-17 09:45:35</t>
        </is>
      </c>
      <c r="H384" t="inlineStr"/>
    </row>
    <row r="385">
      <c r="A385" t="inlineStr">
        <is>
          <t>arpu9u</t>
        </is>
      </c>
      <c r="B385" t="inlineStr">
        <is>
          <t>No more prilosec</t>
        </is>
      </c>
      <c r="C385" t="inlineStr">
        <is>
          <t>My Dr had me stop taking prilosec and my gerd disappeared.  Has this happened to anyone else?</t>
        </is>
      </c>
      <c r="D385" t="n">
        <v>2</v>
      </c>
      <c r="E385" t="n">
        <v>3</v>
      </c>
      <c r="F385">
        <f>HYPERLINK("https://www.reddit.com/r/GERD/comments/arpu9u/no_more_prilosec/")</f>
        <v/>
      </c>
      <c r="G385" t="inlineStr">
        <is>
          <t>2019-02-17 14:19:19</t>
        </is>
      </c>
      <c r="H385" t="inlineStr"/>
    </row>
    <row r="386">
      <c r="A386" t="inlineStr">
        <is>
          <t>arq3rk</t>
        </is>
      </c>
      <c r="B386" t="inlineStr">
        <is>
          <t>I think I have this</t>
        </is>
      </c>
      <c r="C386" t="inlineStr">
        <is>
          <t>I have been dealing with digestive issues for almost a decade. I dealt with a bad case of bloating, excessive wind( which made my anxiety super bad), loads of deficiencies including b12, Vit D and iron( all severe). Over the years I have noticed that whenever I drink something hot, it feels really uncomfortable where my stomach is. Recently, I have started experiencing burping, bad breath, my gag reflex is bad. Sometimes in the morning without even eating anything i feel like throwing up and i do throw up acid like substance. I don't drink, smole, coffee or tea. I start off my day by drinking water and eat healthy food. I don't eat sugar because of my sinuses. I told my doc, and she gave my anti acid pills. I don't want to take them because i remember i took tums a decade ago they messed up my system. I have had endoscopy and colonoscopy done and everything came out right about 4 years ago. Does this sound like Gerd?</t>
        </is>
      </c>
      <c r="D386" t="n">
        <v>2</v>
      </c>
      <c r="E386" t="n">
        <v>4</v>
      </c>
      <c r="F386">
        <f>HYPERLINK("https://www.reddit.com/r/GERD/comments/arq3rk/i_think_i_have_this/")</f>
        <v/>
      </c>
      <c r="G386" t="inlineStr">
        <is>
          <t>2019-02-17 14:45:37</t>
        </is>
      </c>
      <c r="H386" t="inlineStr"/>
    </row>
    <row r="387">
      <c r="A387" t="inlineStr">
        <is>
          <t>arsi8w</t>
        </is>
      </c>
      <c r="B387" t="inlineStr">
        <is>
          <t>GERD without ever having any burning sensation?</t>
        </is>
      </c>
      <c r="C387" t="inlineStr">
        <is>
          <t xml:space="preserve">Anybody else have this?
I have experienced a constant a clicking around my Adam's apple when I swallow for several months now.
But more directly related to GERD: Every single day for the past 5 weeks, I have at some point during the day had the feeling of something pressing on my throat from the outside and/or the feeling of some kind of liquid contents being higher up than they should be.
But never any burning whatsoever. 
All the descriptions of GERD including the word, "burning," are just foreign to me. 
I have already basically accepted that I'm going to die of esophageal cancer, whether I already have it or whether I'm going to contract it in the future. I would die before I get an upper endoscopy, much less surgery to repair a hiatal hernia. </t>
        </is>
      </c>
      <c r="D387" t="n">
        <v>1</v>
      </c>
      <c r="E387" t="n">
        <v>14</v>
      </c>
      <c r="F387">
        <f>HYPERLINK("https://www.reddit.com/r/GERD/comments/arsi8w/gerd_without_ever_having_any_burning_sensation/")</f>
        <v/>
      </c>
      <c r="G387" t="inlineStr">
        <is>
          <t>2019-02-17 19:07:31</t>
        </is>
      </c>
      <c r="H387" t="inlineStr"/>
    </row>
    <row r="388">
      <c r="A388" t="inlineStr">
        <is>
          <t>aruek2</t>
        </is>
      </c>
      <c r="B388" t="inlineStr">
        <is>
          <t>Guys I need your help</t>
        </is>
      </c>
      <c r="C388" t="inlineStr">
        <is>
          <t>Hello everyone
Two months ago I started having bloating and heartburn that increased little by little then progressed to chest pains and feeling nausea all the time, of course having already anxiety disorders that made things alot worse and the doctors found nothing out of the ordinary so they they just gave medicines for bloating and heartburn. Last month I went to a specialist and he did some check ups like all kinds of blood work ,liver functions and H pylori and they all came out negative thankfully. So the specialist told me its acid reflux and recommend an endoscopy if I'm insured but the problem is that I'm not and a procedure like costs a fortune. So the doctor said its not urgent and put me on Dexilant 60mg and Lirax. Things are great recently and I'm feeling like my old self again but then the anxiety kicked in because I read somewhere that these medicines hide the symptoms of bigger and more serious things. So what do you guys think the specialist assured me thats theres no urgency but I have do one eventually.</t>
        </is>
      </c>
      <c r="D388" t="n">
        <v>1</v>
      </c>
      <c r="E388" t="n">
        <v>5</v>
      </c>
      <c r="F388">
        <f>HYPERLINK("https://www.reddit.com/r/GERD/comments/aruek2/guys_i_need_your_help/")</f>
        <v/>
      </c>
      <c r="G388" t="inlineStr">
        <is>
          <t>2019-02-17 22:50:17</t>
        </is>
      </c>
      <c r="H388" t="inlineStr"/>
    </row>
    <row r="389">
      <c r="A389" t="inlineStr">
        <is>
          <t>arunx3</t>
        </is>
      </c>
      <c r="B389" t="inlineStr">
        <is>
          <t>Diagnosis help! I'm getting desperate.</t>
        </is>
      </c>
      <c r="C389" t="inlineStr">
        <is>
          <t>I've been dealing with major stomach issues for months, particularly feeling like I'm going to throw up after eating. However, I have never had heartburn in my life, including now. No burning sensation or pain, just feeling like vomiting but (usually) without nausea. Antacids don't do a thing. Prilosec made my symptoms less frequent, but as soon as I stop taking it, it all comes back. These symptoms also seem to be mostly unaffected by *what* I'm eating. Other than alcohol and caffeine, I'm not bothered by any particular food from what I can tell, but moreso by the amount. If I eat any amount approaching the size of a typical meal, I feel like I'm going to upchuck (usually around 10-30 minutes after I've finished eating). In addition to all this, I have these occasional "episodes" where I get severe nausea for several days and can't eat anything. It kind of feels like stomach flu but without any actual vomiting or diarrhea. 
My GI doctor did an abdominal ultrasound and endoscopy and found only mild gastritis. He put me on 40 mg of Nexium a day for a month. I also cut out dairy and red meat (I had already cut out alcohol, caffeine, and high fat/greasy foods completely). I also started eating smaller meals. It worked wonderfully and I felt good for the first time in forever. I also started being able to eat more significant amounts of food at a time without consequences. However after the month was up, I went down to 20mg of Nexium a day (I didn't want to go off it cold turkey) and within a few days my symptoms started to come back (while still on my dairy-free, no red meat, small meal diet). Yesterday, I started feeling very close to vomiting after dinner and haven't been able to eat more than a few bites of very bland food at a time (although no nausea this time, just feeling very pukey whenever I eat).  Does anyone know what this could be? My doctor doesn't seem to want to go any further with this, but my symptoms are ruining my life and this seems so much worse than just minor gastritis. I'm going back to 40 mg for the time being but I've heard that Nexium is dangerous to take indefinitely. Any idea of what this could be or what I should do next?</t>
        </is>
      </c>
      <c r="D389" t="n">
        <v>5</v>
      </c>
      <c r="E389" t="n">
        <v>18</v>
      </c>
      <c r="F389">
        <f>HYPERLINK("https://www.reddit.com/r/GERD/comments/arunx3/diagnosis_help_im_getting_desperate/")</f>
        <v/>
      </c>
      <c r="G389" t="inlineStr">
        <is>
          <t>2019-02-17 23:25:08</t>
        </is>
      </c>
      <c r="H389" t="inlineStr"/>
    </row>
    <row r="390">
      <c r="A390" t="inlineStr">
        <is>
          <t>as47rl</t>
        </is>
      </c>
      <c r="B390" t="inlineStr">
        <is>
          <t>Acid reflux maybe</t>
        </is>
      </c>
      <c r="C390" t="inlineStr">
        <is>
          <t xml:space="preserve">I have swollen tonsil tissue that has not gone away the ent doctor said it possibly due to reflux but the only symptom I have had is constant burping do you guys think I have acid reflux I am confused </t>
        </is>
      </c>
      <c r="D390" t="n">
        <v>1</v>
      </c>
      <c r="E390" t="n">
        <v>4</v>
      </c>
      <c r="F390">
        <f>HYPERLINK("https://www.reddit.com/r/GERD/comments/as47rl/acid_reflux_maybe/")</f>
        <v/>
      </c>
      <c r="G390" t="inlineStr">
        <is>
          <t>2019-02-18 16:33:37</t>
        </is>
      </c>
      <c r="H390" t="inlineStr"/>
    </row>
    <row r="391">
      <c r="A391" t="inlineStr">
        <is>
          <t>as4pv6</t>
        </is>
      </c>
      <c r="B391" t="inlineStr">
        <is>
          <t>LPR or Allergies?</t>
        </is>
      </c>
      <c r="C391" t="inlineStr">
        <is>
          <t>Since the docs I've seen have been next to useless, I'm going to try here. Are my symptoms suggestive of LPR or are they more likely to be from allergies? I cannot figure it out.
* Sore throat, feels swollen, sometimes a lump sensation at the base of my neck or on the right side, glands under chin feel swollen, worse on right side
* Ear fullness. Not very painful, just pressure and some itching. Both ears but right side is worse. They're not actually blocked or waxy as far as I can tell.
* Some burping. Went through a phase (few weeks, several months ago) of very bad belching, which was painful and extremely unpleasant. I believe it was due to a medication. Now it's just occassional.
* Dizziness. I wake up feeling very dizzy and nauseous some days with no obvious correlation between eating/drinking/stress level/ anything else I can think of. I also get random bouts of dizziness. The kind where the ground feels like it's moving under you and you just feel unsteady. Possibly worse when ears are worse.
* Coughing when I laugh. 
* Wheezing when I'm outside in the cold air / when I exercise.
* Horseness if I talk more than normal.
* Dry, sore eyes (sometimes)
Any help would be appreciated. The ENT I saw told me it was just anxiety so I'm not keen to waste another $75 on another doctor who will dismiss me.</t>
        </is>
      </c>
      <c r="D391" t="n">
        <v>1</v>
      </c>
      <c r="E391" t="n">
        <v>10</v>
      </c>
      <c r="F391">
        <f>HYPERLINK("https://www.reddit.com/r/GERD/comments/as4pv6/lpr_or_allergies/")</f>
        <v/>
      </c>
      <c r="G391" t="inlineStr">
        <is>
          <t>2019-02-18 17:25:30</t>
        </is>
      </c>
      <c r="H391" t="inlineStr"/>
    </row>
    <row r="392">
      <c r="A392" t="inlineStr">
        <is>
          <t>as5w1c</t>
        </is>
      </c>
      <c r="B392" t="inlineStr">
        <is>
          <t>Prescribed Zantac, Not Sure If I Should Actually Take It</t>
        </is>
      </c>
      <c r="C392" t="inlineStr">
        <is>
          <t>So a bit of a story, but recently I began taking an SSRI (Lexapro) for anxiety. The side affects include a bunch of stomach related issues, one being some mild but pretty uncomfortable stomach pain. During these episodes I have a really, really hard time eating (ie, taking over an hour to eat half a slice of toast), which ends up exasperating my hunger pains. My doc prescribed me Zantac 150mg based entirely on me saying I couldn't eat (I didn't go in for a checkup since she was out).
&amp;amp;#x200B;
I looked up Zantac and the side affects seem rather severe for something I'd just be using for mild stomach/intestinal pain, especially since I'm already dealing with side affects from the SSRI. I have absolutely no idea if I've ever had any stomach acid related issues, though it's something I intend to look into in the future. 
&amp;amp;#x200B;
SO my questions are:
\-How hardcore is this med? How intense is 150mg?
\-Is this really worth taking over mild stomach/intestinal pain/discomfort?
&amp;amp;#x200B;
Thanks!</t>
        </is>
      </c>
      <c r="D392" t="n">
        <v>2</v>
      </c>
      <c r="E392" t="n">
        <v>12</v>
      </c>
      <c r="F392">
        <f>HYPERLINK("https://www.reddit.com/r/GERD/comments/as5w1c/prescribed_zantac_not_sure_if_i_should_actually/")</f>
        <v/>
      </c>
      <c r="G392" t="inlineStr">
        <is>
          <t>2019-02-18 19:30:58</t>
        </is>
      </c>
      <c r="H392" t="inlineStr"/>
    </row>
    <row r="393">
      <c r="A393" t="inlineStr">
        <is>
          <t>as6gr6</t>
        </is>
      </c>
      <c r="B393" t="inlineStr">
        <is>
          <t>Blood test help</t>
        </is>
      </c>
      <c r="C393" t="inlineStr">
        <is>
          <t>I don't generally do blood tests but am probably going to have to to get funding for another medical thing. Is there anything specific for acid reflux that I should ask to be checked at the same time? I most likely have lpr from ibuprofen use if it matters</t>
        </is>
      </c>
      <c r="D393" t="n">
        <v>0</v>
      </c>
      <c r="E393" t="n">
        <v>6</v>
      </c>
      <c r="F393">
        <f>HYPERLINK("https://www.reddit.com/r/GERD/comments/as6gr6/blood_test_help/")</f>
        <v/>
      </c>
      <c r="G393" t="inlineStr">
        <is>
          <t>2019-02-18 20:36:31</t>
        </is>
      </c>
      <c r="H393" t="inlineStr"/>
    </row>
    <row r="394">
      <c r="A394" t="inlineStr">
        <is>
          <t>as6jli</t>
        </is>
      </c>
      <c r="B394" t="inlineStr">
        <is>
          <t>GERD or asthma</t>
        </is>
      </c>
      <c r="C394" t="inlineStr">
        <is>
          <t xml:space="preserve">18M For the past few months I’ve experienced an abnormal amount of acid reflux during most of my meals and the past few days I have had trouble breathing after digesting a certain amount of food, while at the same time having trouble swallowing at times as well. I do feel a lump in my throat a bit and there also seems to be a mucus buildup. I do have asthma but it has reduced since my childhood, however I was prescribed Advair daily 2ish years ago which I used consistently until about 5-6 months ago. I also have a tree nut and peanut allergy </t>
        </is>
      </c>
      <c r="D394" t="n">
        <v>0</v>
      </c>
      <c r="E394" t="n">
        <v>2</v>
      </c>
      <c r="F394">
        <f>HYPERLINK("https://www.reddit.com/r/GERD/comments/as6jli/gerd_or_asthma/")</f>
        <v/>
      </c>
      <c r="G394" t="inlineStr">
        <is>
          <t>2019-02-18 20:46:15</t>
        </is>
      </c>
      <c r="H394" t="inlineStr"/>
    </row>
    <row r="395">
      <c r="A395" t="inlineStr">
        <is>
          <t>as6w9k</t>
        </is>
      </c>
      <c r="B395" t="inlineStr">
        <is>
          <t>how to protect my throat and larynx??</t>
        </is>
      </c>
      <c r="C395" t="inlineStr">
        <is>
          <t>I have gerd/lpr/chronic laryngitis so I usually don’t talk a lot. Unfortunately my current job requires me to interact with people, and by the end of my shift I’m hoarse as hell and it feels like there are daggers in my throat. I’m supposed to be on vocal rest and I’m applying for different jobs but I doubt I’ll be able to find anything where I can just be quiet. Is there anything I can do in the meantime to ease the pain and prevent further damage, besides drinking as much water as I can and eating a lot of soup?
(Relevant meds I take daily are famotidine, montelukast, and ipratropium bromide, the latter two of which are meant to treat the breathing problems caused by LPR)</t>
        </is>
      </c>
      <c r="D395" t="n">
        <v>2</v>
      </c>
      <c r="E395" t="n">
        <v>7</v>
      </c>
      <c r="F395">
        <f>HYPERLINK("https://www.reddit.com/r/GERD/comments/as6w9k/how_to_protect_my_throat_and_larynx/")</f>
        <v/>
      </c>
      <c r="G395" t="inlineStr">
        <is>
          <t>2019-02-18 21:29:17</t>
        </is>
      </c>
      <c r="H395" t="inlineStr"/>
    </row>
    <row r="396">
      <c r="A396" t="inlineStr">
        <is>
          <t>asatka</t>
        </is>
      </c>
      <c r="B396" t="inlineStr">
        <is>
          <t>Rumbling right under breastbone, nausea &amp;amp; slight pain. GERD?</t>
        </is>
      </c>
      <c r="C396" t="inlineStr">
        <is>
          <t>Basically, if i run my hand along the middle of my chest, just where the bony part ends (I assume that's where the esophagus meets the stomach too?) I have now had an EXTREMELY rumbly spot for a week, and I can make it rumble more by touching it, and it also rumbles a good 10 minutes EVERY TIME after eating.
I also have nausea.
Typical GERDy?
I have been diagnosed with GERD before, but have not had this symptom.</t>
        </is>
      </c>
      <c r="D396" t="n">
        <v>5</v>
      </c>
      <c r="E396" t="n">
        <v>1</v>
      </c>
      <c r="F396">
        <f>HYPERLINK("https://www.reddit.com/r/GERD/comments/asatka/rumbling_right_under_breastbone_nausea_slight/")</f>
        <v/>
      </c>
      <c r="G396" t="inlineStr">
        <is>
          <t>2019-02-19 06:13:25</t>
        </is>
      </c>
      <c r="H396" t="inlineStr"/>
    </row>
    <row r="397">
      <c r="A397" t="inlineStr">
        <is>
          <t>asebfr</t>
        </is>
      </c>
      <c r="B397" t="inlineStr">
        <is>
          <t>Do you feel comfortable with Nissen Fundoplication?</t>
        </is>
      </c>
      <c r="C397" t="inlineStr">
        <is>
          <t>I'm male 40 and I'm looking for some suggestions to get or not the surgery, I'm worried about not be able to vomit, can't drink beer, not burp, and some people get dysphagia after this surgery
Thanks!</t>
        </is>
      </c>
      <c r="D397" t="n">
        <v>4</v>
      </c>
      <c r="E397" t="n">
        <v>26</v>
      </c>
      <c r="F397">
        <f>HYPERLINK("https://www.reddit.com/r/GERD/comments/asebfr/do_you_feel_comfortable_with_nissen_fundoplication/")</f>
        <v/>
      </c>
      <c r="G397" t="inlineStr">
        <is>
          <t>2019-02-19 11:29:33</t>
        </is>
      </c>
      <c r="H397" t="inlineStr"/>
    </row>
    <row r="398">
      <c r="A398" t="inlineStr">
        <is>
          <t>asev2j</t>
        </is>
      </c>
      <c r="B398" t="inlineStr">
        <is>
          <t>acid reflux surgery ?</t>
        </is>
      </c>
      <c r="C398" t="inlineStr">
        <is>
          <t xml:space="preserve">I have been on ppi meds  they work but the side effects I have had are terrible like nausea and stomach pain should I get surgery and how do I convince the doctor surgery would be the best option for me because I am young and I do not want acid reflux for the rest of my life and I do not want to be on  ppi meds for the rest of my Life </t>
        </is>
      </c>
      <c r="D398" t="n">
        <v>2</v>
      </c>
      <c r="E398" t="n">
        <v>4</v>
      </c>
      <c r="F398">
        <f>HYPERLINK("https://www.reddit.com/r/GERD/comments/asev2j/acid_reflux_surgery/")</f>
        <v/>
      </c>
      <c r="G398" t="inlineStr">
        <is>
          <t>2019-02-19 12:17:51</t>
        </is>
      </c>
      <c r="H398" t="inlineStr"/>
    </row>
    <row r="399">
      <c r="A399" t="inlineStr">
        <is>
          <t>asgrs9</t>
        </is>
      </c>
      <c r="B399" t="inlineStr">
        <is>
          <t>Is this even GERD?</t>
        </is>
      </c>
      <c r="C399" t="inlineStr">
        <is>
          <t xml:space="preserve">For the last 3 weeks I have felt debilitating throat tightness that only seems to go away when I sleep. I've never had any stomach discomfort, acid reflux symptoms, nausea, vomiting, or anything related. Food actually makes the symptoms feel better for a second. Things that really make it worse are physical exertion and wearing tighter fitting shirts. I was put on 40mg omeprazole 3 weeks ago, and while the severity of the tightness has gone down, Im not sure if this is due to the PPI or just time. Anyone else ever felt like this? How long did it take to heal? </t>
        </is>
      </c>
      <c r="D399" t="n">
        <v>1</v>
      </c>
      <c r="E399" t="n">
        <v>1</v>
      </c>
      <c r="F399">
        <f>HYPERLINK("https://www.reddit.com/r/GERD/comments/asgrs9/is_this_even_gerd/")</f>
        <v/>
      </c>
      <c r="G399" t="inlineStr">
        <is>
          <t>2019-02-19 15:10:30</t>
        </is>
      </c>
      <c r="H399" t="inlineStr"/>
    </row>
    <row r="400">
      <c r="A400" t="inlineStr">
        <is>
          <t>ashaip</t>
        </is>
      </c>
      <c r="B400" t="inlineStr">
        <is>
          <t>Chest pain after moving around (household chores)</t>
        </is>
      </c>
      <c r="C400" t="inlineStr">
        <is>
          <t xml:space="preserve">(33/F) This just started happening for me a couple of months ago. Walking up one flight of stairs, cleaning around the house, a bit of brisk walking all triggered chest pain after I finished my activity. I am very out of shape and I do get winded even with slight exertion, so  I'm seeing a cardiologist at the same time as my gastro doc. She didn't think that exercise could make GERD symptoms worse but my cardiologist says it can. 
I wish my GERD manifested as heartburn but it always comes as severe chest pain that radiates to my left shoulder and left arm which is doubly worrying (as these are also cardiac symptoms). I have had all the standard heart tests done and my cardiologist is dismissive that it is something to do with my heart, and I'd like to believe him. But when I'm having an elevated heart rate, feel like I can't breathe, and chest pain, it is hard not to panic! </t>
        </is>
      </c>
      <c r="D400" t="n">
        <v>2</v>
      </c>
      <c r="E400" t="n">
        <v>2</v>
      </c>
      <c r="F400">
        <f>HYPERLINK("https://www.reddit.com/r/GERD/comments/ashaip/chest_pain_after_moving_around_household_chores/")</f>
        <v/>
      </c>
      <c r="G400" t="inlineStr">
        <is>
          <t>2019-02-19 16:02:30</t>
        </is>
      </c>
      <c r="H400" t="inlineStr"/>
    </row>
    <row r="401">
      <c r="A401" t="inlineStr">
        <is>
          <t>asi8in</t>
        </is>
      </c>
      <c r="B401" t="inlineStr">
        <is>
          <t>Can I take DGL and Slippery elm together?</t>
        </is>
      </c>
      <c r="C401" t="inlineStr">
        <is>
          <t>I bought DGL in chew-able capsles and slippery elm in pill form. Can I take both? I've been chewing DGL twice before meals for a few days, and I've noticed that the heartburn is a touch less painful, but I can still feel it. I also started taking Lansoprazole a few weeks ago (doctor's prescription), but I don't think it's doing anything. I'm considering scrapping the lansoprazole all together and take slippery elm and DGL. Is that safe?</t>
        </is>
      </c>
      <c r="D401" t="n">
        <v>2</v>
      </c>
      <c r="E401" t="n">
        <v>2</v>
      </c>
      <c r="F401">
        <f>HYPERLINK("https://www.reddit.com/r/GERD/comments/asi8in/can_i_take_dgl_and_slippery_elm_together/")</f>
        <v/>
      </c>
      <c r="G401" t="inlineStr">
        <is>
          <t>2019-02-19 17:37:18</t>
        </is>
      </c>
      <c r="H401" t="inlineStr"/>
    </row>
    <row r="402">
      <c r="A402" t="inlineStr">
        <is>
          <t>asj0eq</t>
        </is>
      </c>
      <c r="B402" t="inlineStr">
        <is>
          <t>Any systemic medications for over reactive sweating that can be taken with Gerds?</t>
        </is>
      </c>
      <c r="C402" t="inlineStr">
        <is>
          <t xml:space="preserve">My brother is not on reddit but has Gerds and wants to try systemics for his sweatin. My whole family has HH (Hyperhidrosis) we sweat too much. I take oxybutynin but apparently it’s not safe with Gerds. Any of you take systemics for sweating  that are safe with Gerds? His Gerds is very bad, he had Surgery at 15 and takes a Proton inhibitor for it currently (which can increase sweating) </t>
        </is>
      </c>
      <c r="D402" t="n">
        <v>1</v>
      </c>
      <c r="E402" t="n">
        <v>1</v>
      </c>
      <c r="F402">
        <f>HYPERLINK("https://www.reddit.com/r/GERD/comments/asj0eq/any_systemic_medications_for_over_reactive/")</f>
        <v/>
      </c>
      <c r="G402" t="inlineStr">
        <is>
          <t>2019-02-19 18:55:15</t>
        </is>
      </c>
      <c r="H402" t="inlineStr"/>
    </row>
    <row r="403">
      <c r="A403" t="inlineStr">
        <is>
          <t>asjm7m</t>
        </is>
      </c>
      <c r="B403" t="inlineStr">
        <is>
          <t>I'm back! Lol</t>
        </is>
      </c>
      <c r="C403" t="inlineStr">
        <is>
          <t>Trying to find non medical ways to cure my GERD or at least ease it a lot. Would anyone recommend I drink ginger tea?</t>
        </is>
      </c>
      <c r="D403" t="n">
        <v>3</v>
      </c>
      <c r="E403" t="n">
        <v>11</v>
      </c>
      <c r="F403">
        <f>HYPERLINK("https://www.reddit.com/r/GERD/comments/asjm7m/im_back_lol/")</f>
        <v/>
      </c>
      <c r="G403" t="inlineStr">
        <is>
          <t>2019-02-19 19:57:12</t>
        </is>
      </c>
      <c r="H403" t="inlineStr"/>
    </row>
    <row r="404">
      <c r="A404" t="inlineStr">
        <is>
          <t>asm8ac</t>
        </is>
      </c>
      <c r="B404" t="inlineStr">
        <is>
          <t>My social life is fucked because of GERD</t>
        </is>
      </c>
      <c r="C404" t="inlineStr">
        <is>
          <t xml:space="preserve">When I go out with people, it’s always a gamble as to whether or not I’ll experience symptoms. 
According to people I’m close to, my breath smells like stomach acid all the time. I haven’t had decent smelling breath since 2014. This has more or less made me undateable. It’s not just the bad breath, the GERD made me lose 15 pounds in a couple weeks. 
My skin got worse at the same time the GERD symptoms got worse, they might not be related but I did read about how there could be a link. 
Doctors in the past never took me seriously, they’ve just thrown Zantac at me and told me to come back if the symptoms don’t go away in a week. I have shitty health insurance now so I can’t afford to see even one doctor, and even if I do I’ll just get the same “treatment” as usual. It’ll be a colossal waste of money for something I could’ve done myself. 
Overall it’s been a pretty shite experience. According to google, a lot of Americans have this disease, but I’m pretty certain that my case is severe. I developed a Pavlovian fear response to food because I don’t know if my previously safe foods will suddenly become a trigger food. Every few weeks I seem to lose another safe food to the trigger food category. </t>
        </is>
      </c>
      <c r="D404" t="n">
        <v>21</v>
      </c>
      <c r="E404" t="n">
        <v>21</v>
      </c>
      <c r="F404">
        <f>HYPERLINK("https://www.reddit.com/r/GERD/comments/asm8ac/my_social_life_is_fucked_because_of_gerd/")</f>
        <v/>
      </c>
      <c r="G404" t="inlineStr">
        <is>
          <t>2019-02-20 01:10:14</t>
        </is>
      </c>
      <c r="H404" t="inlineStr"/>
    </row>
    <row r="405">
      <c r="A405" t="inlineStr">
        <is>
          <t>asmvci</t>
        </is>
      </c>
      <c r="B405" t="inlineStr">
        <is>
          <t>Update 4</t>
        </is>
      </c>
      <c r="C405" t="inlineStr">
        <is>
          <t xml:space="preserve">Hello, I have written three other (four including this) posts talking about living with GERD. If you’d like backstory, check out my posts from a few months ago. I left off counting the days until I was going to my doctor to discuss a surgery because nothing was working. Well, that was in September and it’s now February. What happened? 
I didn’t get the surgery. I decided to try a different PPI. I originally took omeprozole, but it gives me horrible headaches, I couldn’t even take them. I switched to pantoprazole, and it’s honestly been a miracle. I am 90% reflux free! My first batch was awesome, literally no reflux for 30 days. Going from struggling daily with my irritation and burning, to nothing was so awesome. My second batch wasn’t as good, I actually had some issues with it. I didn’t think it worked, I was getting reflux again. But I decided to just take a Zantac when I felt like it may be coming on, and that takes care of that! 
It’s been three months of pantoprazole with no problems. I only take one a day right now. But, I don’t plan on using it super long term. I plan on riding this wave for ideally four or so more years, then I’d be ready to do a surgery. But this PPI has saved me. Without it, my reflux starts when I open my eyes and ends when I fall asleep. If you are having issues and aren’t liking the meds you’re taking, try new ones!! I was so closed minded for over a year about taking PPI’s because of the headaches it caused me, but just giving it a chance has made my life normal. And I can eat WHATEVER I want! Spicy food, fried food, pizza, dark chocolate, whatever! Some things may cause a little something but nothing even worth taking a pill for. 
Keep hope! Until next time 
TL;DR
Fourth update, mentioned possibly surgery in last post which didn’t happen. Gave new PPI a chance and it’s saved my life. Give new things a try </t>
        </is>
      </c>
      <c r="D405" t="n">
        <v>3</v>
      </c>
      <c r="E405" t="n">
        <v>2</v>
      </c>
      <c r="F405">
        <f>HYPERLINK("https://www.reddit.com/r/GERD/comments/asmvci/update_4/")</f>
        <v/>
      </c>
      <c r="G405" t="inlineStr">
        <is>
          <t>2019-02-20 02:37:32</t>
        </is>
      </c>
      <c r="H405" t="inlineStr"/>
    </row>
    <row r="406">
      <c r="A406" t="inlineStr">
        <is>
          <t>aspths</t>
        </is>
      </c>
      <c r="B406" t="inlineStr">
        <is>
          <t>Do proton pump inhibitors counteract some of the negative effects from alcohol?</t>
        </is>
      </c>
      <c r="C406" t="inlineStr">
        <is>
          <t xml:space="preserve">Basically I was on lansoprazole for 8 years. But then long story short I discovered being on these medications, especially for long periods of time could cause negative effects. As your stomach is supposed to be acidic to digest food correctly and absorb nutrients. So about a year and a half ago I managed to wean my self off lansoprazole and haven't been taking it for a year and a half.
But I always notice I get severe problems with my stomach when ever I drink alcohol. I am not someone who drinks every day or even every week. But occasionally I do like to go out and have a drink with friends, or have a drink at family events. The problem is every time I drink alcohol it causes me to get extreme heartburn and stomach problems. I have actually burned the lining of my stomach and had alcohol induced gastritis because of drinking alcohol before. But the thing is one night of drinking can cause this with me. But the thing is when I used to be on lansoprazole this never happened. I never got all these negative effects from alcohol when I was taking lansoprazole.
I am convinced it is the rise in stomach acid caused by alcohol that causes me burning of my stomach lining and gastritis. 
Over the festive period last year, so Christmas and new year I did have quite a few different family events and gatherings where there was a lot of alcohol involved. I actually thought to my self I am not going to let these stomach problems ruin my Christmas and new year, and what I did was I took a lansoprazole tablet the day I was drinking, and I took a lansoprazole tablet the following day. I did this every day I knew I was going to be drinking alcohol. Guess what I never happened any stomach issues, I didn't have burning of y stomach lining or gastritis. 
I don't want to never be able to drink alcohol ever. But like I said when I drink alcohol it does really seem to negatively effect my stomach lining. But like I said when I take the lansoprazole when I am drinking and the following day this doesn't happen. I think the reason it doesn't happen when I do this is obvious. Because it is the rise in stomach acid caused by alcohol that causes me these stomach lining issues. But when I take lansoprazole this counteracts this effect, as your body can't make much stomach acid when you're taking this medication.
So I think a good idea would be if I ever do decide to drink alcohol I should take lansoprazole the day I am drinking and also the following day after I have drank alcohol&amp;gt;
 </t>
        </is>
      </c>
      <c r="D406" t="n">
        <v>3</v>
      </c>
      <c r="E406" t="n">
        <v>5</v>
      </c>
      <c r="F406">
        <f>HYPERLINK("https://www.reddit.com/r/GERD/comments/aspths/do_proton_pump_inhibitors_counteract_some_of_the/")</f>
        <v/>
      </c>
      <c r="G406" t="inlineStr">
        <is>
          <t>2019-02-20 07:46:55</t>
        </is>
      </c>
      <c r="H406" t="inlineStr"/>
    </row>
    <row r="407">
      <c r="A407" t="inlineStr">
        <is>
          <t>asrzel</t>
        </is>
      </c>
      <c r="B407" t="inlineStr">
        <is>
          <t>Med question</t>
        </is>
      </c>
      <c r="C407" t="inlineStr">
        <is>
          <t>Hi everyone!
I'd been having a pretty good stretch of days with minimal symptoms, and then my dumbass had to go accidentally eat something that had garlic in it. Now the past couple of days I've been having on and off nausea again, as well as burping up liquid and all that other fun stuff. 
I take 40mg of pantoprazole in the morning, and my doctor suggested that I can take another 40mg at night, however I'm hesitant to take that much after everything I've read. Would it be safe to take a Zantac 150 at night instead? Had anyone had any success with this combo?
Thanks!</t>
        </is>
      </c>
      <c r="D407" t="n">
        <v>0</v>
      </c>
      <c r="E407" t="n">
        <v>2</v>
      </c>
      <c r="F407">
        <f>HYPERLINK("https://www.reddit.com/r/GERD/comments/asrzel/med_question/")</f>
        <v/>
      </c>
      <c r="G407" t="inlineStr">
        <is>
          <t>2019-02-20 10:44:47</t>
        </is>
      </c>
      <c r="H407" t="inlineStr"/>
    </row>
    <row r="408">
      <c r="A408" t="inlineStr">
        <is>
          <t>asstla</t>
        </is>
      </c>
      <c r="B408" t="inlineStr">
        <is>
          <t>Anyone tried the fast tract diet?</t>
        </is>
      </c>
      <c r="C408" t="inlineStr">
        <is>
          <t>I just purchased this app called “the fast tract diet” and I’m planning to follow it. A lot of people claim their LPR and GERD is cured because of this diet. Did  Anyone see any improvement trying it ?</t>
        </is>
      </c>
      <c r="D408" t="n">
        <v>4</v>
      </c>
      <c r="E408" t="n">
        <v>1</v>
      </c>
      <c r="F408">
        <f>HYPERLINK("https://www.reddit.com/r/GERD/comments/asstla/anyone_tried_the_fast_tract_diet/")</f>
        <v/>
      </c>
      <c r="G408" t="inlineStr">
        <is>
          <t>2019-02-20 11:52:00</t>
        </is>
      </c>
      <c r="H408" t="inlineStr"/>
    </row>
    <row r="409">
      <c r="A409" t="inlineStr">
        <is>
          <t>astg1p</t>
        </is>
      </c>
      <c r="B409" t="inlineStr">
        <is>
          <t>Do I really have GERD ?</t>
        </is>
      </c>
      <c r="C409" t="inlineStr">
        <is>
          <t>Hi guys, new here!
Recently I've been having weird symptoms ever since I started changing my diet.
Around December I told myself I wanted to gain weight( my goals was 90 kg from 78 kg), so I started going to the gym religiously and I began eating as much as I could . At the start, it was very difficult since I'm skinny and I've always been a person that doesn't eat a lot ( around 2500 calories), but when I decided to gain weight and get big, I told my self I have to eat around 3200 calories to gain 0.25kg a week( keep in mind I'm 6.1").
I began my journey by eating as much as I could , everything was fine until mid February when the symptoms appeared.
\-Bloated feeling  all the time after eating or in the morning after waking up.
\-A lot of trapped gas in my stomach( burping every 5 minutes).  &amp;lt;-- probably the worst of all the symptoms.
\-Really bad heartburns directly in the heart area. 
\-Sore throat, this symptom started 19 of February.( this could  simply be a common cold).
\-I feel burning sensations in my belly.
\-I can feel "liquid" in my stomach even though I didn't drink anything for the past 45 minutes.
&amp;amp;#x200B;
**I made a doctors appointment for the next week but in the mean time I would like to hear your opinions.**
&amp;amp;#x200B;
Thanks!
&amp;amp;#x200B;
Note: I already checked my heart with the doctor back in November,2018 because I was really concerned( heartburns were getting really bad), but we didn't find anything malicious.
&amp;amp;#x200B;</t>
        </is>
      </c>
      <c r="D409" t="n">
        <v>2</v>
      </c>
      <c r="E409" t="n">
        <v>6</v>
      </c>
      <c r="F409">
        <f>HYPERLINK("https://www.reddit.com/r/GERD/comments/astg1p/do_i_really_have_gerd/")</f>
        <v/>
      </c>
      <c r="G409" t="inlineStr">
        <is>
          <t>2019-02-20 12:42:03</t>
        </is>
      </c>
      <c r="H409" t="inlineStr"/>
    </row>
    <row r="410">
      <c r="A410" t="inlineStr">
        <is>
          <t>asuu0s</t>
        </is>
      </c>
      <c r="B410" t="inlineStr">
        <is>
          <t>Anyone here succeed at reintegrating caffeine in to their diet?</t>
        </is>
      </c>
      <c r="C410" t="inlineStr">
        <is>
          <t xml:space="preserve">Hi all, 
PCP diagnosed me with esophagitis a few weeks ago (no endoscopy, Dx arrived at after a physical exam, talking through symptoms, and review of medical history). He recommended easing up on my caffeine intake, but I decided to cut it out entirely to aid in the healing process. 
About 6.5 weeks in to avoiding caffeine entirely, I had a few glasses of cold brewed iced tea today and seemed to do OK, albeit some slight increased mucus in my chest. My caffeine intake prior to treatment was approx. 2 cups of cold brew coffee (started doing cold brew after my H Pylori treatment 2 years ago rendered hot drip coffee too irritating on my stomach) per day (no sugar or milk) and 1-2 cups of black or green tea. 
I'd like to slowly build up to a cup or two of cold brew again, but I really want my esophagus to heal (I've got two weeks to go before my Omeprazole treatment ends, I suspect I'll need an endoscopy anyway as my symptoms still do appear after eating certain foods; our agreement was to see how Omeprazole would affect my symptoms before scheduling an endo). 
Anyone have success slowly reintroducing caffeine in to their diet? I made it 6.5 weeks without it, but I noticed my brain slowing down towards the end and feeling a bit more down in the dumps. </t>
        </is>
      </c>
      <c r="D410" t="n">
        <v>4</v>
      </c>
      <c r="E410" t="n">
        <v>23</v>
      </c>
      <c r="F410">
        <f>HYPERLINK("https://www.reddit.com/r/GERD/comments/asuu0s/anyone_here_succeed_at_reintegrating_caffeine_in/")</f>
        <v/>
      </c>
      <c r="G410" t="inlineStr">
        <is>
          <t>2019-02-20 14:33:47</t>
        </is>
      </c>
      <c r="H410" t="inlineStr"/>
    </row>
    <row r="411">
      <c r="A411" t="inlineStr">
        <is>
          <t>asv1ih</t>
        </is>
      </c>
      <c r="B411" t="inlineStr">
        <is>
          <t>ppi meds ?</t>
        </is>
      </c>
      <c r="C411" t="inlineStr">
        <is>
          <t xml:space="preserve">I go to ent doctor for my acid reflux he gave me a prescription of ppi meds There is a follow up appointment in two weeks but he did not tell me how long I have to take the ppi meds so does anyone know how long ppi meds are taken </t>
        </is>
      </c>
      <c r="D411" t="n">
        <v>2</v>
      </c>
      <c r="E411" t="n">
        <v>7</v>
      </c>
      <c r="F411">
        <f>HYPERLINK("https://www.reddit.com/r/GERD/comments/asv1ih/ppi_meds/")</f>
        <v/>
      </c>
      <c r="G411" t="inlineStr">
        <is>
          <t>2019-02-20 14:51:09</t>
        </is>
      </c>
      <c r="H411" t="inlineStr"/>
    </row>
    <row r="412">
      <c r="A412" t="inlineStr">
        <is>
          <t>aszpfx</t>
        </is>
      </c>
      <c r="B412" t="inlineStr">
        <is>
          <t>LPR sore throat - what does it feel like?</t>
        </is>
      </c>
      <c r="C412" t="inlineStr">
        <is>
          <t>Hoping those of you who have been diagnosed with LPR could help me. I'm trying to get to the bottom of a persistent sore throat I've had for over a month. It's on one side of my neck/throat and it only hurts when I drink liquids or sometimes when I swallow saliva. The pain is near my cervical lymph node on the side of my neck and sometimes radiates to my ear. I do have some other symptoms of LPR - mucus and postnasal drip, occasional mild heartburn. I was just wondering if any of you have had a similar type of sore throat. 
I've seen my PCP and went on antibiotics which hasn't helped. Setting up an appointment with an ENT hopefully soon.
Thanks!</t>
        </is>
      </c>
      <c r="D412" t="n">
        <v>1</v>
      </c>
      <c r="E412" t="n">
        <v>3</v>
      </c>
      <c r="F412">
        <f>HYPERLINK("https://www.reddit.com/r/GERD/comments/aszpfx/lpr_sore_throat_what_does_it_feel_like/")</f>
        <v/>
      </c>
      <c r="G412" t="inlineStr">
        <is>
          <t>2019-02-20 22:13:07</t>
        </is>
      </c>
      <c r="H412" t="inlineStr"/>
    </row>
    <row r="413">
      <c r="A413" t="inlineStr">
        <is>
          <t>at0n6b</t>
        </is>
      </c>
      <c r="B413" t="inlineStr">
        <is>
          <t>I'm asymptomatic except for sore throat and bad breath. I'm also starving to death.</t>
        </is>
      </c>
      <c r="C413" t="inlineStr">
        <is>
          <t>I don't know what to think or do. I went through a couple years of having a sure trust every night. Sometimes horrible, sometimes not bad. A doctor said it was probably gerd. I didn't take any meds or change my diet. 
I haven't gotten a sore throat for months now, but my breath is terrible. I want to start changing my diet to see if there will be any improvement. 
Thing is, I'm literally starving to death. I have a mental illness called ARFID. Most food doesn't look like food to me, and it grows worse by the day. Looking at the list of safe/not safe food, I don't know how I would survive. 95% of the foods I can eat are considered not safe. 
I don't know what to do and I don't have access to medical care...</t>
        </is>
      </c>
      <c r="D413" t="n">
        <v>1</v>
      </c>
      <c r="E413" t="n">
        <v>0</v>
      </c>
      <c r="F413">
        <f>HYPERLINK("https://www.reddit.com/r/GERD/comments/at0n6b/im_asymptomatic_except_for_sore_throat_and_bad/")</f>
        <v/>
      </c>
      <c r="G413" t="inlineStr">
        <is>
          <t>2019-02-21 00:09:16</t>
        </is>
      </c>
      <c r="H413" t="inlineStr"/>
    </row>
    <row r="414">
      <c r="A414" t="inlineStr">
        <is>
          <t>at6sv8</t>
        </is>
      </c>
      <c r="B414" t="inlineStr">
        <is>
          <t>Possible for GERD to start out of nowhere?</t>
        </is>
      </c>
      <c r="C414" t="inlineStr">
        <is>
          <t>Probably a dumb question here, but is this possible? I feel like I didn't have this issue about a year ago so I deal with it every day...</t>
        </is>
      </c>
      <c r="D414" t="n">
        <v>2</v>
      </c>
      <c r="E414" t="n">
        <v>10</v>
      </c>
      <c r="F414">
        <f>HYPERLINK("https://www.reddit.com/r/GERD/comments/at6sv8/possible_for_gerd_to_start_out_of_nowhere/")</f>
        <v/>
      </c>
      <c r="G414" t="inlineStr">
        <is>
          <t>2019-02-21 10:47:52</t>
        </is>
      </c>
      <c r="H414" t="inlineStr"/>
    </row>
    <row r="415">
      <c r="A415" t="inlineStr">
        <is>
          <t>at7bh1</t>
        </is>
      </c>
      <c r="B415" t="inlineStr">
        <is>
          <t>Do I have GERD?</t>
        </is>
      </c>
      <c r="C415" t="inlineStr">
        <is>
          <t>Hey guys, first of all I want to say sorry if I have any grammar errors but I'm in a hurry and want to ask this here.
So, I'm 21, male, I don't have any symptoms like heartburn or vomiting or anything I have ONLY ONE symptom which is this: I feel like there is something in my throat and I have to swallow more often and it makes me annoyed. It's not constant, sometimes I feel this "lump" in my throat for like 2-3 weeks then it disappears for weeks and it comes back again...I don't know what is it, maybe Silent Reflux?
I was at the "general practitioner" and he said I should take some baking soda with water and if it helps with my symptom then I would probably have GERD but it doesn't help. I don't know what is it, I have depression and anxiety sometimes and my life is full of stress but I don't think it's related to them.
I'm thinking about go to a special doctor next week, I kinda regret that I haven't been to a special doctor but it haven't bothered me until now and I have never had any kind of pain or whatever.
Oh and I usually have this problem in winter, when summer comes this symptom rarely comes back. I have this feel in my throat since I was a child like 5-6 years old..could it be still reflux?
I don't know what is it but thanks anyways!</t>
        </is>
      </c>
      <c r="D415" t="n">
        <v>4</v>
      </c>
      <c r="E415" t="n">
        <v>4</v>
      </c>
      <c r="F415">
        <f>HYPERLINK("https://www.reddit.com/r/GERD/comments/at7bh1/do_i_have_gerd/")</f>
        <v/>
      </c>
      <c r="G415" t="inlineStr">
        <is>
          <t>2019-02-21 11:31:20</t>
        </is>
      </c>
      <c r="H415" t="inlineStr"/>
    </row>
    <row r="416">
      <c r="A416" t="inlineStr">
        <is>
          <t>at8ida</t>
        </is>
      </c>
      <c r="B416" t="inlineStr">
        <is>
          <t>Ulcers</t>
        </is>
      </c>
      <c r="C416" t="inlineStr">
        <is>
          <t xml:space="preserve">R two non bleeding ulcers a big deal </t>
        </is>
      </c>
      <c r="D416" t="n">
        <v>2</v>
      </c>
      <c r="E416" t="n">
        <v>7</v>
      </c>
      <c r="F416">
        <f>HYPERLINK("https://www.reddit.com/r/GERD/comments/at8ida/ulcers/")</f>
        <v/>
      </c>
      <c r="G416" t="inlineStr">
        <is>
          <t>2019-02-21 13:10:48</t>
        </is>
      </c>
      <c r="H416" t="inlineStr"/>
    </row>
    <row r="417">
      <c r="A417" t="inlineStr">
        <is>
          <t>ataizh</t>
        </is>
      </c>
      <c r="B417" t="inlineStr">
        <is>
          <t>New Recruit</t>
        </is>
      </c>
      <c r="C417" t="inlineStr">
        <is>
          <t xml:space="preserve">Hello everyone, I've been hanging around here today reading various posts and I have to say, it's really put me at ease 💚
I'm fairly healthy (36f, epileptic, UK) with no previous history of any kind of digestive problems- I'm that chick who enjoys all the foods- and over the last fortnight I've had intense stomach bloating, pain under ribs, acid reflux, dry mouth and eyes etc.
I've had a couple of visits to A&amp;amp;E due to upper abdominal pain on Tuesday, yesterday I went to the GP who's prescribed Lansoprazole 30mg, but hasn't given any diagnosis. I've got to go back tomorrow for broad spectrum blood tests, but after doing a bit of research, this sounds like a case of severe reflux.
A couple of questions:
- Those of you who suffer health related anxiety, how do you manage this?
- Everyone, how did you go about getting a diagnosis for GERD?
- Foodies like me- dietary tips? How to discover what causes your flare-ups and which foods to avoid? 
</t>
        </is>
      </c>
      <c r="D417" t="n">
        <v>1</v>
      </c>
      <c r="E417" t="n">
        <v>3</v>
      </c>
      <c r="F417">
        <f>HYPERLINK("https://www.reddit.com/r/GERD/comments/ataizh/new_recruit/")</f>
        <v/>
      </c>
      <c r="G417" t="inlineStr">
        <is>
          <t>2019-02-21 16:11:43</t>
        </is>
      </c>
      <c r="H417" t="inlineStr"/>
    </row>
    <row r="418">
      <c r="A418" t="inlineStr">
        <is>
          <t>ataogo</t>
        </is>
      </c>
      <c r="B418" t="inlineStr">
        <is>
          <t>Nexium</t>
        </is>
      </c>
      <c r="C418" t="inlineStr">
        <is>
          <t>Will taking two OTC 20mg Nexium be the same as 1 40mg Prescription pill? I’ve read conflicting reports on the effectiveness of the otc 20mg.
Thanks</t>
        </is>
      </c>
      <c r="D418" t="n">
        <v>1</v>
      </c>
      <c r="E418" t="n">
        <v>1</v>
      </c>
      <c r="F418">
        <f>HYPERLINK("https://www.reddit.com/r/GERD/comments/ataogo/nexium/")</f>
        <v/>
      </c>
      <c r="G418" t="inlineStr">
        <is>
          <t>2019-02-21 16:26:22</t>
        </is>
      </c>
      <c r="H418" t="inlineStr"/>
    </row>
    <row r="419">
      <c r="A419" t="inlineStr">
        <is>
          <t>atax1l</t>
        </is>
      </c>
      <c r="B419" t="inlineStr">
        <is>
          <t>Esophagus weird symptom</t>
        </is>
      </c>
      <c r="C419" t="inlineStr">
        <is>
          <t xml:space="preserve">I've been dealing with a strange symptom on the esophagus, it feels like a palpitation, something like a spasm but without pain, when I feel it I can't breath for a second it last just that or less
I have atypical symptoms since 3 years ago
Did somebody sounds familiar?
</t>
        </is>
      </c>
      <c r="D419" t="n">
        <v>6</v>
      </c>
      <c r="E419" t="n">
        <v>10</v>
      </c>
      <c r="F419">
        <f>HYPERLINK("https://www.reddit.com/r/GERD/comments/atax1l/esophagus_weird_symptom/")</f>
        <v/>
      </c>
      <c r="G419" t="inlineStr">
        <is>
          <t>2019-02-21 16:49:53</t>
        </is>
      </c>
      <c r="H419" t="inlineStr"/>
    </row>
    <row r="420">
      <c r="A420" t="inlineStr">
        <is>
          <t>atbd2e</t>
        </is>
      </c>
      <c r="B420" t="inlineStr">
        <is>
          <t>Does anyone else have a hot face after eating?</t>
        </is>
      </c>
      <c r="C420" t="inlineStr">
        <is>
          <t>I often feel hot after eating, especially my face. Lately I’ve been putting an ice pack on my face to cool down my cheeks and forehead. Anyone else have this problem? Not sure if it’s related to GERD or not. I also have IBS.</t>
        </is>
      </c>
      <c r="D420" t="n">
        <v>1</v>
      </c>
      <c r="E420" t="n">
        <v>1</v>
      </c>
      <c r="F420">
        <f>HYPERLINK("https://www.reddit.com/r/GERD/comments/atbd2e/does_anyone_else_have_a_hot_face_after_eating/")</f>
        <v/>
      </c>
      <c r="G420" t="inlineStr">
        <is>
          <t>2019-02-21 17:34:31</t>
        </is>
      </c>
      <c r="H420" t="inlineStr"/>
    </row>
    <row r="421">
      <c r="A421" t="inlineStr">
        <is>
          <t>atbkj6</t>
        </is>
      </c>
      <c r="B421" t="inlineStr">
        <is>
          <t>Surgery?</t>
        </is>
      </c>
      <c r="C421" t="inlineStr">
        <is>
          <t xml:space="preserve">I currently go to an ent doctor for my acid reflux and I have been on ppi for a couple months and my doctor said I am going to have take them long term probably the rest of my life because my reflux is so bad how do I convince my ent doctor to consider surgery as I do not want to take ppi meds for the rest of my life any advice? </t>
        </is>
      </c>
      <c r="D421" t="n">
        <v>1</v>
      </c>
      <c r="E421" t="n">
        <v>1</v>
      </c>
      <c r="F421">
        <f>HYPERLINK("https://www.reddit.com/r/GERD/comments/atbkj6/surgery/")</f>
        <v/>
      </c>
      <c r="G421" t="inlineStr">
        <is>
          <t>2019-02-21 17:55:52</t>
        </is>
      </c>
      <c r="H421" t="inlineStr"/>
    </row>
    <row r="422">
      <c r="A422" t="inlineStr">
        <is>
          <t>atg4gk</t>
        </is>
      </c>
      <c r="B422" t="inlineStr">
        <is>
          <t>Is 58 deemester score from a ph 24hr test high enough to have surgery?</t>
        </is>
      </c>
      <c r="C422" t="inlineStr">
        <is>
          <t>Had a deemester score of 58 on ph test and a show of 4/10 good swallows which shows some motility issues, ppis stop heartburn but not other symptoms like nasal congestion, hoarseness and some heavy breathing is this score high enough to go for surgery or carry on as I am. Also endoscopy showed grade 1 esophagittis. Thought of surgery scares me.</t>
        </is>
      </c>
      <c r="D422" t="n">
        <v>1</v>
      </c>
      <c r="E422" t="n">
        <v>12</v>
      </c>
      <c r="F422">
        <f>HYPERLINK("https://www.reddit.com/r/GERD/comments/atg4gk/is_58_deemester_score_from_a_ph_24hr_test_high/")</f>
        <v/>
      </c>
      <c r="G422" t="inlineStr">
        <is>
          <t>2019-02-22 02:48:08</t>
        </is>
      </c>
      <c r="H422" t="inlineStr"/>
    </row>
    <row r="423">
      <c r="A423" t="inlineStr">
        <is>
          <t>athtk6</t>
        </is>
      </c>
      <c r="B423" t="inlineStr">
        <is>
          <t>Should I find a new doctor or just do the esophageal manometry and see what that finds?</t>
        </is>
      </c>
      <c r="C423" t="inlineStr">
        <is>
          <t>I had an endoscopy and colonoscopy done for heartburn symptoms and diarrhea last week. They did a biopsy of my colon to rule out ulcerative colitis, but did no biopsy during the endoscopy. 
Yesterday I went in for the follow up, and was told the biopsy was normal, the endoscopy and colonoscopy were normal, and that I do not have acid reflux. My reaction to that was that's interesting considering if I don't take Zantac I wake up in the middle of the night throwing up undigested food and bile, and did even when I was a normal weight. He told me I don't need to take Zantac because I do not have acid reflux and it isn't helping me so there's no reason for me to take it. 
He did reluctantly tell me that if I want to pursue it further, that I could have a esophageal manometry qith ph done. I said I did since it has such an impact on my life. 
At this point, I am wondering if I should just find another doctor or if I should go through the procedure first. Has anyone else had a similar experience?</t>
        </is>
      </c>
      <c r="D423" t="n">
        <v>2</v>
      </c>
      <c r="E423" t="n">
        <v>8</v>
      </c>
      <c r="F423">
        <f>HYPERLINK("https://www.reddit.com/r/GERD/comments/athtk6/should_i_find_a_new_doctor_or_just_do_the/")</f>
        <v/>
      </c>
      <c r="G423" t="inlineStr">
        <is>
          <t>2019-02-22 05:50:47</t>
        </is>
      </c>
      <c r="H423" t="inlineStr"/>
    </row>
    <row r="424">
      <c r="A424" t="inlineStr">
        <is>
          <t>atk1cp</t>
        </is>
      </c>
      <c r="B424" t="inlineStr">
        <is>
          <t>A couple questions</t>
        </is>
      </c>
      <c r="C424" t="inlineStr">
        <is>
          <t>I have an anxiety disorder. Well, I had a couple. First was panic disorder, then a health anxiety disorder. Whenever I have minor gerd I get really lightheaded/vertigo. As well as nausea. I’ve woken up in the morning a few times to throw up stomach acid. Is this gerd, or is there something seriously wrong with me? Also is it true that anxiety makes these symptoms worse. Thanks!</t>
        </is>
      </c>
      <c r="D424" t="n">
        <v>1</v>
      </c>
      <c r="E424" t="n">
        <v>6</v>
      </c>
      <c r="F424">
        <f>HYPERLINK("https://www.reddit.com/r/GERD/comments/atk1cp/a_couple_questions/")</f>
        <v/>
      </c>
      <c r="G424" t="inlineStr">
        <is>
          <t>2019-02-22 09:07:05</t>
        </is>
      </c>
      <c r="H424" t="inlineStr"/>
    </row>
    <row r="425">
      <c r="A425" t="inlineStr">
        <is>
          <t>atk5i9</t>
        </is>
      </c>
      <c r="B425" t="inlineStr">
        <is>
          <t>New to GERD</t>
        </is>
      </c>
      <c r="C425" t="inlineStr">
        <is>
          <t xml:space="preserve">Hi all,
I’m a 23 year old male who had their first endoscopy this month and was told I have GERD. 
I had been on ranitidine for a bit but it never helped. They slowly put me on one 40mg omeprazole and it’s been working well. The diet has been difficult as I used to eat a lot of junk food and drink beer and coffee daily. I’m a scrawny guy with a fast metabolism so I never thought of the long term damage I’d be doing. 
I feel upset that I’ve had to say goodbye to some of my favorite foods for a while (maybe forever), especially fatty foods. I’m curious to know how others coped with a diet transition? I like the foods I eat now, but they’re polar opposites to what I used to eat...
Do you get used to the way your stomach and esophagus feels after a while? I’ve had issues dating back to November 2018, and I’m still fairly uncomfortable most of the time, but it has gotten better. 
Thanks for reading, and any advice / coping mechanisms / reassurance is always appreciated. </t>
        </is>
      </c>
      <c r="D425" t="n">
        <v>4</v>
      </c>
      <c r="E425" t="n">
        <v>4</v>
      </c>
      <c r="F425">
        <f>HYPERLINK("https://www.reddit.com/r/GERD/comments/atk5i9/new_to_gerd/")</f>
        <v/>
      </c>
      <c r="G425" t="inlineStr">
        <is>
          <t>2019-02-22 09:16:26</t>
        </is>
      </c>
      <c r="H425" t="inlineStr"/>
    </row>
    <row r="426">
      <c r="A426" t="inlineStr">
        <is>
          <t>atkx03</t>
        </is>
      </c>
      <c r="B426" t="inlineStr">
        <is>
          <t>Constant nausea despite medication. Anyone else had this and resolved it?</t>
        </is>
      </c>
      <c r="C426" t="inlineStr">
        <is>
          <t xml:space="preserve">Hi all, 
&amp;amp;#x200B;
I've been having constant nausea for the past five months, along with regurgitation and heavy feeling in chest area. I have been taking pentaprozole every night along with domperidone before every meal and it has helped but I still have slight nausea around 80% of the day. I was wondering if anyone has suffered from nausea and what they did to fix it? </t>
        </is>
      </c>
      <c r="D426" t="n">
        <v>2</v>
      </c>
      <c r="E426" t="n">
        <v>14</v>
      </c>
      <c r="F426">
        <f>HYPERLINK("https://www.reddit.com/r/GERD/comments/atkx03/constant_nausea_despite_medication_anyone_else/")</f>
        <v/>
      </c>
      <c r="G426" t="inlineStr">
        <is>
          <t>2019-02-22 10:19:46</t>
        </is>
      </c>
      <c r="H426" t="inlineStr"/>
    </row>
    <row r="427">
      <c r="A427" t="inlineStr">
        <is>
          <t>atlia5</t>
        </is>
      </c>
      <c r="B427" t="inlineStr">
        <is>
          <t>GERD and sudden changes in taste</t>
        </is>
      </c>
      <c r="C427" t="inlineStr">
        <is>
          <t xml:space="preserve">I’ve had a dx of GERD for over 10 years with flare ups on and off since I was a child. I went on a strict diet about 8 years ago and was able to significantly reduce the number of symptoms and reintroduce most foods (aside from major triggers) and about 5 years ago I went off PPIs and have only had mild flare ups since. The past few weeks I’ve been having a flare but this one is different because I have developed a sweet/sour taste in my mouth. I’ve never experienced this before during a flare- it’s almost like I’m constantly tasting honey lime dressing. I’ve noticed food tastes off and coffee tastes extra bitter. Has anyone else ever had a sudden significant change in taste like this? I assume it’s from the acid but I’m worried as this has never happened before. </t>
        </is>
      </c>
      <c r="D427" t="n">
        <v>1</v>
      </c>
      <c r="E427" t="n">
        <v>2</v>
      </c>
      <c r="F427">
        <f>HYPERLINK("https://www.reddit.com/r/GERD/comments/atlia5/gerd_and_sudden_changes_in_taste/")</f>
        <v/>
      </c>
      <c r="G427" t="inlineStr">
        <is>
          <t>2019-02-22 11:10:06</t>
        </is>
      </c>
      <c r="H427" t="inlineStr"/>
    </row>
    <row r="428">
      <c r="A428" t="inlineStr">
        <is>
          <t>atoa1r</t>
        </is>
      </c>
      <c r="B428" t="inlineStr">
        <is>
          <t>Ears get reflux?</t>
        </is>
      </c>
      <c r="C428" t="inlineStr">
        <is>
          <t xml:space="preserve">I have been to numerous ent doctors who have said that the feeling of fluid inside my ear is caused by reflux what do you guys think </t>
        </is>
      </c>
      <c r="D428" t="n">
        <v>7</v>
      </c>
      <c r="E428" t="n">
        <v>5</v>
      </c>
      <c r="F428">
        <f>HYPERLINK("https://www.reddit.com/r/GERD/comments/atoa1r/ears_get_reflux/")</f>
        <v/>
      </c>
      <c r="G428" t="inlineStr">
        <is>
          <t>2019-02-22 15:15:16</t>
        </is>
      </c>
      <c r="H428" t="inlineStr"/>
    </row>
    <row r="429">
      <c r="A429" t="inlineStr">
        <is>
          <t>atpztt</t>
        </is>
      </c>
      <c r="B429" t="inlineStr">
        <is>
          <t>Should I take PPI's before or after my morning coffee?</t>
        </is>
      </c>
      <c r="C429" t="inlineStr">
        <is>
          <t>I was just prescribed 40mg tablets of pantoprazole to take for a month, one hour before I eat breakfast. I usually drink my coffee around 7:30 AM but I don't eat anything until around noon. Should I take the pills before my coffee or before I actually eat?
(I know I'm not really supposed to drink coffee but I'm planning on giving up every other GERD trigger before I try eliminating coffee, as I love coffee and am quite addicted to it.)</t>
        </is>
      </c>
      <c r="D429" t="n">
        <v>1</v>
      </c>
      <c r="E429" t="n">
        <v>10</v>
      </c>
      <c r="F429">
        <f>HYPERLINK("https://www.reddit.com/r/GERD/comments/atpztt/should_i_take_ppis_before_or_after_my_morning/")</f>
        <v/>
      </c>
      <c r="G429" t="inlineStr">
        <is>
          <t>2019-02-22 18:08:48</t>
        </is>
      </c>
      <c r="H429" t="inlineStr"/>
    </row>
    <row r="430">
      <c r="A430" t="inlineStr">
        <is>
          <t>atrl4l</t>
        </is>
      </c>
      <c r="B430" t="inlineStr">
        <is>
          <t>Acid reflux form hot Cheetos?</t>
        </is>
      </c>
      <c r="C430" t="inlineStr">
        <is>
          <t xml:space="preserve">I ate hot Cheetos Late one  night and now I constantly have burps and acid reflux after eating every food and even water is there anyone who has faced this problem after eating hot Cheetos? </t>
        </is>
      </c>
      <c r="D430" t="n">
        <v>3</v>
      </c>
      <c r="E430" t="n">
        <v>12</v>
      </c>
      <c r="F430">
        <f>HYPERLINK("https://www.reddit.com/r/GERD/comments/atrl4l/acid_reflux_form_hot_cheetos/")</f>
        <v/>
      </c>
      <c r="G430" t="inlineStr">
        <is>
          <t>2019-02-22 20:55:30</t>
        </is>
      </c>
      <c r="H430" t="inlineStr"/>
    </row>
    <row r="431">
      <c r="A431" t="inlineStr">
        <is>
          <t>atvhml</t>
        </is>
      </c>
      <c r="B431" t="inlineStr">
        <is>
          <t>Hiatal hernia?</t>
        </is>
      </c>
      <c r="C431" t="inlineStr">
        <is>
          <t>Does anyone have experience with a hiatal hernia causing GERD and other reflux issues? I suspect that's what happened to me.</t>
        </is>
      </c>
      <c r="D431" t="n">
        <v>0</v>
      </c>
      <c r="E431" t="n">
        <v>4</v>
      </c>
      <c r="F431">
        <f>HYPERLINK("https://www.reddit.com/r/GERD/comments/atvhml/hiatal_hernia/")</f>
        <v/>
      </c>
      <c r="G431" t="inlineStr">
        <is>
          <t>2019-02-23 05:26:36</t>
        </is>
      </c>
      <c r="H431" t="inlineStr"/>
    </row>
    <row r="432">
      <c r="A432" t="inlineStr">
        <is>
          <t>atvsnc</t>
        </is>
      </c>
      <c r="B432" t="inlineStr">
        <is>
          <t>Burnt mouth?</t>
        </is>
      </c>
      <c r="C432" t="inlineStr">
        <is>
          <t>Does anyone here get a burnt mouth sensation like the one you get after you drink very hot coffee? Im thinking its because of the acid coming up all the way into the mouth.</t>
        </is>
      </c>
      <c r="D432" t="n">
        <v>0</v>
      </c>
      <c r="E432" t="n">
        <v>4</v>
      </c>
      <c r="F432">
        <f>HYPERLINK("https://www.reddit.com/r/GERD/comments/atvsnc/burnt_mouth/")</f>
        <v/>
      </c>
      <c r="G432" t="inlineStr">
        <is>
          <t>2019-02-23 06:02:32</t>
        </is>
      </c>
      <c r="H432" t="inlineStr"/>
    </row>
    <row r="433">
      <c r="A433" t="inlineStr">
        <is>
          <t>atwqu2</t>
        </is>
      </c>
      <c r="B433" t="inlineStr">
        <is>
          <t>Has anyone successfully used Melatonin + PPI and got some results?</t>
        </is>
      </c>
      <c r="C433" t="inlineStr">
        <is>
          <t xml:space="preserve">I guess I have LPR, I get this thick mucus from throat which comes out out of nowhere, and strange sensations and scraping in the throat even tho I am not "sick". No changes in voice. I rarely get classic heartburn. 
I am taking 2x20mg Esomeprazole and will switch to 1x40mg Pantoprazole when I'm done with Esomeprazole bottle.
I am also thinking of taking 3mg of melatonin per night for some time, would this help in any way? I've seen some studies online which were successful. </t>
        </is>
      </c>
      <c r="D433" t="n">
        <v>6</v>
      </c>
      <c r="E433" t="n">
        <v>8</v>
      </c>
      <c r="F433">
        <f>HYPERLINK("https://www.reddit.com/r/GERD/comments/atwqu2/has_anyone_successfully_used_melatonin_ppi_and/")</f>
        <v/>
      </c>
      <c r="G433" t="inlineStr">
        <is>
          <t>2019-02-23 07:49:14</t>
        </is>
      </c>
      <c r="H433" t="inlineStr"/>
    </row>
    <row r="434">
      <c r="A434" t="inlineStr">
        <is>
          <t>au1hj1</t>
        </is>
      </c>
      <c r="B434" t="inlineStr">
        <is>
          <t>GERD is destroying my vocal cords</t>
        </is>
      </c>
      <c r="C434" t="inlineStr">
        <is>
          <t>I have had vocal cords dysfunction since I started having chronic acid reflux. I either completely lose my voice, or get a pulling feeling in my ear &amp;amp; throat every time I speak (so I just end up not talking, as it hurts too much). ENT doc has told me I had vocal cord ulcers in the past, which come from acid reflux. Anyone else has the same issue?
&amp;amp;#x200B;</t>
        </is>
      </c>
      <c r="D434" t="n">
        <v>10</v>
      </c>
      <c r="E434" t="n">
        <v>21</v>
      </c>
      <c r="F434">
        <f>HYPERLINK("https://www.reddit.com/r/GERD/comments/au1hj1/gerd_is_destroying_my_vocal_cords/")</f>
        <v/>
      </c>
      <c r="G434" t="inlineStr">
        <is>
          <t>2019-02-23 15:21:02</t>
        </is>
      </c>
      <c r="H434" t="inlineStr"/>
    </row>
    <row r="435">
      <c r="A435" t="inlineStr">
        <is>
          <t>au1qev</t>
        </is>
      </c>
      <c r="B435" t="inlineStr">
        <is>
          <t>Gavison Advance users (LPR)</t>
        </is>
      </c>
      <c r="C435" t="inlineStr">
        <is>
          <t>Hi, guys. I (M22) have been dealing with LRP for about a year now, constant coughing after almost every meal. I just started taking Prilosec once in the morning and so far it has not helped me (been about a week). I am considering trying Gavison Advance from the UK since i’ve seen several articles stating the benefits of it for LPR. Any current or past users please let me know your reviews/stories!</t>
        </is>
      </c>
      <c r="D435" t="n">
        <v>6</v>
      </c>
      <c r="E435" t="n">
        <v>10</v>
      </c>
      <c r="F435">
        <f>HYPERLINK("https://www.reddit.com/r/GERD/comments/au1qev/gavison_advance_users_lpr/")</f>
        <v/>
      </c>
      <c r="G435" t="inlineStr">
        <is>
          <t>2019-02-23 15:46:37</t>
        </is>
      </c>
      <c r="H435" t="inlineStr"/>
    </row>
    <row r="436">
      <c r="A436" t="inlineStr">
        <is>
          <t>au2am2</t>
        </is>
      </c>
      <c r="B436" t="inlineStr">
        <is>
          <t>Thinking about surgery ?</t>
        </is>
      </c>
      <c r="C436" t="inlineStr">
        <is>
          <t xml:space="preserve">I have been on ppi meds for acid reflux for 6 months now  my ent doctor says that I will have to take the medicine long term probably years or even the rest of my life nhow do I bring up / convince my ent doctor surgery would be the best option for me as I do not want to take ppi meds for the rest of my life? </t>
        </is>
      </c>
      <c r="D436" t="n">
        <v>2</v>
      </c>
      <c r="E436" t="n">
        <v>4</v>
      </c>
      <c r="F436">
        <f>HYPERLINK("https://www.reddit.com/r/GERD/comments/au2am2/thinking_about_surgery/")</f>
        <v/>
      </c>
      <c r="G436" t="inlineStr">
        <is>
          <t>2019-02-23 16:42:23</t>
        </is>
      </c>
      <c r="H436" t="inlineStr"/>
    </row>
    <row r="437">
      <c r="A437" t="inlineStr">
        <is>
          <t>au3akx</t>
        </is>
      </c>
      <c r="B437" t="inlineStr">
        <is>
          <t>I got the Linx implant about 2 weeks ago. It feels like my reflux has come back, is this normal?</t>
        </is>
      </c>
      <c r="C437" t="inlineStr">
        <is>
          <t>I got the Linx about 2 weeks ago and, although it's been a slightly bumpy recovery, I hadn't had any reflux at all after the surgery. However, yesterday I started feeling some heartburn and burning in the back of my throat, along with a sensation of fluid in my throat. It's hard to tell if it's reflux or not because my esophagus is 
pretty sore, but the burning sensation feels pretty distinct. Has anyone else experienced this? I'm going to call my doctor on Monday but I wanted to see if I could get some answers before then.</t>
        </is>
      </c>
      <c r="D437" t="n">
        <v>2</v>
      </c>
      <c r="E437" t="n">
        <v>3</v>
      </c>
      <c r="F437">
        <f>HYPERLINK("https://www.reddit.com/r/GERD/comments/au3akx/i_got_the_linx_implant_about_2_weeks_ago_it_feels/")</f>
        <v/>
      </c>
      <c r="G437" t="inlineStr">
        <is>
          <t>2019-02-23 18:30:55</t>
        </is>
      </c>
      <c r="H437" t="inlineStr"/>
    </row>
    <row r="438">
      <c r="A438" t="inlineStr">
        <is>
          <t>au3esh</t>
        </is>
      </c>
      <c r="B438" t="inlineStr">
        <is>
          <t>Is this GERD?</t>
        </is>
      </c>
      <c r="C438" t="inlineStr">
        <is>
          <t>My symptoms are really debilitating at times, but they seem to only come in waves. For 30 minutes to 2 hours usually, my symptoms are:
*  a feeling like my stomach is in a giant knot, usually with a lot of growling and stomach noises
* a burning pain in my chest that is IMMEDIATELY relieved when I take a gulp of water (imagine that first sip on a hot day, where you feel it rush down your whole stomach x 100) but comes right back
* Shortness of breath at times, especially when eating. I also cannot eat nearly as much as I used to be able to
* Nausea 
My diagnosis after a scope which was totally fine was GERD and IBS-D (which is a whole other story on the other end for me) caused by anxiety. I am currently on Pantoprazole and Amitriptyline 25mg and it works pretty damn well, but I do still get my symptoms and I don't have any particular anxiety about me when I get them, so I don't see how it is all anxiety induced. I honestly feel like I may have a food allergy or something. My symptoms are always the worst in the mornings (they wake me sometimes), but they can come at any time. 
Just wondering what's up with my body! I do have a lot of anxiety but it really doesn't seem to correlate with my symptoms, aside from major exam days and such where my stomach is ALWAYS a wreck because of my anxiety.</t>
        </is>
      </c>
      <c r="D438" t="n">
        <v>5</v>
      </c>
      <c r="E438" t="n">
        <v>1</v>
      </c>
      <c r="F438">
        <f>HYPERLINK("https://www.reddit.com/r/GERD/comments/au3esh/is_this_gerd/")</f>
        <v/>
      </c>
      <c r="G438" t="inlineStr">
        <is>
          <t>2019-02-23 18:43:28</t>
        </is>
      </c>
      <c r="H438" t="inlineStr"/>
    </row>
    <row r="439">
      <c r="A439" t="inlineStr">
        <is>
          <t>au6oik</t>
        </is>
      </c>
      <c r="B439" t="inlineStr">
        <is>
          <t>My input about Cabbage juice and LPR / GERD</t>
        </is>
      </c>
      <c r="C439" t="inlineStr">
        <is>
          <t xml:space="preserve">Quick basic info about me . 24 M , I’ve had a random chronic GERD since basically around 1 year + about the same time when I had a VERY stressful time in my life, is when it started. Anyway, other than going to Doctors/Specialists 3/4 times with literally no help from them whatsoever other than to take PPI or anti acids, I’ve been trying new things to help to control/cure this rigorously since it began. I could say from all the bullshit that i’ve Tried ill just completely leave out because the first 30+ things i’ve Tried from vitamins/supplements/fruits veggies, diets etc etc, just didn’t work. Basically I bought a juicer and have been trying to juice different things recently, I’ve been doing celery juice every morning on an empty stomach and to be honest it doesn’t seem like it helped at all but ill still be doing it for over all health. ANYWAY. 
I decided to pick up a few organic cabbages and throw them in the juicer. By god that was the absolute WORST tasting thing and smelling vegetable I’ve tasted and smelled In my life I nearly gagged 10+ times just from the taste and smell. BUT, nothing has ever made me feel better, and my stomach with ZERO regurgitation, hiccups or anything, even AFTER I had dinner. So this will be my trial for the next few weeks, Cabbage juice 1-3 times during the day before meals and in the morning on an empty stomach. I’ve heard great things about it and I’m hoping with a good diet and this cabbage juice I can change my life around, so i’m Just putting this out here for anyone with the same issue who wants to try it and hasn’t had any success with anything else. 
I’m using a masticating juicer I bought from Amazon for $150.00 
It’s called AIKOK slow masticating juicer. Works great for the price. 
Good luck guys if you have any specific questions on methods or what to do, please ask away. 
P.S I am using PPI’s (Nexium OTC) I’ve only been taking it for 2 weeks now, ever in my life. And honestly it didn’t help that much at all, I was having some stomach/chest/abdominal pains and literally right after I drank the cabbage juice all was gone. But i’M not gonna lie I felt nauseas after drinking it , so if you can mix it with carrot juice and celery or something to dumb down the taste, it tastes terrible </t>
        </is>
      </c>
      <c r="D439" t="n">
        <v>8</v>
      </c>
      <c r="E439" t="n">
        <v>6</v>
      </c>
      <c r="F439">
        <f>HYPERLINK("https://www.reddit.com/r/GERD/comments/au6oik/my_input_about_cabbage_juice_and_lpr_gerd/")</f>
        <v/>
      </c>
      <c r="G439" t="inlineStr">
        <is>
          <t>2019-02-24 02:12:20</t>
        </is>
      </c>
      <c r="H439" t="inlineStr"/>
    </row>
    <row r="440">
      <c r="A440" t="inlineStr">
        <is>
          <t>aua9e4</t>
        </is>
      </c>
      <c r="B440" t="inlineStr">
        <is>
          <t>From fear and diagnosis to current progress (Semi-long read)</t>
        </is>
      </c>
      <c r="C440" t="inlineStr">
        <is>
          <t xml:space="preserve">Let me first start out by saying, about one month ago, my diet was the worst it had ever been and on top of that my stress and anxiety levels were through the roof. Over Christmas and New Year's, I was at my highest weight, and my diet was absolutely terrible. I was freely eating junkfood, fast food, sweets, and I was indulging in a few drinks here and there. Stress eating had always been a viable coping method for me before, and this time was as bad as ever. I had continued on eating that way up until the middle of January. At that point, I had noticed my anxiety was spiking worse than it ever had in the past, and in certain cases, I was having to leave my 2nd job in the middle of a shift to come home due to the anxiety and discomfort. 
&amp;amp;#x200B;
On January 21st, I was getting ready to head in to my 2nd job as usual. Ate my lunch and got dressed. Noticed my anxiety was killing me that day, but I set it aside to head into my shift as I really need the money. I got to work and no sooner than clocking in, I developed stricture in my throat. I could breathe just fine, but my throat felt as if it were tightening and my stomach felt as if I'd been punched in it. This immediately launched me into a full blown panic attack that would go on to last about 2 hours, the longest one I'd ever had. I had to leave work immediately to come home and take a xanax. The next morning I was preparing for a few errands, and I grabbed a cup of coffee on the way. 10 minutes after my first sip, everything from the night before came rushing back; stomach discomfort, throat stricture and horrible anxiety. I drove home and had my mother bring me to the hospital, I didn't want to drive while having a panic attack if I could help it. 
&amp;amp;#x200B;
The team in the ER checked me out and we covered a few basics, eventually leading to us discussing my diet, stress and mental health issues with my anxiety. I was given two weeks worth of Protonix and a care sheet for Acid Reflux/GERD. I was so terrified from the panic and discomfort the days before that I immediately cut everything out of my diet. Fried foods, junk food, coffee and tea, alcohol, all the bad stuff I was eating out of stress. I was mainly sticking to plain oatmeal, bananas, water, stoned-wheat crackers, a vegan protein shake I was making with almond milk, and I had begun a gym regimen. The first two weeks it felt as if the protonix wasn't really helping, and I didn't have any refills on it, so I bumped down to nexium as my primary with Alka-Seltzer heartburn chewables (they taste like starburst) as my secondary weapon for any flare ups. 
&amp;amp;#x200B;
It has since been over 1 full month since my diagnosis and I've seen a fair bit of progress. I've lost 22 pounds and I'm now down to 203 pounds and I'm looking to lose a little bit more. The weight loss helped to relieve a lot of the discomfort right away. On top of that, I've been able to begin trying different foods to open up my diet a bit for variety. Veggies and fruits seem to do alright and I can handle light-mayo on a veggie sandwich for a bit of flavor. Little by little I'm expanding my diet and finding less discomfort which makes me very happy. I'm hoping to try and kick the PPIs in about a month as I don't like what I'm reading about the effects of long-term PPI use. I just wanted to share this here because in the span of one month, I've gone from being horribly afraid of these issues to having them almost completely managed. </t>
        </is>
      </c>
      <c r="D440" t="n">
        <v>5</v>
      </c>
      <c r="E440" t="n">
        <v>5</v>
      </c>
      <c r="F440">
        <f>HYPERLINK("https://www.reddit.com/r/GERD/comments/aua9e4/from_fear_and_diagnosis_to_current_progress/")</f>
        <v/>
      </c>
      <c r="G440" t="inlineStr">
        <is>
          <t>2019-02-24 09:37:36</t>
        </is>
      </c>
      <c r="H440" t="inlineStr"/>
    </row>
    <row r="441">
      <c r="A441" t="inlineStr">
        <is>
          <t>aubtsw</t>
        </is>
      </c>
      <c r="B441" t="inlineStr">
        <is>
          <t>Worse at night?</t>
        </is>
      </c>
      <c r="C441" t="inlineStr">
        <is>
          <t xml:space="preserve">Hey so I know GERD tends to get worse at night from laying down and such, but in the evening, like right after dinner I find it to be at its worst. Even when I haven’t laid down to sleep at all. 
I was just wondering if anyone else has dealt with this. It seems like because it’s at the end of the day it tends to get worse? 
Thank you everyone </t>
        </is>
      </c>
      <c r="D441" t="n">
        <v>3</v>
      </c>
      <c r="E441" t="n">
        <v>12</v>
      </c>
      <c r="F441">
        <f>HYPERLINK("https://www.reddit.com/r/GERD/comments/aubtsw/worse_at_night/")</f>
        <v/>
      </c>
      <c r="G441" t="inlineStr">
        <is>
          <t>2019-02-24 11:58:12</t>
        </is>
      </c>
      <c r="H441" t="inlineStr"/>
    </row>
    <row r="442">
      <c r="A442" t="inlineStr">
        <is>
          <t>aud3v2</t>
        </is>
      </c>
      <c r="B442" t="inlineStr">
        <is>
          <t>Vitamin D</t>
        </is>
      </c>
      <c r="C442" t="inlineStr">
        <is>
          <t>This is my first reddit! Does anyone take a vitamin D supplement? About a month ago I ran out and didn’t buy more for about 2 weeks. At that same time I had started taking something to help me sleep at night and thought my reflux was anxiety driven because it went away. Anyway it started creeping back in when I started back up with the vitamin D. A week ago today I stopped taking it and guess what? No reflux. Between my multivitamin, anything I was eating, and the supplement I figure I was taking about 6000iu/day. I know this isn’t the cause of everyone’s GERD but thought hopefully I could help someone. It’s taken me a year and a half to figure it out. Oh and Nexium killed my gallbladder. Had it out a year ago. PPIs are a horrible bandaid!</t>
        </is>
      </c>
      <c r="D442" t="n">
        <v>5</v>
      </c>
      <c r="E442" t="n">
        <v>7</v>
      </c>
      <c r="F442">
        <f>HYPERLINK("https://www.reddit.com/r/GERD/comments/aud3v2/vitamin_d/")</f>
        <v/>
      </c>
      <c r="G442" t="inlineStr">
        <is>
          <t>2019-02-24 13:55:26</t>
        </is>
      </c>
      <c r="H442" t="inlineStr"/>
    </row>
    <row r="443">
      <c r="A443" t="inlineStr">
        <is>
          <t>auea0r</t>
        </is>
      </c>
      <c r="B443" t="inlineStr">
        <is>
          <t>Sweet potato fries</t>
        </is>
      </c>
      <c r="C443" t="inlineStr">
        <is>
          <t>Are sweet potato fries from a bag bad for Gerd? My wife is about to make turkey burgers but I’m not sure if I should eat the sweet potato fries.</t>
        </is>
      </c>
      <c r="D443" t="n">
        <v>2</v>
      </c>
      <c r="E443" t="n">
        <v>6</v>
      </c>
      <c r="F443">
        <f>HYPERLINK("https://www.reddit.com/r/GERD/comments/auea0r/sweet_potato_fries/")</f>
        <v/>
      </c>
      <c r="G443" t="inlineStr">
        <is>
          <t>2019-02-24 15:48:44</t>
        </is>
      </c>
      <c r="H443" t="inlineStr"/>
    </row>
    <row r="444">
      <c r="A444" t="inlineStr">
        <is>
          <t>auf19a</t>
        </is>
      </c>
      <c r="B444" t="inlineStr">
        <is>
          <t>Can H-pylori cause gerd?</t>
        </is>
      </c>
      <c r="C444" t="inlineStr">
        <is>
          <t xml:space="preserve">I’m reading a lot this days about h-pylori but I find conflicting articles. Some of them say it’s not possible for the bacteria to cause gerd others say the opposite. 
Was anyone cured from gerd after taking h-pylori antibiotics?? My doctor said she doesn’t think I have it because I don’t have any symptoms or pain. But again I read 80% of infected people don’t have symptoms. </t>
        </is>
      </c>
      <c r="D444" t="n">
        <v>5</v>
      </c>
      <c r="E444" t="n">
        <v>7</v>
      </c>
      <c r="F444">
        <f>HYPERLINK("https://www.reddit.com/r/GERD/comments/auf19a/can_hpylori_cause_gerd/")</f>
        <v/>
      </c>
      <c r="G444" t="inlineStr">
        <is>
          <t>2019-02-24 17:07:38</t>
        </is>
      </c>
      <c r="H444" t="inlineStr"/>
    </row>
    <row r="445">
      <c r="A445" t="inlineStr">
        <is>
          <t>aufpel</t>
        </is>
      </c>
      <c r="B445" t="inlineStr">
        <is>
          <t>How can you cure GERD</t>
        </is>
      </c>
      <c r="C445" t="inlineStr">
        <is>
          <t xml:space="preserve">Looking for advice. I am literally 16 and I have a horrible case of GERD for no reason. I have barely ate as much (no this is not why my GERD is more noticeable when not eating anything but not as nauseous), take my medicine everyday, and workout. None of that has helped. My GERD doesn’t even cause pain, it just mainly causes nausea that makes anything harder (life was so much better before I had it) and discomfort in my throat. Next time I see my gastro I am telling her I wanna change to any other pill since omegaprozole doesn’t help at all. Any other advice? </t>
        </is>
      </c>
      <c r="D445" t="n">
        <v>7</v>
      </c>
      <c r="E445" t="n">
        <v>13</v>
      </c>
      <c r="F445">
        <f>HYPERLINK("https://www.reddit.com/r/GERD/comments/aufpel/how_can_you_cure_gerd/")</f>
        <v/>
      </c>
      <c r="G445" t="inlineStr">
        <is>
          <t>2019-02-24 18:18:34</t>
        </is>
      </c>
      <c r="H445" t="inlineStr"/>
    </row>
    <row r="446">
      <c r="A446" t="inlineStr">
        <is>
          <t>auiujd</t>
        </is>
      </c>
      <c r="B446" t="inlineStr">
        <is>
          <t>Waking Up Vomiting</t>
        </is>
      </c>
      <c r="C446" t="inlineStr">
        <is>
          <t>Hi all. I've been a long-time GERD sufferer, but never posted in this subreddit before. Rarely do I ever have actual "heartburn" with chest pain, but I started out having coughing fits after certain foods, then coughing after ALL foods, then sinus drainage after certain foods (runny nose), then frequent "wet burps" after eating, then occasionally waking in the night feeling like I was going to throw up (but not), then waking up multiple times EVERY night feeling like I was going to throw up... and now I'm here.
I'm on 40mg Esomeprazole once daily, which has stopped the symptom that most distresses me - waking up multiple times in the night feeling things "coming up". I still cough after eating, and I'll still experience sinus drainage (and heavier coughing) if I eat a trigger food (which I try to avoid, obviously).
Yet, I have now awoken three times in the last couple months *vomiting*. I don't wake up and run to the toilet - there's no time for that. It just ejects itself out of my mouth while I'm asleep, which obviously wakes me up. I don't even have the time to hang my head over the bed to aim it into the bucket I've started keeping there just for this purpose (guess I should save myself the trouble, come to think of it :P). What I vomit up is just a small amount of white foam and clear liquid - never any food or yellow bile. Unlike when I wake up in the night feeling like something's coming up (which usually always happens in the first 2-3 hours after I go to bed), this happens about 6-7 hours after I lie down, and from the intense hunger I've felt *every time* after waking up this way, I'm assuming it's happening when/because my stomach is *empty*. I otherwise feel completely fine and have no gastrointestinal upsets from eating breakfast as usual.
I also suffer from anxiety (on 50mg Paxil CR daily), hypothyroidism (100mg Synthroid), and mild IBS (unmedicated).
Does anyone have any ideas on what can be causing this (specifically, I mean, I can guess it's due to GERD, haha) and - most importantly - how I can prevent it from happening?? It truly is the most unpleasant way to wake up, especially for a former emetophobe like myself (I say former, because it's kinda losing its "boogeyman" fright factor when you keep waking up from a sound sleep doing it :P
Thanks in advance for any help you guys can provide.</t>
        </is>
      </c>
      <c r="D446" t="n">
        <v>3</v>
      </c>
      <c r="E446" t="n">
        <v>3</v>
      </c>
      <c r="F446">
        <f>HYPERLINK("https://www.reddit.com/r/GERD/comments/auiujd/waking_up_vomiting/")</f>
        <v/>
      </c>
      <c r="G446" t="inlineStr">
        <is>
          <t>2019-02-25 00:14:32</t>
        </is>
      </c>
      <c r="H446" t="inlineStr"/>
    </row>
    <row r="447">
      <c r="A447" t="inlineStr">
        <is>
          <t>auj76b</t>
        </is>
      </c>
      <c r="B447" t="inlineStr">
        <is>
          <t>Hi</t>
        </is>
      </c>
      <c r="C447" t="inlineStr">
        <is>
          <t>I have the complete opposite problem of this sub [r/noburp](https://www.reddit.com/r/noburp), Instead i have [r/foreverburping](https://www.reddit.com/r/foreverburping) . From what i know it's indigestion, Turned 23 last year so i can definitely feel that this is just me growing up and my body becoming unhappy with my lifestyle choices. from what i can tell it is related to GERD and LPR. I swallow incredbly load always, and it's very noticeable by people around me. And makes me feel very uncomfortable whenever eating in quiet public places. i also might just have inherited 
my issues are swallowing loudly but also mainly just always feeling like i could burp if i wanted to, sometimes forcing its way out to the point where i feel the need to excuse myself to let the burps loose. Previous to this it felt as though i never ever noticed myself having to burp unless after eating.
I intend on going to the doctor soon just wondering if theres anyone with any advice on this since i can't seem to pinpoint the issue and not sure how i can start treating this issue which has been going on for a couple of months. Dietary choices are something that's hard from me because i don't really eat unhealthly on purpose, I just don't have a mother that cooks for me so sometimes cooking isnt an option although i have been eating healthier than before. This has not only affected my social life but my dating life too. lmao so i really need to start actively trying to treat myself slowly but surely with healthier choices, any help or advice would be appreciated. also worth noting that i don't have any pain or chronic pain or coughing.
&amp;amp;#x200B;
i also get really bloated after eating and drinking doesn't even have to be a  lot, i also always feel the need to swallow spit even if im not thirsty which at times can be load other than when eating or drinking. if i don't swallow it, it just builds up spit until i do. I could probably spend the entire day burping if i could, when isleep and even when waking up. any help would be a apprecaited</t>
        </is>
      </c>
      <c r="D447" t="n">
        <v>3</v>
      </c>
      <c r="E447" t="n">
        <v>0</v>
      </c>
      <c r="F447">
        <f>HYPERLINK("https://www.reddit.com/r/GERD/comments/auj76b/hi/")</f>
        <v/>
      </c>
      <c r="G447" t="inlineStr">
        <is>
          <t>2019-02-25 01:03:35</t>
        </is>
      </c>
      <c r="H447" t="inlineStr"/>
    </row>
    <row r="448">
      <c r="A448" t="inlineStr">
        <is>
          <t>aumyee</t>
        </is>
      </c>
      <c r="B448" t="inlineStr">
        <is>
          <t>Antacids?</t>
        </is>
      </c>
      <c r="C448" t="inlineStr">
        <is>
          <t xml:space="preserve">I have not been able to find my usual antacid the liquid gaviscon since October, I have been living on pepto bismol which works to a point but doesn't make me feel relief from my GERDS. 
Can i have some recommendations for any good liquid antacids? </t>
        </is>
      </c>
      <c r="D448" t="n">
        <v>1</v>
      </c>
      <c r="E448" t="n">
        <v>2</v>
      </c>
      <c r="F448">
        <f>HYPERLINK("https://www.reddit.com/r/GERD/comments/aumyee/antacids/")</f>
        <v/>
      </c>
      <c r="G448" t="inlineStr">
        <is>
          <t>2019-02-25 08:17:53</t>
        </is>
      </c>
      <c r="H448" t="inlineStr"/>
    </row>
    <row r="449">
      <c r="A449" t="inlineStr">
        <is>
          <t>aup8sw</t>
        </is>
      </c>
      <c r="B449" t="inlineStr">
        <is>
          <t>Esophageal spasm episodes that last 2 days?</t>
        </is>
      </c>
      <c r="C449" t="inlineStr">
        <is>
          <t xml:space="preserve">Hi, so since I was a child I have had episodes of chest tightness and weird gurgling sensations in my throat after eating occasionally. However, it as gotten worse as I have gotten older. I am now in my late 20s. A couple of years ago, I finally went to a GI doctor who diagnosed me with esophageal spasm. He prescribed bentyl, which maybe helped a little bit? Overall it didn’t do much. Sometimes I feel debilitated for about 2 days. The tightness/gurgles might seem to intermittently worsen during these episodes, but the suffering is basically relentless. I can barely breathe. Often times it almost seems like my entire GI tract is spasming, as I can feel a tightness from my throat to my chest, and down my entire abdomen and back. 
Is this what esophageal spasm is like for most people? </t>
        </is>
      </c>
      <c r="D449" t="n">
        <v>2</v>
      </c>
      <c r="E449" t="n">
        <v>14</v>
      </c>
      <c r="F449">
        <f>HYPERLINK("https://www.reddit.com/r/GERD/comments/aup8sw/esophageal_spasm_episodes_that_last_2_days/")</f>
        <v/>
      </c>
      <c r="G449" t="inlineStr">
        <is>
          <t>2019-02-25 11:33:00</t>
        </is>
      </c>
      <c r="H449" t="inlineStr"/>
    </row>
    <row r="450">
      <c r="A450" t="inlineStr">
        <is>
          <t>aupsrf</t>
        </is>
      </c>
      <c r="B450" t="inlineStr">
        <is>
          <t>Heart attack-like symptoms with GERD?</t>
        </is>
      </c>
      <c r="C450" t="inlineStr">
        <is>
          <t xml:space="preserve">Let me preface this by saying that I HAVE gone to the ER and several specialists over these symptoms as they flare up time and time again and I've been dealing with it for almost two years. I do have a cardiac health history, but my heart is - all things considered - perfectly fine. I was diagnosed with GERD and gastritis about six months ago, and am on medication for both, but still, once every few months, I'll get a really bad "flare up" that seems to last for about a week (usually if I end up having a weekend where I eat nothing but garbage food).
During these flare ups (which I have one right now), I'll have constant stomach pain/tightness in my upper abdomen, with that same pain extending to my chest and up into my throat. It fluctuates throughout the day, and gets worse at night when I'm laying down. I have these "gurgling" sensations that rise up in my throat constantly and I'll burp frequently, and until it all settles down, I usually have no appetite for a day or two either. The biggest concern for me is that this burning/aching pain that I get sometimes radiates into my left shoulder/down my left arm, which is classic of a heart attack, but I've been to the ER so many times for these exact symptoms that I'm so tired of going every time it flares up worried that I'm having a heart attack. Am I crazy? Is this really from GERD? Any tips or stories? </t>
        </is>
      </c>
      <c r="D450" t="n">
        <v>1</v>
      </c>
      <c r="E450" t="n">
        <v>8</v>
      </c>
      <c r="F450">
        <f>HYPERLINK("https://www.reddit.com/r/GERD/comments/aupsrf/heart_attacklike_symptoms_with_gerd/")</f>
        <v/>
      </c>
      <c r="G450" t="inlineStr">
        <is>
          <t>2019-02-25 12:19:25</t>
        </is>
      </c>
      <c r="H450" t="inlineStr"/>
    </row>
    <row r="451">
      <c r="A451" t="inlineStr">
        <is>
          <t>aupyvh</t>
        </is>
      </c>
      <c r="B451" t="inlineStr">
        <is>
          <t>Need help with specifics on what to eliminate from diet</t>
        </is>
      </c>
      <c r="C451" t="inlineStr">
        <is>
          <t>Background: 32 y/o male, otherwise healthy aside from this. I've had (typically minor) symptoms which a doctor has diagnosed as potentially being acid reflux/GERD for about a year now. I've spent the last year educating myself and experimenting with possible solutions only to be left right back where I started at the beginning of last year. I did take omeprazole for a couple months as recommended by a doctor - it's difficult to tell if it helped or not because my symptoms seem to vary from week to week but never completely go away, also when I was on it I hadn't given up caffeine/coffee because at that point I hadn't realized it was a trigger. I do remember at one point thinking it was helping but looking back on it now I'm not so sure.
I stopped taking PPIs after doing research on them and reading about the potential long term side effects - I'd like to hold off on taking them until I've exhausted all other options.
On a pain scale of 1-10 I'm usually at a 1, at its worst a 2 or 3. I'm in the least amount of pain when I wake up in the morning before eating anything. Always at the lower portion of my throat/upper chest. Not coughing or throwing up at all. The only thing I've found to be a trigger is caffeine/coffee (even if the coffee is decaf/low acid), as it seems to be at it's worst the entire day after consuming it in the morning. I can drink alcohol and eat spicy/fatty foods and there is no noticeable difference. 
Here are the potential solutions I've tried so far with no noticeable difference:
- sleeping upright (I managed to do it a couple times although it's typically impossible for me to fall asleep this way)
- diet change (only very short term at this point)
- antacids - Tums/calcium carbonate (when symptoms at their worst - not often, maybe once every couple weeks)
- apple cider vinegar
- aloe juice
- supplements - melatonin, vitamin D, mastic gum
- probiotics - Align, greek yogurt, kombucha, kefir
- chia seeds
- d-Limonene
- stopping cannabis use (vaporizer)
My last step before going on PPIs for the rest of my life (apparently it's either that or esophageal cancer) is a radical diet change. I really don't think it's going to make a difference but I'm willing to give it a shot for a week or two before I go on PPIs. Considering that there are so many potential triggers I need help with deciding on what to eliminate from my diet.
This is my typical diet:
**breakfast**
oatmeal with cocoa, almond flour, coconut shreds, chia seeds, flaxseed, cinnamon, almond milk, blueberries
an orange or tangerine
three scrambled eggs (eggs are seasoned with garlic, sriracha garlic, onion, turmeric, black pepper, red pepper) with salsa
**lunch**
salmon, beans, quinoa, guacamole with either mustard and ketchup or hot sauce
apple slices
**dinner**
varies from day to day
I have temporarily (as in for for a day or two) cut out some of the things that are obvious potential triggers (alcohol, eggs, salsa, hot sauce, citrus) but didn't notice a difference so I just added them back into my diet. I'm willing to do it for a longer period of time but I need to know what else to cut out. I'm confused because if "fatty" foods are a trigger, would that mean I need to cut out cooking oils (olive and coconut), salmon and guacamole as well even though those are "good" fats? 
Can I replace citrus with apples or are those considered too acidic as well? 
Considering that pretty much every type of flavoring has garlic/onion in it, what could you possibly add for flavor that doesn't have either of those two things? Or are they OK in small amounts? 
These are questions I've had for awhile now that I haven't found answered anywhere. Thanks in advance to anyone who can provide any insight.</t>
        </is>
      </c>
      <c r="D451" t="n">
        <v>3</v>
      </c>
      <c r="E451" t="n">
        <v>19</v>
      </c>
      <c r="F451">
        <f>HYPERLINK("https://www.reddit.com/r/GERD/comments/aupyvh/need_help_with_specifics_on_what_to_eliminate/")</f>
        <v/>
      </c>
      <c r="G451" t="inlineStr">
        <is>
          <t>2019-02-25 12:33:42</t>
        </is>
      </c>
      <c r="H451" t="inlineStr"/>
    </row>
    <row r="452">
      <c r="A452" t="inlineStr">
        <is>
          <t>auqf68</t>
        </is>
      </c>
      <c r="B452" t="inlineStr">
        <is>
          <t>Should I be worried about stomach cancer?</t>
        </is>
      </c>
      <c r="C452" t="inlineStr">
        <is>
          <t>Hi everyone. Anyone know realistically how much of a connection there is between GERD and stomach cancer?
I was diagnosed with GERD almost four years ago. At my first endoscopy, I tested negative for h. pylori but did have an 'intestinal metaplasia,' which I have read is considered a precancerous condition. When I returned for a second endoscopy a year later, things looked a lot better and the metaplasia was no longer there. Nevertheless, being that I still have not gotten my GERD symptoms completely under control, I always have this fear in the back of my mind that it will one day resurface as something more sinister. 
How worried should a person really be about GERD becoming something worse?</t>
        </is>
      </c>
      <c r="D452" t="n">
        <v>7</v>
      </c>
      <c r="E452" t="n">
        <v>16</v>
      </c>
      <c r="F452">
        <f>HYPERLINK("https://www.reddit.com/r/GERD/comments/auqf68/should_i_be_worried_about_stomach_cancer/")</f>
        <v/>
      </c>
      <c r="G452" t="inlineStr">
        <is>
          <t>2019-02-25 13:11:07</t>
        </is>
      </c>
      <c r="H452" t="inlineStr"/>
    </row>
    <row r="453">
      <c r="A453" t="inlineStr">
        <is>
          <t>auqzec</t>
        </is>
      </c>
      <c r="B453" t="inlineStr">
        <is>
          <t>IBS and GERD question, plus Levsin/- Anyone use?</t>
        </is>
      </c>
      <c r="C453" t="inlineStr">
        <is>
          <t xml:space="preserve">***TLDR: Likely have IBS and GERD. What should I do differently than just treating GERD symptoms? Also, med questions at bottom.
I'm 26 and I've been having acid reflux symptoms every evening for the last 5 years or so. I've had an endoscopy 3 years ago which found some redness but nothing conclusive. Meanwhile I've been to my gastroenterologist soooo many times with little advice or change. They prescribed me nexium, ranitidine etc. The only thing that has worked for symptom management is a the UK gaviscon, nexium and pepto. He doesn't seem to understand why Tums, gas x etc seems to just make it so much worse. 
Symotoms: I don't get heartburn, I get severe pressure on my upper chest so I can't breathe, and I belch non stop all night without meds. I am super bloated and uncomfortable, and my throat is severely painful each AM. 
Dr. recently suspects I have IBS instead of GERD (although I have no diareah or other IBS symptoms other than trigger foods). He finally prescribed Levsin to help while I get some money together for another endoscopy this year. It has worked extremely well with the bloating and I finally feel symptom relief when I take it. For the first time in years I slept flat a few nights in a row -- my back was actually sore because of it! However, it hasn't been a cure. I still have all the symptoms even though I am on a safe/ low trigger diet. I still wake up with a sore throat.
***My questions: 
Anyone have IBS that is cause of GERD?  
Anyone have similar symptoms that have been treated with Levsin? What else worked for you to treat IBS?
Long term consequences of continued IBS/GERD? If I choose to get surgery for GERD with IBS I feel like that won't solve my problems.  
</t>
        </is>
      </c>
      <c r="D453" t="n">
        <v>2</v>
      </c>
      <c r="E453" t="n">
        <v>2</v>
      </c>
      <c r="F453">
        <f>HYPERLINK("https://www.reddit.com/r/GERD/comments/auqzec/ibs_and_gerd_question_plus_levsin_anyone_use/")</f>
        <v/>
      </c>
      <c r="G453" t="inlineStr">
        <is>
          <t>2019-02-25 13:59:16</t>
        </is>
      </c>
      <c r="H453" t="inlineStr"/>
    </row>
    <row r="454">
      <c r="A454" t="inlineStr">
        <is>
          <t>auryyf</t>
        </is>
      </c>
      <c r="B454" t="inlineStr">
        <is>
          <t>Is indigestion a symptom of GERD?</t>
        </is>
      </c>
      <c r="C454" t="inlineStr">
        <is>
          <t>For several weeks now, I’ve had constant indigestion that never goes away. It doesn’t matter what I eat, I burp up and taste everything. It really seems to have no pattern and doesn’t seem to be triggered by certain foods. I think it’s worse after I eat dinner/during the evening hours but I’ve also gotten it right after eating lunch. It’s likely that I have Cyclic Vomiting Syndrome, but I’m quite positive that this symptom is unrelated. Anyways, I did have a Upper GI radiography for my other GI issues and the Doctor said that I do have a bit of reflux and asked if I ever have heartburn. I’ve never experienced heartburn, just the frequent indigestion. Could this be GERD or na since I don’t have the heartburn?</t>
        </is>
      </c>
      <c r="D454" t="n">
        <v>1</v>
      </c>
      <c r="E454" t="n">
        <v>0</v>
      </c>
      <c r="F454">
        <f>HYPERLINK("https://www.reddit.com/r/GERD/comments/auryyf/is_indigestion_a_symptom_of_gerd/")</f>
        <v/>
      </c>
      <c r="G454" t="inlineStr">
        <is>
          <t>2019-02-25 15:27:42</t>
        </is>
      </c>
      <c r="H454" t="inlineStr"/>
    </row>
    <row r="455">
      <c r="A455" t="inlineStr">
        <is>
          <t>aus2j2</t>
        </is>
      </c>
      <c r="B455" t="inlineStr">
        <is>
          <t>Swollen tonsil?</t>
        </is>
      </c>
      <c r="C455" t="inlineStr">
        <is>
          <t>I went to ent doctor because I had swollen tonsil tissue on my palatine tonsil the ent doctor said it is due to acid reflux I am currently on ppi meds and  steroids  anyone who has experienced this how long does this take to go away ?</t>
        </is>
      </c>
      <c r="D455" t="n">
        <v>1</v>
      </c>
      <c r="E455" t="n">
        <v>5</v>
      </c>
      <c r="F455">
        <f>HYPERLINK("https://www.reddit.com/r/GERD/comments/aus2j2/swollen_tonsil/")</f>
        <v/>
      </c>
      <c r="G455" t="inlineStr">
        <is>
          <t>2019-02-25 15:37:03</t>
        </is>
      </c>
      <c r="H455" t="inlineStr"/>
    </row>
    <row r="456">
      <c r="A456" t="inlineStr">
        <is>
          <t>ausv77</t>
        </is>
      </c>
      <c r="B456" t="inlineStr">
        <is>
          <t>What are the symptoms of a diet change related to GERD?</t>
        </is>
      </c>
      <c r="C456" t="inlineStr">
        <is>
          <t>I've cut out gluten, processed meats, fatty meats, coffee, tea, chocolate, sugar, alcohol, tomatoes, and onions.
My tummy feels a little weird and my stool has been really soft. Could this be because of my sudden diet changes?</t>
        </is>
      </c>
      <c r="D456" t="n">
        <v>2</v>
      </c>
      <c r="E456" t="n">
        <v>2</v>
      </c>
      <c r="F456">
        <f>HYPERLINK("https://www.reddit.com/r/GERD/comments/ausv77/what_are_the_symptoms_of_a_diet_change_related_to/")</f>
        <v/>
      </c>
      <c r="G456" t="inlineStr">
        <is>
          <t>2019-02-25 16:54:28</t>
        </is>
      </c>
      <c r="H456" t="inlineStr"/>
    </row>
    <row r="457">
      <c r="A457" t="inlineStr">
        <is>
          <t>autj2m</t>
        </is>
      </c>
      <c r="B457" t="inlineStr">
        <is>
          <t>Acid reflux ...</t>
        </is>
      </c>
      <c r="C457" t="inlineStr">
        <is>
          <t>I went to an ent doctor who said I have swollen tonsil tissue on my palatine tonsil due to acid reflux I am currently on ppi meds and steroids anyone who has expierenced this how long does this take to go away ?</t>
        </is>
      </c>
      <c r="D457" t="n">
        <v>1</v>
      </c>
      <c r="E457" t="n">
        <v>0</v>
      </c>
      <c r="F457">
        <f>HYPERLINK("https://www.reddit.com/r/GERD/comments/autj2m/acid_reflux/")</f>
        <v/>
      </c>
      <c r="G457" t="inlineStr">
        <is>
          <t>2019-02-25 18:00:21</t>
        </is>
      </c>
      <c r="H457" t="inlineStr"/>
    </row>
    <row r="458">
      <c r="A458" t="inlineStr">
        <is>
          <t>autsau</t>
        </is>
      </c>
      <c r="B458" t="inlineStr">
        <is>
          <t>Ent doctor ?</t>
        </is>
      </c>
      <c r="C458" t="inlineStr">
        <is>
          <t>Has anyone been to ent doctor for acid reflux?my primary physician sent me to an ent doctor so do people go to ent doctors for acid reflux ?</t>
        </is>
      </c>
      <c r="D458" t="n">
        <v>1</v>
      </c>
      <c r="E458" t="n">
        <v>10</v>
      </c>
      <c r="F458">
        <f>HYPERLINK("https://www.reddit.com/r/GERD/comments/autsau/ent_doctor/")</f>
        <v/>
      </c>
      <c r="G458" t="inlineStr">
        <is>
          <t>2019-02-25 18:25:38</t>
        </is>
      </c>
      <c r="H458" t="inlineStr"/>
    </row>
    <row r="459">
      <c r="A459" t="inlineStr">
        <is>
          <t>auuxgs</t>
        </is>
      </c>
      <c r="B459" t="inlineStr">
        <is>
          <t>JUST got diagnosed with GERD...not too happy</t>
        </is>
      </c>
      <c r="C459" t="inlineStr">
        <is>
          <t>But as a bigger person, hell maybe this is a blessing in disguise. I thought it best to go ahead and keep a food diary too, since somethings I was told would trigger me haven't, but just in case they do (and also if they don't).
I love spicy foods and spahgetti a lot...... any alternatives? Would love your input.
Hope I can find some good info here.</t>
        </is>
      </c>
      <c r="D459" t="n">
        <v>1</v>
      </c>
      <c r="E459" t="n">
        <v>11</v>
      </c>
      <c r="F459">
        <f>HYPERLINK("https://www.reddit.com/r/GERD/comments/auuxgs/just_got_diagnosed_with_gerdnot_too_happy/")</f>
        <v/>
      </c>
      <c r="G459" t="inlineStr">
        <is>
          <t>2019-02-25 20:20:03</t>
        </is>
      </c>
      <c r="H459" t="inlineStr"/>
    </row>
    <row r="460">
      <c r="A460" t="inlineStr">
        <is>
          <t>auv4rm</t>
        </is>
      </c>
      <c r="B460" t="inlineStr">
        <is>
          <t>Anyone else have fundoplication and go back to a miserable square one after a few months?</t>
        </is>
      </c>
      <c r="C460" t="inlineStr">
        <is>
          <t>I had laparoscopic fundoplication about a year ago after reaching a point when I could no longer find a single food item that did NOT cause me a lot of acid reflux. After the initial healing from the surgery, I felt a clear difference and it seemed like I could eat whatever I liked. That honeymoon period lasted several months and then I was back to square one --- same state as I was before the fundoplication. I've tried every trick in the book with regards to diet and otherwise, and nothing seems to work. I talked to my surgeon and he just told me to follow a strict diet for several months. I'm once again at a point where I cannot find a single food item that does NOT trigger acid reflux. Whether I eat oatmeal, bananas, carrots, you name it, and it causes acid reflux. Additionally, meds are more or less useless for me at this stage. Certain items are of course worse than others, but overall I cannot find a single fully safe edible option for me nor any effective meds for that matter. At the moment, I wish I'd never bothered and wasted the money on the fundoplication and starting to wonder if the short-lived improvement was placebo, but in any case, I'd do anything at this stage just to find one or two foods that I can survive on without having a constant stream of acid reflux.
&amp;amp;#x200B;
Anyone else have a similar experience? Any suggestions?</t>
        </is>
      </c>
      <c r="D460" t="n">
        <v>3</v>
      </c>
      <c r="E460" t="n">
        <v>5</v>
      </c>
      <c r="F460">
        <f>HYPERLINK("https://www.reddit.com/r/GERD/comments/auv4rm/anyone_else_have_fundoplication_and_go_back_to_a/")</f>
        <v/>
      </c>
      <c r="G460" t="inlineStr">
        <is>
          <t>2019-02-25 20:41:26</t>
        </is>
      </c>
      <c r="H460" t="inlineStr"/>
    </row>
    <row r="461">
      <c r="A461" t="inlineStr">
        <is>
          <t>auxez0</t>
        </is>
      </c>
      <c r="B461" t="inlineStr">
        <is>
          <t>Does anyone get blood in their mouth/saliva in the morning</t>
        </is>
      </c>
      <c r="C461" t="inlineStr">
        <is>
          <t xml:space="preserve">Every morning without fail I get dark red/brown blood in my spit when I wake up.  It's not coming from my mouth so assume it's coming from my throat or stomach.  Just wanted to know if anyone else gets this with GERD.  </t>
        </is>
      </c>
      <c r="D461" t="n">
        <v>2</v>
      </c>
      <c r="E461" t="n">
        <v>13</v>
      </c>
      <c r="F461">
        <f>HYPERLINK("https://www.reddit.com/r/GERD/comments/auxez0/does_anyone_get_blood_in_their_mouthsaliva_in_the/")</f>
        <v/>
      </c>
      <c r="G461" t="inlineStr">
        <is>
          <t>2019-02-26 01:11:47</t>
        </is>
      </c>
      <c r="H461" t="inlineStr"/>
    </row>
    <row r="462">
      <c r="A462" t="inlineStr">
        <is>
          <t>auyp5s</t>
        </is>
      </c>
      <c r="B462" t="inlineStr">
        <is>
          <t>How long does the food you eat impact acid reflux?</t>
        </is>
      </c>
      <c r="C462" t="inlineStr">
        <is>
          <t>I mean, i seem to be getting acid reflux three or four hours after my last meal. Even when i eat light snacks (saltine crackers), i feel the burn after a few hours. 
When i wake up in the morning, i feel the symptoms even when my last meal was around 6 or 7 the previous night.
I’ve been eating healthy and exercising but i still get bloating and heartburn. 
I’m running out of options on what to do and I definitely don’t want to take PPI’s again since I developed other symptoms while taking them before.
Any advise out there? Similar experiences?</t>
        </is>
      </c>
      <c r="D462" t="n">
        <v>5</v>
      </c>
      <c r="E462" t="n">
        <v>6</v>
      </c>
      <c r="F462">
        <f>HYPERLINK("https://www.reddit.com/r/GERD/comments/auyp5s/how_long_does_the_food_you_eat_impact_acid_reflux/")</f>
        <v/>
      </c>
      <c r="G462" t="inlineStr">
        <is>
          <t>2019-02-26 04:04:36</t>
        </is>
      </c>
      <c r="H462" t="inlineStr"/>
    </row>
    <row r="463">
      <c r="A463" t="inlineStr">
        <is>
          <t>auzjpy</t>
        </is>
      </c>
      <c r="B463" t="inlineStr">
        <is>
          <t>Accidentally took a double dose of my ppi</t>
        </is>
      </c>
      <c r="C463" t="inlineStr">
        <is>
          <t>On Saturday I accidentally took my 20mg omeprazole twice. Ive never had side effects until now. I have since not taken anymore but im having stomach pain and a headache. It seems to slowly be getting better. Just wondering if I should be worried</t>
        </is>
      </c>
      <c r="D463" t="n">
        <v>2</v>
      </c>
      <c r="E463" t="n">
        <v>10</v>
      </c>
      <c r="F463">
        <f>HYPERLINK("https://www.reddit.com/r/GERD/comments/auzjpy/accidentally_took_a_double_dose_of_my_ppi/")</f>
        <v/>
      </c>
      <c r="G463" t="inlineStr">
        <is>
          <t>2019-02-26 05:38:18</t>
        </is>
      </c>
      <c r="H463" t="inlineStr"/>
    </row>
    <row r="464">
      <c r="A464" t="inlineStr">
        <is>
          <t>av42uz</t>
        </is>
      </c>
      <c r="B464" t="inlineStr">
        <is>
          <t>Anxiety with LPR</t>
        </is>
      </c>
      <c r="C464" t="inlineStr">
        <is>
          <t xml:space="preserve">Does anybody else feel like that their LPR gets worse the more anxious you get? When my throat squeezes my anxiety level goes through the roof. I went to the er on Sunday because I was convinced I was going to stop breathing but they said everything looked fine. Does anyone have any suggestions on how to get my anxiety levels down? </t>
        </is>
      </c>
      <c r="D464" t="n">
        <v>11</v>
      </c>
      <c r="E464" t="n">
        <v>16</v>
      </c>
      <c r="F464">
        <f>HYPERLINK("https://www.reddit.com/r/GERD/comments/av42uz/anxiety_with_lpr/")</f>
        <v/>
      </c>
      <c r="G464" t="inlineStr">
        <is>
          <t>2019-02-26 12:23:35</t>
        </is>
      </c>
      <c r="H464" t="inlineStr"/>
    </row>
    <row r="465">
      <c r="A465" t="inlineStr">
        <is>
          <t>av5sqk</t>
        </is>
      </c>
      <c r="B465" t="inlineStr">
        <is>
          <t>Is this potentially GERD? No pain but weird symptoms.</t>
        </is>
      </c>
      <c r="C465" t="inlineStr">
        <is>
          <t xml:space="preserve">I have a warm but painless feeling in my throat, stomach, and sometimes even lungs, and my breath constantly feels very "unfresh", despite very good oral hygiene.  I'm not sure if I have bad breath or not, but I suspect that I do.  This has been going on constantly for the past few weeks, and that lack of intermittence is why I suspect it could be GERD and not simply GER.  I don't have a previous history of acid reflux/heartburn so I'm having trouble recognizing whether what I'm experiencing is acid reflux related or not.  It sure seems to be the most likely explanation though.  Also, tums seems to make the unfresh feeling in my mouth go away momentarily (only for 15-20 minutes) which might be more evidence that it's acid related.
I plan to talk to my doctor about this of course but it would be nice to get an idea of what is going on. </t>
        </is>
      </c>
      <c r="D465" t="n">
        <v>1</v>
      </c>
      <c r="E465" t="n">
        <v>6</v>
      </c>
      <c r="F465">
        <f>HYPERLINK("https://www.reddit.com/r/GERD/comments/av5sqk/is_this_potentially_gerd_no_pain_but_weird/")</f>
        <v/>
      </c>
      <c r="G465" t="inlineStr">
        <is>
          <t>2019-02-26 14:54:13</t>
        </is>
      </c>
      <c r="H465" t="inlineStr"/>
    </row>
    <row r="466">
      <c r="A466" t="inlineStr">
        <is>
          <t>av6xo2</t>
        </is>
      </c>
      <c r="B466" t="inlineStr">
        <is>
          <t>PPIs medicine ?</t>
        </is>
      </c>
      <c r="C466" t="inlineStr">
        <is>
          <t>I am currently on ppi meds for 2 weeks  I recently had a acid reflux flare up my doctor said to stop taking ppi meds after 2 weeks (useally my Reflux is controlled by my diet) I  wondering is this going to cause ppi rebound ?</t>
        </is>
      </c>
      <c r="D466" t="n">
        <v>0</v>
      </c>
      <c r="E466" t="n">
        <v>0</v>
      </c>
      <c r="F466">
        <f>HYPERLINK("https://www.reddit.com/r/GERD/comments/av6xo2/ppis_medicine/")</f>
        <v/>
      </c>
      <c r="G466" t="inlineStr">
        <is>
          <t>2019-02-26 16:43:40</t>
        </is>
      </c>
      <c r="H466" t="inlineStr"/>
    </row>
    <row r="467">
      <c r="A467" t="inlineStr">
        <is>
          <t>avbsye</t>
        </is>
      </c>
      <c r="B467" t="inlineStr">
        <is>
          <t>LPR after Ranitidine</t>
        </is>
      </c>
      <c r="C467" t="inlineStr">
        <is>
          <t xml:space="preserve">I was prescribed a month of Ranitidine (aka Zantac) as part of the triple therapy for H-Pylori. Finished the course about 10 days ago. Ever since hit with LPR which happens every 3-4 days (always day time or just after some suspect food) and knocks the throat out - lumpy feel, hoarseness, mimic throat infection etc., although no cough as yet. 
I have been reading that this is regular +rebound+ effect of such drugs. So I am not seeking treatment, just staying clear of acidic food as per guideline in the book by Dr. Jonathan Aviv. Of course, I cheat a bit with green tea and some yogurt. Plus switched to alkaline water for couple of days. Some gargling with baking soda etc.
The first few acidic burp episodes were really like acid but of late its absent or much less potent. Yet it comes on top of an injured throat so it prolongs the effects, stops healing.
Anyone can share if this is a known thing &amp;amp; I am on right track or should I go to doc? I suspect they will put me back on some PPI/Ranitidine which just kicks the can down the road as I dont want another round of withdrawal symptoms. 
</t>
        </is>
      </c>
      <c r="D467" t="n">
        <v>3</v>
      </c>
      <c r="E467" t="n">
        <v>8</v>
      </c>
      <c r="F467">
        <f>HYPERLINK("https://www.reddit.com/r/GERD/comments/avbsye/lpr_after_ranitidine/")</f>
        <v/>
      </c>
      <c r="G467" t="inlineStr">
        <is>
          <t>2019-02-27 01:57:14</t>
        </is>
      </c>
      <c r="H467" t="inlineStr"/>
    </row>
    <row r="468">
      <c r="A468" t="inlineStr">
        <is>
          <t>avd0g3</t>
        </is>
      </c>
      <c r="B468" t="inlineStr">
        <is>
          <t>Help me get on the right track?</t>
        </is>
      </c>
      <c r="C468" t="inlineStr">
        <is>
          <t xml:space="preserve">Hey guys, I discovered I had GERS about three years ago when my now husband told me it wasn’t normal to always have a stomach ache. I’m on a once a day 40mg dosage of omeprazole and I was doing keto for a while but have since backtracked and gotten a persistent cough that I worry is a side effect. My Dr. books out many months in advance and hasn’t been super helpful.  Are there big triggers that I should avoid or a list of irritants I can find somewhere? 
Thank you! </t>
        </is>
      </c>
      <c r="D468" t="n">
        <v>0</v>
      </c>
      <c r="E468" t="n">
        <v>4</v>
      </c>
      <c r="F468">
        <f>HYPERLINK("https://www.reddit.com/r/GERD/comments/avd0g3/help_me_get_on_the_right_track/")</f>
        <v/>
      </c>
      <c r="G468" t="inlineStr">
        <is>
          <t>2019-02-27 04:35:06</t>
        </is>
      </c>
      <c r="H468" t="inlineStr"/>
    </row>
    <row r="469">
      <c r="A469" t="inlineStr">
        <is>
          <t>avefbl</t>
        </is>
      </c>
      <c r="B469" t="inlineStr">
        <is>
          <t>Peppermint in antacids</t>
        </is>
      </c>
      <c r="C469" t="inlineStr">
        <is>
          <t xml:space="preserve">Every over-the-counter antacid (not counting pills like protonix, nexium, tagamet, etc) that I know of contains peppermint. How is this legal? Peppermint is known to relax the lower esophogeal sphincter. One one site I read that it's to "promote the burp that follows the neutralization of acid." I have had acid reflux for 43 years and this has been bugging me for decades. I asked a prominent gastroenterologist this question yesterday and he'd obviously never even thought about it before. </t>
        </is>
      </c>
      <c r="D469" t="n">
        <v>3</v>
      </c>
      <c r="E469" t="n">
        <v>17</v>
      </c>
      <c r="F469">
        <f>HYPERLINK("https://www.reddit.com/r/GERD/comments/avefbl/peppermint_in_antacids/")</f>
        <v/>
      </c>
      <c r="G469" t="inlineStr">
        <is>
          <t>2019-02-27 07:05:40</t>
        </is>
      </c>
      <c r="H469" t="inlineStr"/>
    </row>
    <row r="470">
      <c r="A470" t="inlineStr">
        <is>
          <t>avevg1</t>
        </is>
      </c>
      <c r="B470" t="inlineStr">
        <is>
          <t>Lost..</t>
        </is>
      </c>
      <c r="C470" t="inlineStr">
        <is>
          <t xml:space="preserve">Hi there. I haven't been diagnosed with GERD but am beginning to think it's the cause of my issues. For the past 3 weeks I've had a relatively constant chest tightness on-top of belching in excess. I don't really get heartburn unless I really binge on bad foods and these are the only symptoms I've really noticed.
I've gone to the doctor and been told to use ranatadine preventatively as heartburn or another gastrointestinal issue is possibly the cause. I've also been told anxiety is definitely a possible factor which could be causing this as I don't really have a ton of symptoms of traditional GERD.
I'm just at a loss currently. Its not even that I'm in pain necessarily it's that the damn chest tightness won't go away. Which leads me into anxiety symptoms and makes the cycle worse. On top of that it hurts to massage that area in my chest where it hurts. I don't know where to turn for relief or support at this point. </t>
        </is>
      </c>
      <c r="D470" t="n">
        <v>1</v>
      </c>
      <c r="E470" t="n">
        <v>1</v>
      </c>
      <c r="F470">
        <f>HYPERLINK("https://www.reddit.com/r/GERD/comments/avevg1/lost/")</f>
        <v/>
      </c>
      <c r="G470" t="inlineStr">
        <is>
          <t>2019-02-27 07:47:36</t>
        </is>
      </c>
      <c r="H470" t="inlineStr"/>
    </row>
    <row r="471">
      <c r="A471" t="inlineStr">
        <is>
          <t>avfpxd</t>
        </is>
      </c>
      <c r="B471" t="inlineStr">
        <is>
          <t>Does anyone else have breathing issues as the only symptom?</t>
        </is>
      </c>
      <c r="C471" t="inlineStr">
        <is>
          <t xml:space="preserve">So I was told by doctors that I have LPR, not GERD. My only symptom is that I feel like I need to take a deep breath and cannot. Imagine last time you sighed - it's a natural function where you take a deep breath without realizing it. It starts somewhere in a pit of your stomach. So it's the same for me but when I start to to take that breath the process kind of stops half-way. IF it happens often enough it can start cause anxiety because your brain begins to think that you are having breathing issues. Otherwise I have no other symptoms - no burning, no chest pain, no globus.
&amp;amp;#x200B;
I am curious to hear from other folks whose symptoms are limited only to breathing. What were you diagnosed with? How are you treating it? Do you have anxiety? </t>
        </is>
      </c>
      <c r="D471" t="n">
        <v>4</v>
      </c>
      <c r="E471" t="n">
        <v>5</v>
      </c>
      <c r="F471">
        <f>HYPERLINK("https://www.reddit.com/r/GERD/comments/avfpxd/does_anyone_else_have_breathing_issues_as_the/")</f>
        <v/>
      </c>
      <c r="G471" t="inlineStr">
        <is>
          <t>2019-02-27 09:06:16</t>
        </is>
      </c>
      <c r="H471" t="inlineStr"/>
    </row>
    <row r="472">
      <c r="A472" t="inlineStr">
        <is>
          <t>avfz5h</t>
        </is>
      </c>
      <c r="B472" t="inlineStr">
        <is>
          <t>Constant burning</t>
        </is>
      </c>
      <c r="C472" t="inlineStr">
        <is>
          <t xml:space="preserve">Hello! Does anyone suffer from constant burning pain? All day, no relief and it doesn’t seem to coincide with eating. Pain is burning/gnawing in my sternum and upper abdomen. 
Within the last 5 months, I’ve been on Dexilant, Protonix , and Prilosec all combined with Carafate, and they have not helped. I eat a very bland diet with no caffeine or alcohol. Endoscopy and abdominal ultrasound were normal. Just getting really discouraged. I was hoping it was GERD or NERD but maybe not? </t>
        </is>
      </c>
      <c r="D472" t="n">
        <v>0</v>
      </c>
      <c r="E472" t="n">
        <v>6</v>
      </c>
      <c r="F472">
        <f>HYPERLINK("https://www.reddit.com/r/GERD/comments/avfz5h/constant_burning/")</f>
        <v/>
      </c>
      <c r="G472" t="inlineStr">
        <is>
          <t>2019-02-27 09:29:16</t>
        </is>
      </c>
      <c r="H472" t="inlineStr"/>
    </row>
    <row r="473">
      <c r="A473" t="inlineStr">
        <is>
          <t>avhjng</t>
        </is>
      </c>
      <c r="B473" t="inlineStr">
        <is>
          <t>GERD worse when tired?</t>
        </is>
      </c>
      <c r="C473" t="inlineStr">
        <is>
          <t>Hey all,
Hope you guys are doing well. I have a couple of questions for the more experienced GERD sufferers out there.
Do you tend to find that your reflux is worse if you don't get a good night's sleep?
Also I've been using over the counter zantac which seems to mostly be doing the job. That's probably not sustainable though right? Should I be going to the doc to get something stronger?</t>
        </is>
      </c>
      <c r="D473" t="n">
        <v>8</v>
      </c>
      <c r="E473" t="n">
        <v>9</v>
      </c>
      <c r="F473">
        <f>HYPERLINK("https://www.reddit.com/r/GERD/comments/avhjng/gerd_worse_when_tired/")</f>
        <v/>
      </c>
      <c r="G473" t="inlineStr">
        <is>
          <t>2019-02-27 11:48:57</t>
        </is>
      </c>
      <c r="H473" t="inlineStr"/>
    </row>
    <row r="474">
      <c r="A474" t="inlineStr">
        <is>
          <t>avi3wt</t>
        </is>
      </c>
      <c r="B474" t="inlineStr">
        <is>
          <t>Reflux band</t>
        </is>
      </c>
      <c r="C474" t="inlineStr">
        <is>
          <t>Anybody tried one of those surgically implanted bands of magnetic balls that go around the lower sphincter? I'm talking to a surgeon about it next week</t>
        </is>
      </c>
      <c r="D474" t="n">
        <v>1</v>
      </c>
      <c r="E474" t="n">
        <v>4</v>
      </c>
      <c r="F474">
        <f>HYPERLINK("https://www.reddit.com/r/GERD/comments/avi3wt/reflux_band/")</f>
        <v/>
      </c>
      <c r="G474" t="inlineStr">
        <is>
          <t>2019-02-27 12:37:57</t>
        </is>
      </c>
      <c r="H474" t="inlineStr"/>
    </row>
    <row r="475">
      <c r="A475" t="inlineStr">
        <is>
          <t>avjhbi</t>
        </is>
      </c>
      <c r="B475" t="inlineStr">
        <is>
          <t>Medicine?</t>
        </is>
      </c>
      <c r="C475" t="inlineStr">
        <is>
          <t xml:space="preserve">I recently went to my ent doctor who prescribed me ppi meds for 2 weeks because I had a acid reflux flare up (my reflux is useallly controlled by my diet) am I going to get ppi rebound once I stop taking the ppi  meds  ? </t>
        </is>
      </c>
      <c r="D475" t="n">
        <v>0</v>
      </c>
      <c r="E475" t="n">
        <v>1</v>
      </c>
      <c r="F475">
        <f>HYPERLINK("https://www.reddit.com/r/GERD/comments/avjhbi/medicine/")</f>
        <v/>
      </c>
      <c r="G475" t="inlineStr">
        <is>
          <t>2019-02-27 14:41:04</t>
        </is>
      </c>
      <c r="H475" t="inlineStr"/>
    </row>
    <row r="476">
      <c r="A476" t="inlineStr">
        <is>
          <t>avjobr</t>
        </is>
      </c>
      <c r="B476" t="inlineStr">
        <is>
          <t>Long term PPI user - now Ranitidine - what next? 25M</t>
        </is>
      </c>
      <c r="C476" t="inlineStr">
        <is>
          <t>Good evening/morning/afternoon!
Around September 2017, I started getting incredibly bloated after eating the tiniest thing. Took two weeks of omeprazole - was feeling great. Came off them and within a couple of days this sense of fullness returned. My doc put me on the waiting list for an endoscopy, and I've been on omeprazole indefinitely every since.
However, a friend's mum put the fear of God in me last month, saying that as a 25M I should not be on daily omeprazole. I tried taking omeprazole 20mg once every couple of days, and was coping okay at that. I then went to the docs, and he said maybe best to go on to ranitidine 150mg. Firstly, 150mg once a day, then once every 2 days.
I'm currently taking ranitidine 150mg once every two days. I'm not feeling too bad, a little bit bloaty after meals. A little bit acidic-y feeling as well when I burp.
Just wondering whether you thought my current course of action was good/advisable? And what my next steps should be? Anyone else been in a similar situation?
Thank you!</t>
        </is>
      </c>
      <c r="D476" t="n">
        <v>2</v>
      </c>
      <c r="E476" t="n">
        <v>9</v>
      </c>
      <c r="F476">
        <f>HYPERLINK("https://www.reddit.com/r/GERD/comments/avjobr/long_term_ppi_user_now_ranitidine_what_next_25m/")</f>
        <v/>
      </c>
      <c r="G476" t="inlineStr">
        <is>
          <t>2019-02-27 14:59:30</t>
        </is>
      </c>
      <c r="H476" t="inlineStr"/>
    </row>
    <row r="477">
      <c r="A477" t="inlineStr">
        <is>
          <t>avky1l</t>
        </is>
      </c>
      <c r="B477" t="inlineStr">
        <is>
          <t>PPI rebound?</t>
        </is>
      </c>
      <c r="C477" t="inlineStr">
        <is>
          <t>I recently went to my ent doctor who prescribed me ppi meds for 2 weeks because I had a acid reflux flare up (my reflux is useallly controlled by my diet) am I going to get ppi rebound once I stop taking the ppi meds ?</t>
        </is>
      </c>
      <c r="D477" t="n">
        <v>1</v>
      </c>
      <c r="E477" t="n">
        <v>2</v>
      </c>
      <c r="F477">
        <f>HYPERLINK("https://www.reddit.com/r/GERD/comments/avky1l/ppi_rebound/")</f>
        <v/>
      </c>
      <c r="G477" t="inlineStr">
        <is>
          <t>2019-02-27 17:02:15</t>
        </is>
      </c>
      <c r="H477" t="inlineStr"/>
    </row>
    <row r="478">
      <c r="A478" t="inlineStr">
        <is>
          <t>avl687</t>
        </is>
      </c>
      <c r="B478" t="inlineStr">
        <is>
          <t>Nissan Fundoplication?</t>
        </is>
      </c>
      <c r="C478" t="inlineStr">
        <is>
          <t xml:space="preserve">I am currently thinking about doing Nissan Fundoplication surgery I read online this surgery only works for couple of years has anyone had this surgery 15 to 30 years ago and is your acid reflux still gone ? </t>
        </is>
      </c>
      <c r="D478" t="n">
        <v>1</v>
      </c>
      <c r="E478" t="n">
        <v>2</v>
      </c>
      <c r="F478">
        <f>HYPERLINK("https://www.reddit.com/r/GERD/comments/avl687/nissan_fundoplication/")</f>
        <v/>
      </c>
      <c r="G478" t="inlineStr">
        <is>
          <t>2019-02-27 17:26:18</t>
        </is>
      </c>
      <c r="H478" t="inlineStr"/>
    </row>
    <row r="479">
      <c r="A479" t="inlineStr">
        <is>
          <t>avnivk</t>
        </is>
      </c>
      <c r="B479" t="inlineStr">
        <is>
          <t>Losing so much weight</t>
        </is>
      </c>
      <c r="C479" t="inlineStr">
        <is>
          <t>I got Gerd around 7 weeks ago and have lost 15 pounds and all my friends are worried and keep asking me if I’m okay. I tell them about my Gerd and they think I’m hiding something far much worse. I really hate that I lost so much weight in a short period of time, and it even seems like I lost all my muscle....I was at 168 and now I’m around 151-153. Is there anything I can do to try and put my weight back on? I started eating smaller meals due to my Gerd and I cut back on certain foods even though I always would eat healthy, and would only have 1 cheat meal a week. Any help would be greatly appreciated.</t>
        </is>
      </c>
      <c r="D479" t="n">
        <v>3</v>
      </c>
      <c r="E479" t="n">
        <v>23</v>
      </c>
      <c r="F479">
        <f>HYPERLINK("https://www.reddit.com/r/GERD/comments/avnivk/losing_so_much_weight/")</f>
        <v/>
      </c>
      <c r="G479" t="inlineStr">
        <is>
          <t>2019-02-27 21:48:22</t>
        </is>
      </c>
      <c r="H479" t="inlineStr"/>
    </row>
    <row r="480">
      <c r="A480" t="inlineStr">
        <is>
          <t>avojui</t>
        </is>
      </c>
      <c r="B480" t="inlineStr">
        <is>
          <t>Can I take imodium with zantac? (Contains symptom info)</t>
        </is>
      </c>
      <c r="C480" t="inlineStr">
        <is>
          <t xml:space="preserve">Hello, I started taking Zantac about 3 days ago and it doesn't seem to be helping much. I still have the lovely feeling of acid in my throat sometimes so bad I feel like I'm going to throw it up. I've also been having green diarrhea for two days. If it isn't safe to take Imodium what other over the counter medicines would you recommend?  </t>
        </is>
      </c>
      <c r="D480" t="n">
        <v>2</v>
      </c>
      <c r="E480" t="n">
        <v>3</v>
      </c>
      <c r="F480">
        <f>HYPERLINK("https://www.reddit.com/r/GERD/comments/avojui/can_i_take_imodium_with_zantac_contains_symptom/")</f>
        <v/>
      </c>
      <c r="G480" t="inlineStr">
        <is>
          <t>2019-02-27 23:58:36</t>
        </is>
      </c>
      <c r="H480" t="inlineStr"/>
    </row>
    <row r="481">
      <c r="A481" t="inlineStr">
        <is>
          <t>avq0q2</t>
        </is>
      </c>
      <c r="B481" t="inlineStr">
        <is>
          <t>Anyone suffering from depression as a result of GERD?</t>
        </is>
      </c>
      <c r="C481" t="inlineStr">
        <is>
          <t>My GERD is having a very big impact on the quality of my life. Nausea at least 4 times a day, dry heaving in the mornings, unable to eat past 500 - 700 cal a day, weight loss, cancelling social gatherings last minute due to nausea or fatigue.
When I vomit / dry heave, it goes on for about a week. then it takes about 3 months to heal - IF I DONT VOMIT AGAIN DURING THE RECOVERY. But I keep vomiting when I am almost healed and all the work that has been done to recover just goes down the drain and I have to start over.
Ive seen countless psychologists before but I have booked another for next week to have another series of sessions.
What can I do? Life isnt as bad to commit suicide right now nor do I have the courage to kill myself. But life this has been going on for 2 years and Im struggling really hard to accept this as my new life.</t>
        </is>
      </c>
      <c r="D481" t="n">
        <v>13</v>
      </c>
      <c r="E481" t="n">
        <v>7</v>
      </c>
      <c r="F481">
        <f>HYPERLINK("https://www.reddit.com/r/GERD/comments/avq0q2/anyone_suffering_from_depression_as_a_result_of/")</f>
        <v/>
      </c>
      <c r="G481" t="inlineStr">
        <is>
          <t>2019-02-28 03:21:51</t>
        </is>
      </c>
      <c r="H481" t="inlineStr"/>
    </row>
    <row r="482">
      <c r="A482" t="inlineStr">
        <is>
          <t>avu0wp</t>
        </is>
      </c>
      <c r="B482" t="inlineStr">
        <is>
          <t>PND</t>
        </is>
      </c>
      <c r="C482" t="inlineStr">
        <is>
          <t xml:space="preserve">Has anyone here developed Post nasal drip from their GERD? For the last few days I've been feeling like mucus is stuck in my throat. No cough or anything. Just that. </t>
        </is>
      </c>
      <c r="D482" t="n">
        <v>3</v>
      </c>
      <c r="E482" t="n">
        <v>11</v>
      </c>
      <c r="F482">
        <f>HYPERLINK("https://www.reddit.com/r/GERD/comments/avu0wp/pnd/")</f>
        <v/>
      </c>
      <c r="G482" t="inlineStr">
        <is>
          <t>2019-02-28 09:56:36</t>
        </is>
      </c>
      <c r="H482" t="inlineStr"/>
    </row>
    <row r="483">
      <c r="A483" t="inlineStr">
        <is>
          <t>avv41q</t>
        </is>
      </c>
      <c r="B483" t="inlineStr">
        <is>
          <t>I just need to vent; advice requested</t>
        </is>
      </c>
      <c r="C483" t="inlineStr">
        <is>
          <t xml:space="preserve">I've been taking Lansoprazole for about a month and a half. I have also been chewing  DGL before meals, and take Slippery Elm after meals for a few weeks. I am in pain on a daily basis, and I'm having trouble living my life because of it. I've been referred to a GI doctor, and am waiting to hear back. I'm afraid the GI doctor will find esophageal cancer or something life-threatening. It took a while to convince my CNP to refer me to a GI because, she said, she's not worried that its anything serious. 
It's severely affecting my quality of life, and she says the GI won't find anything seriously wrong! God bless! That doesn't make my pain go away! I'd rather be dead than suffer this near-constant pain. I just don't know why nothing is working! I'd rather the doctor find something serious, because then at least I'd know what's going on! My CNP chokes it up to anxiety-induced GERD. I don't believe her. Stress can't cause this much pain.
Here's the thing that gets me, though. I don't seem to suffer from GERD when I eat bit meals. It's when I eat a little bit that I feel it the most. Why is that? Shouldn't the opposite be true? I just want someone to tell me that I'm not dying! I don't want to die! I'm only nineteen and already my body is a broken temple! HELP MEEEEEEEEEEEEEEEEE! </t>
        </is>
      </c>
      <c r="D483" t="n">
        <v>4</v>
      </c>
      <c r="E483" t="n">
        <v>10</v>
      </c>
      <c r="F483">
        <f>HYPERLINK("https://www.reddit.com/r/GERD/comments/avv41q/i_just_need_to_vent_advice_requested/")</f>
        <v/>
      </c>
      <c r="G483" t="inlineStr">
        <is>
          <t>2019-02-28 11:30:18</t>
        </is>
      </c>
      <c r="H483" t="inlineStr"/>
    </row>
    <row r="484">
      <c r="A484" t="inlineStr">
        <is>
          <t>avvyug</t>
        </is>
      </c>
      <c r="B484" t="inlineStr">
        <is>
          <t>How relevant is sleep hygiene?</t>
        </is>
      </c>
      <c r="C484" t="inlineStr">
        <is>
          <t>So I've really been making an effort to restore my sleep (which is nightmarishly bad at the moment). Something I'm trying to observe is getting up and going to bed at the same time every day. However, I wonder if this even matters if the cause of my shortened sleep is reflux? Is this component of sleep hygiene even applicable to us? 
Would love to even sleep for 6 hours straight before I wake up with lava in my esophagus. :/ Any tips or related experiences would be greatly appreciated.</t>
        </is>
      </c>
      <c r="D484" t="n">
        <v>2</v>
      </c>
      <c r="E484" t="n">
        <v>8</v>
      </c>
      <c r="F484">
        <f>HYPERLINK("https://www.reddit.com/r/GERD/comments/avvyug/how_relevant_is_sleep_hygiene/")</f>
        <v/>
      </c>
      <c r="G484" t="inlineStr">
        <is>
          <t>2019-02-28 12:45:53</t>
        </is>
      </c>
      <c r="H484" t="inlineStr"/>
    </row>
    <row r="485">
      <c r="A485" t="inlineStr">
        <is>
          <t>avzu70</t>
        </is>
      </c>
      <c r="B485" t="inlineStr">
        <is>
          <t>Anything I can do about constant mucus?</t>
        </is>
      </c>
      <c r="C485" t="inlineStr">
        <is>
          <t>I believe this is just a winter thing for me, but for the past couple months I've been struggling with constant mucus down my throat. To point where I feel myself swallowing massive globs of mucus. Water somewhat helps to an extent, but all day I feel like I'm just trying to get mucus out of the back of the throat. Sometimes it makes my throat sore if it goes on long enough. I don't drink as much water as I probably should be, but apart from that is there anything else that I can do?</t>
        </is>
      </c>
      <c r="D485" t="n">
        <v>13</v>
      </c>
      <c r="E485" t="n">
        <v>15</v>
      </c>
      <c r="F485">
        <f>HYPERLINK("https://www.reddit.com/r/GERD/comments/avzu70/anything_i_can_do_about_constant_mucus/")</f>
        <v/>
      </c>
      <c r="G485" t="inlineStr">
        <is>
          <t>2019-02-28 19:14:24</t>
        </is>
      </c>
      <c r="H485" t="inlineStr"/>
    </row>
    <row r="486">
      <c r="A486" t="inlineStr">
        <is>
          <t>avzufp</t>
        </is>
      </c>
      <c r="B486" t="inlineStr">
        <is>
          <t>Excessive gas?</t>
        </is>
      </c>
      <c r="C486" t="inlineStr">
        <is>
          <t xml:space="preserve">I was diagnosed with GERD today after telling my doctor about my frequent heartburn. The heartburn has been manageable but what’s out of control is how gassy I am at night. I have discomfort in my lower abdomen and flatulence throughout the night. Anything advice to get some relief? Is this common with GERD? </t>
        </is>
      </c>
      <c r="D486" t="n">
        <v>1</v>
      </c>
      <c r="E486" t="n">
        <v>4</v>
      </c>
      <c r="F486">
        <f>HYPERLINK("https://www.reddit.com/r/GERD/comments/avzufp/excessive_gas/")</f>
        <v/>
      </c>
      <c r="G486" t="inlineStr">
        <is>
          <t>2019-02-28 19:15:03</t>
        </is>
      </c>
      <c r="H486" t="inlineStr"/>
    </row>
    <row r="487">
      <c r="A487" t="inlineStr">
        <is>
          <t>aw008u</t>
        </is>
      </c>
      <c r="B487" t="inlineStr">
        <is>
          <t>Acid reflux ears ??</t>
        </is>
      </c>
      <c r="C487" t="inlineStr">
        <is>
          <t xml:space="preserve">I currently have a  warm liquid feeling in my ears and I have acid reflux I am wondering is my acid reflux causing this ? </t>
        </is>
      </c>
      <c r="D487" t="n">
        <v>3</v>
      </c>
      <c r="E487" t="n">
        <v>10</v>
      </c>
      <c r="F487">
        <f>HYPERLINK("https://www.reddit.com/r/GERD/comments/aw008u/acid_reflux_ears/")</f>
        <v/>
      </c>
      <c r="G487" t="inlineStr">
        <is>
          <t>2019-02-28 19:31:18</t>
        </is>
      </c>
      <c r="H487" t="inlineStr"/>
    </row>
    <row r="488">
      <c r="A488" t="inlineStr">
        <is>
          <t>aw0lvj</t>
        </is>
      </c>
      <c r="B488" t="inlineStr">
        <is>
          <t>Acid reflux ???</t>
        </is>
      </c>
      <c r="C488" t="inlineStr">
        <is>
          <t>I currently have a warm liquid feeling in my ears and I have acid reflux I am wondering is my acid reflux causing this ?</t>
        </is>
      </c>
      <c r="D488" t="n">
        <v>1</v>
      </c>
      <c r="E488" t="n">
        <v>0</v>
      </c>
      <c r="F488">
        <f>HYPERLINK("https://www.reddit.com/r/GERD/comments/aw0lvj/acid_reflux/")</f>
        <v/>
      </c>
      <c r="G488" t="inlineStr">
        <is>
          <t>2019-02-28 20:35:05</t>
        </is>
      </c>
      <c r="H488" t="inlineStr"/>
    </row>
    <row r="489">
      <c r="A489" t="inlineStr">
        <is>
          <t>aw49pe</t>
        </is>
      </c>
      <c r="B489" t="inlineStr">
        <is>
          <t>Acid reflux scared ???</t>
        </is>
      </c>
      <c r="C489" t="inlineStr">
        <is>
          <t>I currently have a warm liquid feeling in my ears and I have acid reflux I am wondering is my acid reflux causing this ?</t>
        </is>
      </c>
      <c r="D489" t="n">
        <v>1</v>
      </c>
      <c r="E489" t="n">
        <v>7</v>
      </c>
      <c r="F489">
        <f>HYPERLINK("https://www.reddit.com/r/GERD/comments/aw49pe/acid_reflux_scared/")</f>
        <v/>
      </c>
      <c r="G489" t="inlineStr">
        <is>
          <t>2019-03-01 04:21:29</t>
        </is>
      </c>
      <c r="H489" t="inlineStr"/>
    </row>
    <row r="490">
      <c r="A490" t="inlineStr">
        <is>
          <t>aw4hkd</t>
        </is>
      </c>
      <c r="B490" t="inlineStr">
        <is>
          <t>Skin Burning / Sensitive to Touch</t>
        </is>
      </c>
      <c r="C490" t="inlineStr">
        <is>
          <t>Since i can't find anything other than a single Reddit post - i'm taking PPI's since about a month and they do help but the last few days i have a weird problem:
&amp;amp;#x200B;
&amp;amp;#x200B;
the skin above the stomach gets very sensitive like If I wear any type of cloth like shirt or t-shirt and that particular area of belly surface skin touches the cloth I am wearing it itches and gives a rather uncomfortable burning feeling. It feels like a sunburn but there is nothing to see or feel on that area. There is no such burning if i just don't wear a shirt or anything so it seems to be caused by friction. 
&amp;amp;#x200B;
Since i have no other medical conditions and feel totally fine otherwise, i think it has to do with GERD or a side effect of the PPI's. Any help would be appreciated.</t>
        </is>
      </c>
      <c r="D490" t="n">
        <v>2</v>
      </c>
      <c r="E490" t="n">
        <v>2</v>
      </c>
      <c r="F490">
        <f>HYPERLINK("https://www.reddit.com/r/GERD/comments/aw4hkd/skin_burning_sensitive_to_touch/")</f>
        <v/>
      </c>
      <c r="G490" t="inlineStr">
        <is>
          <t>2019-03-01 04:46:10</t>
        </is>
      </c>
      <c r="H490" t="inlineStr"/>
    </row>
    <row r="491">
      <c r="A491" t="inlineStr">
        <is>
          <t>aw5pc6</t>
        </is>
      </c>
      <c r="B491" t="inlineStr">
        <is>
          <t>Endoscopy test results</t>
        </is>
      </c>
      <c r="C491" t="inlineStr">
        <is>
          <t>anyone have insight on what this means?
&amp;amp;#x200B;
A. Small Bowel, bx:  
DUODENAL MUCOSA WITHOUT SIGNIFICANT DIAGNOSTIC ABNORMALITY  
B. Gastric biopsy, random:  
GASTRIC FUNDIC TYPE MUCOSA WITH MILD CHRONIC GASTRITIS  
NO INTESTINAL METAPLASIA OR DYSPLASIA  
IMMUNOHISTOCHEMICAL STAIN FOR H. PYLORI IS NEGATIVE  
C. GE Junction, bx:  
SQUAMOCOLUMNAR JUNCTIONAL MUCOSA WITH MODERATE CHRONIC INFLAMMATION  
NO SQUAMOUS INTRAEPITHELIAL EOSINOPHILS SEEN  
NO GOBLET CELL METAPLASIA OR DYSPLASIA  
D. Esophagus, mid:  
BENIGN SQUAMOUS MUCOSA   
NO EOSINOPHILS OR DYSPLASIA SEEN</t>
        </is>
      </c>
      <c r="D491" t="n">
        <v>2</v>
      </c>
      <c r="E491" t="n">
        <v>9</v>
      </c>
      <c r="F491">
        <f>HYPERLINK("https://www.reddit.com/r/GERD/comments/aw5pc6/endoscopy_test_results/")</f>
        <v/>
      </c>
      <c r="G491" t="inlineStr">
        <is>
          <t>2019-03-01 06:46:42</t>
        </is>
      </c>
      <c r="H491" t="inlineStr"/>
    </row>
    <row r="492">
      <c r="A492" t="inlineStr">
        <is>
          <t>aw8dis</t>
        </is>
      </c>
      <c r="B492" t="inlineStr">
        <is>
          <t>Best free apps for food and symptom tracking?</t>
        </is>
      </c>
      <c r="C492" t="inlineStr">
        <is>
          <t xml:space="preserve">Something that determines ties between foods I eat and symptoms that are present/not. 
A huge plus would be if there are different options for things other than acid reflux, bowel movements, etc. Specifically looking to additionally track mood and headaches/migraines. </t>
        </is>
      </c>
      <c r="D492" t="n">
        <v>5</v>
      </c>
      <c r="E492" t="n">
        <v>0</v>
      </c>
      <c r="F492">
        <f>HYPERLINK("https://www.reddit.com/r/GERD/comments/aw8dis/best_free_apps_for_food_and_symptom_tracking/")</f>
        <v/>
      </c>
      <c r="G492" t="inlineStr">
        <is>
          <t>2019-03-01 10:59:58</t>
        </is>
      </c>
      <c r="H492" t="inlineStr"/>
    </row>
    <row r="493">
      <c r="A493" t="inlineStr">
        <is>
          <t>aw8mob</t>
        </is>
      </c>
      <c r="B493" t="inlineStr">
        <is>
          <t>GERD feels like death...</t>
        </is>
      </c>
      <c r="C493" t="inlineStr">
        <is>
          <t xml:space="preserve">Hi guys. So I am 21 years old and for the past few weeks I have been dealing with GERD. After a viral cough that lasted a few weeks (literally couldn't even sleep at night it was so bad) I started feeling like I wasn't breathing, dealt with chest pain, tremors, nausea, etc. This symptoms were sending me into a full panic attacks. I googled to find out what it could be (bad idea if you have anxiety like me). I thought I had pulmonary embolism (a blood clot in the lung) from birth control I was taking. I went to the urgent Care three times and the ER twice. Some doctors said it was just anxiety so they gave me a Xanax and others told me to go to a cardiologist. I literally felt like nobody could help me and I was alone and dying. I think it was worse because I didn't know what I had so I couldn't help myself. It is funny because my mother suggested I had acid reflux and after visiting my PCP she agreed and diagnosed me with GERD. I've been taking pantoprazole 40mg along with an alkaline diet for the past 3 days now and I feel better I think. Last night I had an episode where I felt like my nose stopped working. It's progress in the making but I just want to encourage other people to stay strong. People don't take GERD serious because it sounds so silly (literally acid coming into esophagus from stomach) but it is really complete suffering and feeling hopeless. I just really want to get better and if anyone deals with acid reflux or anxiety just let me know if you have any suggestions what I should do to be my normal self again. </t>
        </is>
      </c>
      <c r="D493" t="n">
        <v>18</v>
      </c>
      <c r="E493" t="n">
        <v>22</v>
      </c>
      <c r="F493">
        <f>HYPERLINK("https://www.reddit.com/r/GERD/comments/aw8mob/gerd_feels_like_death/")</f>
        <v/>
      </c>
      <c r="G493" t="inlineStr">
        <is>
          <t>2019-03-01 11:23:26</t>
        </is>
      </c>
      <c r="H493" t="inlineStr"/>
    </row>
    <row r="494">
      <c r="A494" t="inlineStr">
        <is>
          <t>awa4fh</t>
        </is>
      </c>
      <c r="B494" t="inlineStr">
        <is>
          <t>Have you guys tried probiotics? It got rid of my constant acid reflux.</t>
        </is>
      </c>
      <c r="C494" t="inlineStr">
        <is>
          <t>So I had constant acid reflux and this caused a lot of issues such as anxiety, chest pain, and breathing problems. I thought I was going to die honestly, I went to the doctor and got multiple prescriptions, 2 for acid and 1 antibiotic but I didn't take any because I only wanted to confirm I wasn't having issues with my heart so after getting that done I bought this probiotic and I have felt better since then. Like the title says I started taking a probiotic and I noticed the difference within days and now I can sleep on my back without any stomach pains and I can eat trigger foods without having acid reflux such as pizza, burgers and other high fat foods. I got NOW Probiotic-10 50 billion and it made my life normal again after a week. I read somewhere that your gut bacteria play a huge role in your health so if you're gut bacteria isn't too good then you probably won't be doing too well either. Anyways I highly recommend the probiotic I mentioned, I was able to get 50 servings on amazon for 20.00$. Another probiotic that worked before was from the brand Nature's bounty 10 strain probiotic and it's similar to the NOW brands probiotic and I got that one at the WalMart near me so it's probably at a store near you as well if you guys can't wait.</t>
        </is>
      </c>
      <c r="D494" t="n">
        <v>5</v>
      </c>
      <c r="E494" t="n">
        <v>5</v>
      </c>
      <c r="F494">
        <f>HYPERLINK("https://www.reddit.com/r/GERD/comments/awa4fh/have_you_guys_tried_probiotics_it_got_rid_of_my/")</f>
        <v/>
      </c>
      <c r="G494" t="inlineStr">
        <is>
          <t>2019-03-01 13:43:56</t>
        </is>
      </c>
      <c r="H494" t="inlineStr"/>
    </row>
    <row r="495">
      <c r="A495" t="inlineStr">
        <is>
          <t>awbznn</t>
        </is>
      </c>
      <c r="B495" t="inlineStr">
        <is>
          <t>Pill Esophagitis - Can't eat</t>
        </is>
      </c>
      <c r="C495" t="inlineStr">
        <is>
          <t>Hi guys, last week I had a strep infection and on Saturday night started experiencing severe burning in my esophagus. Fast forward to Tuesday, I saw a GI doc who said I have pill esophagitis and likely an ulcer or two, and prescribed Carafate 4x a day as well as pantoprazole 2x a day. I've been keeping at it with the meds, but even drinking water still burns probably at a 4/10 level. I am kind of at the end of my rope here, I can't eat anything without extreme pain and I am losing wait. Everyone seems to just say "wait and it will get better" but I don't know how much longer I can go without food. 
&amp;amp;#x200B;
I was given viscous lidocaine to help eating be a little more comfortable, which I did take, but it seems to make the esophagitis pain worse after it wears off (I'm sure because even eating the soup or pudding I have been trying to eat still irritates whatever is going on down there). 
&amp;amp;#x200B;
If anyone has any advice for what do that would be great, or even some words of encouragement. I suppose I could force myself to eat but I don't want to prolong my pain by continuously irritating the problem. I'm very frustrated and kind of hopeless, as we're going on a week without any substantial food.
&amp;amp;#x200B;
Thanks in advance!</t>
        </is>
      </c>
      <c r="D495" t="n">
        <v>0</v>
      </c>
      <c r="E495" t="n">
        <v>1</v>
      </c>
      <c r="F495">
        <f>HYPERLINK("https://www.reddit.com/r/GERD/comments/awbznn/pill_esophagitis_cant_eat/")</f>
        <v/>
      </c>
      <c r="G495" t="inlineStr">
        <is>
          <t>2019-03-01 16:54:21</t>
        </is>
      </c>
      <c r="H495" t="inlineStr"/>
    </row>
    <row r="496">
      <c r="A496" t="inlineStr">
        <is>
          <t>awcucw</t>
        </is>
      </c>
      <c r="B496" t="inlineStr">
        <is>
          <t>Taking Takepron and other medicine for both ulcer and gerd!!!! Side effects????</t>
        </is>
      </c>
      <c r="C496" t="inlineStr">
        <is>
          <t>It is really just normal to feel bloated while taking PPI and ulcer medication? I feel like water from my stomach is coming up my throat like I just drown or something?</t>
        </is>
      </c>
      <c r="D496" t="n">
        <v>1</v>
      </c>
      <c r="E496" t="n">
        <v>0</v>
      </c>
      <c r="F496">
        <f>HYPERLINK("https://www.reddit.com/r/GERD/comments/awcucw/taking_takepron_and_other_medicine_for_both_ulcer/")</f>
        <v/>
      </c>
      <c r="G496" t="inlineStr">
        <is>
          <t>2019-03-01 18:32:40</t>
        </is>
      </c>
      <c r="H496" t="inlineStr"/>
    </row>
    <row r="497">
      <c r="A497" t="inlineStr">
        <is>
          <t>awe8q6</t>
        </is>
      </c>
      <c r="B497" t="inlineStr">
        <is>
          <t>Vomit?</t>
        </is>
      </c>
      <c r="C497" t="inlineStr">
        <is>
          <t xml:space="preserve">I recently  vomited and now I have acid reflux is this possible and how do I cure this and how much time will this take to go away ? </t>
        </is>
      </c>
      <c r="D497" t="n">
        <v>1</v>
      </c>
      <c r="E497" t="n">
        <v>1</v>
      </c>
      <c r="F497">
        <f>HYPERLINK("https://www.reddit.com/r/GERD/comments/awe8q6/vomit/")</f>
        <v/>
      </c>
      <c r="G497" t="inlineStr">
        <is>
          <t>2019-03-01 21:13:14</t>
        </is>
      </c>
      <c r="H497" t="inlineStr"/>
    </row>
    <row r="498">
      <c r="A498" t="inlineStr">
        <is>
          <t>awffhm</t>
        </is>
      </c>
      <c r="B498" t="inlineStr">
        <is>
          <t>Please help, I am miserable</t>
        </is>
      </c>
      <c r="C498" t="inlineStr">
        <is>
          <t>Hi all. Lately my heartburn/gerd has gotten to the point that I need to take some type of extreme measure. Over the years, up until about last July, I would get the ‘flux about once a month maybe—if that. As July turned to August it was once a week, turning to September every day. I have gained some weight (about 15 pounds) in the last year, and that is the only cause I can think of. My goal now is to lose that weight, but the reflux is so painful and persistent that I either have to have baking soda water with me all day (it wears off in about an hour), or take 2-3 Zantac every 6 hours. It’s totally ridiculous and if for some reason I don’t have one of those with me at all times, I’m useless. Does anyone know what other measures I can take to speed up the process while I’m dieting? All suggestions would be appreciated, thanks.</t>
        </is>
      </c>
      <c r="D498" t="n">
        <v>5</v>
      </c>
      <c r="E498" t="n">
        <v>18</v>
      </c>
      <c r="F498">
        <f>HYPERLINK("https://www.reddit.com/r/GERD/comments/awffhm/please_help_i_am_miserable/")</f>
        <v/>
      </c>
      <c r="G498" t="inlineStr">
        <is>
          <t>2019-03-01 23:51:02</t>
        </is>
      </c>
      <c r="H498" t="inlineStr"/>
    </row>
    <row r="499">
      <c r="A499" t="inlineStr">
        <is>
          <t>awin7g</t>
        </is>
      </c>
      <c r="B499" t="inlineStr">
        <is>
          <t>How will you know if you have stomach or esophageal strangulation?</t>
        </is>
      </c>
      <c r="C499" t="inlineStr">
        <is>
          <t>For many year I have dealt with anxiety which makes me dry heave and cough very powerfully and intensely at time. Now I dont know if its just the anxiety but I have been feeling some tightness in my upper tummy/lower rib area-- kind of where the solar plexus is. Burps and passing gas relieves this but my upper tummy feels more bloated than usual. I am afraid that maybe one of my powerful dry heaves has caused a stragulated hernia between my tummy, esophagus and diaphragm?</t>
        </is>
      </c>
      <c r="D499" t="n">
        <v>0</v>
      </c>
      <c r="E499" t="n">
        <v>0</v>
      </c>
      <c r="F499">
        <f>HYPERLINK("https://www.reddit.com/r/GERD/comments/awin7g/how_will_you_know_if_you_have_stomach_or/")</f>
        <v/>
      </c>
      <c r="G499" t="inlineStr">
        <is>
          <t>2019-03-02 07:11:24</t>
        </is>
      </c>
      <c r="H499" t="inlineStr"/>
    </row>
    <row r="500">
      <c r="A500" t="inlineStr">
        <is>
          <t>awl9bu</t>
        </is>
      </c>
      <c r="B500" t="inlineStr">
        <is>
          <t>Trying to cold turkey from 20mg omeprazole</t>
        </is>
      </c>
      <c r="C500" t="inlineStr">
        <is>
          <t>Anybody succeeded in getting off these things and have advice to offer?
&amp;amp;#x200B;
I've stocked up on Zantac, 10mg omeprazole (in case I really can't manage and want to go for a step-down approach) as well as Tums. 
&amp;amp;#x200B;
I've failed at least three times previously - if not more. But I am more determined than ever to quit these things (my asthma has been worse recently and I've been reading reports that PPIs can actually make that worse rather than better).</t>
        </is>
      </c>
      <c r="D500" t="n">
        <v>1</v>
      </c>
      <c r="E500" t="n">
        <v>21</v>
      </c>
      <c r="F500">
        <f>HYPERLINK("https://www.reddit.com/r/GERD/comments/awl9bu/trying_to_cold_turkey_from_20mg_omeprazole/")</f>
        <v/>
      </c>
      <c r="G500" t="inlineStr">
        <is>
          <t>2019-03-02 11:23:31</t>
        </is>
      </c>
      <c r="H500" t="inlineStr"/>
    </row>
    <row r="501">
      <c r="A501" t="inlineStr">
        <is>
          <t>awo3uk</t>
        </is>
      </c>
      <c r="B501" t="inlineStr">
        <is>
          <t>Esophagitis</t>
        </is>
      </c>
      <c r="C501" t="inlineStr">
        <is>
          <t>Has anyone here ever had esophagitis? What were your symptoms?
I'm getting an endoscopy in a month, and I think I have esophagitis atm. My stomach has been spitting pure acid up my throat for a week now (since I had candies). It seems like I get my reflux in attacks, like it'll be really bad for a week or two, then I am symptom-free for awhile. My chest is burning, I'm nauseous as hell (have to fight the urge to throw up while eating), and I get chest pain when eating stuff like grains ( also has trouble going down), and most importantly I get shortness of breath while/after eating as well as esophageal spasms.
&amp;amp;#x200B;</t>
        </is>
      </c>
      <c r="D501" t="n">
        <v>3</v>
      </c>
      <c r="E501" t="n">
        <v>11</v>
      </c>
      <c r="F501">
        <f>HYPERLINK("https://www.reddit.com/r/GERD/comments/awo3uk/esophagitis/")</f>
        <v/>
      </c>
      <c r="G501" t="inlineStr">
        <is>
          <t>2019-03-02 15:57:15</t>
        </is>
      </c>
      <c r="H501" t="inlineStr"/>
    </row>
    <row r="502">
      <c r="A502" t="inlineStr">
        <is>
          <t>awso5m</t>
        </is>
      </c>
      <c r="B502" t="inlineStr">
        <is>
          <t>Does going cold turkey have known risks?</t>
        </is>
      </c>
      <c r="C502" t="inlineStr">
        <is>
          <t>So I posted yesterday that I'm going cold turkey from 20mg of omeprazole for four years.
The first 24 hours have been surprisingly easy - and this is the furthest I've made it on any of my three attempts to date.
I don't know if there's some physiological explanation (perhaps I've been under-responding to the medication, or my GERD is better). But besides a short flare up, which I took a Zantac for, I haven't had any extraordinary rebound.
One thing I have always worried about, though, is whether there are **risks to going cold turkey and tapering** \- both of which we know are going to cause some degree of **rebound hyperacidity**.
To rephrase that: 
The long-term negative health effects of GERD are very well established. Does anybody with medical info, or who follows GERD research,  know whether the exacerbation process that PPI withdrawal induces poses a threat to our well-being or whether it's over too short of a period to be of clinical significance?  
TIA</t>
        </is>
      </c>
      <c r="D502" t="n">
        <v>6</v>
      </c>
      <c r="E502" t="n">
        <v>7</v>
      </c>
      <c r="F502">
        <f>HYPERLINK("https://www.reddit.com/r/GERD/comments/awso5m/does_going_cold_turkey_have_known_risks/")</f>
        <v/>
      </c>
      <c r="G502" t="inlineStr">
        <is>
          <t>2019-03-03 01:59:26</t>
        </is>
      </c>
      <c r="H502" t="inlineStr"/>
    </row>
    <row r="503">
      <c r="A503" t="inlineStr">
        <is>
          <t>awsqe1</t>
        </is>
      </c>
      <c r="B503" t="inlineStr">
        <is>
          <t>These pills (omeprazole 20 MG , presumably enteric coated) shouldn't be split, right?</t>
        </is>
      </c>
      <c r="C503" t="inlineStr">
        <is>
          <t>Photos of my omeprazole tablets - whole tablets and cross section after splitting:  
[https://imgur.com/a/Hd8PD6z](https://imgur.com/a/Hd8PD6z)</t>
        </is>
      </c>
      <c r="D503" t="n">
        <v>1</v>
      </c>
      <c r="E503" t="n">
        <v>4</v>
      </c>
      <c r="F503">
        <f>HYPERLINK("https://www.reddit.com/r/GERD/comments/awsqe1/these_pills_omeprazole_20_mg_presumably_enteric/")</f>
        <v/>
      </c>
      <c r="G503" t="inlineStr">
        <is>
          <t>2019-03-03 02:09:25</t>
        </is>
      </c>
      <c r="H503" t="inlineStr"/>
    </row>
    <row r="504">
      <c r="A504" t="inlineStr">
        <is>
          <t>awt1gk</t>
        </is>
      </c>
      <c r="B504" t="inlineStr">
        <is>
          <t>Gas (?) travelling from stomach and getting trapped in esophagus</t>
        </is>
      </c>
      <c r="C504" t="inlineStr">
        <is>
          <t>So randomly throughout the day I get the feeling that something has become stuck in my esophagus (below breastbone) and sometimes I can push whatever is caught back down with water (which causes a lot of pain), and other times water won't do anything and I'll need to keep eating solid food to get relief from this sensation. I assume that gas from stomach is travelling up into my esophagus and getting stuck there.
I have a 3cm sliding hiatus hernia, perhaps that is contributing to this. 
I have googled this symptom for days and cannot find anything about it. I was hoping someone here could shed some light on this. It's causing suffering in the sense that my body is always sending signals of anxiety to mind to get whatever is stuck down.</t>
        </is>
      </c>
      <c r="D504" t="n">
        <v>3</v>
      </c>
      <c r="E504" t="n">
        <v>1</v>
      </c>
      <c r="F504">
        <f>HYPERLINK("https://www.reddit.com/r/GERD/comments/awt1gk/gas_travelling_from_stomach_and_getting_trapped/")</f>
        <v/>
      </c>
      <c r="G504" t="inlineStr">
        <is>
          <t>2019-03-03 03:02:13</t>
        </is>
      </c>
      <c r="H504" t="inlineStr"/>
    </row>
    <row r="505">
      <c r="A505" t="inlineStr">
        <is>
          <t>awuhrr</t>
        </is>
      </c>
      <c r="B505" t="inlineStr">
        <is>
          <t>Clear endoscopy 18 months ago</t>
        </is>
      </c>
      <c r="C505" t="inlineStr">
        <is>
          <t>If I had a clear esdoscopy 18months ago is it possible to have developed cancer or barretts in such a short space of time?
Also I am wondering does barretts always come before cancer or can cancer just arrive without it?
Confused and still suffering!
Thanks</t>
        </is>
      </c>
      <c r="D505" t="n">
        <v>1</v>
      </c>
      <c r="E505" t="n">
        <v>6</v>
      </c>
      <c r="F505">
        <f>HYPERLINK("https://www.reddit.com/r/GERD/comments/awuhrr/clear_endoscopy_18_months_ago/")</f>
        <v/>
      </c>
      <c r="G505" t="inlineStr">
        <is>
          <t>2019-03-03 06:35:12</t>
        </is>
      </c>
      <c r="H505" t="inlineStr"/>
    </row>
    <row r="506">
      <c r="A506" t="inlineStr">
        <is>
          <t>awuin1</t>
        </is>
      </c>
      <c r="B506" t="inlineStr">
        <is>
          <t>New to all this</t>
        </is>
      </c>
      <c r="C506" t="inlineStr">
        <is>
          <t xml:space="preserve">I know this subreddit does not substitute medical advise, so I guess I’m just looking for reassurance. 
My story: wake up Sunday really lightheaded and feel that way all day. 
Monday, still feel lightheaded by now there’s also an ache in my chest by my left shoulder. 
Tuesday, go and see a dr, he’s only really interested in the dizziness. 
Wednesday, there is now pain between my shoulder blades, down my left arm and in my chest. I’ve been eating normally so far but that evening I eat and feel really nauseous. Go to the hospital for fear it’s cardiac but I’m told my heart is fine. Given Omeprazole and told it’s likely gastric. Take one at 3am.
Thursday, go to my GP who says he’ll refer me to a chest clinic but also doesn’t think it’s my heart. That night I eat dinner (lots of tomatoes) and have terrible bloating, like a ballon is being inflated in my stomach. Take the other Omeprazole I was given. I’m also still getting arm/armpit pain, as well as chest and back pain. 
Friday, back to the GP, given more Omeprazole and told to take it for 2 months. 
Saturday, start properly taking Omeprazole. Get gurgling and discomfort after eating (making sure to not eat anything too acidic), still getting chest pains sometimes. 
Sunday (today), took Omeprazole before breakfast, still feel weak and sometimes lightheaded. Went to the supermarket and felt terrible, tough time breathing, lightheaded, chest and arm pain. It definitely seems I get symptoms just walking about, nothing strenuous. I just feel really weak and rundown. I have a very slight lump in my throat but no real problem swallowing. I don’t feel any particular pain or discomfort at night. 
So I guess I’m wondering, how long did it take for you guys to start to feel vaguely normal again? Are these the kinds of symptoms other people have felt? It’s really starting to get me down and it’s only been a few days. </t>
        </is>
      </c>
      <c r="D506" t="n">
        <v>2</v>
      </c>
      <c r="E506" t="n">
        <v>5</v>
      </c>
      <c r="F506">
        <f>HYPERLINK("https://www.reddit.com/r/GERD/comments/awuin1/new_to_all_this/")</f>
        <v/>
      </c>
      <c r="G506" t="inlineStr">
        <is>
          <t>2019-03-03 06:38:04</t>
        </is>
      </c>
      <c r="H506" t="inlineStr"/>
    </row>
    <row r="507">
      <c r="A507" t="inlineStr">
        <is>
          <t>awuug6</t>
        </is>
      </c>
      <c r="B507" t="inlineStr">
        <is>
          <t>Did you have sudden acid reflux/GERD?</t>
        </is>
      </c>
      <c r="C507" t="inlineStr">
        <is>
          <t xml:space="preserve">I was wondering if anybody who started suffering from GERD suddenly had any illnesses or symptoms before its full onset? Ate any new foods or anything you suspect? 
I had some fast food then suffered with diarrhoea  and tummy pains for about a day. I had trapped gas in my throat continously. Then in the same week, a few days later, had some spicy food then was hit with acid reflux. 
</t>
        </is>
      </c>
      <c r="D507" t="n">
        <v>2</v>
      </c>
      <c r="E507" t="n">
        <v>13</v>
      </c>
      <c r="F507">
        <f>HYPERLINK("https://www.reddit.com/r/GERD/comments/awuug6/did_you_have_sudden_acid_refluxgerd/")</f>
        <v/>
      </c>
      <c r="G507" t="inlineStr">
        <is>
          <t>2019-03-03 07:14:40</t>
        </is>
      </c>
      <c r="H507" t="inlineStr"/>
    </row>
    <row r="508">
      <c r="A508" t="inlineStr">
        <is>
          <t>awvjef</t>
        </is>
      </c>
      <c r="B508" t="inlineStr">
        <is>
          <t>Lung pain from GERD?</t>
        </is>
      </c>
      <c r="C508" t="inlineStr">
        <is>
          <t>Hey guys, so I'm an 18 year old and I've had gastritis since the beginning of this year. I'm currently on Carafate which has worked wonders for me, I almost feel like I'm back to my normal life. But last night I was eating dinner and I noticed some pain in my lungs whenever I would inhale deeply. I'm not sure if I inhaled water, food, or acid in my lungs? Or if this is just irritation from acid reflux? It gets pretty bad whenever I swallow food or water and I'm not sure why. Breakfast this morning was pretty rough.. it hurt to breathe. It also feels like I have to burp pretty frequently, yet nothing comes out. Have any of you ever experienced this with GERD? Thanks!</t>
        </is>
      </c>
      <c r="D508" t="n">
        <v>0</v>
      </c>
      <c r="E508" t="n">
        <v>5</v>
      </c>
      <c r="F508">
        <f>HYPERLINK("https://www.reddit.com/r/GERD/comments/awvjef/lung_pain_from_gerd/")</f>
        <v/>
      </c>
      <c r="G508" t="inlineStr">
        <is>
          <t>2019-03-03 08:27:20</t>
        </is>
      </c>
      <c r="H508" t="inlineStr"/>
    </row>
    <row r="509">
      <c r="A509" t="inlineStr">
        <is>
          <t>awwf3v</t>
        </is>
      </c>
      <c r="B509" t="inlineStr">
        <is>
          <t>Fogo De Chao</t>
        </is>
      </c>
      <c r="C509" t="inlineStr">
        <is>
          <t xml:space="preserve">Wondering if anyone has gone and what are possible foods I can eat. 
Any suggestions? </t>
        </is>
      </c>
      <c r="D509" t="n">
        <v>0</v>
      </c>
      <c r="E509" t="n">
        <v>1</v>
      </c>
      <c r="F509">
        <f>HYPERLINK("https://www.reddit.com/r/GERD/comments/awwf3v/fogo_de_chao/")</f>
        <v/>
      </c>
      <c r="G509" t="inlineStr">
        <is>
          <t>2019-03-03 09:52:23</t>
        </is>
      </c>
      <c r="H509" t="inlineStr"/>
    </row>
    <row r="510">
      <c r="A510" t="inlineStr">
        <is>
          <t>awwhde</t>
        </is>
      </c>
      <c r="B510" t="inlineStr">
        <is>
          <t>GERD is caused by too little acid??</t>
        </is>
      </c>
      <c r="C510" t="inlineStr">
        <is>
          <t>Hi everyone!
&amp;amp;#x200B;
I have had GERD for years now, symptomless due to diet, except for 2 months ago. I got really sick, really fast, I thought I was dying, and though there was probably something else in play, GERD flared up. Doctor put me on PPI, but I absolutely hate it and want to put that thing down asap. 
For a while I was feeling better, then a few weeks ago I started experiencing bloating, sharp stomach pain, diarrhea. I suspected it could be the result of not sufficiently processed food, due to lack of acid, so I looked things up on the internet. 
&amp;amp;#x200B;
According to multiple sources, GERD is caused by not enough acid in the stomach; and not too much as I've been told by everyone. I was so confused. They said that PPIs only make things worse, and people should take things to produce more acid. 
Does anyone have information about this? Would it work?</t>
        </is>
      </c>
      <c r="D510" t="n">
        <v>1</v>
      </c>
      <c r="E510" t="n">
        <v>2</v>
      </c>
      <c r="F510">
        <f>HYPERLINK("https://www.reddit.com/r/GERD/comments/awwhde/gerd_is_caused_by_too_little_acid/")</f>
        <v/>
      </c>
      <c r="G510" t="inlineStr">
        <is>
          <t>2019-03-03 09:58:16</t>
        </is>
      </c>
      <c r="H510" t="inlineStr"/>
    </row>
    <row r="511">
      <c r="A511" t="inlineStr">
        <is>
          <t>awwido</t>
        </is>
      </c>
      <c r="B511" t="inlineStr">
        <is>
          <t>Contradictory "facts" on Barrett's Esophagus</t>
        </is>
      </c>
      <c r="C511" t="inlineStr">
        <is>
          <t>Some stuff I read are scary like, "BE is a precursor to Cancer and is very serious." Some say that the incidence of BE progressing to cancer is so small that is should not be cause for alarm-- the 2/3 year monitoring is just a safety precaution.
&amp;amp;#x200B;
What is the REAL facts on this?
&amp;amp;#x200B;
Example of scary BE prognosis:
[https://www.valleyhealthcancercenter.com/cancer-services/barretts-esophagus-gerd](https://www.valleyhealthcancercenter.com/cancer-services/barretts-esophagus-gerd)
&amp;amp;#x200B;
Example of not really scary BE prognosis:
[https://well.blogs.nytimes.com/2011/10/13/cancer-risk-from-barretts-esophagus-lower-than-thought/](https://well.blogs.nytimes.com/2011/10/13/cancer-risk-from-barretts-esophagus-lower-than-thought/)
&amp;amp;#x200B;
My last endoscopy which was done because I had a long-term history of stomach issues, was around 5 years ago, and they just found some minor "scratches" and irritation as well as gastritis. GERD wasn't even mentioned. And definitely no Barrett's.
&amp;amp;#x200B;
Thing is, the years after that, I kept on eating all the "bad stuff" like spices, acidic food, and now my throat/area under my chin feels inflamed for the past month that it "feels like something is there" I visited the ENT and said my throat was just slighly inflamed and gave me antibiotics. She dismissed any of my fears of anything else more serious.</t>
        </is>
      </c>
      <c r="D511" t="n">
        <v>2</v>
      </c>
      <c r="E511" t="n">
        <v>7</v>
      </c>
      <c r="F511">
        <f>HYPERLINK("https://www.reddit.com/r/GERD/comments/awwido/contradictory_facts_on_barretts_esophagus/")</f>
        <v/>
      </c>
      <c r="G511" t="inlineStr">
        <is>
          <t>2019-03-03 10:00:45</t>
        </is>
      </c>
      <c r="H511" t="inlineStr"/>
    </row>
    <row r="512">
      <c r="A512" t="inlineStr">
        <is>
          <t>awxns6</t>
        </is>
      </c>
      <c r="B512" t="inlineStr">
        <is>
          <t>My story</t>
        </is>
      </c>
      <c r="C512" t="inlineStr">
        <is>
          <t xml:space="preserve">Hey guys,
I try to keep it as short as it possible, so here it goes. I'm a 21 years old guy and I had weird symptoms all my life, basically the only symptom that I had was that annoying feeling in my throat, like a lump, there were periods of time when I felt something is in my throat. I felt like it's going down in my throat..I've never felt like it's a problem because I felt like that since my childhood, so I was like, okay, there should be no problem with me. I had no symptoms like heartburn or other GERD related symptoms just this weird feeling in my throat, and sometimes it was hard to swallow.
I was thinking about going to a special doctor and get it checked out in the past couple of years but I was really scared and lazy. 
But, finally, I went to the doctor last week and the doctors have said that I'm healthy as hell and there is nothing wrong with me, I have no reflux. Then they have asked me about my past and if I was bullied as a child, and the reality is, I was, so badly..I was bullied in primary school for 3-4 years, it was a quite stressful time for me. I don't know how are these connected but okay. 
Since the diagnosis I haven't felt that weird feeling in my throat as before, is it gone, maybe, and I hope forever.
</t>
        </is>
      </c>
      <c r="D512" t="n">
        <v>1</v>
      </c>
      <c r="E512" t="n">
        <v>2</v>
      </c>
      <c r="F512">
        <f>HYPERLINK("https://www.reddit.com/r/GERD/comments/awxns6/my_story/")</f>
        <v/>
      </c>
      <c r="G512" t="inlineStr">
        <is>
          <t>2019-03-03 11:42:59</t>
        </is>
      </c>
      <c r="H512" t="inlineStr"/>
    </row>
    <row r="513">
      <c r="A513" t="inlineStr">
        <is>
          <t>awzd0d</t>
        </is>
      </c>
      <c r="B513" t="inlineStr">
        <is>
          <t>Toupet Fundoplication - has anyone had this? Looking for experiences, advice.</t>
        </is>
      </c>
      <c r="C513" t="inlineStr">
        <is>
          <t xml:space="preserve">Has anyone here had a Toupet Fundoplication? I was offered this by my doctor, and am seriously considering it. 
History:
* Dealing with reflux for 21 years, since I was 18. 
* On PPI’s for 13 years. 
* I’ve lost 130lbs over the last 10 years, but I still have symptoms, arguably worse now than before. 
* Recent tests have shown esophageal dysmotility, plus irregular Z-line/Barrett’s (depending on who you ask)
* Diagnosed with Eosinophilic Esophagitis. 
* Ph monitoring showed normal acid exposure, but a high number of reflux events. (Demeester score was 2.5.) 
* Impedance/Manometry showed weak LES. 
I can’t do the Nissen or the Lynx due to the esophageal dysmotility, but I’ve gotten the OK for the Toupet. But I’m hoping to talk to someone who’s had that surgery, to see what their experience has been. My big concern, too, is how long it would last before I’d need a re-do. 
Thanks in advance. </t>
        </is>
      </c>
      <c r="D513" t="n">
        <v>1</v>
      </c>
      <c r="E513" t="n">
        <v>6</v>
      </c>
      <c r="F513">
        <f>HYPERLINK("https://www.reddit.com/r/GERD/comments/awzd0d/toupet_fundoplication_has_anyone_had_this_looking/")</f>
        <v/>
      </c>
      <c r="G513" t="inlineStr">
        <is>
          <t>2019-03-03 14:19:29</t>
        </is>
      </c>
      <c r="H513" t="inlineStr"/>
    </row>
    <row r="514">
      <c r="A514" t="inlineStr">
        <is>
          <t>awzeyl</t>
        </is>
      </c>
      <c r="B514" t="inlineStr">
        <is>
          <t>Reflux pain triggered by crying/being upset?</t>
        </is>
      </c>
      <c r="C514" t="inlineStr">
        <is>
          <t>I was watching a movie that made me cry and suddenly noticed chest pain and throat pain lasting a few minutes after I stopped crying. This happened twice. Does anyone else notice a correlation?</t>
        </is>
      </c>
      <c r="D514" t="n">
        <v>3</v>
      </c>
      <c r="E514" t="n">
        <v>2</v>
      </c>
      <c r="F514">
        <f>HYPERLINK("https://www.reddit.com/r/GERD/comments/awzeyl/reflux_pain_triggered_by_cryingbeing_upset/")</f>
        <v/>
      </c>
      <c r="G514" t="inlineStr">
        <is>
          <t>2019-03-03 14:24:45</t>
        </is>
      </c>
      <c r="H514" t="inlineStr"/>
    </row>
    <row r="515">
      <c r="A515" t="inlineStr">
        <is>
          <t>awzpmw</t>
        </is>
      </c>
      <c r="B515" t="inlineStr">
        <is>
          <t>What diet/food has helped you to relieve your symptoms?</t>
        </is>
      </c>
      <c r="C515" t="inlineStr">
        <is>
          <t xml:space="preserve">I've been to my doctor 2 times for my GERD (1st time was to prescribe me tecta pantoprazole magnesium, 2nd visit was to prescribe me Dexilant as the tecta did not work.) Now that I'm coming off Dexilant I'm having reoccurring symptoms daily again, having to take around 6-8 extra strength Gaviscon. I have a follow up appointment with my doctor, and I'm going to request a specialist. However, while all of this goes on, what are some diet/foods that have worked for you guys to relieve symptoms? I eat relatively healthy, keep the greasy food to a bare minimum, low sodium, drink coffee infrequently, no alcohol, etc. Just looking for ideas!
Thanks!! </t>
        </is>
      </c>
      <c r="D515" t="n">
        <v>4</v>
      </c>
      <c r="E515" t="n">
        <v>12</v>
      </c>
      <c r="F515">
        <f>HYPERLINK("https://www.reddit.com/r/GERD/comments/awzpmw/what_dietfood_has_helped_you_to_relieve_your/")</f>
        <v/>
      </c>
      <c r="G515" t="inlineStr">
        <is>
          <t>2019-03-03 14:53:35</t>
        </is>
      </c>
      <c r="H515" t="inlineStr"/>
    </row>
    <row r="516">
      <c r="A516" t="inlineStr">
        <is>
          <t>awzwg0</t>
        </is>
      </c>
      <c r="B516" t="inlineStr">
        <is>
          <t>Effect of PPIs on Cognition</t>
        </is>
      </c>
      <c r="C516" t="inlineStr">
        <is>
          <t>Just wanted to make it aware in this sub that such research has been made on PPI's. Tried to crosspost but noticed it's disabled on this sub.  
[https://www.ncbi.nlm.nih.gov/pmc/articles/PMC4696341/#!po=35.8108](https://www.ncbi.nlm.nih.gov/pmc/articles/PMC4696341/#!po=35.8108)  
I know it's not something any of us would want to here but take a look.</t>
        </is>
      </c>
      <c r="D516" t="n">
        <v>8</v>
      </c>
      <c r="E516" t="n">
        <v>22</v>
      </c>
      <c r="F516">
        <f>HYPERLINK("https://www.reddit.com/r/GERD/comments/awzwg0/effect_of_ppis_on_cognition/")</f>
        <v/>
      </c>
      <c r="G516" t="inlineStr">
        <is>
          <t>2019-03-03 15:11:45</t>
        </is>
      </c>
      <c r="H516" t="inlineStr"/>
    </row>
    <row r="517">
      <c r="A517" t="inlineStr">
        <is>
          <t>ax16py</t>
        </is>
      </c>
      <c r="B517" t="inlineStr">
        <is>
          <t>Does a life of GERD mean can no longer enjoy good food?</t>
        </is>
      </c>
      <c r="C517" t="inlineStr">
        <is>
          <t>I mean good restaurant food??
How do you handle your craving for spices and stuff because it seems the GERD is as and as paper :(</t>
        </is>
      </c>
      <c r="D517" t="n">
        <v>3</v>
      </c>
      <c r="E517" t="n">
        <v>23</v>
      </c>
      <c r="F517">
        <f>HYPERLINK("https://www.reddit.com/r/GERD/comments/ax16py/does_a_life_of_gerd_mean_can_no_longer_enjoy_good/")</f>
        <v/>
      </c>
      <c r="G517" t="inlineStr">
        <is>
          <t>2019-03-03 17:23:53</t>
        </is>
      </c>
      <c r="H517" t="inlineStr"/>
    </row>
    <row r="518">
      <c r="A518" t="inlineStr">
        <is>
          <t>ax1kvp</t>
        </is>
      </c>
      <c r="B518" t="inlineStr">
        <is>
          <t>Anti reflux surgery ???</t>
        </is>
      </c>
      <c r="C518" t="inlineStr">
        <is>
          <t xml:space="preserve">Has anyone here got the Nissan Fundoplication surgery 20 to 30 years ago and is your reflux still gone and is your wrap still good? </t>
        </is>
      </c>
      <c r="D518" t="n">
        <v>2</v>
      </c>
      <c r="E518" t="n">
        <v>1</v>
      </c>
      <c r="F518">
        <f>HYPERLINK("https://www.reddit.com/r/GERD/comments/ax1kvp/anti_reflux_surgery/")</f>
        <v/>
      </c>
      <c r="G518" t="inlineStr">
        <is>
          <t>2019-03-03 18:05:48</t>
        </is>
      </c>
      <c r="H518" t="inlineStr"/>
    </row>
    <row r="519">
      <c r="A519" t="inlineStr">
        <is>
          <t>ax247r</t>
        </is>
      </c>
      <c r="B519" t="inlineStr">
        <is>
          <t>Surgery for lpr ?</t>
        </is>
      </c>
      <c r="C519" t="inlineStr">
        <is>
          <t xml:space="preserve">Has anyone has the Nissan Fundoplication surgery for lpr ? What was your experience?what tests did you do ? </t>
        </is>
      </c>
      <c r="D519" t="n">
        <v>4</v>
      </c>
      <c r="E519" t="n">
        <v>2</v>
      </c>
      <c r="F519">
        <f>HYPERLINK("https://www.reddit.com/r/GERD/comments/ax247r/surgery_for_lpr/")</f>
        <v/>
      </c>
      <c r="G519" t="inlineStr">
        <is>
          <t>2019-03-03 19:03:02</t>
        </is>
      </c>
      <c r="H519" t="inlineStr"/>
    </row>
    <row r="520">
      <c r="A520" t="inlineStr">
        <is>
          <t>ax65dg</t>
        </is>
      </c>
      <c r="B520" t="inlineStr">
        <is>
          <t>Possible LPR?</t>
        </is>
      </c>
      <c r="C520" t="inlineStr">
        <is>
          <t>Hi everyone,
&amp;amp;#x200B;
I've had an issue with my throat for about two months now but I'm not sure if it's LPR/GERD. I have constant mucus in the back of my throat but no feeling of a lump when I swallow. I'll have a very small burst of throat pain (very mild) for a few seconds or so about twice a day but no other symptoms other than this. I don't feel like I ever have to clear my throat and I don't have a cough.
&amp;amp;#x200B;
I did try Nystatin as the back of my tongue was a bit white which helped for a few days. Does it sound like I have something else other than LPR? Maybe unresolved oral thrush, perhaps? I don't have a horse voice though it can be uncomfortable after speaking for a while.
&amp;amp;#x200B;
Any replies are most appreciated. I'm anxious as hell. :)</t>
        </is>
      </c>
      <c r="D520" t="n">
        <v>1</v>
      </c>
      <c r="E520" t="n">
        <v>3</v>
      </c>
      <c r="F520">
        <f>HYPERLINK("https://www.reddit.com/r/GERD/comments/ax65dg/possible_lpr/")</f>
        <v/>
      </c>
      <c r="G520" t="inlineStr">
        <is>
          <t>2019-03-04 03:35:08</t>
        </is>
      </c>
      <c r="H520" t="inlineStr"/>
    </row>
    <row r="521">
      <c r="A521" t="inlineStr">
        <is>
          <t>ax7iky</t>
        </is>
      </c>
      <c r="B521" t="inlineStr">
        <is>
          <t>What to eat during a GERD or LPR flare up?</t>
        </is>
      </c>
      <c r="C521" t="inlineStr">
        <is>
          <t>Over the last few months my LPR flare-ups are getting worse and worse. I get an extremely sore throat, and lose my voice for days. During this time it seems that everything I eat causes more harm.
When you're in the middle of a flare up, what foods do you eat to get back to health?</t>
        </is>
      </c>
      <c r="D521" t="n">
        <v>4</v>
      </c>
      <c r="E521" t="n">
        <v>15</v>
      </c>
      <c r="F521">
        <f>HYPERLINK("https://www.reddit.com/r/GERD/comments/ax7iky/what_to_eat_during_a_gerd_or_lpr_flare_up/")</f>
        <v/>
      </c>
      <c r="G521" t="inlineStr">
        <is>
          <t>2019-03-04 06:09:01</t>
        </is>
      </c>
      <c r="H521" t="inlineStr"/>
    </row>
    <row r="522">
      <c r="A522" t="inlineStr">
        <is>
          <t>axa8sn</t>
        </is>
      </c>
      <c r="B522" t="inlineStr">
        <is>
          <t>Can being on PPIs interfere with endoscopy?</t>
        </is>
      </c>
      <c r="C522" t="inlineStr">
        <is>
          <t>I'm just wondering if being on PPIs can lead to a less effective endoscopy or cause it to miss something. I was on PPIs for a few months when I got an endoscopy, and the endoscopy came back all clear. And I'm confused as to how to interpret that.</t>
        </is>
      </c>
      <c r="D522" t="n">
        <v>2</v>
      </c>
      <c r="E522" t="n">
        <v>9</v>
      </c>
      <c r="F522">
        <f>HYPERLINK("https://www.reddit.com/r/GERD/comments/axa8sn/can_being_on_ppis_interfere_with_endoscopy/")</f>
        <v/>
      </c>
      <c r="G522" t="inlineStr">
        <is>
          <t>2019-03-04 10:10:02</t>
        </is>
      </c>
      <c r="H522" t="inlineStr"/>
    </row>
    <row r="523">
      <c r="A523" t="inlineStr">
        <is>
          <t>axaw5b</t>
        </is>
      </c>
      <c r="B523" t="inlineStr">
        <is>
          <t>LPR or Esophagitis?</t>
        </is>
      </c>
      <c r="C523" t="inlineStr">
        <is>
          <t>About a year and a half ago I noticed that I was constantly clearing my throat and it felt like there was phlegm stuck that wouldn’t come out. After some research I learned that it might be LPR. However, my son has been diagnosed with eosinophilic esophagitis and has not had any issues for a few years now. I believe that he might have actually had esophagitis caused by environmental factors. 
Last week I was sweeping the basement in my 100 year old home. Of course I didn’t wear a mask. That night I woke up and it felt like my throat was burning and constricted. It felt like there was food or something stuck. I’m 33 years old and this is the first time I have experienced anything like this. 
The LPR symptoms (throat clearing, coughing, burning feeling) have slowly progressed lately so I visited a GI who put me on 40mg daily of omeprazole. The medication doesn’t seem to have done a lick of good, in fact I feel worse off over the past 5 or so weeks of being on omeprazole. I called my GI today to request an upper endoscopy. My throat feels a little better now than it did last week. It doesn’t feel quite as constricted. Does this sound like LPR or esophagitis to any of you?</t>
        </is>
      </c>
      <c r="D523" t="n">
        <v>2</v>
      </c>
      <c r="E523" t="n">
        <v>2</v>
      </c>
      <c r="F523">
        <f>HYPERLINK("https://www.reddit.com/r/GERD/comments/axaw5b/lpr_or_esophagitis/")</f>
        <v/>
      </c>
      <c r="G523" t="inlineStr">
        <is>
          <t>2019-03-04 11:03:35</t>
        </is>
      </c>
      <c r="H523" t="inlineStr"/>
    </row>
    <row r="524">
      <c r="A524" t="inlineStr">
        <is>
          <t>axb8sf</t>
        </is>
      </c>
      <c r="B524" t="inlineStr">
        <is>
          <t>Anyone else got red bumps and wounds at the back of their throats?</t>
        </is>
      </c>
      <c r="C524" t="inlineStr">
        <is>
          <t>It seems a bit unusual as I have them for a couple of weeks now and they don't seem to be going away. I'm suffering constant throat pain and even though I don't feel acid getting up that high it seems to still be damaging the throat. That or it's some sort of infection that doesn't heal (going to the doc in a few days to find out). I first noticed this when I looked at my throat with a flashlight through a mirror. It would relieve some of my anxiety if any of you guys relate or experienced and managed to control the same thing. I'll attach a few pictures to give an idea.  
Warning : may be gross but probably not cuz GERD feels more gross than any picture  
[https://i.imgur.com/Ft7hlW9.jpg](https://i.imgur.com/Ft7hlW9.jpg)  
As I said those bumps aren't disappearing, what are they exactly? I understand the wounds but not the bumps, doesn't seem like they're filled with puss or anything. I have my tonsils removed btw.</t>
        </is>
      </c>
      <c r="D524" t="n">
        <v>3</v>
      </c>
      <c r="E524" t="n">
        <v>4</v>
      </c>
      <c r="F524">
        <f>HYPERLINK("https://www.reddit.com/r/GERD/comments/axb8sf/anyone_else_got_red_bumps_and_wounds_at_the_back/")</f>
        <v/>
      </c>
      <c r="G524" t="inlineStr">
        <is>
          <t>2019-03-04 11:32:33</t>
        </is>
      </c>
      <c r="H524" t="inlineStr"/>
    </row>
    <row r="525">
      <c r="A525" t="inlineStr">
        <is>
          <t>axbmnr</t>
        </is>
      </c>
      <c r="B525" t="inlineStr">
        <is>
          <t>Chips? Caffeine-free soda? Beer? Cheesecake? Pancakes?</t>
        </is>
      </c>
      <c r="C525" t="inlineStr">
        <is>
          <t xml:space="preserve">Can anyone in this sub with reflux issues eat this stuff while on or off PPIs? </t>
        </is>
      </c>
      <c r="D525" t="n">
        <v>3</v>
      </c>
      <c r="E525" t="n">
        <v>9</v>
      </c>
      <c r="F525">
        <f>HYPERLINK("https://www.reddit.com/r/GERD/comments/axbmnr/chips_caffeinefree_soda_beer_cheesecake_pancakes/")</f>
        <v/>
      </c>
      <c r="G525" t="inlineStr">
        <is>
          <t>2019-03-04 12:04:12</t>
        </is>
      </c>
      <c r="H525" t="inlineStr"/>
    </row>
    <row r="526">
      <c r="A526" t="inlineStr">
        <is>
          <t>axcm1l</t>
        </is>
      </c>
      <c r="B526" t="inlineStr">
        <is>
          <t>GERD-Friendly food alternatives?</t>
        </is>
      </c>
      <c r="C526" t="inlineStr">
        <is>
          <t>Pardon my lack of knowledge on the topic. My husband has GERD and reflux that wakes him up choking at night. He takes Omeprazole every day and the choking only happens if he misses a pill or two. That said, I'm trying to make our meals more GERD friendly, but I don't know how to substitute things like tomatoes and peppers without sacrificing flavor. He likes tomato sauce but it obviously causes problems. Our main foods I'm trying to substitute are tomatoes and chili. Chili has so many flavor profiles, I don't even know where to start. Any advice is appreciated!</t>
        </is>
      </c>
      <c r="D526" t="n">
        <v>3</v>
      </c>
      <c r="E526" t="n">
        <v>9</v>
      </c>
      <c r="F526">
        <f>HYPERLINK("https://www.reddit.com/r/GERD/comments/axcm1l/gerdfriendly_food_alternatives/")</f>
        <v/>
      </c>
      <c r="G526" t="inlineStr">
        <is>
          <t>2019-03-04 13:26:10</t>
        </is>
      </c>
      <c r="H526" t="inlineStr"/>
    </row>
    <row r="527">
      <c r="A527" t="inlineStr">
        <is>
          <t>axcrwe</t>
        </is>
      </c>
      <c r="B527" t="inlineStr">
        <is>
          <t>Update, talked to my GI about left rib cage pain and/or shortness of breathe</t>
        </is>
      </c>
      <c r="C527" t="inlineStr">
        <is>
          <t xml:space="preserve">Just some preliminary stuff about me...
Did an endoscopy in January ‘18 and I have grade A esophagitis and a small hiatial hernia. 35 years old and I’ve had heart burn for a while but it wasn’t until I started getting chest pains that I went to a GI. 
Got put on 40mg of Omeprazole and stopped as soon as I felt better by March. Then I ate like an idiot and drank and it started hurting again in August ‘18. Had an anxiety attack because I thought it was something else. Since then dealing with anxiety has made it sometimes worse but after seeing multiple doctors and getting clean bills of health I’m looking into therapy. 
Dull pain under left rib cage...
He said it’s just part of the esophagitis sometimes. I can sometimes feel food or drink hit that point and he actually asked me that before I said it and said “Yep it’s the ulcers in your esophagus” 
Shortness of breath...
I have asthma but as an adult I’ve rarely had to use my inhaler. But he said the acid is coming up and hitting my air passage. I actually had it when I was with him today and he said I sound fine, no weezing, it’s just irritation.
He took me off famatodine, I asked to be on it since it’s not as strong as Omeprazole. I’m now getting on Nexiun and have a follow up in June. 
Some misc stuff...
* Lost about 35 lbs since August initially due to not wanting to eat (the initial 15 or so) but now just good diet 
* Transitioning to “vegan” or just staying away from animal products because it’s actually made me feel good not eating that stuff, not saying it’s forever but it’s not bad
* Stopped coffee and alcohol completely and drink ginger tea once a day
* I track all my food in my fitness pal. Do it if you can it’s a huge help checking your macros and actual intake and what triggers you blah blah blah
* If you have anxiety get it in check people! It’s hard and I’m still fighting it but do what you can and realize you aren’t dying
Anyway I just outlined a bunch of stuff because I like searching stuff and try to help when I can. That being said go see a doctor if you can folks. 
</t>
        </is>
      </c>
      <c r="D527" t="n">
        <v>11</v>
      </c>
      <c r="E527" t="n">
        <v>9</v>
      </c>
      <c r="F527">
        <f>HYPERLINK("https://www.reddit.com/r/GERD/comments/axcrwe/update_talked_to_my_gi_about_left_rib_cage_pain/")</f>
        <v/>
      </c>
      <c r="G527" t="inlineStr">
        <is>
          <t>2019-03-04 13:39:53</t>
        </is>
      </c>
      <c r="H527" t="inlineStr"/>
    </row>
    <row r="528">
      <c r="A528" t="inlineStr">
        <is>
          <t>axd754</t>
        </is>
      </c>
      <c r="B528" t="inlineStr">
        <is>
          <t>Please help</t>
        </is>
      </c>
      <c r="C528" t="inlineStr">
        <is>
          <t xml:space="preserve">This all started the end of jan.2018 with my throat feeling like I was being lightly chocked or like something was stuck in my throat .Also a few months before that I started having a drippy nose and it would get worse when I went outside into the cold.I went tho the ENT thinking something was wrong with my thyroid being the area that felt uncomfortable was around the thyroid area  but I got a ultrasound and full panel blood test all came back fine.Then around April my teeth started burning (still don't know what this is about) .Then around june my ears would randomly have a stuffed feeling in them. I looked up my symptoms on google found out about LPR and figured I might have it.Ive changed my entire diet I dont eat spicy,greasy,coffee, alcohol.I eat mainly fruits except oranges and lemons vegetables,chicken,turkey and whole grains.Ive tried taking so many things out of my diet and it made no difference.Ive tried alkaline water,tums,zantac,some pills that you chew and drink water and it makes a float on top of stomach none of this has helped.I sleep with a wedge pillow.Ive tried chamomile,slippery elm,probiotics,ginger,eating smaller meals but then after an hour I'm really hungry, bigger meals,fasting and none has helped. Im not even close to overweight Im 5'7 125 pounds. And now within the last week for no reason at all now I think I have GERD because before this my only symptoms were throat feeling on and off. No coughing,no acid taste in mouth or throat,no heartburn but as of last monday 4 days now Ive had a sharp pain in my back and sternum and from what I know thats heartburn. It doesnt burn just aches I took 6 tums and it still didnt help. I dont know what to do anymore.I know I need to go to doctors but before this year I didnt have insurance and I want to do testing to figure out whats wrong with me. Im scared to be stuck on PPI's forever. I scared to even take them but Im willing to for a bit if I really need to.  </t>
        </is>
      </c>
      <c r="D528" t="n">
        <v>1</v>
      </c>
      <c r="E528" t="n">
        <v>2</v>
      </c>
      <c r="F528">
        <f>HYPERLINK("https://www.reddit.com/r/GERD/comments/axd754/please_help/")</f>
        <v/>
      </c>
      <c r="G528" t="inlineStr">
        <is>
          <t>2019-03-04 14:16:34</t>
        </is>
      </c>
      <c r="H528" t="inlineStr"/>
    </row>
    <row r="529">
      <c r="A529" t="inlineStr">
        <is>
          <t>axdrbc</t>
        </is>
      </c>
      <c r="B529" t="inlineStr">
        <is>
          <t>Please help! Could it be GERD? Tried everything!</t>
        </is>
      </c>
      <c r="C529" t="inlineStr">
        <is>
          <t xml:space="preserve">Hi all! 
Sorry in advance if this post isn’t allowed. I’m just trying to get some relief. On Jan 1 I started feeling chest pain. I have a few other minor symptoms, like a sore throat, stuffy nose and difficulty swallowing, cough, but the chest pain really takes the cake. I went to three different doctors who told me it’s post nasal drip. After three antibiotics, cough medicine and Flonase - nothing is clearing it up! Some days are better than others, but it never really goes away. 
Does this sound like acid reflux? Just trying to get an idea so I can ask my doctor about this next week. Thank you in advance! 
</t>
        </is>
      </c>
      <c r="D529" t="n">
        <v>3</v>
      </c>
      <c r="E529" t="n">
        <v>9</v>
      </c>
      <c r="F529">
        <f>HYPERLINK("https://www.reddit.com/r/GERD/comments/axdrbc/please_help_could_it_be_gerd_tried_everything/")</f>
        <v/>
      </c>
      <c r="G529" t="inlineStr">
        <is>
          <t>2019-03-04 15:06:00</t>
        </is>
      </c>
      <c r="H529" t="inlineStr"/>
    </row>
    <row r="530">
      <c r="A530" t="inlineStr">
        <is>
          <t>axe99x</t>
        </is>
      </c>
      <c r="B530" t="inlineStr">
        <is>
          <t>Am I a candidate for hiatal henia surgery?</t>
        </is>
      </c>
      <c r="C530" t="inlineStr">
        <is>
          <t xml:space="preserve">What symptoms qualify someone for the surgery? Lately my burping is VERY loud and usually only occurs when I'm supposed to be asleep. It wakes me up and I also have bad regurgitation and vomitting </t>
        </is>
      </c>
      <c r="D530" t="n">
        <v>5</v>
      </c>
      <c r="E530" t="n">
        <v>1</v>
      </c>
      <c r="F530">
        <f>HYPERLINK("https://www.reddit.com/r/GERD/comments/axe99x/am_i_a_candidate_for_hiatal_henia_surgery/")</f>
        <v/>
      </c>
      <c r="G530" t="inlineStr">
        <is>
          <t>2019-03-04 15:52:27</t>
        </is>
      </c>
      <c r="H530" t="inlineStr"/>
    </row>
    <row r="531">
      <c r="A531" t="inlineStr">
        <is>
          <t>axeiao</t>
        </is>
      </c>
      <c r="B531" t="inlineStr">
        <is>
          <t>PPI???</t>
        </is>
      </c>
      <c r="C531" t="inlineStr">
        <is>
          <t xml:space="preserve">recently I was put on ppi meds by my ent doctor for 2 weeks I am wondering how long do I have to be on ppi meds to get rebound? And Am I going to get rebound from being on ppi meds for 2 weeks ? </t>
        </is>
      </c>
      <c r="D531" t="n">
        <v>2</v>
      </c>
      <c r="E531" t="n">
        <v>1</v>
      </c>
      <c r="F531">
        <f>HYPERLINK("https://www.reddit.com/r/GERD/comments/axeiao/ppi/")</f>
        <v/>
      </c>
      <c r="G531" t="inlineStr">
        <is>
          <t>2019-03-04 16:16:22</t>
        </is>
      </c>
      <c r="H531" t="inlineStr"/>
    </row>
    <row r="532">
      <c r="A532" t="inlineStr">
        <is>
          <t>axelxg</t>
        </is>
      </c>
      <c r="B532" t="inlineStr">
        <is>
          <t>Surgery?</t>
        </is>
      </c>
      <c r="C532" t="inlineStr">
        <is>
          <t xml:space="preserve">Has anyone here had the Nissan Fundoplication surgery 15 to 30 years ago and is your reflux still gone ? any one who has expierence with this please reply </t>
        </is>
      </c>
      <c r="D532" t="n">
        <v>2</v>
      </c>
      <c r="E532" t="n">
        <v>5</v>
      </c>
      <c r="F532">
        <f>HYPERLINK("https://www.reddit.com/r/GERD/comments/axelxg/surgery/")</f>
        <v/>
      </c>
      <c r="G532" t="inlineStr">
        <is>
          <t>2019-03-04 16:25:49</t>
        </is>
      </c>
      <c r="H532" t="inlineStr"/>
    </row>
    <row r="533">
      <c r="A533" t="inlineStr">
        <is>
          <t>axem9m</t>
        </is>
      </c>
      <c r="B533" t="inlineStr">
        <is>
          <t>Qualifications??</t>
        </is>
      </c>
      <c r="C533" t="inlineStr">
        <is>
          <t>What are the qualifications for the Nissan Fundoplication surgery ???</t>
        </is>
      </c>
      <c r="D533" t="n">
        <v>2</v>
      </c>
      <c r="E533" t="n">
        <v>0</v>
      </c>
      <c r="F533">
        <f>HYPERLINK("https://www.reddit.com/r/GERD/comments/axem9m/qualifications/")</f>
        <v/>
      </c>
      <c r="G533" t="inlineStr">
        <is>
          <t>2019-03-04 16:26:43</t>
        </is>
      </c>
      <c r="H533" t="inlineStr"/>
    </row>
    <row r="534">
      <c r="A534" t="inlineStr">
        <is>
          <t>axeq1q</t>
        </is>
      </c>
      <c r="B534" t="inlineStr">
        <is>
          <t>I'm always here lol</t>
        </is>
      </c>
      <c r="C534" t="inlineStr">
        <is>
          <t>Does anyone who suffer from GERD/anxiety deal with feeling like air is in your throat making it really uncomfortable? And also I felt lightheaded today and I can't tell if it's my anxiety worrying about the air in throat feeling or if that's also a symptom of GERD. I went to get a checkup Saturday and she checked my throat and said everything was clear and said my issue was post nasal drip/GERD. She prescribed me famotidine and certizine</t>
        </is>
      </c>
      <c r="D534" t="n">
        <v>2</v>
      </c>
      <c r="E534" t="n">
        <v>13</v>
      </c>
      <c r="F534">
        <f>HYPERLINK("https://www.reddit.com/r/GERD/comments/axeq1q/im_always_here_lol/")</f>
        <v/>
      </c>
      <c r="G534" t="inlineStr">
        <is>
          <t>2019-03-04 16:37:10</t>
        </is>
      </c>
      <c r="H534" t="inlineStr"/>
    </row>
    <row r="535">
      <c r="A535" t="inlineStr">
        <is>
          <t>axfcxw</t>
        </is>
      </c>
      <c r="B535" t="inlineStr">
        <is>
          <t>Nightime Vomiting?</t>
        </is>
      </c>
      <c r="C535" t="inlineStr">
        <is>
          <t>Greetings - I am on a search for answers about unexplained nighttime vomiting.   We have ruled out everything major (blood tests, CT Scan) - but still don't know why its happening.  About once a month for the past year, I'll suddenly wake up and start vomiting everything in my stomach.  Beyond that I have waves of nausea here and there, strongest in the morning.  
There seems to be no discernible pattern to the vomiting which is why the doctors are stumped.  It tends to happen on weekends, so little things like staying up later, eating bigger meals, drinking moderately, etc.  But also there are way more nights i've done that and been fine.  Beer seems to aggravate it....maybe?  It's really hard to find any connection. 
&amp;amp;#x200B;
I dont really have any other reflux symptoms (i don't think), no heartburn, no "sour taste" in mouth.  Just looking for ideas....thanks. 
&amp;amp;#x200B;</t>
        </is>
      </c>
      <c r="D535" t="n">
        <v>5</v>
      </c>
      <c r="E535" t="n">
        <v>7</v>
      </c>
      <c r="F535">
        <f>HYPERLINK("https://www.reddit.com/r/GERD/comments/axfcxw/nightime_vomiting/")</f>
        <v/>
      </c>
      <c r="G535" t="inlineStr">
        <is>
          <t>2019-03-04 17:39:43</t>
        </is>
      </c>
      <c r="H535" t="inlineStr"/>
    </row>
    <row r="536">
      <c r="A536" t="inlineStr">
        <is>
          <t>axhd86</t>
        </is>
      </c>
      <c r="B536" t="inlineStr">
        <is>
          <t>Don't know why I'm succeeding in cold turkeying from my PPI!</t>
        </is>
      </c>
      <c r="C536" t="inlineStr">
        <is>
          <t>I'm past the 72 hour mark coming off 20mg omeprazole, which I have been taking for four years.
That's not so remarkable, but I attempted to come off it at least 3 times previously and on each occasion I couldn't make it past the first day - the burning was literally so bad.
I'm scratching my head trying to figure out what's different about this attempt but can't figure out any reasons - I haven't lost weight (although my BMI was always relatively okay), I drink as much coffee as I used to, and my diet hasn't changed. I would have thought the longer you're on the pills the harder the withdrawal is .... but apparently not.
Did anybody experience anything similar?</t>
        </is>
      </c>
      <c r="D536" t="n">
        <v>3</v>
      </c>
      <c r="E536" t="n">
        <v>11</v>
      </c>
      <c r="F536">
        <f>HYPERLINK("https://www.reddit.com/r/GERD/comments/axhd86/dont_know_why_im_succeeding_in_cold_turkeying/")</f>
        <v/>
      </c>
      <c r="G536" t="inlineStr">
        <is>
          <t>2019-03-04 21:19:01</t>
        </is>
      </c>
      <c r="H536" t="inlineStr"/>
    </row>
    <row r="537">
      <c r="A537" t="inlineStr">
        <is>
          <t>axhdlq</t>
        </is>
      </c>
      <c r="B537" t="inlineStr">
        <is>
          <t>Weird smelling breath</t>
        </is>
      </c>
      <c r="C537" t="inlineStr">
        <is>
          <t>I'm not such if this is a GERD symptom or not but around the time I started having LPR symptoms my husband started noticing my breath smells weird like milk that has been left out on the counter overnight .He said it never smelled like this before and says sometimes its stronger than others.But from what Ive read acid reflux breath smells really bad.Does anyone else have this weird smell? I know its not a hygiene problem or a tonsil problem either.</t>
        </is>
      </c>
      <c r="D537" t="n">
        <v>10</v>
      </c>
      <c r="E537" t="n">
        <v>2</v>
      </c>
      <c r="F537">
        <f>HYPERLINK("https://www.reddit.com/r/GERD/comments/axhdlq/weird_smelling_breath/")</f>
        <v/>
      </c>
      <c r="G537" t="inlineStr">
        <is>
          <t>2019-03-04 21:20:11</t>
        </is>
      </c>
      <c r="H537" t="inlineStr"/>
    </row>
    <row r="538">
      <c r="A538" t="inlineStr">
        <is>
          <t>axhohw</t>
        </is>
      </c>
      <c r="B538" t="inlineStr">
        <is>
          <t>Shrimp gave me reflux</t>
        </is>
      </c>
      <c r="C538" t="inlineStr">
        <is>
          <t>Does anyone know why plain shrimp without anything added would give me reflux/heartburn?</t>
        </is>
      </c>
      <c r="D538" t="n">
        <v>1</v>
      </c>
      <c r="E538" t="n">
        <v>4</v>
      </c>
      <c r="F538">
        <f>HYPERLINK("https://www.reddit.com/r/GERD/comments/axhohw/shrimp_gave_me_reflux/")</f>
        <v/>
      </c>
      <c r="G538" t="inlineStr">
        <is>
          <t>2019-03-04 21:56:07</t>
        </is>
      </c>
      <c r="H538" t="inlineStr"/>
    </row>
    <row r="539">
      <c r="A539" t="inlineStr">
        <is>
          <t>axkzy0</t>
        </is>
      </c>
      <c r="B539" t="inlineStr">
        <is>
          <t>Gallbladder removed last year but I still have attacks....</t>
        </is>
      </c>
      <c r="C539" t="inlineStr">
        <is>
          <t>I felt better for like 1 month after the surgery.Now is hell again. If I eat a tiny bit of fatty or fried food I have gallbladder attacks with pain, weakness,nausea and fatigue.  I tried ranitidine/nexium/sucralfate but with absolutely no luck :( Im getting desperate...</t>
        </is>
      </c>
      <c r="D539" t="n">
        <v>1</v>
      </c>
      <c r="E539" t="n">
        <v>7</v>
      </c>
      <c r="F539">
        <f>HYPERLINK("https://www.reddit.com/r/GERD/comments/axkzy0/gallbladder_removed_last_year_but_i_still_have/")</f>
        <v/>
      </c>
      <c r="G539" t="inlineStr">
        <is>
          <t>2019-03-05 05:11:34</t>
        </is>
      </c>
      <c r="H539" t="inlineStr"/>
    </row>
    <row r="540">
      <c r="A540" t="inlineStr">
        <is>
          <t>axl9dx</t>
        </is>
      </c>
      <c r="B540" t="inlineStr">
        <is>
          <t>Heartburn/Anxiety?</t>
        </is>
      </c>
      <c r="C540" t="inlineStr">
        <is>
          <t xml:space="preserve">Hey everyone. I woke up this morning with the sour taste in the back of my throat and immense heartburn. I’m male, 24 y/o and don’t live the healthiest lifestyle but have recently started hiking and doing light work outs with my fiancée daily. I’ve been suffering from pretty bad anxiety attacks for a while that have lately gotten better because of some life changes. The attacks often would include random limb pain. Sharp chest pain. Tightness all over and just a feeling of dread. However last night i had homemade pasta with GARLIC Vodka sauce probably 2-3 hours before bed. I woke up this morning with a burning sensation in my chest and what feels like up my throat a little. However I also think it triggered some anxiety because I have left arm weakness and light pain, one of my common anxiety symptoms. Obviously with the heightened anxiety and burning chest pain I’m instantly thinking, this has to be a heart attack or Angina but I’m missing quite a few of the symptoms. I recently switched jobs so I have no health insurance for a while so I’m just reaching out to see if anyone has experienced this similar situation? Sorry if my text seems frantic. </t>
        </is>
      </c>
      <c r="D540" t="n">
        <v>2</v>
      </c>
      <c r="E540" t="n">
        <v>9</v>
      </c>
      <c r="F540">
        <f>HYPERLINK("https://www.reddit.com/r/GERD/comments/axl9dx/heartburnanxiety/")</f>
        <v/>
      </c>
      <c r="G540" t="inlineStr">
        <is>
          <t>2019-03-05 05:40:15</t>
        </is>
      </c>
      <c r="H540" t="inlineStr"/>
    </row>
    <row r="541">
      <c r="A541" t="inlineStr">
        <is>
          <t>axol8v</t>
        </is>
      </c>
      <c r="B541" t="inlineStr">
        <is>
          <t>Gerd and early satiety?</t>
        </is>
      </c>
      <c r="C541" t="inlineStr">
        <is>
          <t xml:space="preserve">I was just wondering whether do all of you with GERD have trouble eating your normal amount since the GERD flare up? I used to be able to eat a lot. But since my GERD flare up in January, I feel bloated all the time and feel very full after eating a few small bites even though my appetite is completely normal. So it has been quite depressing when people invite me out for meals and I'd feel very anxious since I can barely eat anything. And does it get better with time? </t>
        </is>
      </c>
      <c r="D541" t="n">
        <v>7</v>
      </c>
      <c r="E541" t="n">
        <v>5</v>
      </c>
      <c r="F541">
        <f>HYPERLINK("https://www.reddit.com/r/GERD/comments/axol8v/gerd_and_early_satiety/")</f>
        <v/>
      </c>
      <c r="G541" t="inlineStr">
        <is>
          <t>2019-03-05 10:43:22</t>
        </is>
      </c>
      <c r="H541" t="inlineStr"/>
    </row>
    <row r="542">
      <c r="A542" t="inlineStr">
        <is>
          <t>axppo1</t>
        </is>
      </c>
      <c r="B542" t="inlineStr">
        <is>
          <t>GERD and Vaping plus other questions</t>
        </is>
      </c>
      <c r="C542" t="inlineStr">
        <is>
          <t xml:space="preserve">Hi All,
Recently diagnosed with GERD (Last May). I have a type of GERD that causes chest discomfort like I am having a heart attack.
Recently my symptoms have been getting worse so I stopped taking my PPI and went to a natropath who put me on a black licorice pill.
I still occasionally take zantac 150 when the symptoms are really bad but it doesn't help.
The natorpath gave me a phamplet on what to avoid with GERD. I've stopped drinking pop. Avoided spicy foods and tomato sauce. Today I found out that grapes were a citrus and because of my diet I have been eating alot of grapes lately which would probably explain my worse symptoms lately.
Also in the phamplet it says no smoking. I quit smoking 4 years ago and I vape instead but my primary vape juice has grape in it. Could that be causing issues as well?
Does the Vape itself intensify GERD?
I also feel worse if I overeat or if I consume too much bread.
The funny part is none of my symptoms started until I joined weight watchers and started losing weight. Now 40lbs lighter I feel worse then ever.  
</t>
        </is>
      </c>
      <c r="D542" t="n">
        <v>1</v>
      </c>
      <c r="E542" t="n">
        <v>2</v>
      </c>
      <c r="F542">
        <f>HYPERLINK("https://www.reddit.com/r/GERD/comments/axppo1/gerd_and_vaping_plus_other_questions/")</f>
        <v/>
      </c>
      <c r="G542" t="inlineStr">
        <is>
          <t>2019-03-05 12:21:07</t>
        </is>
      </c>
      <c r="H542" t="inlineStr"/>
    </row>
    <row r="543">
      <c r="A543" t="inlineStr">
        <is>
          <t>axrd9w</t>
        </is>
      </c>
      <c r="B543" t="inlineStr">
        <is>
          <t>LPR Sufferers help?</t>
        </is>
      </c>
      <c r="C543" t="inlineStr">
        <is>
          <t xml:space="preserve">Has anyone had the Nissan Fundoplication surgery for lpr and what tests did you do ? </t>
        </is>
      </c>
      <c r="D543" t="n">
        <v>0</v>
      </c>
      <c r="E543" t="n">
        <v>0</v>
      </c>
      <c r="F543">
        <f>HYPERLINK("https://www.reddit.com/r/GERD/comments/axrd9w/lpr_sufferers_help/")</f>
        <v/>
      </c>
      <c r="G543" t="inlineStr">
        <is>
          <t>2019-03-05 14:48:03</t>
        </is>
      </c>
      <c r="H543" t="inlineStr"/>
    </row>
    <row r="544">
      <c r="A544" t="inlineStr">
        <is>
          <t>axre0p</t>
        </is>
      </c>
      <c r="B544" t="inlineStr">
        <is>
          <t>Scared?</t>
        </is>
      </c>
      <c r="C544" t="inlineStr">
        <is>
          <t xml:space="preserve">I have a swollen tissue on my tonsils my ent doctor said this is due to reflux what do you guys think any experience ? how long does  this takes to go away ? </t>
        </is>
      </c>
      <c r="D544" t="n">
        <v>1</v>
      </c>
      <c r="E544" t="n">
        <v>0</v>
      </c>
      <c r="F544">
        <f>HYPERLINK("https://www.reddit.com/r/GERD/comments/axre0p/scared/")</f>
        <v/>
      </c>
      <c r="G544" t="inlineStr">
        <is>
          <t>2019-03-05 14:49:58</t>
        </is>
      </c>
      <c r="H544" t="inlineStr"/>
    </row>
    <row r="545">
      <c r="A545" t="inlineStr">
        <is>
          <t>axrfgr</t>
        </is>
      </c>
      <c r="B545" t="inlineStr">
        <is>
          <t>Surgery ? ?</t>
        </is>
      </c>
      <c r="C545" t="inlineStr">
        <is>
          <t xml:space="preserve">Wat are the qualifications for the Nissan Fundoplication surgery ? And how big does a hetal hernia have to be to be considered for surgery?  Can anyone share what led to their surgery ? </t>
        </is>
      </c>
      <c r="D545" t="n">
        <v>1</v>
      </c>
      <c r="E545" t="n">
        <v>1</v>
      </c>
      <c r="F545">
        <f>HYPERLINK("https://www.reddit.com/r/GERD/comments/axrfgr/surgery/")</f>
        <v/>
      </c>
      <c r="G545" t="inlineStr">
        <is>
          <t>2019-03-05 14:53:50</t>
        </is>
      </c>
      <c r="H545" t="inlineStr"/>
    </row>
    <row r="546">
      <c r="A546" t="inlineStr">
        <is>
          <t>axrqc6</t>
        </is>
      </c>
      <c r="B546" t="inlineStr">
        <is>
          <t>HELP: PPIs not working, 1 month in</t>
        </is>
      </c>
      <c r="C546" t="inlineStr">
        <is>
          <t>Hello fellow sufferers:
&amp;amp;#x200B;
I started having symptoms of GERD a little more than a month ago, so I went to the doctor who prescribed 1 PPI tablet a day with an antacid. One month in, taking the pills religiously, but they don't seem to be doing much. Last night I woke up with the worst heartburn yet, couldn't sleep, this morning the burning sensation is still there, and I'm at my wit's end.
&amp;amp;#x200B;
As far as following the doctor's orders, I've been doing my best. No caffeine, no chocolate, no fatty foods, no alcohol...but nothing seems to be working. The only thing I can think of is that I started Zoloft about the same time as these symptoms started, but my doctor assured me that there's no connection. I'm not sure what the next steps are if the PPIs are not doing their job. Has anyone had this problem?
&amp;amp;#x200B;
&amp;amp;#x200B;</t>
        </is>
      </c>
      <c r="D546" t="n">
        <v>1</v>
      </c>
      <c r="E546" t="n">
        <v>9</v>
      </c>
      <c r="F546">
        <f>HYPERLINK("https://www.reddit.com/r/GERD/comments/axrqc6/help_ppis_not_working_1_month_in/")</f>
        <v/>
      </c>
      <c r="G546" t="inlineStr">
        <is>
          <t>2019-03-05 15:21:40</t>
        </is>
      </c>
      <c r="H546" t="inlineStr"/>
    </row>
    <row r="547">
      <c r="A547" t="inlineStr">
        <is>
          <t>axsgwi</t>
        </is>
      </c>
      <c r="B547" t="inlineStr">
        <is>
          <t>Dr. Jonathan Aviv on How Diet Affects Acid Reflux</t>
        </is>
      </c>
      <c r="C547" t="inlineStr">
        <is>
          <t>Thought i'd share this with you guys if you haven't already seen this.
Lots of great info for those who are just learning what GERD is.
&amp;amp;#x200B;
[https://youtu.be/OMqnBqPXUos](https://youtu.be/OMqnBqPXUos)</t>
        </is>
      </c>
      <c r="D547" t="n">
        <v>40</v>
      </c>
      <c r="E547" t="n">
        <v>24</v>
      </c>
      <c r="F547">
        <f>HYPERLINK("https://www.reddit.com/r/GERD/comments/axsgwi/dr_jonathan_aviv_on_how_diet_affects_acid_reflux/")</f>
        <v/>
      </c>
      <c r="G547" t="inlineStr">
        <is>
          <t>2019-03-05 16:34:34</t>
        </is>
      </c>
      <c r="H547" t="inlineStr"/>
    </row>
    <row r="548">
      <c r="A548" t="inlineStr">
        <is>
          <t>axspvb</t>
        </is>
      </c>
      <c r="B548" t="inlineStr">
        <is>
          <t>Reflux?</t>
        </is>
      </c>
      <c r="C548" t="inlineStr">
        <is>
          <t xml:space="preserve">I have bile reflux. Anyone have any advice?  do bravo ph monitor tests show this ? </t>
        </is>
      </c>
      <c r="D548" t="n">
        <v>1</v>
      </c>
      <c r="E548" t="n">
        <v>0</v>
      </c>
      <c r="F548">
        <f>HYPERLINK("https://www.reddit.com/r/GERD/comments/axspvb/reflux/")</f>
        <v/>
      </c>
      <c r="G548" t="inlineStr">
        <is>
          <t>2019-03-05 17:00:13</t>
        </is>
      </c>
      <c r="H548" t="inlineStr"/>
    </row>
    <row r="549">
      <c r="A549" t="inlineStr">
        <is>
          <t>axtwtc</t>
        </is>
      </c>
      <c r="B549" t="inlineStr">
        <is>
          <t>Paranoid about esophageal cancer</t>
        </is>
      </c>
      <c r="C549" t="inlineStr">
        <is>
          <t>I can’t find any real good studies on exactly how long someone has acid reflux and how that ties into your risk for cancer?
Is it likely to get it after a year or so of acid symptoms? 3 years? 10 years?
Just looking for some input as I’m not sure if I’m over reacting.</t>
        </is>
      </c>
      <c r="D549" t="n">
        <v>6</v>
      </c>
      <c r="E549" t="n">
        <v>13</v>
      </c>
      <c r="F549">
        <f>HYPERLINK("https://www.reddit.com/r/GERD/comments/axtwtc/paranoid_about_esophageal_cancer/")</f>
        <v/>
      </c>
      <c r="G549" t="inlineStr">
        <is>
          <t>2019-03-05 19:03:32</t>
        </is>
      </c>
      <c r="H549" t="inlineStr"/>
    </row>
    <row r="550">
      <c r="A550" t="inlineStr">
        <is>
          <t>axu3u9</t>
        </is>
      </c>
      <c r="B550" t="inlineStr">
        <is>
          <t>Can you get heartburn in only the right chest?</t>
        </is>
      </c>
      <c r="C550" t="inlineStr">
        <is>
          <t>I'm in the same boat as many of ya--had daily burning throat and occasional spells of middle chest burning since January. I am battling a throat infection at the same time...appears to be getting better with antibiotics (put me on the wrong one at first, and I couldn't sleep it was so bad) and a clean diet. I miss beer, garlic, tomatoes and onions sooooo much. And those girl scout cookies are mocking me. 
Now, I'm starting to get burning sensation in my right chest but I'm unaware if that is from running and 2-4 lifts per day. It's the same feeling I got with heartburn but it's only on the right side now. Weird.
Anyone had this before? Is it heartburn or am I misidentifying symptoms? 
This community makes me feel like I can get some real feedback versus the internet and doctors telling me, "You're young, you're okay". I'm 30 and I don't feel okay, OKAY!</t>
        </is>
      </c>
      <c r="D550" t="n">
        <v>1</v>
      </c>
      <c r="E550" t="n">
        <v>0</v>
      </c>
      <c r="F550">
        <f>HYPERLINK("https://www.reddit.com/r/GERD/comments/axu3u9/can_you_get_heartburn_in_only_the_right_chest/")</f>
        <v/>
      </c>
      <c r="G550" t="inlineStr">
        <is>
          <t>2019-03-05 19:24:31</t>
        </is>
      </c>
      <c r="H550" t="inlineStr"/>
    </row>
    <row r="551">
      <c r="A551" t="inlineStr">
        <is>
          <t>axvw9o</t>
        </is>
      </c>
      <c r="B551" t="inlineStr">
        <is>
          <t>Left back pain (mostly in the lat)</t>
        </is>
      </c>
      <c r="C551" t="inlineStr">
        <is>
          <t>It is not really a pain, but more like a discomfort. It doesn't hurt, it's just nagging and it makes me upset to feel it most of the time.
I write this post here because I had problems with my stomach, and the most common symptoms that I had (and still have sometimes if I eat some foods) are:
\- indigestion
\- epigastric pain
\- feeling full after a small meal
\- burping
\- lots of gas
So I want to know if this is correlated to something more serious. These days I didn't have that pain to upset me, I tried to eat the foods that are not a major trigger. Thanks for response.
&amp;amp;#x200B;</t>
        </is>
      </c>
      <c r="D551" t="n">
        <v>2</v>
      </c>
      <c r="E551" t="n">
        <v>0</v>
      </c>
      <c r="F551">
        <f>HYPERLINK("https://www.reddit.com/r/GERD/comments/axvw9o/left_back_pain_mostly_in_the_lat/")</f>
        <v/>
      </c>
      <c r="G551" t="inlineStr">
        <is>
          <t>2019-03-05 22:51:54</t>
        </is>
      </c>
      <c r="H551" t="inlineStr"/>
    </row>
    <row r="552">
      <c r="A552" t="inlineStr">
        <is>
          <t>axwpqg</t>
        </is>
      </c>
      <c r="B552" t="inlineStr">
        <is>
          <t>How is Barrett's esophagus diagnosed?</t>
        </is>
      </c>
      <c r="C552" t="inlineStr">
        <is>
          <t>Do they have to find it through an endoscopy or could it be diagnosed from an ENT sticking a small camera through your nose to look at your throat? (Don't know what that procedure's called.)</t>
        </is>
      </c>
      <c r="D552" t="n">
        <v>1</v>
      </c>
      <c r="E552" t="n">
        <v>4</v>
      </c>
      <c r="F552">
        <f>HYPERLINK("https://www.reddit.com/r/GERD/comments/axwpqg/how_is_barretts_esophagus_diagnosed/")</f>
        <v/>
      </c>
      <c r="G552" t="inlineStr">
        <is>
          <t>2019-03-06 00:52:02</t>
        </is>
      </c>
      <c r="H552" t="inlineStr"/>
    </row>
    <row r="553">
      <c r="A553" t="inlineStr">
        <is>
          <t>ay0c6v</t>
        </is>
      </c>
      <c r="B553" t="inlineStr">
        <is>
          <t>Esophagitis getting worse every day?</t>
        </is>
      </c>
      <c r="C553" t="inlineStr">
        <is>
          <t>I have been taking doxycycline for 2 months and 6 days ago (I drank a lot of water and stayed upright.) I had a feeling as if something was stuck in my throat. Each day it got worse and I started having pain. I started taking pantoprazole and antacid yesterday but today it's even worse. My right ear is aching and drinking or eating anything hurts like hell. I have an appointment with my doctor on Saturday but I am not sure if I should go right now because things are not getting any better. Should I wait it out?</t>
        </is>
      </c>
      <c r="D553" t="n">
        <v>3</v>
      </c>
      <c r="E553" t="n">
        <v>1</v>
      </c>
      <c r="F553">
        <f>HYPERLINK("https://www.reddit.com/r/GERD/comments/ay0c6v/esophagitis_getting_worse_every_day/")</f>
        <v/>
      </c>
      <c r="G553" t="inlineStr">
        <is>
          <t>2019-03-06 07:56:32</t>
        </is>
      </c>
      <c r="H553" t="inlineStr"/>
    </row>
    <row r="554">
      <c r="A554" t="inlineStr">
        <is>
          <t>ay34e5</t>
        </is>
      </c>
      <c r="B554" t="inlineStr">
        <is>
          <t>Hpylori/parasitic?</t>
        </is>
      </c>
      <c r="C554" t="inlineStr">
        <is>
          <t xml:space="preserve">Hello, I read your post and thought I might have some things worth noting. I have been very ill and horribly nauseous for the past 2 years and it has all been due to an Hpylori infection in my stomach, and a large round worm parasite living in my gal bladder/biliary tree. The symptoms were awful and similar to what you are experiencing with the excess acid/mucus/nausea/tummy growling. We killed the bacteria as well as the parasite after 6 long months of antibiotics. I am finally on the recovery but still quite sick. Do you tend to have bad breath all the time? or really smelly bowel movements? I also lost 15 lbs in the first 2 months been skin and bones since. I would suggest asking to have a blood test for H.pylori and possibly see if you can find a naturopath with a good reputation for dealing with parasites may be a help aswell.
My naturopath found the worm when no other doctors could. I would recommend finding a good one. </t>
        </is>
      </c>
      <c r="D554" t="n">
        <v>1</v>
      </c>
      <c r="E554" t="n">
        <v>0</v>
      </c>
      <c r="F554">
        <f>HYPERLINK("https://www.reddit.com/r/GERD/comments/ay34e5/hpyloriparasitic/")</f>
        <v/>
      </c>
      <c r="G554" t="inlineStr">
        <is>
          <t>2019-03-06 11:55:53</t>
        </is>
      </c>
      <c r="H554" t="inlineStr"/>
    </row>
    <row r="555">
      <c r="A555" t="inlineStr">
        <is>
          <t>ay4rv4</t>
        </is>
      </c>
      <c r="B555" t="inlineStr">
        <is>
          <t>Heartburn lasting 3 days - should I see a doctor?</t>
        </is>
      </c>
      <c r="C555" t="inlineStr">
        <is>
          <t xml:space="preserve">I'm not certain what I have going on. I've felt like I've had a frog in my throat for months. I have some post nasal drip going on too. But I didn't have much burning in my chest. 
The other morning, I thought I was having a heart attack. My chest was on fire. I ate like crap and drank a lot of beer. I took a Zantac. It seemed to help. However, this is day 3 of my chest still feels bad. The burn is still there. At what point do I call a doctor? 
My mom and grandmother both have GERD. Which unfortunately probably makes me a prime canidate. </t>
        </is>
      </c>
      <c r="D555" t="n">
        <v>0</v>
      </c>
      <c r="E555" t="n">
        <v>6</v>
      </c>
      <c r="F555">
        <f>HYPERLINK("https://www.reddit.com/r/GERD/comments/ay4rv4/heartburn_lasting_3_days_should_i_see_a_doctor/")</f>
        <v/>
      </c>
      <c r="G555" t="inlineStr">
        <is>
          <t>2019-03-06 14:15:36</t>
        </is>
      </c>
      <c r="H555" t="inlineStr"/>
    </row>
    <row r="556">
      <c r="A556" t="inlineStr">
        <is>
          <t>ay67n8</t>
        </is>
      </c>
      <c r="B556" t="inlineStr">
        <is>
          <t>Weed and GERD?</t>
        </is>
      </c>
      <c r="C556" t="inlineStr">
        <is>
          <t xml:space="preserve">I have GERD, I live a relatively healthy lifestyle: cut out coffee, don’t drink, don’t use Tobacco products, exercise regularly, barely eat fried food. Since my diagnoses I have been drinking slippery elm, aloe gel, and generally trying to be more aware of the ph levels of my food. ALL THIS IS TO SAY, I AM STILL VERY WORRIED ABOUT EC DUE TO SMOKING WEED. Anyone else smoke weed regularly and have GERD lol? </t>
        </is>
      </c>
      <c r="D556" t="n">
        <v>3</v>
      </c>
      <c r="E556" t="n">
        <v>17</v>
      </c>
      <c r="F556">
        <f>HYPERLINK("https://www.reddit.com/r/GERD/comments/ay67n8/weed_and_gerd/")</f>
        <v/>
      </c>
      <c r="G556" t="inlineStr">
        <is>
          <t>2019-03-06 16:27:32</t>
        </is>
      </c>
      <c r="H556" t="inlineStr"/>
    </row>
    <row r="557">
      <c r="A557" t="inlineStr">
        <is>
          <t>ay6b8i</t>
        </is>
      </c>
      <c r="B557" t="inlineStr">
        <is>
          <t>When should a primary care doctor refer me to an ENT? Difference between GI and ENT Dr?</t>
        </is>
      </c>
      <c r="C557" t="inlineStr">
        <is>
          <t xml:space="preserve">Ugh. I'm getting very confused and frustrated at my "silent" reflux. I've been dealing with it since Sept, so 6 months. I've seen a primary care doctor, as well as dietitian. The primary care doctor has prescribed omeprazole, which I had taken for 3 months until I stopped. I always have several questions for him, to which he kinda says "Well, a lot of people do better with the medication, and eventually it goes away. Your symptoms seem typical." My dietitian has helped me changed my diet.
&amp;amp;#x200B;
I have several questions about my esphogus and the damage/repair process. I'm also a singer and really want to know how my vocal cords would be doing under acid reflux. 
&amp;amp;#x200B;
My doctor finally put in a referral to an ENT - though it won't be for  FOUR MONTHS. I put in another request to see if he can put in an URGENT  referral. Is this warranted? I mean, if I sing and want to check my vocal cords and assess damage, I should be able to see an ENT urgently, right?
&amp;amp;#x200B;
I will also be having an Endoscopy consultation this month, which is great and will answer a lot of damage questions. I do wonder, what is the difference between a GI doctor and an ENT? Specifically, if I'm a singer, I should definitely see an ENT, right? </t>
        </is>
      </c>
      <c r="D557" t="n">
        <v>6</v>
      </c>
      <c r="E557" t="n">
        <v>3</v>
      </c>
      <c r="F557">
        <f>HYPERLINK("https://www.reddit.com/r/GERD/comments/ay6b8i/when_should_a_primary_care_doctor_refer_me_to_an/")</f>
        <v/>
      </c>
      <c r="G557" t="inlineStr">
        <is>
          <t>2019-03-06 16:37:06</t>
        </is>
      </c>
      <c r="H557" t="inlineStr"/>
    </row>
    <row r="558">
      <c r="A558" t="inlineStr">
        <is>
          <t>ay6j73</t>
        </is>
      </c>
      <c r="B558" t="inlineStr">
        <is>
          <t>Please help?</t>
        </is>
      </c>
      <c r="C558" t="inlineStr">
        <is>
          <t>I have bile reflux. Anyone have any advice? do bravo ph monitor tests show this ?</t>
        </is>
      </c>
      <c r="D558" t="n">
        <v>0</v>
      </c>
      <c r="E558" t="n">
        <v>1</v>
      </c>
      <c r="F558">
        <f>HYPERLINK("https://www.reddit.com/r/GERD/comments/ay6j73/please_help/")</f>
        <v/>
      </c>
      <c r="G558" t="inlineStr">
        <is>
          <t>2019-03-06 16:59:32</t>
        </is>
      </c>
      <c r="H558" t="inlineStr"/>
    </row>
    <row r="559">
      <c r="A559" t="inlineStr">
        <is>
          <t>ay6jjj</t>
        </is>
      </c>
      <c r="B559" t="inlineStr">
        <is>
          <t>Help?</t>
        </is>
      </c>
      <c r="C559" t="inlineStr">
        <is>
          <t xml:space="preserve">I have a swollen tissue on my tonsils my ent doctor said this is due to reflux what do you guys think any experience ? how long does this takes to go away ?
</t>
        </is>
      </c>
      <c r="D559" t="n">
        <v>0</v>
      </c>
      <c r="E559" t="n">
        <v>1</v>
      </c>
      <c r="F559">
        <f>HYPERLINK("https://www.reddit.com/r/GERD/comments/ay6jjj/help/")</f>
        <v/>
      </c>
      <c r="G559" t="inlineStr">
        <is>
          <t>2019-03-06 17:00:31</t>
        </is>
      </c>
      <c r="H559" t="inlineStr"/>
    </row>
    <row r="560">
      <c r="A560" t="inlineStr">
        <is>
          <t>ay6kld</t>
        </is>
      </c>
      <c r="B560" t="inlineStr">
        <is>
          <t>Advice?</t>
        </is>
      </c>
      <c r="C560" t="inlineStr">
        <is>
          <t xml:space="preserve">Wat are the qualifications for the Nissan Fundoplication surgery ? And how big does a hetal hernia have to be to be considered for surgery? Can anyone share what led to their surgery ? Also any experience of TIF procedure ?
</t>
        </is>
      </c>
      <c r="D560" t="n">
        <v>1</v>
      </c>
      <c r="E560" t="n">
        <v>2</v>
      </c>
      <c r="F560">
        <f>HYPERLINK("https://www.reddit.com/r/GERD/comments/ay6kld/advice/")</f>
        <v/>
      </c>
      <c r="G560" t="inlineStr">
        <is>
          <t>2019-03-06 17:03:14</t>
        </is>
      </c>
      <c r="H560" t="inlineStr"/>
    </row>
    <row r="561">
      <c r="A561" t="inlineStr">
        <is>
          <t>ayb4dr</t>
        </is>
      </c>
      <c r="B561" t="inlineStr">
        <is>
          <t>New here - experiencing increased frequency of inhaling bile.</t>
        </is>
      </c>
      <c r="C561" t="inlineStr">
        <is>
          <t>Everything I've read on GERD talks about the bile backing up to the esophagus, but I'm full-on inhaling this shit &amp;amp; it's terrifying. I wake up out of a dead sleep with my chest on fire and proceed to try to cough the acid out of my lungs. It's beyond painful &amp;amp; always panic inducing because I can't breathe. I've been perscribed omezperole to help, but I'm just scared of doing irreversible damage to my lungs. Has anyone experienced this? To what level? At what point is the damages to my lungs &amp;amp; throat permanent?</t>
        </is>
      </c>
      <c r="D561" t="n">
        <v>0</v>
      </c>
      <c r="E561" t="n">
        <v>6</v>
      </c>
      <c r="F561">
        <f>HYPERLINK("https://www.reddit.com/r/GERD/comments/ayb4dr/new_here_experiencing_increased_frequency_of/")</f>
        <v/>
      </c>
      <c r="G561" t="inlineStr">
        <is>
          <t>2019-03-07 02:19:00</t>
        </is>
      </c>
      <c r="H561" t="inlineStr"/>
    </row>
    <row r="562">
      <c r="A562" t="inlineStr">
        <is>
          <t>ayc2qw</t>
        </is>
      </c>
      <c r="B562" t="inlineStr">
        <is>
          <t>GERD symptoms radiating to the back?</t>
        </is>
      </c>
      <c r="C562" t="inlineStr">
        <is>
          <t>Hello, I have had GERD for 12 years now.
The symptoms come and go, but at times it feels like what's been burning is the backside (literally the back, the mirror position of the LES). I am quite sure its GERD because it's consistent with the reaction I get at the front site(normal chest burn) if I do stupid things like drinking and laying down.
Doctors don't understand me when I tell them this, X rays don't tell. So I wanted to ask if anyone else is having this or is it just me? Thanks</t>
        </is>
      </c>
      <c r="D562" t="n">
        <v>1</v>
      </c>
      <c r="E562" t="n">
        <v>7</v>
      </c>
      <c r="F562">
        <f>HYPERLINK("https://www.reddit.com/r/GERD/comments/ayc2qw/gerd_symptoms_radiating_to_the_back/")</f>
        <v/>
      </c>
      <c r="G562" t="inlineStr">
        <is>
          <t>2019-03-07 04:25:50</t>
        </is>
      </c>
      <c r="H562" t="inlineStr"/>
    </row>
    <row r="563">
      <c r="A563" t="inlineStr">
        <is>
          <t>ayd9zx</t>
        </is>
      </c>
      <c r="B563" t="inlineStr">
        <is>
          <t>What to expect after endoscopy</t>
        </is>
      </c>
      <c r="C563" t="inlineStr">
        <is>
          <t xml:space="preserve">I'm scheduled for my first upper endoscopy tomorrow and I'm kind of nervous about it. The information sheet the doctor sent me said I can resume "normal activities" the next day. I'm a clarinetist; does anyone have experience with playing a wind instrument a day or two after an endoscopy procedure? Sorry this is such a specific question! </t>
        </is>
      </c>
      <c r="D563" t="n">
        <v>1</v>
      </c>
      <c r="E563" t="n">
        <v>18</v>
      </c>
      <c r="F563">
        <f>HYPERLINK("https://www.reddit.com/r/GERD/comments/ayd9zx/what_to_expect_after_endoscopy/")</f>
        <v/>
      </c>
      <c r="G563" t="inlineStr">
        <is>
          <t>2019-03-07 06:38:58</t>
        </is>
      </c>
      <c r="H563" t="inlineStr"/>
    </row>
    <row r="564">
      <c r="A564" t="inlineStr">
        <is>
          <t>aye2nu</t>
        </is>
      </c>
      <c r="B564" t="inlineStr">
        <is>
          <t>Cure for gurgling sounds at the back of throat?</t>
        </is>
      </c>
      <c r="C564" t="inlineStr">
        <is>
          <t xml:space="preserve">Hi everyone, I've had issues with acid reflux for quite a while now, but recently the gurgling sounds at the back of my throat have become a daily issue. 
At night and first thing in the morning, the pop rocks/crackling noise is non-stop.
Has anyone found a way to prevent it or limit it's occurrence? </t>
        </is>
      </c>
      <c r="D564" t="n">
        <v>0</v>
      </c>
      <c r="E564" t="n">
        <v>4</v>
      </c>
      <c r="F564">
        <f>HYPERLINK("https://www.reddit.com/r/GERD/comments/aye2nu/cure_for_gurgling_sounds_at_the_back_of_throat/")</f>
        <v/>
      </c>
      <c r="G564" t="inlineStr">
        <is>
          <t>2019-03-07 07:54:21</t>
        </is>
      </c>
      <c r="H564" t="inlineStr"/>
    </row>
    <row r="565">
      <c r="A565" t="inlineStr">
        <is>
          <t>ayfb5w</t>
        </is>
      </c>
      <c r="B565" t="inlineStr">
        <is>
          <t>Completed the esophageal manometry but failed the 24 hour pH test. Whats next?</t>
        </is>
      </c>
      <c r="C565" t="inlineStr">
        <is>
          <t>Quick backstory: Started having sleep problems almost two years ago combined with a chronically congested nose. I was diagnosed with Sleep Apnea but my CPAP makes me feel worse. I've done extensive testing and have no allergies so doctors think I may have LPR. I have increased congestion and excessive burping after eating or drinking pretty much anything.
Yesterday I was supposed to have an esophageal manometry and a 24 hour pH study done. I was able to complete the first part but the pH study failed miserably. The nurse kept trying to jam the probe down my throat through my nose and it kept getting tangled and stuck so I had to abandon the attempt after the 5th or so try. At this point blood and snot was pouring out of my nose and I was shaking like crazy. That's easily the most painful experience I've had of my life, it took me the rest of the day to calm down and my sleep was worse than it's been in a long time.
Now they want me to reschedule to go back and do it again. I'm not so sure I can. Has anyone been through this before? Do the doctors need to have the pH study done or is there another way I can confirm my LPR? The doctor said while I was there that it looks like my throat isn't closing all the way when I swallow which could be causing reflux. I don't know if this is enough to move on to whatever treatment would be next though.</t>
        </is>
      </c>
      <c r="D565" t="n">
        <v>3</v>
      </c>
      <c r="E565" t="n">
        <v>16</v>
      </c>
      <c r="F565">
        <f>HYPERLINK("https://www.reddit.com/r/GERD/comments/ayfb5w/completed_the_esophageal_manometry_but_failed_the/")</f>
        <v/>
      </c>
      <c r="G565" t="inlineStr">
        <is>
          <t>2019-03-07 09:39:38</t>
        </is>
      </c>
      <c r="H565" t="inlineStr"/>
    </row>
    <row r="566">
      <c r="A566" t="inlineStr">
        <is>
          <t>ayg3df</t>
        </is>
      </c>
      <c r="B566" t="inlineStr">
        <is>
          <t>Is this GERD?</t>
        </is>
      </c>
      <c r="C566" t="inlineStr">
        <is>
          <t>So basically For the longest time I've been having a lot of gas after eating, I burp a lot, even when drinking water. The thing is that I don't really feel this burning sensation that it's supposed to come with acid reflux
The only thing I feel is gas coming up. Also laying down makes it better rather than worse. Another thing that happens sometimes is that my heart skips a beat, which I read in another post that it could be related to GERD 
Honestly my condition is not so bad, but reading about GERD and it's implications made me worried. Should I go to a doctor?
&amp;amp;#x200B;
Thanks in advance and sorry for my English.</t>
        </is>
      </c>
      <c r="D566" t="n">
        <v>1</v>
      </c>
      <c r="E566" t="n">
        <v>1</v>
      </c>
      <c r="F566">
        <f>HYPERLINK("https://www.reddit.com/r/GERD/comments/ayg3df/is_this_gerd/")</f>
        <v/>
      </c>
      <c r="G566" t="inlineStr">
        <is>
          <t>2019-03-07 10:46:18</t>
        </is>
      </c>
      <c r="H566" t="inlineStr"/>
    </row>
    <row r="567">
      <c r="A567" t="inlineStr">
        <is>
          <t>ayg7qv</t>
        </is>
      </c>
      <c r="B567" t="inlineStr">
        <is>
          <t>Prilosec makes stomach pain worse?</t>
        </is>
      </c>
      <c r="C567" t="inlineStr">
        <is>
          <t xml:space="preserve">I started taking 40 mg daily a week and a half ago for upper abdominal burning, burping, etc. it helped after a few days, but the last couple of days I noticed I’m having stomach pain again, although not nearly as strong. More like cramping.  Admittedly, I went a little off the rails on Tuesday with my sugar/baked good I take, so maybe that played a part too. 
I initially saw a gastro and she said to take that for a month and then we’ll evaluate. I switched to Zantac this morning to see if that helps, but I’m assuming it would take a couple of days. So, I’m curious to hear anyone else’s experiences. Thanks so much! </t>
        </is>
      </c>
      <c r="D567" t="n">
        <v>2</v>
      </c>
      <c r="E567" t="n">
        <v>6</v>
      </c>
      <c r="F567">
        <f>HYPERLINK("https://www.reddit.com/r/GERD/comments/ayg7qv/prilosec_makes_stomach_pain_worse/")</f>
        <v/>
      </c>
      <c r="G567" t="inlineStr">
        <is>
          <t>2019-03-07 10:56:54</t>
        </is>
      </c>
      <c r="H567" t="inlineStr"/>
    </row>
    <row r="568">
      <c r="A568" t="inlineStr">
        <is>
          <t>ayiods</t>
        </is>
      </c>
      <c r="B568" t="inlineStr">
        <is>
          <t>Drinking water stops the chest/throat pain ASAP.</t>
        </is>
      </c>
      <c r="C568" t="inlineStr">
        <is>
          <t xml:space="preserve">So for about a year I’ve had what first started out as a feeling of food stuck in my throat.  And from time to time I have sharp, almost burning pains from my stomach/chest region to my esophagus.  So I went to a gastroenterologist and he did an endoscopy and pretty quickly diagnosed me with GERDS. I’ve been on PPIs but they haven’t done anything, so they are exploring other things (gallbladder, etc.).  
Anyway, I’ve only now realized that when I get these sharp pains, simply drinking a glass of water seems to end them, like right away. If I don’t, the pain goes on a while.
My question: is this common with acid reflux/GERD, or does this sound like possibly something else? Anyone else of this experience of simply water working to alleviate the pain? Thanks guys.  This subreddit has been a help to read. </t>
        </is>
      </c>
      <c r="D568" t="n">
        <v>1</v>
      </c>
      <c r="E568" t="n">
        <v>7</v>
      </c>
      <c r="F568">
        <f>HYPERLINK("https://www.reddit.com/r/GERD/comments/ayiods/drinking_water_stops_the_chestthroat_pain_asap/")</f>
        <v/>
      </c>
      <c r="G568" t="inlineStr">
        <is>
          <t>2019-03-07 14:33:20</t>
        </is>
      </c>
      <c r="H568" t="inlineStr"/>
    </row>
    <row r="569">
      <c r="A569" t="inlineStr">
        <is>
          <t>ayjyks</t>
        </is>
      </c>
      <c r="B569" t="inlineStr">
        <is>
          <t>Procedure?</t>
        </is>
      </c>
      <c r="C569" t="inlineStr">
        <is>
          <t xml:space="preserve">Has anyone here had the TIF procedure for acid reflux any advice? Expierence? Did it stop your acid reflux? </t>
        </is>
      </c>
      <c r="D569" t="n">
        <v>2</v>
      </c>
      <c r="E569" t="n">
        <v>0</v>
      </c>
      <c r="F569">
        <f>HYPERLINK("https://www.reddit.com/r/GERD/comments/ayjyks/procedure/")</f>
        <v/>
      </c>
      <c r="G569" t="inlineStr">
        <is>
          <t>2019-03-07 16:34:58</t>
        </is>
      </c>
      <c r="H569" t="inlineStr"/>
    </row>
    <row r="570">
      <c r="A570" t="inlineStr">
        <is>
          <t>aykfkn</t>
        </is>
      </c>
      <c r="B570" t="inlineStr">
        <is>
          <t>Activia + my stomach</t>
        </is>
      </c>
      <c r="C570" t="inlineStr">
        <is>
          <t xml:space="preserve">Anyone else eat Activia to help their stomach? Seems like when I do it makes me a little nauseous. Is this normal? (I don't have issues with dairy btw). </t>
        </is>
      </c>
      <c r="D570" t="n">
        <v>11</v>
      </c>
      <c r="E570" t="n">
        <v>18</v>
      </c>
      <c r="F570">
        <f>HYPERLINK("https://www.reddit.com/r/GERD/comments/aykfkn/activia_my_stomach/")</f>
        <v/>
      </c>
      <c r="G570" t="inlineStr">
        <is>
          <t>2019-03-07 17:24:14</t>
        </is>
      </c>
      <c r="H570" t="inlineStr"/>
    </row>
    <row r="571">
      <c r="A571" t="inlineStr">
        <is>
          <t>ayrnjm</t>
        </is>
      </c>
      <c r="B571" t="inlineStr">
        <is>
          <t>29m. I have been diagnosed for anxiety and panic disorder. Started taking Lexapro. It seems like acid reflux and anxiety are going hand in hand for me. Not sure what is triggering what. But I can tell every time I get bad chest pain and anxiety, it is often triggered by heartburn.</t>
        </is>
      </c>
      <c r="C571" t="inlineStr">
        <is>
          <t xml:space="preserve">Now I am questions if it’s an overkill to take antidepressants. And I should rather stay with Zantac like medication. Any advice. Thanks in advance. </t>
        </is>
      </c>
      <c r="D571" t="n">
        <v>6</v>
      </c>
      <c r="E571" t="n">
        <v>8</v>
      </c>
      <c r="F571">
        <f>HYPERLINK("https://www.reddit.com/r/GERD/comments/ayrnjm/29m_i_have_been_diagnosed_for_anxiety_and_panic/")</f>
        <v/>
      </c>
      <c r="G571" t="inlineStr">
        <is>
          <t>2019-03-08 07:42:52</t>
        </is>
      </c>
      <c r="H571" t="inlineStr"/>
    </row>
    <row r="572">
      <c r="A572" t="inlineStr">
        <is>
          <t>aysy38</t>
        </is>
      </c>
      <c r="B572" t="inlineStr">
        <is>
          <t>2 40mg tablets of nexium a day? A good idea?</t>
        </is>
      </c>
      <c r="C572" t="inlineStr">
        <is>
          <t>I just got an endoscopy and my doctor said to take two a day now. Why, I;m not sure. I've been very skeptical about nexium being used long term, and feel like 2 is way overkill. Especially with future serious side effects, like heart diseases
Are those fears legitimate, or should I just do what he says.</t>
        </is>
      </c>
      <c r="D572" t="n">
        <v>1</v>
      </c>
      <c r="E572" t="n">
        <v>5</v>
      </c>
      <c r="F572">
        <f>HYPERLINK("https://www.reddit.com/r/GERD/comments/aysy38/2_40mg_tablets_of_nexium_a_day_a_good_idea/")</f>
        <v/>
      </c>
      <c r="G572" t="inlineStr">
        <is>
          <t>2019-03-08 09:36:22</t>
        </is>
      </c>
      <c r="H572" t="inlineStr"/>
    </row>
    <row r="573">
      <c r="A573" t="inlineStr">
        <is>
          <t>aytu0s</t>
        </is>
      </c>
      <c r="B573" t="inlineStr">
        <is>
          <t>Still not sure this is LPR</t>
        </is>
      </c>
      <c r="C573" t="inlineStr">
        <is>
          <t xml:space="preserve">So for roughly four or five months now I have been getting a reoccurring "flu" it came on slowly over a week, and then stayed for like 1 month after every day. My symptoms are excess phlem, pain/soreness in the lymph nodes under my neck, extreme lethargy, cold sensitivity/cold sweats, ear congestion, and irritability. After the first month it seemed to go away a bit, and I was only flaring once a week about for 3 days. Obviously my general didn't know what to do, so I was sent to a ENT that didn't see anything wrong, so my general guessed it was lpr/acid reflux. I was givin ppi's and sent home. The ppi's may have helped a bit but it could have also just situationally gotten better. 
Anyways I was wondering if any of you with LPR have roughly the same symptoms as me. I would say the biggest is the "sickly" feeling lethargy where you're just dragging all the time, the cold sweats, and the ear pain/full feeling. I just don't know how LPR would cause the cold sweats and flu like lethargy. What are your experiences? </t>
        </is>
      </c>
      <c r="D573" t="n">
        <v>4</v>
      </c>
      <c r="E573" t="n">
        <v>2</v>
      </c>
      <c r="F573">
        <f>HYPERLINK("https://www.reddit.com/r/GERD/comments/aytu0s/still_not_sure_this_is_lpr/")</f>
        <v/>
      </c>
      <c r="G573" t="inlineStr">
        <is>
          <t>2019-03-08 10:53:54</t>
        </is>
      </c>
      <c r="H573" t="inlineStr"/>
    </row>
    <row r="574">
      <c r="A574" t="inlineStr">
        <is>
          <t>ayuv43</t>
        </is>
      </c>
      <c r="B574" t="inlineStr">
        <is>
          <t>Stomach pain</t>
        </is>
      </c>
      <c r="C574" t="inlineStr">
        <is>
          <t xml:space="preserve">I have been diagnosed with GERD and anxiety 2 months ago. I have eliminated cheese and dairy from my diet and also caffeine, sugar is in the process. I have not vomited in a week and when I do is it is very small and is always food, But I think  I might have LPR as I am contently burping and am feeling food in my throat after eating. But does anyone get some mild shortness of breath or pain in the stomach or chest when lying down, and also a cough that is worse in the night. My most concerning symptom right now is the stomach pain, yesterday I had stomach pain in my lower abdomen and now it has moved to the upper part of my stomach near the belly button. It was a sharp pain for 20-80 seconds then it stopped with it gradually being subsided , although it did hurt with movement, it doesn't anymore, Is it worth noting that I kind of messed up and had fast food for the first time since I was diagnosed, I had a McDonald's breakfast with chocolate milk, an egg mcmuffin and hotcakes with syrup I am just a bit scared with it being Appendicitis although I did already get a ultrasound 2 weeks ago. Can anyone help </t>
        </is>
      </c>
      <c r="D574" t="n">
        <v>1</v>
      </c>
      <c r="E574" t="n">
        <v>0</v>
      </c>
      <c r="F574">
        <f>HYPERLINK("https://www.reddit.com/r/GERD/comments/ayuv43/stomach_pain/")</f>
        <v/>
      </c>
      <c r="G574" t="inlineStr">
        <is>
          <t>2019-03-08 12:24:11</t>
        </is>
      </c>
      <c r="H574" t="inlineStr"/>
    </row>
    <row r="575">
      <c r="A575" t="inlineStr">
        <is>
          <t>ayuz3c</t>
        </is>
      </c>
      <c r="B575" t="inlineStr">
        <is>
          <t>On PPIs since I was 7 years old. Need help.</t>
        </is>
      </c>
      <c r="C575" t="inlineStr">
        <is>
          <t xml:space="preserve">Hey guys, I've had stomach problems my whole life. I'm 26 and have been on proton pump inhibitors since I was about 7 years old. I've had to switch the drug a couple times when it stopped working, but I've always been on them. Recently, my reflux has flared back up triggering vagus nerve anxiety etc. I'm so tired of dealing with this stuff and I've read that ppis can have bad effects if you're on them for a long time. Because its kind of a severe case, I'm worried that I won't be able to manage it with just diet etc. (Especially since when it's bad I can't even eat. Almost died of being underweight as a kid.) Does anyone know of treatments that are better? I've heard of a few surgeries including magnets in your stomach valve. I am desperate here. </t>
        </is>
      </c>
      <c r="D575" t="n">
        <v>1</v>
      </c>
      <c r="E575" t="n">
        <v>8</v>
      </c>
      <c r="F575">
        <f>HYPERLINK("https://www.reddit.com/r/GERD/comments/ayuz3c/on_ppis_since_i_was_7_years_old_need_help/")</f>
        <v/>
      </c>
      <c r="G575" t="inlineStr">
        <is>
          <t>2019-03-08 12:34:04</t>
        </is>
      </c>
      <c r="H575" t="inlineStr"/>
    </row>
    <row r="576">
      <c r="A576" t="inlineStr">
        <is>
          <t>aywwuw</t>
        </is>
      </c>
      <c r="B576" t="inlineStr">
        <is>
          <t>Help! Having really bad asthma 2-3 hrs after eating</t>
        </is>
      </c>
      <c r="C576" t="inlineStr">
        <is>
          <t xml:space="preserve">So background: i used to have asthma as a kid, but it kinda faded and phased out so it's only like twice a year. 
In Oct I was diagnosed with GERD, weak LES, H. Piyori, and Gastritis.
I tied different medication and now I'm on Dexelant and Zantac 150... however in the past 3 days after a meal I struggle to breathe, am gasping for air, and tried yawing but am struggling to yawn for air even. I try my Aebuterol but doesn't help. 
Anyone have a similar experience? Anything that helps you? </t>
        </is>
      </c>
      <c r="D576" t="n">
        <v>1</v>
      </c>
      <c r="E576" t="n">
        <v>7</v>
      </c>
      <c r="F576">
        <f>HYPERLINK("https://www.reddit.com/r/GERD/comments/aywwuw/help_having_really_bad_asthma_23_hrs_after_eating/")</f>
        <v/>
      </c>
      <c r="G576" t="inlineStr">
        <is>
          <t>2019-03-08 15:28:13</t>
        </is>
      </c>
      <c r="H576" t="inlineStr"/>
    </row>
    <row r="577">
      <c r="A577" t="inlineStr">
        <is>
          <t>ayxm90</t>
        </is>
      </c>
      <c r="B577" t="inlineStr">
        <is>
          <t>24M. Progressively worse dysphagia over the course of week</t>
        </is>
      </c>
      <c r="C577" t="inlineStr">
        <is>
          <t>Hey all. 24 year old male here, overweight. Never had any related health problems and somewhat active. Would love to hear some dysphagia stories that resolved positively as this is causing some bad anxiety (and potentially making the situation worse). 
I woke up last Saturday (day 1) after the first night of heavy drinking in a while. Had a pretty bad hangover but nothing too unusual. Definitely had the acid burps, but wasn't super unusual for considering the drinking. Later on Saturday, I had a choking feeling while eating (what was definitely a poorly chosen, very acidic meal), and thought it was just a wrong pipe situation. Before this, I'd had that sensation only twice before, but both times in the past two months. Anyway, throughout the past week the choking sensation seemed here to stay. Progressively became harder and harder to get through a meal, and the anxiety of eating so slow or having the choking got worse. Went to an ENT on Tuesday (day 4), he did a laryngoscopy and said nothing looked out of order, except the whole area was just generally red. There are also a few ulcers on the base of my tongue, although they haven't hurt since they first appeared on Saturday. ENT said to avoid acidic foods and call back in a week. Since then, I have basically given up on the hour long process that eating even soft solid foods has become, so I've been sticking to bottled soylent and yogurt. Started taking 150mg of Zantac twice a day on Wednesday (day 5). Made an appt with a gastroenterologist for next Monday (to be day 10), will request an endoscopy. Any and all stories and advice would be great! There's a serious dearth of post-dysphagia stories on here and would to hear some positive stuff!</t>
        </is>
      </c>
      <c r="D577" t="n">
        <v>7</v>
      </c>
      <c r="E577" t="n">
        <v>15</v>
      </c>
      <c r="F577">
        <f>HYPERLINK("https://www.reddit.com/r/GERD/comments/ayxm90/24m_progressively_worse_dysphagia_over_the_course/")</f>
        <v/>
      </c>
      <c r="G577" t="inlineStr">
        <is>
          <t>2019-03-08 16:39:26</t>
        </is>
      </c>
      <c r="H577" t="inlineStr"/>
    </row>
    <row r="578">
      <c r="A578" t="inlineStr">
        <is>
          <t>ayyixr</t>
        </is>
      </c>
      <c r="B578" t="inlineStr">
        <is>
          <t>Manometry/Spasm</t>
        </is>
      </c>
      <c r="C578" t="inlineStr">
        <is>
          <t>Doctor recomended a manometry, because of a symptom, it's like a short sigh with a palpitation, like a spasm feel it on the chest-throat that lasts about a second, it's painless but it is so freaky, in fact gives me anxiety, the problem is that I don't feel it all the time it just happens suddenly, mainly with bad postures, like when I'm just lying on the couch
So my doubt is if the spasm or whatever it is, don't occurs duribg the manometry 
could it be dismissed, what do you think?</t>
        </is>
      </c>
      <c r="D578" t="n">
        <v>1</v>
      </c>
      <c r="E578" t="n">
        <v>2</v>
      </c>
      <c r="F578">
        <f>HYPERLINK("https://www.reddit.com/r/GERD/comments/ayyixr/manometryspasm/")</f>
        <v/>
      </c>
      <c r="G578" t="inlineStr">
        <is>
          <t>2019-03-08 18:19:40</t>
        </is>
      </c>
      <c r="H578" t="inlineStr"/>
    </row>
    <row r="579">
      <c r="A579" t="inlineStr">
        <is>
          <t>ayyr4q</t>
        </is>
      </c>
      <c r="B579" t="inlineStr">
        <is>
          <t>Never met anyone else with GERD; finding this sub and going through it has made me feel so much more normal</t>
        </is>
      </c>
      <c r="C579" t="inlineStr">
        <is>
          <t>I've had GERD for 4 years now, and its been very bad the last two years. I've spent a year on PPIs and in the beginning they helped a little but now its like I'm not even taking them.
I feel like my GERD is different and I want to know if anyone else experiences this part of it: burping.
I am a 22 year old girl and I cannot stop belching. It doesn't matter if I've eaten anything or not. Every single minute or two, I burp. It makes it very hard to have social interactions when I'm constantly suppressing a burp. It is so embarrassing and sometimes painful. I tried telling my doctor but I think the doctor thought I was exaggerating. 
I can't go back to remembering a time I wasn't just belching.
Does anyone else experience this? If so, how do you suppress it? I'm so desperate, any help would be appreciated! 
&amp;amp;#x200B;</t>
        </is>
      </c>
      <c r="D579" t="n">
        <v>25</v>
      </c>
      <c r="E579" t="n">
        <v>23</v>
      </c>
      <c r="F579">
        <f>HYPERLINK("https://www.reddit.com/r/GERD/comments/ayyr4q/never_met_anyone_else_with_gerd_finding_this_sub/")</f>
        <v/>
      </c>
      <c r="G579" t="inlineStr">
        <is>
          <t>2019-03-08 18:46:38</t>
        </is>
      </c>
      <c r="H579" t="inlineStr"/>
    </row>
    <row r="580">
      <c r="A580" t="inlineStr">
        <is>
          <t>ayzexr</t>
        </is>
      </c>
      <c r="B580" t="inlineStr">
        <is>
          <t>Help worried ?</t>
        </is>
      </c>
      <c r="C580" t="inlineStr">
        <is>
          <t xml:space="preserve">Has anyone had the TIF procedure for acid reflux ? Did it cure / get rid of your acid reflux or LPR reflux ? Any advice ? </t>
        </is>
      </c>
      <c r="D580" t="n">
        <v>0</v>
      </c>
      <c r="E580" t="n">
        <v>0</v>
      </c>
      <c r="F580">
        <f>HYPERLINK("https://www.reddit.com/r/GERD/comments/ayzexr/help_worried/")</f>
        <v/>
      </c>
      <c r="G580" t="inlineStr">
        <is>
          <t>2019-03-08 20:02:54</t>
        </is>
      </c>
      <c r="H580" t="inlineStr"/>
    </row>
    <row r="581">
      <c r="A581" t="inlineStr">
        <is>
          <t>ayzohm</t>
        </is>
      </c>
      <c r="B581" t="inlineStr">
        <is>
          <t>Is it possible to get a gastroscopy under total sedation (sleep)</t>
        </is>
      </c>
      <c r="C581" t="inlineStr">
        <is>
          <t>Sounds like I might need to get a gastroscopy, the thought of the procedure scares the hell out of me and I feel there's no way I'd be able to stay calm or anything. 
Is it possible to be totally sedated to the point of sleep, rather than conscious sedation? That would be great as I don't want to be conscious at any point for the exam</t>
        </is>
      </c>
      <c r="D581" t="n">
        <v>1</v>
      </c>
      <c r="E581" t="n">
        <v>2</v>
      </c>
      <c r="F581">
        <f>HYPERLINK("https://www.reddit.com/r/GERD/comments/ayzohm/is_it_possible_to_get_a_gastroscopy_under_total/")</f>
        <v/>
      </c>
      <c r="G581" t="inlineStr">
        <is>
          <t>2019-03-08 20:35:09</t>
        </is>
      </c>
      <c r="H581" t="inlineStr"/>
    </row>
    <row r="582">
      <c r="A582" t="inlineStr">
        <is>
          <t>ayzzyr</t>
        </is>
      </c>
      <c r="B582" t="inlineStr">
        <is>
          <t>Parasites</t>
        </is>
      </c>
      <c r="C582" t="inlineStr">
        <is>
          <t xml:space="preserve">So I uave been having similar issues for years, doc visits, and nothing. Found this thread and tried the probiotics multi times daily and Im begining to feel better. Now today i noticed something in my stool which led me to do some researching. Potentially this could be a sort of parasite. I do enjoy sushi, mr steak, and tap water, and rafting so it is a possibility. Found a product on Amazon called IntestinePro and began to read the reviews. Upon reading I decided to give this product a shot. It should be here in 2 days so I will let you know how it goes.   
What made me think of the probiotics thing is candida is a parasite... So if probiotics help kill that off they are probably assisting woth other gut/intestinal parasites and that may be why we are beginning to feel better after taking. Worse case of trying IntestinePro is a few extra BMs... </t>
        </is>
      </c>
      <c r="D582" t="n">
        <v>1</v>
      </c>
      <c r="E582" t="n">
        <v>1</v>
      </c>
      <c r="F582">
        <f>HYPERLINK("https://www.reddit.com/r/GERD/comments/ayzzyr/parasites/")</f>
        <v/>
      </c>
      <c r="G582" t="inlineStr">
        <is>
          <t>2019-03-08 21:12:53</t>
        </is>
      </c>
      <c r="H582" t="inlineStr"/>
    </row>
    <row r="583">
      <c r="A583" t="inlineStr">
        <is>
          <t>az10b7</t>
        </is>
      </c>
      <c r="B583" t="inlineStr">
        <is>
          <t>Energy alternatives to caffeine?</t>
        </is>
      </c>
      <c r="C583" t="inlineStr">
        <is>
          <t xml:space="preserve">I love coffee. I love the taste, I love making it. I love the smell. I love the energy it gives me. 
It hates me. It relaxes my lower esophageal sphincter and I just cough all day from the reflux. 
How do I get energy to do shit?  </t>
        </is>
      </c>
      <c r="D583" t="n">
        <v>6</v>
      </c>
      <c r="E583" t="n">
        <v>4</v>
      </c>
      <c r="F583">
        <f>HYPERLINK("https://www.reddit.com/r/GERD/comments/az10b7/energy_alternatives_to_caffeine/")</f>
        <v/>
      </c>
      <c r="G583" t="inlineStr">
        <is>
          <t>2019-03-08 23:30:42</t>
        </is>
      </c>
      <c r="H583" t="inlineStr"/>
    </row>
    <row r="584">
      <c r="A584" t="inlineStr">
        <is>
          <t>az6c6j</t>
        </is>
      </c>
      <c r="B584" t="inlineStr">
        <is>
          <t>Cancel Holiday?</t>
        </is>
      </c>
      <c r="C584" t="inlineStr">
        <is>
          <t>Hi everyone. I'm glad I found you all :) 
I have been experiencing GERD symptoms for one week - burning throat, sore stomach, producing alot of saliva. My voice has also been cracking for one month now. I'm on PPIs and have been given Ziverel too.
Thing is, I'm due to fly to Mexico next week for a 3 month stay. 
I'm unsure if GERD is the type of thing which can escalate much. My doctor told me it's something to be managed.
It would be great to find out your experiences to help me ponder this.
Thanks,
Adam</t>
        </is>
      </c>
      <c r="D584" t="n">
        <v>2</v>
      </c>
      <c r="E584" t="n">
        <v>9</v>
      </c>
      <c r="F584">
        <f>HYPERLINK("https://www.reddit.com/r/GERD/comments/az6c6j/cancel_holiday/")</f>
        <v/>
      </c>
      <c r="G584" t="inlineStr">
        <is>
          <t>2019-03-09 10:18:36</t>
        </is>
      </c>
      <c r="H584" t="inlineStr"/>
    </row>
    <row r="585">
      <c r="A585" t="inlineStr">
        <is>
          <t>az6n94</t>
        </is>
      </c>
      <c r="B585" t="inlineStr">
        <is>
          <t>New to this group Expierence with surgeries ???</t>
        </is>
      </c>
      <c r="C585" t="inlineStr">
        <is>
          <t xml:space="preserve">Hi I am new to this group  Has anyone had any expierence with the anti reflux surgeries? I heard about the Nissan and the Linx but the only one I think I would not be scared to do would be the tif procedure ? Any one had the tif procedure and has it stopped your acid reflux (mine is horrible) ? I would love to hear about your story, advice, and your experience ? </t>
        </is>
      </c>
      <c r="D585" t="n">
        <v>2</v>
      </c>
      <c r="E585" t="n">
        <v>2</v>
      </c>
      <c r="F585">
        <f>HYPERLINK("https://www.reddit.com/r/GERD/comments/az6n94/new_to_this_group_expierence_with_surgeries/")</f>
        <v/>
      </c>
      <c r="G585" t="inlineStr">
        <is>
          <t>2019-03-09 10:47:10</t>
        </is>
      </c>
      <c r="H585" t="inlineStr"/>
    </row>
    <row r="586">
      <c r="A586" t="inlineStr">
        <is>
          <t>az75hc</t>
        </is>
      </c>
      <c r="B586" t="inlineStr">
        <is>
          <t>Unsure if I have GERD? Any advice?</t>
        </is>
      </c>
      <c r="C586" t="inlineStr">
        <is>
          <t>I've had the following conditions since I choked on a biscuit/vomited back in January and was wondering if anyone could enlighten me as to if this is possible GERD?
&amp;amp;#x200B;
* Constant mucus in back of throat (just there when I swallow; doesn't cause any issues per se)
* No wheezing, cough, regurgitation, hoarseness, waking up, burning sensation, globus or dysphagia
* Minor throat irritation maybe once/twice a day for a few seconds; no pain
&amp;amp;#x200B;
I can't afford to see a doctor yet but if I have some idea what I may have done then that could alleviate my concerns at least a little. Thanks, everyone!</t>
        </is>
      </c>
      <c r="D586" t="n">
        <v>1</v>
      </c>
      <c r="E586" t="n">
        <v>2</v>
      </c>
      <c r="F586">
        <f>HYPERLINK("https://www.reddit.com/r/GERD/comments/az75hc/unsure_if_i_have_gerd_any_advice/")</f>
        <v/>
      </c>
      <c r="G586" t="inlineStr">
        <is>
          <t>2019-03-09 11:35:21</t>
        </is>
      </c>
      <c r="H586" t="inlineStr"/>
    </row>
    <row r="587">
      <c r="A587" t="inlineStr">
        <is>
          <t>az7j4e</t>
        </is>
      </c>
      <c r="B587" t="inlineStr">
        <is>
          <t>Burping constantly and having heartburn. Anyone know how to stop?</t>
        </is>
      </c>
      <c r="C587" t="inlineStr">
        <is>
          <t>I have a feeling of chest fullness, strong burps after eating pretty much anything and this feeling of something like a burp stuck in my throat/esophagus.  The burps are followed sometimes by strong to mild heartburn in the chest and sometimes the heart burn is slow and will just sit in one spot in my chest for a few seconds and burn stronger than normal. Also, I will have random pain in parts of my body while having the heartburn. This all came after eating shrimp that had added spices to it.</t>
        </is>
      </c>
      <c r="D587" t="n">
        <v>9</v>
      </c>
      <c r="E587" t="n">
        <v>16</v>
      </c>
      <c r="F587">
        <f>HYPERLINK("https://www.reddit.com/r/GERD/comments/az7j4e/burping_constantly_and_having_heartburn_anyone/")</f>
        <v/>
      </c>
      <c r="G587" t="inlineStr">
        <is>
          <t>2019-03-09 12:10:40</t>
        </is>
      </c>
      <c r="H587" t="inlineStr"/>
    </row>
    <row r="588">
      <c r="A588" t="inlineStr">
        <is>
          <t>az7z6s</t>
        </is>
      </c>
      <c r="B588" t="inlineStr">
        <is>
          <t>PPIs make it worse before getting better? Or take long to start working? 1 week in..</t>
        </is>
      </c>
      <c r="C588" t="inlineStr">
        <is>
          <t>1 week in with prilosec 40mg, seems to be getting worse or not improving.
Normal for PPI? The chest 'burn' still there or a little worse...</t>
        </is>
      </c>
      <c r="D588" t="n">
        <v>1</v>
      </c>
      <c r="E588" t="n">
        <v>11</v>
      </c>
      <c r="F588">
        <f>HYPERLINK("https://www.reddit.com/r/GERD/comments/az7z6s/ppis_make_it_worse_before_getting_better_or_take/")</f>
        <v/>
      </c>
      <c r="G588" t="inlineStr">
        <is>
          <t>2019-03-09 12:54:28</t>
        </is>
      </c>
      <c r="H588" t="inlineStr"/>
    </row>
    <row r="589">
      <c r="A589" t="inlineStr">
        <is>
          <t>az8ced</t>
        </is>
      </c>
      <c r="B589" t="inlineStr">
        <is>
          <t>please help with my symptoms</t>
        </is>
      </c>
      <c r="C589" t="inlineStr">
        <is>
          <t xml:space="preserve">I sometimes wake up at 2 am with HORRIBLE pain in my abdomen. When I try to lay back down the pain continues. When I sit up and force myself to burp, the pain eases up (the burps are VERY LOUD) 
There is also regurgitation and sometimes I feel bile/vomit come up in my throat.
I have started taking Pepcid AC which seems to help. Can anyone relate to these symptoms? </t>
        </is>
      </c>
      <c r="D589" t="n">
        <v>2</v>
      </c>
      <c r="E589" t="n">
        <v>1</v>
      </c>
      <c r="F589">
        <f>HYPERLINK("https://www.reddit.com/r/GERD/comments/az8ced/please_help_with_my_symptoms/")</f>
        <v/>
      </c>
      <c r="G589" t="inlineStr">
        <is>
          <t>2019-03-09 13:29:16</t>
        </is>
      </c>
      <c r="H589" t="inlineStr"/>
    </row>
    <row r="590">
      <c r="A590" t="inlineStr">
        <is>
          <t>az8qo9</t>
        </is>
      </c>
      <c r="B590" t="inlineStr">
        <is>
          <t>Coughed up a small string of blood.</t>
        </is>
      </c>
      <c r="C590" t="inlineStr">
        <is>
          <t>My gerd came back after eliminating dairy soy nuts seafood eggs. I started drinking tap water again the is ran through and apec 7 stage filter stystem. I started by taking 20 mg tablet form then after a couple days I had to take one at night. Last night I took 40 mg delayed release capsules. This morning my throat feel weird I wasn't coughing but I kinda growled and spit out a sting of blood. Is this normal? What should I do?</t>
        </is>
      </c>
      <c r="D590" t="n">
        <v>1</v>
      </c>
      <c r="E590" t="n">
        <v>2</v>
      </c>
      <c r="F590">
        <f>HYPERLINK("https://www.reddit.com/r/GERD/comments/az8qo9/coughed_up_a_small_string_of_blood/")</f>
        <v/>
      </c>
      <c r="G590" t="inlineStr">
        <is>
          <t>2019-03-09 14:06:43</t>
        </is>
      </c>
      <c r="H590" t="inlineStr"/>
    </row>
    <row r="591">
      <c r="A591" t="inlineStr">
        <is>
          <t>azb5n1</t>
        </is>
      </c>
      <c r="B591" t="inlineStr">
        <is>
          <t>ive had a cold for a few days, and now my throat feels like its burning</t>
        </is>
      </c>
      <c r="C591" t="inlineStr">
        <is>
          <t>i get heat waves in my throat + mouth and it makes me feel nauseous. i was just wondering if its common to get side effects like this when you have GERD</t>
        </is>
      </c>
      <c r="D591" t="n">
        <v>1</v>
      </c>
      <c r="E591" t="n">
        <v>0</v>
      </c>
      <c r="F591">
        <f>HYPERLINK("https://www.reddit.com/r/GERD/comments/azb5n1/ive_had_a_cold_for_a_few_days_and_now_my_throat/")</f>
        <v/>
      </c>
      <c r="G591" t="inlineStr">
        <is>
          <t>2019-03-09 18:30:19</t>
        </is>
      </c>
      <c r="H591" t="inlineStr"/>
    </row>
    <row r="592">
      <c r="A592" t="inlineStr">
        <is>
          <t>azcgmh</t>
        </is>
      </c>
      <c r="B592" t="inlineStr">
        <is>
          <t>Dad is a bee harvester, how will honey do? Also a running question</t>
        </is>
      </c>
      <c r="C592" t="inlineStr">
        <is>
          <t xml:space="preserve">Side note: I have ulcerative colitis and honey has always worked very well with me but I have never had any while inflamed / middle of reflux.
It is 100% natural and was just wondering if it would help at all.
Also in regards to running, even if I run 2 hours after I eat I start to get stomach pains as well as reflux. It doesn't bother me too much but is it still damaging if I continuously do it? I run every single day and am not sure if it can be damaging long term. If it is I can always run on an empty stomach and I NEVER have problems when I do.
SIDE QUESTION: HOW IS MASTIC GUM? </t>
        </is>
      </c>
      <c r="D592" t="n">
        <v>5</v>
      </c>
      <c r="E592" t="n">
        <v>2</v>
      </c>
      <c r="F592">
        <f>HYPERLINK("https://www.reddit.com/r/GERD/comments/azcgmh/dad_is_a_bee_harvester_how_will_honey_do_also_a/")</f>
        <v/>
      </c>
      <c r="G592" t="inlineStr">
        <is>
          <t>2019-03-09 21:11:10</t>
        </is>
      </c>
      <c r="H592" t="inlineStr"/>
    </row>
    <row r="593">
      <c r="A593" t="inlineStr">
        <is>
          <t>azdc6a</t>
        </is>
      </c>
      <c r="B593" t="inlineStr">
        <is>
          <t>Nissen Fundo Patients: A Few Questions from an Anxious Wreck</t>
        </is>
      </c>
      <c r="C593" t="inlineStr">
        <is>
          <t xml:space="preserve">My doctor told me a couple years ago I'd need this surgery to get any relief from my hernia problems (GERD, recurrent gastritis, etc).  After the failure of every medicine on the market, I believe him.  However I have SEVERE panic/anxiety regarding medical procedures to the point I've cancelled 2 scheduled procedures in the past just due to fear alone.  It's so bad I fear I'll end up in a psych ward or physically ill for a week or more prior to the surgery if I decide to go through with it.  
Questions I have:
- Did you have to have a manometry beforehand?  Is it usually mandatory (to your knowledge?).
- Did you have to do a bowel cleanse the night before?  
- Did they put any tubes in you during/after the surgery?  Breathing tube, nasogastric, catheter, etc?  
- What pain meds did you get afterward, and how much of them?
-  Did you wake up sick/nauseated after the surgery?
- Any serious complications afterward?
These are some of the biggest fears I have surrounding the procedure.  If my quality of life got any worse than it is now, I think I'd have to end my life honestly.  I don't know what the rate of complications is--I don't mind not being able to vomit or burp--those are already things I can't really do anyway for some reason (haven't puked since 2007).  But serious complications like constant nausea or something would be the end of me.  
Thanks for any answers you can give!  I'm a Medicaid patient so hopefully that wouldn't affect my level of care, also.  </t>
        </is>
      </c>
      <c r="D593" t="n">
        <v>9</v>
      </c>
      <c r="E593" t="n">
        <v>11</v>
      </c>
      <c r="F593">
        <f>HYPERLINK("https://www.reddit.com/r/GERD/comments/azdc6a/nissen_fundo_patients_a_few_questions_from_an/")</f>
        <v/>
      </c>
      <c r="G593" t="inlineStr">
        <is>
          <t>2019-03-09 23:16:36</t>
        </is>
      </c>
      <c r="H593" t="inlineStr"/>
    </row>
    <row r="594">
      <c r="A594" t="inlineStr">
        <is>
          <t>azdlwr</t>
        </is>
      </c>
      <c r="B594" t="inlineStr">
        <is>
          <t>Does anyone else have this?</t>
        </is>
      </c>
      <c r="C594" t="inlineStr">
        <is>
          <t xml:space="preserve">When I go to sleep I fall asleep for about 10-15 mins but then I get what seems like esophageal spasms. They aren’t painful but they wake me up and only occur when I try to go to sleep. The pulses are really fast and unrelated to my heart (had a pulse monitor on while I had one and my pulse was normal).
This is the strangest symptom I have and have no clue how to deal with it. I’m gonna schedule an appointment with my doctor but to not sleep for so many nights is killing me.
Does anyone else have this? </t>
        </is>
      </c>
      <c r="D594" t="n">
        <v>1</v>
      </c>
      <c r="E594" t="n">
        <v>2</v>
      </c>
      <c r="F594">
        <f>HYPERLINK("https://www.reddit.com/r/GERD/comments/azdlwr/does_anyone_else_have_this/")</f>
        <v/>
      </c>
      <c r="G594" t="inlineStr">
        <is>
          <t>2019-03-10 00:03:14</t>
        </is>
      </c>
      <c r="H594" t="inlineStr"/>
    </row>
    <row r="595">
      <c r="A595" t="inlineStr">
        <is>
          <t>azfkuj</t>
        </is>
      </c>
      <c r="B595" t="inlineStr">
        <is>
          <t>New symptoms have started to appear. Are these normal?</t>
        </is>
      </c>
      <c r="C595" t="inlineStr">
        <is>
          <t xml:space="preserve">I was diagnosed with a hiatal hernia about 5 years ago and have been on 20 mg of ppis a day since then. I had an endoscopy, barium swallow, etc... All came back normal expect that I had a hiatal hernia. My normal symptoms are early satiety, burping, indigestion, but now some new symptoms have started to appear. I have recently started having an actual burning sensations right below my breast bone and under my left rib cage. This happens with almost anything I am eating. Tums seem to help, but as soon as I eat again it starts occurring again. It’s weird because it was happening  everyday for a week, then went back to normal, now is happening again. The only thing it consistently happens with is alcohol. As soon as I drink a drop of alcohol and the alcohol hits my stomach, immediate burning sensation. I’m worried there might be something else going on like an ulcer. </t>
        </is>
      </c>
      <c r="D595" t="n">
        <v>1</v>
      </c>
      <c r="E595" t="n">
        <v>1</v>
      </c>
      <c r="F595">
        <f>HYPERLINK("https://www.reddit.com/r/GERD/comments/azfkuj/new_symptoms_have_started_to_appear_are_these/")</f>
        <v/>
      </c>
      <c r="G595" t="inlineStr">
        <is>
          <t>2019-03-10 06:20:44</t>
        </is>
      </c>
      <c r="H595" t="inlineStr"/>
    </row>
    <row r="596">
      <c r="A596" t="inlineStr">
        <is>
          <t>azgvnu</t>
        </is>
      </c>
      <c r="B596" t="inlineStr">
        <is>
          <t>I'm at my wits end...HELP</t>
        </is>
      </c>
      <c r="C596" t="inlineStr">
        <is>
          <t xml:space="preserve">I am in pain on a daily basis, and it makes me want to commit suicide. I've tried, Ranitidine, Omeprazole, Lansoprazole, Nexium, Famotidine, DGL, and Slippery Elm. I don't eat particularly acidic or fatty food. I did as a kid, unfortunately, but I outgrew the bad habit. I eat plenty of fruits and vegetables nowadays. I get plenty of exercise. My bed is raised quite a bit. 
The pain is usually stinging/burning sensation in the chest, occasionally its a sharp, stabbing pain. A weird thing about it, though, is that the pain is more acute when I eat smaller amounts, and less acute when I eat larger amounts. Shouldn't it be the opposite? I also feel bad in the chest when I stretch. Pressing a warm towel on my chest sometimes help.
My CNP says its GERD caused by stress, which is why I post something on here quite frequently. I had this problem about a year ago, but the problem went away with Omeprazole. Also, I temporarily went vegetarian. I gave up vegetarianism, because I wasn't getting enough protein. 
I have an appointment with a GI doctor in a few days, but I'm terrified. What if its something serious like stomach cancer, esophageal cancer, or a hiatal hernia? I'm only nineteen years old! I don't want to die anytime soon, but what's the point of going on when I live in pretty constant pain? It's not 24 hours of the day, but I feel it in some form of fashion most of the time. Again, my CNP says it's stress, but I think she's nuts. Stress does NOT cause this much physical pain. I think it must be an h pylori infection, a Hiatal Hernia, esophageal spasms, something like that. 
If you have anything encouraging to say, I'd like to hear it. </t>
        </is>
      </c>
      <c r="D596" t="n">
        <v>6</v>
      </c>
      <c r="E596" t="n">
        <v>38</v>
      </c>
      <c r="F596">
        <f>HYPERLINK("https://www.reddit.com/r/GERD/comments/azgvnu/im_at_my_wits_endhelp/")</f>
        <v/>
      </c>
      <c r="G596" t="inlineStr">
        <is>
          <t>2019-03-10 08:44:25</t>
        </is>
      </c>
      <c r="H596" t="inlineStr"/>
    </row>
    <row r="597">
      <c r="A597" t="inlineStr">
        <is>
          <t>azho8l</t>
        </is>
      </c>
      <c r="B597" t="inlineStr">
        <is>
          <t>Anybody looked at research for short term PPI's/H2 Blocker use to heal GERD?</t>
        </is>
      </c>
      <c r="C597" t="inlineStr">
        <is>
          <t>My doctor talked about how's the research literature supports the use of a short term 2 to 3 months full dose usage (even if symptoms are completely subsided) which lowers inflammation in the stomach/esophagus and allows to heal.
He said 90% + people and then fully come off GERD medications at that point and return to a normal life.
From what I've read it seems like there are plenty of people that I've done this and or on medication long-term.
Thus I'd like to see the research for myself, has anyone taken an in-depth look at clinical trials and the evidence body on this?</t>
        </is>
      </c>
      <c r="D597" t="n">
        <v>2</v>
      </c>
      <c r="E597" t="n">
        <v>8</v>
      </c>
      <c r="F597">
        <f>HYPERLINK("https://www.reddit.com/r/GERD/comments/azho8l/anybody_looked_at_research_for_short_term_ppish2/")</f>
        <v/>
      </c>
      <c r="G597" t="inlineStr">
        <is>
          <t>2019-03-10 10:00:45</t>
        </is>
      </c>
      <c r="H597" t="inlineStr"/>
    </row>
    <row r="598">
      <c r="A598" t="inlineStr">
        <is>
          <t>azhw6c</t>
        </is>
      </c>
      <c r="B598" t="inlineStr">
        <is>
          <t>GERD or GP?</t>
        </is>
      </c>
      <c r="C598" t="inlineStr">
        <is>
          <t>This past week I notice that I will continue to feel fuller after each meal until resulting to eating one or two bites I will start to feel very full and very nausea afterwords. I notice one time when I was going to sleep I was burping a bit to relieve the tight stomach and kinda puke in my mouth but was able to swallow it down, was that acid backing up into my throat ? I don’t experience heartburn, stomach pains but just every bite I take I feel full and nausea afterwords. I’m still figuring out my trigger foods but I rarely eat any fast foods or spicy foods that can make my symptoms this bad ? I had this happen last year before and I went to the doctor and he prescribe me protonix which worked after a few days and starting feeling better, I will be seeing a doctor this week but wondering if anybody experience this before.</t>
        </is>
      </c>
      <c r="D598" t="n">
        <v>2</v>
      </c>
      <c r="E598" t="n">
        <v>1</v>
      </c>
      <c r="F598">
        <f>HYPERLINK("https://www.reddit.com/r/GERD/comments/azhw6c/gerd_or_gp/")</f>
        <v/>
      </c>
      <c r="G598" t="inlineStr">
        <is>
          <t>2019-03-10 10:20:31</t>
        </is>
      </c>
      <c r="H598" t="inlineStr"/>
    </row>
    <row r="599">
      <c r="A599" t="inlineStr">
        <is>
          <t>azifj1</t>
        </is>
      </c>
      <c r="B599" t="inlineStr">
        <is>
          <t>sauces?</t>
        </is>
      </c>
      <c r="C599" t="inlineStr">
        <is>
          <t>I have severe acid reflux, and also a condition that means I can't take pills. this means I have to be very careful with what I eat.
unfortunately I like food! and I keep trying to find ways around these limitations, but every time I try to find reflux-friendly sauces I end up cursing about how all these idiots think vinegar doesn't cause heartburn.
"reflux friendly recipes! 1: tomato. remove tomato if it causes you heartburn"
anyways. I eat a lot of sandwiches. and baked fries and other such things. I just want an idea for a nice sauce to add to them. i like mustard, ketchup, mayonnaise, and relish, but being limited to a light amount of mayonnaise doesn't feel great, and there's no way im dipping my fries in plain mayo.</t>
        </is>
      </c>
      <c r="D599" t="n">
        <v>2</v>
      </c>
      <c r="E599" t="n">
        <v>1</v>
      </c>
      <c r="F599">
        <f>HYPERLINK("https://www.reddit.com/r/GERD/comments/azifj1/sauces/")</f>
        <v/>
      </c>
      <c r="G599" t="inlineStr">
        <is>
          <t>2019-03-10 11:09:43</t>
        </is>
      </c>
      <c r="H599" t="inlineStr"/>
    </row>
    <row r="600">
      <c r="A600" t="inlineStr">
        <is>
          <t>azirho</t>
        </is>
      </c>
      <c r="B600" t="inlineStr">
        <is>
          <t>Nausea-predominant?</t>
        </is>
      </c>
      <c r="C600" t="inlineStr">
        <is>
          <t>Anybody else have this as their main symptom? My nausea is all in my throat for the most part - it feels like pressure, or something trying to come up. This typically happens right after eating and is worse during stressful times. I occasionally get classic heart burn, maybe once every couple of months. Crystallized ginger helps and so does ranitidine. Anybody like me?</t>
        </is>
      </c>
      <c r="D600" t="n">
        <v>3</v>
      </c>
      <c r="E600" t="n">
        <v>2</v>
      </c>
      <c r="F600">
        <f>HYPERLINK("https://www.reddit.com/r/GERD/comments/azirho/nauseapredominant/")</f>
        <v/>
      </c>
      <c r="G600" t="inlineStr">
        <is>
          <t>2019-03-10 11:39:13</t>
        </is>
      </c>
      <c r="H600" t="inlineStr"/>
    </row>
    <row r="601">
      <c r="A601" t="inlineStr">
        <is>
          <t>azk0in</t>
        </is>
      </c>
      <c r="B601" t="inlineStr">
        <is>
          <t>Someone please help me Surgery ?</t>
        </is>
      </c>
      <c r="C601" t="inlineStr">
        <is>
          <t xml:space="preserve">I am thinking about surgery because my reflux is horrible my doctor recommended the TIF procedure does anyone has expierence with the TIF procedure ? Did your reflux go away ? Advice and expierence would be appreciated </t>
        </is>
      </c>
      <c r="D601" t="n">
        <v>2</v>
      </c>
      <c r="E601" t="n">
        <v>4</v>
      </c>
      <c r="F601">
        <f>HYPERLINK("https://www.reddit.com/r/GERD/comments/azk0in/someone_please_help_me_surgery/")</f>
        <v/>
      </c>
      <c r="G601" t="inlineStr">
        <is>
          <t>2019-03-10 13:28:43</t>
        </is>
      </c>
      <c r="H601" t="inlineStr"/>
    </row>
    <row r="602">
      <c r="A602" t="inlineStr">
        <is>
          <t>azkiqm</t>
        </is>
      </c>
      <c r="B602" t="inlineStr">
        <is>
          <t>Best diet for my digestive issues?</t>
        </is>
      </c>
      <c r="C602" t="inlineStr">
        <is>
          <t xml:space="preserve">Hi guys. I’m a early 20s female, not overweight (actually almost underweight, BMI wise) and have no other health issues. 
I do have an anxiety disorder and depression. A few months ago I had a lot of stressful events happening and huge life changes. This brought on extreme anxiety and deep depression. 
Once that started, gradually I began having digestive symptoms. My main complaints are that I cannot eat as much as I used to (at first I could barely eat at all until I got on a PPI) because I’d feel full easily and then get nauseous and experience gnawing stomach pain. Now, some days are worse than others but I generally can eat a normal amount, but I cannot have spicy food, anything acidic or fried, etc or I will have stomach pain and nausea and probably won’t have the appetite to eat for the rest of the day. 
I’ve actually only had heartburn a handful of times, mostly it’s just the other symptoms. 
I am pescatarian. 
I try to eat a lot fish, fresh vegetables, Greek yogurt, oatmeal, bananas, potatoes, etc. what else can I do? I’m about 3 weeks into my PPIs and want this to be over already. I want to be healthy. 
Getting tested for h.pylori soon. Stool test. In the mean time the doctor ordered another 4 weeks of PPIs for when I’m done with my current script. </t>
        </is>
      </c>
      <c r="D602" t="n">
        <v>2</v>
      </c>
      <c r="E602" t="n">
        <v>3</v>
      </c>
      <c r="F602">
        <f>HYPERLINK("https://www.reddit.com/r/GERD/comments/azkiqm/best_diet_for_my_digestive_issues/")</f>
        <v/>
      </c>
      <c r="G602" t="inlineStr">
        <is>
          <t>2019-03-10 14:13:22</t>
        </is>
      </c>
      <c r="H602" t="inlineStr"/>
    </row>
    <row r="603">
      <c r="A603" t="inlineStr">
        <is>
          <t>azlpzz</t>
        </is>
      </c>
      <c r="B603" t="inlineStr">
        <is>
          <t>Silent reflux (lpr). How to tell if your diet is making a progress?</t>
        </is>
      </c>
      <c r="C603" t="inlineStr">
        <is>
          <t>So I’ve had LPR aka silent reflux for about a year.  I am only now trying diet changes to beat these annoying symptoms (mainly sensation of food in throat, difficulties swallowing, regurgitation). I’ve had these for the entire year, but it’s hard to tell if progress is being made because my markers have always been there, and I don’t have reflux pain to tell if I’m headed in the right direction.   Any suggestions to tell if my diet is helping?</t>
        </is>
      </c>
      <c r="D603" t="n">
        <v>3</v>
      </c>
      <c r="E603" t="n">
        <v>5</v>
      </c>
      <c r="F603">
        <f>HYPERLINK("https://www.reddit.com/r/GERD/comments/azlpzz/silent_reflux_lpr_how_to_tell_if_your_diet_is/")</f>
        <v/>
      </c>
      <c r="G603" t="inlineStr">
        <is>
          <t>2019-03-10 16:01:54</t>
        </is>
      </c>
      <c r="H603" t="inlineStr"/>
    </row>
    <row r="604">
      <c r="A604" t="inlineStr">
        <is>
          <t>azlvdt</t>
        </is>
      </c>
      <c r="B604" t="inlineStr">
        <is>
          <t>Cramping Stomach Pain</t>
        </is>
      </c>
      <c r="C604" t="inlineStr">
        <is>
          <t xml:space="preserve">Hi all,
I’m currently experiencing some major stomach cramping. I take a 40mg omeprazole each morning. I admit I’ve had a few questionable foods for my diet, frozen chicken fingers and cheese breadsticks, but im unsure which or what could’ve caused this. It hurts to move, but I’ve had a similar experience a month back and it went away after 3 hours. 
I’m curious if anyone has had similar experiences, and/or remedies that may soothe the pain. Or, if this is something far worse than I’m thinking. 
I assume it’s gas, took a gas-x and nothing. I did go to the bathroom but so far it’s not relieving any pain. 
Thanks. </t>
        </is>
      </c>
      <c r="D604" t="n">
        <v>2</v>
      </c>
      <c r="E604" t="n">
        <v>5</v>
      </c>
      <c r="F604">
        <f>HYPERLINK("https://www.reddit.com/r/GERD/comments/azlvdt/cramping_stomach_pain/")</f>
        <v/>
      </c>
      <c r="G604" t="inlineStr">
        <is>
          <t>2019-03-10 16:16:38</t>
        </is>
      </c>
      <c r="H604" t="inlineStr"/>
    </row>
    <row r="605">
      <c r="A605" t="inlineStr">
        <is>
          <t>azlzxi</t>
        </is>
      </c>
      <c r="B605" t="inlineStr">
        <is>
          <t>What can I add to my tilapia filets to make them taste better without causing gerd?</t>
        </is>
      </c>
      <c r="C605" t="inlineStr">
        <is>
          <t>Pretty much the title. I get tilapia filets from Sam's (Members Mark brand) and they are plain as hell, but adding pepper causes acid reflux. Any suggestions on how to give them some flavor while being gentle on my stomach?</t>
        </is>
      </c>
      <c r="D605" t="n">
        <v>5</v>
      </c>
      <c r="E605" t="n">
        <v>9</v>
      </c>
      <c r="F605">
        <f>HYPERLINK("https://www.reddit.com/r/GERD/comments/azlzxi/what_can_i_add_to_my_tilapia_filets_to_make_them/")</f>
        <v/>
      </c>
      <c r="G605" t="inlineStr">
        <is>
          <t>2019-03-10 16:28:55</t>
        </is>
      </c>
      <c r="H605" t="inlineStr"/>
    </row>
    <row r="606">
      <c r="A606" t="inlineStr">
        <is>
          <t>azn5by</t>
        </is>
      </c>
      <c r="B606" t="inlineStr">
        <is>
          <t>Is breathing difficulties related to GERD?</t>
        </is>
      </c>
      <c r="C606" t="inlineStr">
        <is>
          <t>I’ve had bronchitis 3 weeks ago, thinking it went away, I went to the city to watch a movie after taking fish oil, all of a sudden I couldn’t breathe in the theater.
I thought I was choking, I panicked and ran out of there, I felt better speedwalking to my car, but sitting down was not helping.
I felt like each breath was not enough, it felt short and labored. I felt a sensation zip horizontally on my chest when I took a deep breath.
By the time I got home (went to get my inhaler), I felt better all of a sudden. But today, I had the worst case of stomach acid, burping and regurgitating, and heartburn, as well as difficulty breathing. I took Tums, and difficulty breathing went away. Is this a coincidence?</t>
        </is>
      </c>
      <c r="D606" t="n">
        <v>0</v>
      </c>
      <c r="E606" t="n">
        <v>2</v>
      </c>
      <c r="F606">
        <f>HYPERLINK("https://www.reddit.com/r/GERD/comments/azn5by/is_breathing_difficulties_related_to_gerd/")</f>
        <v/>
      </c>
      <c r="G606" t="inlineStr">
        <is>
          <t>2019-03-10 18:24:24</t>
        </is>
      </c>
      <c r="H606" t="inlineStr"/>
    </row>
    <row r="607">
      <c r="A607" t="inlineStr">
        <is>
          <t>azoezj</t>
        </is>
      </c>
      <c r="B607" t="inlineStr">
        <is>
          <t>Is there a single case out there like mine? I'm very frustrated.</t>
        </is>
      </c>
      <c r="C607" t="inlineStr">
        <is>
          <t>Background: I had zero issues with digestion until about 8 months ago. I was put on a beta blocker that left me wheelchair bound for several months. Horrible drug. I've been off it for 3 months, but my bowels and stomach have been messed up ever since and continue to get worse and worse. I currently take probiotics which help a lot, but I'm still suffering.
I am now down to almost 95 pounds because eating is too hard. I don't have heartburn or vomiting or the "classic" acid reflux symptoms, just nausea, sour stomach, hard to swallow, and weird body tremors with frequent stools. Just got back from the ER and they're still saying it's acid reflux...I'm literally anorexic now but ok. I don't want to take PPIs, I want to fix the cause.
Problem is...I don't drink coffee, I don't use alcohol or drugs, soda, junk food, etc. But I HAVE been stuck on a mostly bread and rice diet for 8 months thanks to that stupid medication ruining my bowels. I don't tolerate fiber well since, it leaves me incapacitated with gas pain and diarrhea. Even though before that beta blocker, my diet was 50% veggies with no issues.
But now for the last week or so, I'm having unbearable loss of appetite and the urge to regurgitate everything I put into my mouth (just bread and bananas is all I can tolerate right now. I can barely deal with water). I'm getting about 500-1000 calories a day and becoming more anorexic. I'm literally dying. GERD/IBS is killing me.
There is no solution for me like "just stop smoking/eating junk food!" because I don't do that in the first place. I'm not overweight. Yet doctors still aren't taking me seriously. I'm very frustrated.
Is there anyone out there like me? Any success stories?</t>
        </is>
      </c>
      <c r="D607" t="n">
        <v>6</v>
      </c>
      <c r="E607" t="n">
        <v>18</v>
      </c>
      <c r="F607">
        <f>HYPERLINK("https://www.reddit.com/r/GERD/comments/azoezj/is_there_a_single_case_out_there_like_mine_im/")</f>
        <v/>
      </c>
      <c r="G607" t="inlineStr">
        <is>
          <t>2019-03-10 20:33:01</t>
        </is>
      </c>
      <c r="H607" t="inlineStr"/>
    </row>
    <row r="608">
      <c r="A608" t="inlineStr">
        <is>
          <t>azoz5x</t>
        </is>
      </c>
      <c r="B608" t="inlineStr">
        <is>
          <t>Sleep problems, shoulder blade pain, depression. Is it acid reflux?</t>
        </is>
      </c>
      <c r="C608" t="inlineStr">
        <is>
          <t>For the last ten years, I have been suffering from a number of different, strange symptoms.  It's been terrible -- as a result of all my problems, I had to change my job, suffer from mild depression and above all am exhausted.  After prowling this forum for  while and because of a recent incident, I've begun to suspect LPR/acid reflux (much to my surprise), but I'd appreciate the community's feedback and advice on whether I fit that picture.   Here are my symptoms:
1. sleep problems, insomnia -- this is probably the worst symptom.  My sleep is not restful, and I often wake up at 2 or 3 am.  Although tired, I find myself unable to go back to sleep, because my body aches and I feel somewhat agitated.  This has exhausted me, to the point where I had to switch jobs, lost interests in almost all my usual passions and hobbies, and constantly feel a desire to lie in my bed  (which is terrible for reflux, I know, if that is my problem.)  About six years ago, my sleep problems were even worse; at the time, in my desperate search for solutions, I was diagnosed with moderate sleep apnea, and since CPAP failed, I ended up getting a jaw surgery to address the apnea.  That helped, and my sleep apnea now is supposedly very mild (based on my AHI), although I still suffer from the fatigue and sleep problems I described above.  
2. upper back pain, particularly in shoulder blades -- it varies from day to day, but I suffer from a lot of pain.  It circulates around the neck and upper back, but particularly around the shoulder blades -- it feels like there is a tight, hard knot underneath the shoulder blades, and it can hurt to press against it.  This pain increases during sleep, so when I wake up, this pain is typically worse, and I have a sense it makes it harder somehow to go back to bed.  I also have some sensation of tingling through the arms and legs; and knots/aches in the buttocks as well.
3. bloating, some nausea/pain, now the above symptoms gets worse after certain kinds of meals --  For a decade I've been bloated after many meals, and I had some strange sense my aches, pains and fatugue were worse after certain types of foods; two weeks ago, however, I had a large, late dinner of homemade chili with plenty of chili spices and tomatoes, and noticed that my sleep was particularly terrible, and my back ached terribly, maybe two or three times worse than usual.  That very unusual linkage made me do some Internet searches, and caused me to suspect acid reflux or LPR.  Sadly, ever since that meal, my symptoms are now worse -- after high fat or spicy foods, I for the first time suffer some limited nausea and a dull ache in my stomach in addition to bloating.
From the community here, I'd appreciate your thoughts on the following questions:
1. Does this sound like LPR/gerd/acid reflux?  In other words, is that the reason for my severe fatigue?  Based on stories I have read on this forum, it sounds similar.  On the the other hand, for the past week I have tried a non-acidic diet (e.g., as suggested by Koufman), but so far I do not sense any clear benefit, so I have some doubt whether that is my problem. 
2. If I am suffering from acid reflux, what should I do to address it?  In reading this forum, I have heard about changing my diet (e.g., as Koufman recommends in her book, Dropping Acid, which I bought); also, elevating the bed, sleeping on your left side, and trying Gaviscon Advance (I tried the extra strength non-advance version, and it didn't do much for me.)  If I did do these things, how long would it take to see any positive benefits or even better yet, get close to normal functionality?  I also have a doctor's appointment scheduled this week to examine the acid reflux issue.
3. Any other tips or suggestions would be welcome.  If you can relate to my experiences, please let me know how you have coped and give me hope!  Thank you in advance for sharing your thoughts and my apologies for the long essay.</t>
        </is>
      </c>
      <c r="D608" t="n">
        <v>2</v>
      </c>
      <c r="E608" t="n">
        <v>11</v>
      </c>
      <c r="F608">
        <f>HYPERLINK("https://www.reddit.com/r/GERD/comments/azoz5x/sleep_problems_shoulder_blade_pain_depression_is/")</f>
        <v/>
      </c>
      <c r="G608" t="inlineStr">
        <is>
          <t>2019-03-10 21:31:01</t>
        </is>
      </c>
      <c r="H608" t="inlineStr"/>
    </row>
    <row r="609">
      <c r="A609" t="inlineStr">
        <is>
          <t>azuykk</t>
        </is>
      </c>
      <c r="B609" t="inlineStr">
        <is>
          <t>PPI medicine confused ?</t>
        </is>
      </c>
      <c r="C609" t="inlineStr">
        <is>
          <t xml:space="preserve">I have heard a lot of people on here are on ppi meds for life I was recently on 2 antibiotics and now I have really bad acid reflux I am currently on ppi meds . I never heard of this is this possible? </t>
        </is>
      </c>
      <c r="D609" t="n">
        <v>0</v>
      </c>
      <c r="E609" t="n">
        <v>9</v>
      </c>
      <c r="F609">
        <f>HYPERLINK("https://www.reddit.com/r/GERD/comments/azuykk/ppi_medicine_confused/")</f>
        <v/>
      </c>
      <c r="G609" t="inlineStr">
        <is>
          <t>2019-03-11 08:48:28</t>
        </is>
      </c>
      <c r="H609" t="inlineStr"/>
    </row>
    <row r="610">
      <c r="A610" t="inlineStr">
        <is>
          <t>azwbgv</t>
        </is>
      </c>
      <c r="B610" t="inlineStr">
        <is>
          <t>Cold symptoms</t>
        </is>
      </c>
      <c r="C610" t="inlineStr">
        <is>
          <t xml:space="preserve">Anyone else randomly wake up sometimes with a sore throat and mucusy throat and sometimes congestion? I have acid reflux and sometimes if I eat a lot and regurgitate the next morning I feel like that and it will last a little. Is this normal for reflux? It comes randomly. </t>
        </is>
      </c>
      <c r="D610" t="n">
        <v>2</v>
      </c>
      <c r="E610" t="n">
        <v>0</v>
      </c>
      <c r="F610">
        <f>HYPERLINK("https://www.reddit.com/r/GERD/comments/azwbgv/cold_symptoms/")</f>
        <v/>
      </c>
      <c r="G610" t="inlineStr">
        <is>
          <t>2019-03-11 10:44:33</t>
        </is>
      </c>
      <c r="H610" t="inlineStr"/>
    </row>
    <row r="611">
      <c r="A611" t="inlineStr">
        <is>
          <t>azwdn8</t>
        </is>
      </c>
      <c r="B611" t="inlineStr">
        <is>
          <t>Anyone taking Domperidone?</t>
        </is>
      </c>
      <c r="C611" t="inlineStr">
        <is>
          <t>Got diagnosed with GERD today and was given prescription meds, one of them is Domperidone. Didn’t seem to be all bad, till I saw on Google that it isn’t available in the US because of cardiac problems, is this really the case? I’m more conscious about my heart than I am with GERD.
Also, I drink plenty of coffee/tea/pre-workout supplements/alcohol, is it really that bad to take with it?</t>
        </is>
      </c>
      <c r="D611" t="n">
        <v>2</v>
      </c>
      <c r="E611" t="n">
        <v>7</v>
      </c>
      <c r="F611">
        <f>HYPERLINK("https://www.reddit.com/r/GERD/comments/azwdn8/anyone_taking_domperidone/")</f>
        <v/>
      </c>
      <c r="G611" t="inlineStr">
        <is>
          <t>2019-03-11 10:49:38</t>
        </is>
      </c>
      <c r="H611" t="inlineStr"/>
    </row>
    <row r="612">
      <c r="A612" t="inlineStr">
        <is>
          <t>azwpjg</t>
        </is>
      </c>
      <c r="B612" t="inlineStr">
        <is>
          <t>Anyone feel it in their ears?</t>
        </is>
      </c>
      <c r="C612" t="inlineStr">
        <is>
          <t>I have had what I believe is LPR (Silent Reflux) for about half a year now. A lot of the symptoms come and go, but the one constant is feeling like their is fluid or some stoppage behind my ears. It gets especially noticeable if I drink a lot of coffee. Has anyone else experienced this?
Also, while we're at it, every time I eat my nose gets stopped/runny. I have also had this new and fun symptom of my face flushing if I eat certain foods (which may actually be a food intolerance... slowly eliminating things for now). What fun!</t>
        </is>
      </c>
      <c r="D612" t="n">
        <v>13</v>
      </c>
      <c r="E612" t="n">
        <v>17</v>
      </c>
      <c r="F612">
        <f>HYPERLINK("https://www.reddit.com/r/GERD/comments/azwpjg/anyone_feel_it_in_their_ears/")</f>
        <v/>
      </c>
      <c r="G612" t="inlineStr">
        <is>
          <t>2019-03-11 11:16:26</t>
        </is>
      </c>
      <c r="H612" t="inlineStr"/>
    </row>
    <row r="613">
      <c r="A613" t="inlineStr">
        <is>
          <t>azx8za</t>
        </is>
      </c>
      <c r="B613" t="inlineStr">
        <is>
          <t>GERD exasperated by a head cold.</t>
        </is>
      </c>
      <c r="C613" t="inlineStr">
        <is>
          <t>I've had GERD for a number of years.   It's generally been well controlled and I've found that PPI's in the morning and H2 blockers before bed generally allow me to get restful sleep and be (mostly) symptom free so long as I avoid my trigger foods. 
&amp;amp;#x200B;
All that said, the last few times I've had a head cold (definitely a cold and not GERD masquerading as one) my reflux goes absolutely crazy.   For me, mucus seems to mostly run into my stomach and when that's happening it's reflux all day every day.   I basically eat small amounts constantly to keep my stomach busy.    Does this happen to anybody else? 
When I do internet searches on the topic I basically get tons of results about how GERD can manifest similarly to the common cold but very little about post nasal drip actually making reflux worse.</t>
        </is>
      </c>
      <c r="D613" t="n">
        <v>1</v>
      </c>
      <c r="E613" t="n">
        <v>1</v>
      </c>
      <c r="F613">
        <f>HYPERLINK("https://www.reddit.com/r/GERD/comments/azx8za/gerd_exasperated_by_a_head_cold/")</f>
        <v/>
      </c>
      <c r="G613" t="inlineStr">
        <is>
          <t>2019-03-11 12:00:38</t>
        </is>
      </c>
      <c r="H613" t="inlineStr"/>
    </row>
    <row r="614">
      <c r="A614" t="inlineStr">
        <is>
          <t>azxmhi</t>
        </is>
      </c>
      <c r="B614" t="inlineStr">
        <is>
          <t>How soon will symptoms occur if caused by a trigger food?</t>
        </is>
      </c>
      <c r="C614" t="inlineStr">
        <is>
          <t>I've been having frequent stomach pains and belching, and occasionally regurgitation (but that was mostly from the PPI's, which I stopped last week after taking them 2x a day for 20 days with no improvement).
I'm trying to figure out if there's any kind of diet changes I can make to help. But the thing is that I often get symptoms long after I've eaten a meal. For example, I often get bad stomach pains at night, like between 11 pm and 3 am. Or first thing in the morning. I also often get stomach pains when my stomach is empty.
How can I tell if something is a trigger food? How long after I've eaten should I rule out food as a cause? Does a reaction from a trigger food usually occur within a couple hours or so?
Honestly it seems pretty random to me. It can happen any time of day, right after a meal or hours later, on a full stomach or an empty one. I also have to be careful because I have a history of avoidant eating patterns so restricting my diet too much can bring that back. I've been cutting the obvious things like fried foods, spicy foods, and caffeine.</t>
        </is>
      </c>
      <c r="D614" t="n">
        <v>1</v>
      </c>
      <c r="E614" t="n">
        <v>3</v>
      </c>
      <c r="F614">
        <f>HYPERLINK("https://www.reddit.com/r/GERD/comments/azxmhi/how_soon_will_symptoms_occur_if_caused_by_a/")</f>
        <v/>
      </c>
      <c r="G614" t="inlineStr">
        <is>
          <t>2019-03-11 12:31:23</t>
        </is>
      </c>
      <c r="H614" t="inlineStr"/>
    </row>
    <row r="615">
      <c r="A615" t="inlineStr">
        <is>
          <t>azy400</t>
        </is>
      </c>
      <c r="B615" t="inlineStr">
        <is>
          <t>Difference between Gerd and lpr and acid reflux ???</t>
        </is>
      </c>
      <c r="C615" t="inlineStr">
        <is>
          <t xml:space="preserve">What is the difference between Gerd and lpr and just acid reflux ? because my doctor said I had acid reflux even through my symptoms are mostly in my throat </t>
        </is>
      </c>
      <c r="D615" t="n">
        <v>4</v>
      </c>
      <c r="E615" t="n">
        <v>3</v>
      </c>
      <c r="F615">
        <f>HYPERLINK("https://www.reddit.com/r/GERD/comments/azy400/difference_between_gerd_and_lpr_and_acid_reflux/")</f>
        <v/>
      </c>
      <c r="G615" t="inlineStr">
        <is>
          <t>2019-03-11 13:11:10</t>
        </is>
      </c>
      <c r="H615" t="inlineStr"/>
    </row>
    <row r="616">
      <c r="A616" t="inlineStr">
        <is>
          <t>azz8b5</t>
        </is>
      </c>
      <c r="B616" t="inlineStr">
        <is>
          <t>GERD/ERGE</t>
        </is>
      </c>
      <c r="C616" t="inlineStr">
        <is>
          <t>How do you deal and for how long have you been dealing with the symptom of something stucked in the throat after eat something?
It happens to me some minutes after eat something but it happens more frecuently with some specific foods for example cookies and it goes away if I eat something more solid not the same if I drink water
I'm not taking meds for the following three weeks until I get a manometry, (which I wouldn't have it because don't want to hear a worse diagnose)
I speak spanish if somebody wants to switch language
Thanks!</t>
        </is>
      </c>
      <c r="D616" t="n">
        <v>1</v>
      </c>
      <c r="E616" t="n">
        <v>0</v>
      </c>
      <c r="F616">
        <f>HYPERLINK("https://www.reddit.com/r/GERD/comments/azz8b5/gerderge/")</f>
        <v/>
      </c>
      <c r="G616" t="inlineStr">
        <is>
          <t>2019-03-11 14:42:22</t>
        </is>
      </c>
      <c r="H616" t="inlineStr"/>
    </row>
    <row r="617">
      <c r="A617" t="inlineStr">
        <is>
          <t>azznnx</t>
        </is>
      </c>
      <c r="B617" t="inlineStr">
        <is>
          <t>All Day Chest Pressure. Need Advice.</t>
        </is>
      </c>
      <c r="C617" t="inlineStr">
        <is>
          <t xml:space="preserve">29m. 155lbs. Former smoker. Reasonably active. (20 minute run most days. 30 min yoga everyday). 
For about two weeks I’ve had this pressure in the middle of my chest. I thought I may have pulled a muscle since it radiates slightly to the right side. Movement sometimes makes it worse. As far as I know; exercise doesn’t make it worse. 
Unfortunately, years as a hypochondriac have shot my anxiety through the roof. I’ve had a few panic attack’s over it and *thinking* I’m having cold sweats or pain in my arm or other symptoms. Since we’ve all been through this game I’m not entirely sure I want to go to an Urgent Care because I don’t want to endure a trip to the ER, 4 EKGs and a $4000 bill. 
Does this sound like a GERD issue? Is there anything I can do to alleviate it?...or should I just bite the bullet and go in to the urgent care? 
Thanks! </t>
        </is>
      </c>
      <c r="D617" t="n">
        <v>1</v>
      </c>
      <c r="E617" t="n">
        <v>0</v>
      </c>
      <c r="F617">
        <f>HYPERLINK("https://www.reddit.com/r/GERD/comments/azznnx/all_day_chest_pressure_need_advice/")</f>
        <v/>
      </c>
      <c r="G617" t="inlineStr">
        <is>
          <t>2019-03-11 15:16:52</t>
        </is>
      </c>
      <c r="H617" t="inlineStr"/>
    </row>
    <row r="618">
      <c r="A618" t="inlineStr">
        <is>
          <t>b002z4</t>
        </is>
      </c>
      <c r="B618" t="inlineStr">
        <is>
          <t>Do I have GERD? Also why PPIs/H2 blockers give me extreme sides?</t>
        </is>
      </c>
      <c r="C618" t="inlineStr">
        <is>
          <t>Long story short. I had been diagnosed with IBS about 5-6 years ago. As I had indigestion and constipation mixed with diarrhea and stomach pain. Doc gave me omperazole and laxido for few months, symptoms went away. So since then I only had occasional indigestion that didnt cause much trouble, maybe upset stomach for a day or two, and then I'd be fine. I never had heartburn or regurgitation.
&amp;amp;#x200B;
&amp;amp;#x200B;
So for the last year or so, I've been having GERD symptoms coming on and off. It all started with burning sensation in my lower abdomen every morning. Doc gave me lansoprazole which i took for about 2 months and symptoms were gone. For few months it didnt bother me, but then it started coming on and off. In October last year I had some bad pain on the right side just under my rib cage. I went to ER and they said it's either gallbladder or stomach, so they put me on lansoprazole again, and said that if it wont help then they will examine gallbladder. It kinda helped because pain on the right side stopped. However I only took lansoprazole for 2 weeks, and had extreme side effects. I had extreme joint and muscle pain, nausea, low blood pressure. I almost fainted several times. Started having random panic/anxiety attacks i never had before, i didnt think it was lansoprazole until i missed 2 days because i ran out, and symptoms were gone.
&amp;amp;#x200B;
I stopped lansoprazole and was alright for a while, but now for the past 3 months or so, I've been having chest pains, just in the middle, indigestion, constant constipation or stomach pains. I dont feel acid reflux or regurgitation, however i do notice in the morning that my throat and sometimes tonsils are irritated, and i do suspect that acid travels up.
&amp;amp;#x200B;
Last week or so, i've been having burning sensation in middle of my chest, below rib cage, i do notice that it usually gets worse in the evening or when i lay down.
&amp;amp;#x200B;
&amp;amp;#x200B;
&amp;amp;#x200B;
Does that seem like GERD? Also why PPIs/H2 blockers make me feel so bad, as fast as 3-4 days into taking them? My dosages were quite small, 30mg lanso in the morning, also tried 150mg ranitidine morning/evening, or just morning or just evening. It helped with burning sensation and indigestion. However I start having really sore joints, extreme muscle weakness, extreme fatigue and very low blood pressure. As soon I stop, 1-2 days after it all goes away, and GERD like symptoms come back.
&amp;amp;#x200B;
&amp;amp;#x200B;
I am kinda shocked and dont know what to do. My GP keeps saying that those PPI/H2 blocker symptoms are impossible and that nobody ever reported them. However they are definitely from meds, I tried taking lansoprazole or ranitidine on and off, and after 3-5 days i start feeling really bad.
&amp;amp;#x200B;
&amp;amp;#x200B;
&amp;amp;#x200B;
&amp;amp;#x200B;</t>
        </is>
      </c>
      <c r="D618" t="n">
        <v>0</v>
      </c>
      <c r="E618" t="n">
        <v>6</v>
      </c>
      <c r="F618">
        <f>HYPERLINK("https://www.reddit.com/r/GERD/comments/b002z4/do_i_have_gerd_also_why_ppish2_blockers_give_me/")</f>
        <v/>
      </c>
      <c r="G618" t="inlineStr">
        <is>
          <t>2019-03-11 15:52:55</t>
        </is>
      </c>
      <c r="H618" t="inlineStr"/>
    </row>
    <row r="619">
      <c r="A619" t="inlineStr">
        <is>
          <t>b00d45</t>
        </is>
      </c>
      <c r="B619" t="inlineStr">
        <is>
          <t>Surgery for LPR?</t>
        </is>
      </c>
      <c r="C619" t="inlineStr">
        <is>
          <t xml:space="preserve">Has anyone had the tif procedure for LPR ? I have been reading through posts and have not found anything about this . If Anyone has had the tif procedure I would like to know did it eliminate all your lpr symptoms? 
</t>
        </is>
      </c>
      <c r="D619" t="n">
        <v>0</v>
      </c>
      <c r="E619" t="n">
        <v>1</v>
      </c>
      <c r="F619">
        <f>HYPERLINK("https://www.reddit.com/r/GERD/comments/b00d45/surgery_for_lpr/")</f>
        <v/>
      </c>
      <c r="G619" t="inlineStr">
        <is>
          <t>2019-03-11 16:17:53</t>
        </is>
      </c>
      <c r="H619" t="inlineStr"/>
    </row>
    <row r="620">
      <c r="A620" t="inlineStr">
        <is>
          <t>b00gkz</t>
        </is>
      </c>
      <c r="B620" t="inlineStr">
        <is>
          <t>Weird Symptoms</t>
        </is>
      </c>
      <c r="C620" t="inlineStr">
        <is>
          <t>I’ve been getting a lot of weird (and scary) symptoms lately. This morning I felt a burning sensation in my left arm. I had a migraine this morning as well. Those symptoms are gone now but I was scared I was going to have a stroke. My doctor prescribed me Zantac a few months ago but I a finished it 2 days ago. Does anyone else get these symptoms?</t>
        </is>
      </c>
      <c r="D620" t="n">
        <v>0</v>
      </c>
      <c r="E620" t="n">
        <v>0</v>
      </c>
      <c r="F620">
        <f>HYPERLINK("https://www.reddit.com/r/GERD/comments/b00gkz/weird_symptoms/")</f>
        <v/>
      </c>
      <c r="G620" t="inlineStr">
        <is>
          <t>2019-03-11 16:26:46</t>
        </is>
      </c>
      <c r="H620" t="inlineStr"/>
    </row>
    <row r="621">
      <c r="A621" t="inlineStr">
        <is>
          <t>b0240k</t>
        </is>
      </c>
      <c r="B621" t="inlineStr">
        <is>
          <t>LINX Procedure</t>
        </is>
      </c>
      <c r="C621" t="inlineStr">
        <is>
          <t xml:space="preserve">5cm Hiatal Hernia, and the LINX device surgery tomorrow. Anyone recently get one? </t>
        </is>
      </c>
      <c r="D621" t="n">
        <v>4</v>
      </c>
      <c r="E621" t="n">
        <v>18</v>
      </c>
      <c r="F621">
        <f>HYPERLINK("https://www.reddit.com/r/GERD/comments/b0240k/linx_procedure/")</f>
        <v/>
      </c>
      <c r="G621" t="inlineStr">
        <is>
          <t>2019-03-11 19:04:38</t>
        </is>
      </c>
      <c r="H621" t="inlineStr"/>
    </row>
    <row r="622">
      <c r="A622" t="inlineStr">
        <is>
          <t>b06lu9</t>
        </is>
      </c>
      <c r="B622" t="inlineStr">
        <is>
          <t>EGD Test &amp;amp; Process</t>
        </is>
      </c>
      <c r="C622" t="inlineStr">
        <is>
          <t>EGD test or Endoscopy is a painless process. Doctors insert the endoscope, a long, thin, flexible pipe fitted with a tiny camera and light at its leading tip, into your mouth and push it gently through your throat. You may ask to swallow as the scope passes down your throat.  
As the endoscope is forwarded down the esophagus, the images from the camera will be shown on a monitor. The doctor will observe the image minutely to find out if there is any abnormality in the upper digestive tract. Gentle air pressure may be used to inflate the digestive tract. This allows the endoscope to move freely inside the tract.  
If any polyps are found they are removed by the doctor using a special surgical tool passed through the endoscope, and then sent for malignancy test.  
Once the doctor has finished the test, the [endoscope](https://cmclancaster.com/blog/endoscopy-procedure/) is carefully retracted through the mouth. The entire process typically takes around 30 minutes, depending on the  situation. The endoscope doesn't interfere with the breathing.</t>
        </is>
      </c>
      <c r="D622" t="n">
        <v>1</v>
      </c>
      <c r="E622" t="n">
        <v>0</v>
      </c>
      <c r="F622">
        <f>HYPERLINK("https://www.reddit.com/r/GERD/comments/b06lu9/egd_test_process/")</f>
        <v/>
      </c>
      <c r="G622" t="inlineStr">
        <is>
          <t>2019-03-12 04:19:27</t>
        </is>
      </c>
      <c r="H622" t="inlineStr"/>
    </row>
    <row r="623">
      <c r="A623" t="inlineStr">
        <is>
          <t>b06x2v</t>
        </is>
      </c>
      <c r="B623" t="inlineStr">
        <is>
          <t>Anyone else have similar symptoms? And for how long should I take ranitidine?</t>
        </is>
      </c>
      <c r="C623" t="inlineStr">
        <is>
          <t>I just found this subreddit recently while I was searching around articles about GERD. I haven't had an endoscopy (because my parents are likely to refer me to a GP rather than a GI), so I am not certain if I do have GERD, but I kept having heartburns since October 2018. I think I tried antacids, but they did not work for me. I took omeprazole 20mg once a day, for 30 days and stopped taking it at march 7 (because I ran out). I thought, maybe I won't have heartburn anymore, so I made some lifestyle changes. However, I still experience heartburn, and I went to a GP and was told to take 150mg ranitidine, 3 times a day. The doctor did not told me how long I was supposed to take it, and I could not find anything online. Anyway, my questions are:
1. My heartburn disappears when I take omeprazole, but I keep regurgitating. When I stopped taking omeprazole, I stopped regurgitating, but my heartburn is back. The same thing is currently happening when I started taking ranitidine. Does anyone have similar symptoms?
2. How long should I keep taking ranitidine? The GP only gave me 3 to last a day, and told me to purchase more, but I do not know how long should I keep taking it.
Thanks in advance.</t>
        </is>
      </c>
      <c r="D623" t="n">
        <v>1</v>
      </c>
      <c r="E623" t="n">
        <v>3</v>
      </c>
      <c r="F623">
        <f>HYPERLINK("https://www.reddit.com/r/GERD/comments/b06x2v/anyone_else_have_similar_symptoms_and_for_how/")</f>
        <v/>
      </c>
      <c r="G623" t="inlineStr">
        <is>
          <t>2019-03-12 04:55:54</t>
        </is>
      </c>
      <c r="H623" t="inlineStr"/>
    </row>
    <row r="624">
      <c r="A624" t="inlineStr">
        <is>
          <t>b09hw7</t>
        </is>
      </c>
      <c r="B624" t="inlineStr">
        <is>
          <t>Can you help me interpret my endoscopy results?</t>
        </is>
      </c>
      <c r="C624" t="inlineStr">
        <is>
          <t>Hey, everyone.
I finally got back my upper GI endoscopy results and briefly talked to my doctor about them. She essentually said they found nothing that would explain my painful LPR symptoms. 
However she said I have a mild, superficial chronic gastritis, often caused by an autoimmune reaction. (To what? I didn't ask.) According to her I don't need any medication to treat it. I've been tested for h.pylorii twice over the last 5 years and both times it's been negative, so I guess it's not the cause of the gastritis. Could it be caused by stress? I had a pretty rough fall/winter in that regard.
However in the written statement I read that I also have an intestinal metaplasia in my pylorus (I guess the bottom part of my stomach?). She didn't mention anything about that on the phone.  
Isn't IM a type of precarcinoma, though? Shouldn't it be monitored? It feels weird to me my doc didn't even mention it.
No Barrets, which was a relief. Off course my symptoms started only around 4 months ago, so maybe it just hasn't had time to develop yet.
Has anyone else had similar endoscopy results? Is there a need to worry in your opinion, or do these sound like a standard findings?
I'd be grateful for your comments.</t>
        </is>
      </c>
      <c r="D624" t="n">
        <v>1</v>
      </c>
      <c r="E624" t="n">
        <v>10</v>
      </c>
      <c r="F624">
        <f>HYPERLINK("https://www.reddit.com/r/GERD/comments/b09hw7/can_you_help_me_interpret_my_endoscopy_results/")</f>
        <v/>
      </c>
      <c r="G624" t="inlineStr">
        <is>
          <t>2019-03-12 09:05:24</t>
        </is>
      </c>
      <c r="H624" t="inlineStr"/>
    </row>
    <row r="625">
      <c r="A625" t="inlineStr">
        <is>
          <t>b09yb6</t>
        </is>
      </c>
      <c r="B625" t="inlineStr">
        <is>
          <t>Gallbladder issues....again ?</t>
        </is>
      </c>
      <c r="C625" t="inlineStr">
        <is>
          <t>I got my gallbladder removed last september. I felt fine for about 2 months then the symptoms came back.
If I eat fatty foods I feel like crap for 4-5 days; extreme tiredness, nausea, faint feeling. Did another endoscopy and showed  slight gerd. Doc prescribed nexium but with no luck. I don't have reflux symptoms/ no diarrhea/ no pain  but I feel EXTREME tiredness thought the day. :( I f I eat clean I still get these symptoms but not that stronger. What is going on ? I had loads of blood tests and everything is ok including liver/pancreas etc.</t>
        </is>
      </c>
      <c r="D625" t="n">
        <v>2</v>
      </c>
      <c r="E625" t="n">
        <v>9</v>
      </c>
      <c r="F625">
        <f>HYPERLINK("https://www.reddit.com/r/GERD/comments/b09yb6/gallbladder_issuesagain/")</f>
        <v/>
      </c>
      <c r="G625" t="inlineStr">
        <is>
          <t>2019-03-12 09:43:47</t>
        </is>
      </c>
      <c r="H625" t="inlineStr"/>
    </row>
    <row r="626">
      <c r="A626" t="inlineStr">
        <is>
          <t>b0ejiw</t>
        </is>
      </c>
      <c r="B626" t="inlineStr">
        <is>
          <t>Cured my acid reflux- not easy, but life-changing!</t>
        </is>
      </c>
      <c r="C626" t="inlineStr">
        <is>
          <t xml:space="preserve">(TLDR: Cured my 2+ year battle with pretty severe acid reflux by following treatment for SIBO- Small Intestine Bacterial Overgrowth, following the SCD- Specific Carbohydrate Diet, doing meditation, and taking supplements.)
HISTORY:
I'm a 49 y/o female, and my acid reflux started in summer 2016, very bad, had to get on prescription strength daily omeprazole and stayed on it for two years. My GI doc told me I have a mild hiatal hernia, there was nothing I could do and if I didn't take the Rx, I would be at risk for esophageal cancer. Basically, go home and take this Rx the rest of your life, good luck. I had reflux 24 hours a day-- if it was not actively burning my throat, my tongue permanently felt "burnt" like I had burned it drinking hot coffee or something. I had to sleep with a wedge at night in bed to prop myself up.
WHAT I TRIED THAT DIDN'T WORK FOR ME:
* I read Dr. Jamie Koufman's "Dropping Acid: The Reflux Diet Cookbook &amp;amp; Cure" and did what they said as far as restricting acidic foods. Did NOT WORK AT ALL. Not to say it doesn't work for others, it seems to be helpful.
* I tried the Zero Carb diet, meaning ALL meat, as some people doing that have reported it cured their reflux. It made mine way worse, which motivated me to really do more research.
* I tried taking all kinds of high-potency, multi-strain probiotics, did nothing.
* I ate a Paleo diet and gave up gluten. Helped me in other ways but not with reflux or constipation.
&amp;amp;#x200B;
WHAT DID WORK:
* First, I decided that I had to get off the Rx omeprazole, and I successfully followed the protocol I found on Dr. Koufman's blog here (this article will scare you enough to want to get off them!!!-- DO NOT stop PPIs/omeprazole cold turkey, you will get a wicked rebound effect): [http://www.voiceinstituteofnewyork.com/proton-pump-inhibitors-ppis-the-final-nail-in-the-coffin/](http://www.voiceinstituteofnewyork.com/proton-pump-inhibitors-ppis-the-final-nail-in-the-coffin/) Here is how she says to taper off:
   * "The proper way to taper off PPIs is by taking the other class of acid-suppressive, H2-antagonists (H2As). H2As, available OTC, may be taken before each meal and before bed, four times a day at first. Then, after a few weeks, after the rebound has passed, the H2As can be tapered as well, over a few weeks 4-3-2-1 (per day) as symptoms ease. H2As are a safe class of drugs and have fewer side effects and generally less serious complications compared to PPIs."
* I studied a list of SIBO (Small Intestine Bacterial Overgrowth) symptoms and it was describing ME! Finally something made sense. Here is the site that was most helpful: [https://www.siboinfo.com/diet.html](https://www.siboinfo.com/diet.html)
* I had my doctor work with me to do a course of antibiotics to kill the bad bacteria, per this page: [https://www.siboinfo.com/antibiotics.html](https://www.siboinfo.com/antibiotics.html) I had a long history of constipation as well, so I chose Rifaximin and Neomycin taken together for 10 days as this page explains.
* At the same time I started the antibiotics, I also started STRICTLY following the Specific Carbohydrate Diet (SCD): [http://www.breakingtheviciouscycle.info/legal/listing/](http://www.breakingtheviciouscycle.info/legal/listing/) And I have never stopped. Basically you stop feeding the bad bacteria the certain types of carbohydrates they want/need.
* I also started taking this supplement that I stumbled upon, which I don't know how much it helped or not, but it seemed like a great idea and they claim it's really good for reflux and for healing the esophagus and the valve: [https://gutalive.com/](https://gutalive.com/)
* This site was VERY helpful to me to understand how, in truth, my stomach was not making ENOUGH stomach acid to properly digest my food and to signal the valve between the stomach and esophagus to close off. I now take 3-4 capsules of Betaine HCL (yes, hydrochloric acid) when I have a heavy protein meal. [https://scdlifestyle.com/2012/03/how-to-supplement-with-betaine-hcl-for-low-stomach-acid/](https://scdlifestyle.com/2012/03/how-to-supplement-with-betaine-hcl-for-low-stomach-acid/)
* Just to address the mild hiatal hernia, I found a chiropractor who does a lesser-known adjustment on the abdomen that claims to fix mild hernias. He did the adjustment on me 2 times and it did feel like "something" happened.
* I started a daily meditation practice on New Year's Day and I believe that also has helped me manage stress and has made a difference for my reflux and healing as well.
&amp;amp;#x200B;
It has been 3 months symptom-free now. Not only did this protocol completely fix my reflux, it also fixed my lifelong chronic constipation. I go every single morning, effortlessly, like a "normal person." No Rx or OTC drugs. Just the Betaine HCL and the "Gut Alive" along with the other supplements/vitamins I normally take. No wedge at night. No burnt tongue.
Basically, I fixed my gut biome. It was messed up and unbalanced. I believe that my reflux was mainly caused by the bad gut bacteria and low stomach acid.
The SCD diet is VERY strict and I am good at following things like this-- especially when the results are so drastic and fantastic!-- but not everyone will be motivated to do this. I already ate 80% Paleo and it was not as hard for me since I already didn't eat any gluten, etc. Let's just put it this way: You are very unlikely to ever again get your money's worth at a breakfast buffet. No more wheat, bread, biscuits, etc. or sugar.
One of the big "a-ha" items was "gums"-- guar gum, locust bean gum, gellan gum, etc. They feed the bad gut bacteria. I was drinking So Delicious coconut milk every day and it was full of those gums, so now I make my own almond milk. I also make my own SCD yogurt, which is fermented 24+ hours (unlike grocery store yogurt which might be fermented 6 hours). Plus you do NOT want to take lots of probiotic strains, according to them, they say on SCD sites that you don't want "bifidum" strains, anything that starts with B. You can read more on that SCD site I gave above, also here is another great resource: [http://pecanbread.com/p/index.html](http://pecanbread.com/p/index.html)
This has been absolutely life-changing!!!! So I felt obligated to share with Reddit. I already posted on r/acidreflux also. I hope it helps someone else! Your results may vary greatly. There are many factors that also could make your reflux puzzle more difficult, etc. I hope some of this will help you solve your own puzzle. Cheers!  </t>
        </is>
      </c>
      <c r="D626" t="n">
        <v>28</v>
      </c>
      <c r="E626" t="n">
        <v>64</v>
      </c>
      <c r="F626">
        <f>HYPERLINK("https://www.reddit.com/r/GERD/comments/b0ejiw/cured_my_acid_reflux_not_easy_but_lifechanging/")</f>
        <v/>
      </c>
      <c r="G626" t="inlineStr">
        <is>
          <t>2019-03-12 16:09:12</t>
        </is>
      </c>
      <c r="H626" t="inlineStr"/>
    </row>
    <row r="627">
      <c r="A627" t="inlineStr">
        <is>
          <t>b0f26v</t>
        </is>
      </c>
      <c r="B627" t="inlineStr">
        <is>
          <t>Do I have acid reflux/GERD? Someone please help me.</t>
        </is>
      </c>
      <c r="C627" t="inlineStr">
        <is>
          <t>So starting yesterday, after drinking a smoothie that contained lemon juice, I started getting bad heart burn, which lasted the entire day. Its possible my stomach was already very acidic given what I ate over the weekend (spicy food, French fries, sour cream, pineapple). When I woke up this morning, I felt fine. After eating soup, I felt heartburn again. I realized that the soup contained tomato paste, so its possible the acidity led to heartburn. I've been having heartburn all day. I went to see a doctor. They prescribed me Zantac. I took one about 2 hours ago. I still have heartburn. It lessened an hour after taking it, but after eating a non-acidic meal, its back. 
&amp;amp;#x200B;
Do you think I have acid reflux/GERD? What do I do to fix this? I want to go back to normal.</t>
        </is>
      </c>
      <c r="D627" t="n">
        <v>2</v>
      </c>
      <c r="E627" t="n">
        <v>8</v>
      </c>
      <c r="F627">
        <f>HYPERLINK("https://www.reddit.com/r/GERD/comments/b0f26v/do_i_have_acid_refluxgerd_someone_please_help_me/")</f>
        <v/>
      </c>
      <c r="G627" t="inlineStr">
        <is>
          <t>2019-03-12 16:55:44</t>
        </is>
      </c>
      <c r="H627" t="inlineStr"/>
    </row>
    <row r="628">
      <c r="A628" t="inlineStr">
        <is>
          <t>b0fn6k</t>
        </is>
      </c>
      <c r="B628" t="inlineStr">
        <is>
          <t>Is this LPR or something else?</t>
        </is>
      </c>
      <c r="C628" t="inlineStr">
        <is>
          <t>I'm 31. I was diagnosed with GERD maybe 7-8 years ago, and sadly couldn't care less.   
I started to feel heartburn after eating about a year ago, so I'm taking 40mg pantoprazole each morning. I don't have classic heartburn anymore but about 2 months ago, I started to have post nasal drip which I regurgitate into my mouth, then swallow (sry, NSFW). This happens about every couple of mins. Also, my throat feels scratchy and just a little bit sore. Hard to explain! 
Would this be LPR? It's weird because I am taking 40mg PPI, and those symptoms don't go away, or change.
They're the same if I'm laying down, if I'm eating or starving.
Wouldn't LPR get worse after eating, or when laying down?   
How come I have exact same symptoms all the time? Is it possible that this is something else? Like what? 
&amp;amp;#x200B;</t>
        </is>
      </c>
      <c r="D628" t="n">
        <v>2</v>
      </c>
      <c r="E628" t="n">
        <v>4</v>
      </c>
      <c r="F628">
        <f>HYPERLINK("https://www.reddit.com/r/GERD/comments/b0fn6k/is_this_lpr_or_something_else/")</f>
        <v/>
      </c>
      <c r="G628" t="inlineStr">
        <is>
          <t>2019-03-12 17:48:47</t>
        </is>
      </c>
      <c r="H628" t="inlineStr"/>
    </row>
    <row r="629">
      <c r="A629" t="inlineStr">
        <is>
          <t>b0hh4k</t>
        </is>
      </c>
      <c r="B629" t="inlineStr">
        <is>
          <t>I have some sort of reflux, but my symptoms are weird. Does anyone share my symptoms?</t>
        </is>
      </c>
      <c r="C629" t="inlineStr">
        <is>
          <t>I did a barium swallow and was diagnosed with GERD, prescribed PPIs, and they did absolutely nothing. I was later given another kind of PPI, and they also did nothing. Is anyone in my situation? What do I have exactly?
&amp;amp;#x200B;
* No heartburn/pain/burning sensations
* My reflux presents itself primarily as Nausea, and a lump in my throat
* Literally feels like something is coming up my esophagus
* Reflux gets significantly worse if I have standard trigger foods (greasy, acidic, spicy etc.), but I still reflux literally anything I eat/drink, even water when I wake up
* Reflux is significantly worse in any sort of slouch/lay down position. Instant reflux if I lay on my back. I can only sleep on my left side, but even then I wake up with a sore throat/feels like something is stuck in my throat.
* I burp A LOT, especially right after eating.
* If I lay down on my back or in any other reflux-triggering position, when I reset myself (stand up/sit up) I burp a few times. This is 100% consistent and seems to baffle doctors. Yes I burp 4-5 times every single morning after standing up.
* My diet is very healthy (no fast food/soda for years)
* I exercise daily and am a healthy weight (toned)
&amp;amp;#x200B;
I can't find a single person who shares my symptoms. Been waiting two months to see a specialist, but otherwise I have no idea. Is there someone who feels my pain? How did you get yourself diagnosed? What do you do to help yourself feel better?</t>
        </is>
      </c>
      <c r="D629" t="n">
        <v>3</v>
      </c>
      <c r="E629" t="n">
        <v>2</v>
      </c>
      <c r="F629">
        <f>HYPERLINK("https://www.reddit.com/r/GERD/comments/b0hh4k/i_have_some_sort_of_reflux_but_my_symptoms_are/")</f>
        <v/>
      </c>
      <c r="G629" t="inlineStr">
        <is>
          <t>2019-03-12 20:59:34</t>
        </is>
      </c>
      <c r="H629" t="inlineStr"/>
    </row>
    <row r="630">
      <c r="A630" t="inlineStr">
        <is>
          <t>b0hxv0</t>
        </is>
      </c>
      <c r="B630" t="inlineStr">
        <is>
          <t>Has anyone tried Zinc Carnosine for gerd and ibs?</t>
        </is>
      </c>
      <c r="C630" t="inlineStr">
        <is>
          <t xml:space="preserve">Did Zinc Carnosine help heal gerd and ibs for anyone? </t>
        </is>
      </c>
      <c r="D630" t="n">
        <v>1</v>
      </c>
      <c r="E630" t="n">
        <v>2</v>
      </c>
      <c r="F630">
        <f>HYPERLINK("https://www.reddit.com/r/GERD/comments/b0hxv0/has_anyone_tried_zinc_carnosine_for_gerd_and_ibs/")</f>
        <v/>
      </c>
      <c r="G630" t="inlineStr">
        <is>
          <t>2019-03-12 21:52:12</t>
        </is>
      </c>
      <c r="H630" t="inlineStr"/>
    </row>
    <row r="631">
      <c r="A631" t="inlineStr">
        <is>
          <t>b0n0ay</t>
        </is>
      </c>
      <c r="B631" t="inlineStr">
        <is>
          <t>How can I get rid of the choking/gagging sensation of LPR?</t>
        </is>
      </c>
      <c r="C631" t="inlineStr">
        <is>
          <t>I have not slept well in weeks due to my LPR symptoms, specifically the swollen throat. It feels like the walls of my throat are touching each other and swallowing is uncomfortable because of it, but finding a way to sleep is even worse. During the day, I have to position my head and neck to a more stretched or folded pose in order to relieve some of the pressure. I have a wedge pillow with 1-2 extra pillows stacked on top of it depending on the night, and I take Nexium (40 mg each) before my meals twice a day, and then 300 mg of Ranitidine before bed. I do have allergies that cause post nasal drip so I take Claritin for that as well. I do what I can to avoid the usual trigger foods and activities, but somehow I still feel like I'm choking all day and night. There is always the glob in the back of my throat but this is different; it's like a very exaggerated version of the feeling you get when you're trying not to cry. My question is, to those who also deal with this symptom, how do you cope with it? I just want to sleep at night and hold my head in a normal position during the day.</t>
        </is>
      </c>
      <c r="D631" t="n">
        <v>3</v>
      </c>
      <c r="E631" t="n">
        <v>5</v>
      </c>
      <c r="F631">
        <f>HYPERLINK("https://www.reddit.com/r/GERD/comments/b0n0ay/how_can_i_get_rid_of_the_chokinggagging_sensation/")</f>
        <v/>
      </c>
      <c r="G631" t="inlineStr">
        <is>
          <t>2019-03-13 08:03:54</t>
        </is>
      </c>
      <c r="H631" t="inlineStr"/>
    </row>
    <row r="632">
      <c r="A632" t="inlineStr">
        <is>
          <t>b0nwj1</t>
        </is>
      </c>
      <c r="B632" t="inlineStr">
        <is>
          <t>Anyone here take Zantac and also drink alcohol?</t>
        </is>
      </c>
      <c r="C632" t="inlineStr">
        <is>
          <t>Hello, I recently began taking Zantac for GERD. (Yes, I know alcohol can irritate GERD.)  
However, I have a few social events coming up and wondering if it's safe to drink on it. Of course, I asked my  doctor and a pharmacist, and both said it's safe. Then of course I went to my enemy, Google, and found this Buzzfeed article:  
[https://www.buzzfeed.com/carolynkylstra/alcohol-and-medicine-interactions](https://www.buzzfeed.com/carolynkylstra/alcohol-and-medicine-interactions)  
And this one:  
[https://pubs.niaaa.nih.gov/publications/arh23-1/40-54.pdf](https://pubs.niaaa.nih.gov/publications/arh23-1/40-54.pdf)  
I know Zantac is a common drug and can't imagine people who take are also completely alcohol-free all the time. But these two links worry me (and, yes, I am a hypochondriac).  
So: 1. Anyone drink and  take Zantac, and  what was your experience? 2. How long  do you think  Zantac stays in your system--if I did want to  stop taking it and then drink without fear of it interacting?  
Yours truly, A gerd nerd worrier</t>
        </is>
      </c>
      <c r="D632" t="n">
        <v>1</v>
      </c>
      <c r="E632" t="n">
        <v>12</v>
      </c>
      <c r="F632">
        <f>HYPERLINK("https://www.reddit.com/r/GERD/comments/b0nwj1/anyone_here_take_zantac_and_also_drink_alcohol/")</f>
        <v/>
      </c>
      <c r="G632" t="inlineStr">
        <is>
          <t>2019-03-13 09:22:36</t>
        </is>
      </c>
      <c r="H632" t="inlineStr"/>
    </row>
    <row r="633">
      <c r="A633" t="inlineStr">
        <is>
          <t>b0o60x</t>
        </is>
      </c>
      <c r="B633" t="inlineStr">
        <is>
          <t>Omeprazole and dizziness</t>
        </is>
      </c>
      <c r="C633" t="inlineStr">
        <is>
          <t>Does anyone else experience this as a side effect? Endoscopy showed I have a small sliding hiatal hernia, so I'm back on omeprazole after being off it for four weeks. I'm on my third day of meds and I'm feeling a little unsteady on my feet and if I happen to look toward the sky or a similar blank background, I can see stars at the edge of my vision. This happened the last time I was on omeprazole too. I'm trying to ignore it, but it's extremely annoying.</t>
        </is>
      </c>
      <c r="D633" t="n">
        <v>1</v>
      </c>
      <c r="E633" t="n">
        <v>7</v>
      </c>
      <c r="F633">
        <f>HYPERLINK("https://www.reddit.com/r/GERD/comments/b0o60x/omeprazole_and_dizziness/")</f>
        <v/>
      </c>
      <c r="G633" t="inlineStr">
        <is>
          <t>2019-03-13 09:44:36</t>
        </is>
      </c>
      <c r="H633" t="inlineStr"/>
    </row>
    <row r="634">
      <c r="A634" t="inlineStr">
        <is>
          <t>b0op3k</t>
        </is>
      </c>
      <c r="B634" t="inlineStr">
        <is>
          <t>Diagnosed with mild Acid Reflux and a Hiatal Hernia and wondering about how to deal with it.</t>
        </is>
      </c>
      <c r="C634" t="inlineStr">
        <is>
          <t>Hi everyone. A couple of weeks ago I had a barium swallow test done after a visit to my doctor in December about some ongoing pain in the center of my chest that was coming and going. 
While I was there he asked if I had any other symptoms and I mentioned that for a few years I sometimes have the sensation that food gets stuck in the lower part my throat when I'm eating. This usually only lasts for a few seconds and to combat it I think I unconsciously started drinking more when I eat to ease the process, but it also sometimes happens when I take a big gulp of liquid (although it is less uncomfortable with liquid). This is what prompted the barium swallow. 
The test came back with a diagnosis of "Mild gastroesophageal reflux" and a "Small hiatal hernia" which my doctor explained as "mild reflux of the fluid from the stomach back into the esophagus, and a small hiatal hernia" in an email. He recommended using Nexium to help relieve symptoms. 
So I guess the point of this long-winded explanation is that I have a couple of questions for the community (if you don't mind giving your advice/ experience): 
- I originally tried Nexium while I was waiting for the barium swallow, but after a few days of taking it I started to feel this strange prickly feeling up and down my esophagus that also seemed to cause discomfort all across the right side of my chest. Does this sometimes happen if a GERD medication isn't right for you? 
- I don't seem to have what I would have thought of as "normal" symptoms - I rarely feel like I have heartburn. Instead I get a dull pain in the center of my chest around my breast bone that comes and goes. It will be there for a day and then gone for a few only to come back again. This has been happening for probably 6 months. I also in the last month or so sometimes get a slightly sharper pain in my back that feels like it's close to the same spot but on the other side of my body. And then lastly, and somewhat weirdly, I sometimes feel pains in parts of my body that don't seem like they should be related to me? For example I will sometimes feel an ache in my right shoulder or arm, or the back of my neck on the right side. Or even sometimes pains in the front of my neck on both sides. Does anyone else experience things like this without the "traditional" heartburn? 
- I've been taking Prilosec for 2 weeks now since the test and to be honest I haven't really experienced an improvement in symptoms. Does it sometimes take longer to work? If it hasn't should I be reaching out to my doc to see of the symptoms could be something else? 
Thanks for any advice or guidance you can give!</t>
        </is>
      </c>
      <c r="D634" t="n">
        <v>3</v>
      </c>
      <c r="E634" t="n">
        <v>12</v>
      </c>
      <c r="F634">
        <f>HYPERLINK("https://www.reddit.com/r/GERD/comments/b0op3k/diagnosed_with_mild_acid_reflux_and_a_hiatal/")</f>
        <v/>
      </c>
      <c r="G634" t="inlineStr">
        <is>
          <t>2019-03-13 10:29:12</t>
        </is>
      </c>
      <c r="H634" t="inlineStr"/>
    </row>
    <row r="635">
      <c r="A635" t="inlineStr">
        <is>
          <t>b0oywj</t>
        </is>
      </c>
      <c r="B635" t="inlineStr">
        <is>
          <t>Endoscopy tomorrow. What to expect</t>
        </is>
      </c>
      <c r="C635" t="inlineStr">
        <is>
          <t>Title says it all. I’m nervous to go under anesthesia. How long does the exam usually take? Will I be able to go to work the next day? How will I feel after the procedure?</t>
        </is>
      </c>
      <c r="D635" t="n">
        <v>7</v>
      </c>
      <c r="E635" t="n">
        <v>27</v>
      </c>
      <c r="F635">
        <f>HYPERLINK("https://www.reddit.com/r/GERD/comments/b0oywj/endoscopy_tomorrow_what_to_expect/")</f>
        <v/>
      </c>
      <c r="G635" t="inlineStr">
        <is>
          <t>2019-03-13 10:51:25</t>
        </is>
      </c>
      <c r="H635" t="inlineStr"/>
    </row>
    <row r="636">
      <c r="A636" t="inlineStr">
        <is>
          <t>b0rfor</t>
        </is>
      </c>
      <c r="B636" t="inlineStr">
        <is>
          <t>How long does it take for Zantac to work?</t>
        </is>
      </c>
      <c r="C636" t="inlineStr">
        <is>
          <t>Does it take a few days to accumulate and then work?</t>
        </is>
      </c>
      <c r="D636" t="n">
        <v>3</v>
      </c>
      <c r="E636" t="n">
        <v>7</v>
      </c>
      <c r="F636">
        <f>HYPERLINK("https://www.reddit.com/r/GERD/comments/b0rfor/how_long_does_it_take_for_zantac_to_work/")</f>
        <v/>
      </c>
      <c r="G636" t="inlineStr">
        <is>
          <t>2019-03-13 14:12:46</t>
        </is>
      </c>
      <c r="H636" t="inlineStr"/>
    </row>
    <row r="637">
      <c r="A637" t="inlineStr">
        <is>
          <t>b108rk</t>
        </is>
      </c>
      <c r="B637" t="inlineStr">
        <is>
          <t>When laying down I can always feel liquid going up my throat, does this suggest I need my les tightened? (gerd is prevelent in my life either way)</t>
        </is>
      </c>
      <c r="C637" t="inlineStr">
        <is>
          <t>More often than before I get gerd issues but when laying down, I have to make sure my head is elevated. I'm going for a camera stomach inspection thing to see if I'll need this surgery but do you think that constant liquid moving up esophagus justifies me going for a stomach inspection?</t>
        </is>
      </c>
      <c r="D637" t="n">
        <v>1</v>
      </c>
      <c r="E637" t="n">
        <v>1</v>
      </c>
      <c r="F637">
        <f>HYPERLINK("https://www.reddit.com/r/GERD/comments/b108rk/when_laying_down_i_can_always_feel_liquid_going/")</f>
        <v/>
      </c>
      <c r="G637" t="inlineStr">
        <is>
          <t>2019-03-14 06:18:21</t>
        </is>
      </c>
      <c r="H637" t="inlineStr"/>
    </row>
    <row r="638">
      <c r="A638" t="inlineStr">
        <is>
          <t>b11wgh</t>
        </is>
      </c>
      <c r="B638" t="inlineStr">
        <is>
          <t>Cramping sensation in upper chest when swallowing, is it GERD?</t>
        </is>
      </c>
      <c r="C638" t="inlineStr">
        <is>
          <t xml:space="preserve">I am done eating and the tightness still comes back every few minutes or so. </t>
        </is>
      </c>
      <c r="D638" t="n">
        <v>1</v>
      </c>
      <c r="E638" t="n">
        <v>1</v>
      </c>
      <c r="F638">
        <f>HYPERLINK("https://www.reddit.com/r/GERD/comments/b11wgh/cramping_sensation_in_upper_chest_when_swallowing/")</f>
        <v/>
      </c>
      <c r="G638" t="inlineStr">
        <is>
          <t>2019-03-14 08:48:48</t>
        </is>
      </c>
      <c r="H638" t="inlineStr"/>
    </row>
    <row r="639">
      <c r="A639" t="inlineStr">
        <is>
          <t>b13piu</t>
        </is>
      </c>
      <c r="B639" t="inlineStr">
        <is>
          <t>Is this classic GERD? Constant belching / feeling of air trapped in throat</t>
        </is>
      </c>
      <c r="C639" t="inlineStr">
        <is>
          <t>Some background - I am 32. Around 24-25 I started getting heartburn a lot with some mild belching. I was prescribed a PPI - went on it for a couple months and everything was fixed, so I went off it. A couple years go by and the feeling comes back, gradually progressing as the months/years go on. It became less about the heartburn/acid feeling and more like a constant pressure in my throat and feeling like I need to burp. I've been taking a PPI consistently for about 2 years now - it has removed the burning sensation but has no effect on the burps.
&amp;amp;#x200B;
I would estimate I burp on average 15-20 times a minute...usually shallow burps that only temporarily remove the sensation of air collecting before I have to burp again.
&amp;amp;#x200B;
When I first started getting it I would try and suppress the belches, leading to a couple panic attacks and throwing up air. I seem to have more control now whereby I know when I need to burp because if I don't, the air gets stuck and I feel very nauseous / like I'm going to pass out.
&amp;amp;#x200B;
They did an endoscopy / barium which came back clear. In three weeks I have a nasal manometry / 24 hr pH test which I'm terrified of.
&amp;amp;#x200B;
Anyway, I don't often hear people complain that the primary symptom is the collection of air in the throat/neck area. I don't feel like I swallow too much air, and my diet is pretty decent (no pop, alcohol, smoking, drugs etc).
&amp;amp;#x200B;
Does this sound like GERD or something else?</t>
        </is>
      </c>
      <c r="D639" t="n">
        <v>3</v>
      </c>
      <c r="E639" t="n">
        <v>8</v>
      </c>
      <c r="F639">
        <f>HYPERLINK("https://www.reddit.com/r/GERD/comments/b13piu/is_this_classic_gerd_constant_belching_feeling_of/")</f>
        <v/>
      </c>
      <c r="G639" t="inlineStr">
        <is>
          <t>2019-03-14 11:14:56</t>
        </is>
      </c>
      <c r="H639" t="inlineStr"/>
    </row>
    <row r="640">
      <c r="A640" t="inlineStr">
        <is>
          <t>b14dkf</t>
        </is>
      </c>
      <c r="B640" t="inlineStr">
        <is>
          <t>Any other HCl users?</t>
        </is>
      </c>
      <c r="C640" t="inlineStr">
        <is>
          <t>So I’ve suffered with acid reflux now and again since being a teen but mainly if I had alcohol and certain foods etc. Over the years I may have taken the odd PPI here and there as a 1 off. Maybe taken 10 in my whole life. 
About 6 months ago I started getting it regularly for days and days consistently. I started eating ‘clean’ food and found this made things even worse, I believe rice was a major factor so I started cutting out bits that’s triggered it. Prior to this I could literally drink orange juice and salt and whatever I want and feel nothing. Even a tiny amount would leave me in severe pain now though.
Anyway fast forward plenty of research and diet changes and I started taking HCL about 2 months ago with drastic results. I honestly thought I had found the answer to the without the need of medication and thought it was obvious that I had all the symptoms for low stomach acid, maybe even SIBO. 
Now though it’s back again consistently and everyday now. 
I could really do with some help on this?
I exercise regularly and not being to eat properly is becoming and issue. Any ideas?</t>
        </is>
      </c>
      <c r="D640" t="n">
        <v>1</v>
      </c>
      <c r="E640" t="n">
        <v>0</v>
      </c>
      <c r="F640">
        <f>HYPERLINK("https://www.reddit.com/r/GERD/comments/b14dkf/any_other_hcl_users/")</f>
        <v/>
      </c>
      <c r="G640" t="inlineStr">
        <is>
          <t>2019-03-14 12:10:20</t>
        </is>
      </c>
      <c r="H640" t="inlineStr"/>
    </row>
    <row r="641">
      <c r="A641" t="inlineStr">
        <is>
          <t>b15kon</t>
        </is>
      </c>
      <c r="B641" t="inlineStr">
        <is>
          <t>Is anyone else terrified of esophageal cancer? I could use some reassurance.</t>
        </is>
      </c>
      <c r="C641" t="inlineStr">
        <is>
          <t>As someone who has dealt with GERD for years, this terrifies me. I had a scope 5 years ago which was normal. My doctor doesn't seem overly anxious to repeat it. 
But  Googling makes me terrified. I am a youngish woman, so I know statistically it's remote, but sometimes I feel the acid burbling in my throat and think it's just a matter of time.  How rare is it?  Who typically gets it? Any reassurance would be great as I'm sure the anxiety isn't doing wonders for  my symptoms either...Thanks.</t>
        </is>
      </c>
      <c r="D641" t="n">
        <v>17</v>
      </c>
      <c r="E641" t="n">
        <v>16</v>
      </c>
      <c r="F641">
        <f>HYPERLINK("https://www.reddit.com/r/GERD/comments/b15kon/is_anyone_else_terrified_of_esophageal_cancer_i/")</f>
        <v/>
      </c>
      <c r="G641" t="inlineStr">
        <is>
          <t>2019-03-14 13:47:47</t>
        </is>
      </c>
      <c r="H641" t="inlineStr"/>
    </row>
    <row r="642">
      <c r="A642" t="inlineStr">
        <is>
          <t>b161vq</t>
        </is>
      </c>
      <c r="B642" t="inlineStr">
        <is>
          <t>How can I relieve acid reflux pain when antacids aren’t working?</t>
        </is>
      </c>
      <c r="C642" t="inlineStr">
        <is>
          <t>I had an acidic drink this morning. I shouldn’t have, but I did. Now the acid reflux is causing a lot of pain. Usually it’s mild, but the pain is moderate right now. Antacids aren’t helping. What else can I do? I just want it to to stop, it’s bad.</t>
        </is>
      </c>
      <c r="D642" t="n">
        <v>1</v>
      </c>
      <c r="E642" t="n">
        <v>0</v>
      </c>
      <c r="F642">
        <f>HYPERLINK("https://www.reddit.com/r/GERD/comments/b161vq/how_can_i_relieve_acid_reflux_pain_when_antacids/")</f>
        <v/>
      </c>
      <c r="G642" t="inlineStr">
        <is>
          <t>2019-03-14 14:26:34</t>
        </is>
      </c>
      <c r="H642" t="inlineStr"/>
    </row>
    <row r="643">
      <c r="A643" t="inlineStr">
        <is>
          <t>b168jm</t>
        </is>
      </c>
      <c r="B643" t="inlineStr">
        <is>
          <t>I talked to a GI doctor today-I don't feel reassured!</t>
        </is>
      </c>
      <c r="C643" t="inlineStr">
        <is>
          <t xml:space="preserve">I had an appointment with a GI doctor today. I started having acid reflux a year ago, but it went away with Omeprazole. I also went vegetarian around that time; I don't know if that had anything to do with it. Anyway, the symptoms went away, I quit vegetarianism and forgot all about it. The symptoms are back now, and nothing seems to be working, so I finally convinced my PCD to send me to a specialist. I was reassured after I saw it, but the more I think about what she said, the more terrified I am!
She said she really couldn't tell me what the issue is. She said it could be esophagitis. She said it could be esophageal spasms. She said it could be Barrett's esophagus. She scheduled me for an endoscopy a few months from now, and I am shaking in my boots! What if it's Barrett's esophagus? What if it's barett's esophagus? I can't get it out of my mind! I have a desire to commit suicide in case it is Barrett's esophagus. 
The GI doctor isn't worried. She thinks it's stress-induced esophageal hypersensitivity. I can't find much of anything on the internet about esophageal hypersensitivity. She also told me to follow the FODMAP diet for six weeks, in case it's a food allergy. But what if she's wrong? What if it IS Barrett's esophagus, and I get esophageal cancer and die????!!!!!! </t>
        </is>
      </c>
      <c r="D643" t="n">
        <v>3</v>
      </c>
      <c r="E643" t="n">
        <v>4</v>
      </c>
      <c r="F643">
        <f>HYPERLINK("https://www.reddit.com/r/GERD/comments/b168jm/i_talked_to_a_gi_doctor_todayi_dont_feel_reassured/")</f>
        <v/>
      </c>
      <c r="G643" t="inlineStr">
        <is>
          <t>2019-03-14 14:42:08</t>
        </is>
      </c>
      <c r="H643" t="inlineStr"/>
    </row>
    <row r="644">
      <c r="A644" t="inlineStr">
        <is>
          <t>b169yd</t>
        </is>
      </c>
      <c r="B644" t="inlineStr">
        <is>
          <t>Anxiety/Stress Directly Impacts GERD</t>
        </is>
      </c>
      <c r="C644" t="inlineStr">
        <is>
          <t xml:space="preserve">Yes, of course diet impacts GERD, but after getting my anxiety and stress under control, I’ve seen my symptoms drastically change and I do not worry before every meal, I eat what I want (to an extent). No, this does not happen overnight; it took months (nearly a year) to get this under control.  I’m symptom free most days unless I provoke it by drinking dairy products or a lot of dark chocolate.  (You must learn your triggers).  But overall i would say I’ve overcome this illness. 
I’ve experienced the worst GERD symptoms you all mention here: 24/7 pain, waking up in the middle of night gasping for air, grinding my teeth all night to wake up with jaw soreness, losing my breath by simply standing, heartburn from EVERY meal, trips to the ER etc. 
I’ve tried PPIs, Zantac, Tums, etc. However I will say that Omeprezole was most helpful for me while I got my anxiety under control. (I suffer from a panic disorder btw).  Yes I got tested for h.pylori, had an ultrasound for ulcers and many other tests/ dr visits. 
*side note: for IMMEDIATE symptom relief, eat the skin/rine of a lemon (I promise this works better than med). 
Anyways, do what you must to get your stress under control, whether that’s exercise, medication, cannabinol tea, whatever it takes.  Of course constantly worrying about GERD causes stress, thus worsening it. Find a medication and diet to control the GERD symptoms while you find a stress relief.  </t>
        </is>
      </c>
      <c r="D644" t="n">
        <v>2</v>
      </c>
      <c r="E644" t="n">
        <v>4</v>
      </c>
      <c r="F644">
        <f>HYPERLINK("https://www.reddit.com/r/GERD/comments/b169yd/anxietystress_directly_impacts_gerd/")</f>
        <v/>
      </c>
      <c r="G644" t="inlineStr">
        <is>
          <t>2019-03-14 14:45:24</t>
        </is>
      </c>
      <c r="H644" t="inlineStr"/>
    </row>
    <row r="645">
      <c r="A645" t="inlineStr">
        <is>
          <t>b173iq</t>
        </is>
      </c>
      <c r="B645" t="inlineStr">
        <is>
          <t>I've had acid reflux off and on for a year. Am I likely to have Barrett's Esophagus?</t>
        </is>
      </c>
      <c r="C645" t="inlineStr">
        <is>
          <t>I don't have anything to add.</t>
        </is>
      </c>
      <c r="D645" t="n">
        <v>1</v>
      </c>
      <c r="E645" t="n">
        <v>12</v>
      </c>
      <c r="F645">
        <f>HYPERLINK("https://www.reddit.com/r/GERD/comments/b173iq/ive_had_acid_reflux_off_and_on_for_a_year_am_i/")</f>
        <v/>
      </c>
      <c r="G645" t="inlineStr">
        <is>
          <t>2019-03-14 15:53:52</t>
        </is>
      </c>
      <c r="H645" t="inlineStr"/>
    </row>
    <row r="646">
      <c r="A646" t="inlineStr">
        <is>
          <t>b17y6t</t>
        </is>
      </c>
      <c r="B646" t="inlineStr">
        <is>
          <t>Worried ?</t>
        </is>
      </c>
      <c r="C646" t="inlineStr">
        <is>
          <t xml:space="preserve">I have severe acid reflux (it goes to my ear and throat ) how do I push my gi specialist for surgery ? I am constantly feeling awful and I do not want to take pi meds for the next 40 years (as I am young ) ? </t>
        </is>
      </c>
      <c r="D646" t="n">
        <v>1</v>
      </c>
      <c r="E646" t="n">
        <v>4</v>
      </c>
      <c r="F646">
        <f>HYPERLINK("https://www.reddit.com/r/GERD/comments/b17y6t/worried/")</f>
        <v/>
      </c>
      <c r="G646" t="inlineStr">
        <is>
          <t>2019-03-14 17:11:37</t>
        </is>
      </c>
      <c r="H646" t="inlineStr"/>
    </row>
    <row r="647">
      <c r="A647" t="inlineStr">
        <is>
          <t>b1bmzr</t>
        </is>
      </c>
      <c r="B647" t="inlineStr">
        <is>
          <t>What do I eat when I'm in college if I have acid reflux?</t>
        </is>
      </c>
      <c r="C647" t="inlineStr">
        <is>
          <t>Hi,
So I'm living on campus for college and obviously the food is not meant for someone with GERD. I was told that I have to eat bland food and that's what I've been doing. All I've been eating here is rice (occasionally with soy sauce) and salad (mostly consisting of tofu, spinach, spring mix and romaine lettuce). I'm not really sure what else to eat but I feel like it's not good if I ate just that everyday. 
What do I do? Is it okay to keep eating like this everyday? Can I have the occasional unhealthy food?</t>
        </is>
      </c>
      <c r="D647" t="n">
        <v>2</v>
      </c>
      <c r="E647" t="n">
        <v>6</v>
      </c>
      <c r="F647">
        <f>HYPERLINK("https://www.reddit.com/r/GERD/comments/b1bmzr/what_do_i_eat_when_im_in_college_if_i_have_acid/")</f>
        <v/>
      </c>
      <c r="G647" t="inlineStr">
        <is>
          <t>2019-03-14 23:55:36</t>
        </is>
      </c>
      <c r="H647" t="inlineStr"/>
    </row>
    <row r="648">
      <c r="A648" t="inlineStr">
        <is>
          <t>b1dgwz</t>
        </is>
      </c>
      <c r="B648" t="inlineStr">
        <is>
          <t>FYI: ”A report on the top 10 health technology hazards of 2018 ranked failure to consistently and effectively reprocess flexible endoscopes as one of the biggest threats to health-care delivery and patient health, second only to threats to cybersecurity.”</t>
        </is>
      </c>
      <c r="C648" t="inlineStr">
        <is>
          <t xml:space="preserve">From [this article](https://www.thelancet.com/journals/langas/article/PIIS2468-1253(18)30168-7/fulltext) :
&amp;gt;”A recent study of reprocessing, drying, and storage procedures for endoscopes used for gastrointestinal or non-gastrointestinal purposes at three hospitals in the USA found microbial growth after reprocessing on nearly three-quarters of endoscopes. Residual fluid was found inside almost half the endoscopes examined, which was associated with higher ATP levels (an indicator of microbial growth). Although the identified microbes were not multidrug resistant, potential pathogens were discovered. Reprocessing and drying practices were noted to be deficient at two of the three centres studied, and all three sites used old, damaged devices, creating rough surfaces that promote residual contamination.”
</t>
        </is>
      </c>
      <c r="D648" t="n">
        <v>0</v>
      </c>
      <c r="E648" t="n">
        <v>9</v>
      </c>
      <c r="F648">
        <f>HYPERLINK("https://www.reddit.com/r/GERD/comments/b1dgwz/fyi_a_report_on_the_top_10_health_technology/")</f>
        <v/>
      </c>
      <c r="G648" t="inlineStr">
        <is>
          <t>2019-03-15 03:56:08</t>
        </is>
      </c>
      <c r="H648" t="inlineStr"/>
    </row>
    <row r="649">
      <c r="A649" t="inlineStr">
        <is>
          <t>b1eyuo</t>
        </is>
      </c>
      <c r="B649" t="inlineStr">
        <is>
          <t>Can it really be GERD? (adrenaline surges, chest pain)</t>
        </is>
      </c>
      <c r="C649" t="inlineStr">
        <is>
          <t xml:space="preserve">Hi everyone,
I've had dysautonomia (POTS in particular) for several years, and would occasionally get adrenaline surges at night, but my heart rate would be fine.
Things got severely worse out of nowhere a couple months ago. I now have huge surges that cause my heart rate to shoot up and rollercoaster up and down along with heart-attack-like. When I have these big ones, they make me shake and feel nauseous. I'm sometimes unable to talk much and my chest is either painful or feeling weird, always on the left side. Sometimes the chest pain is there without the other issues. Sometimes this is preceeded by what feels like an arythmia. I often get jolted awake by these at night, but they happen randomly during the day too. My sleep schedule is now way out of whack because of the constant interruptions. 
I'm not overweight, I eat small meals and avoid eating too close to bedtime. No caffeine or alcohol, and I try to avoid carbonated drinks or food that's too acidic. I'm 30.
Currently seeing a cardiologist. My echo and other blood work for thyroid and other things were clear and a 24 hour Holter didn't show any abnormalities (I also hadn't been very symptomatic that day). I'm now on a 30 day monitor and will be turning in my fluids for cortisol testing tomorrow, but thought I'd ask around here. 
My cardiologist thinks I may be having esophagus spasms pressing against my vagus nerve causing this, or that I have GERD. I don't have any GERD symptoms other than burping.
I've been put on protonix for the past (almost) 2 weeks and things feel worse. The panic these episodes cause doesn't help, and I'm sure it elicits more of them. 
I'm wondering if anyone here has experienced anything so extreme with the left sided chest pain and only having burping as a GERD symptom along with adrenaline surges? 
</t>
        </is>
      </c>
      <c r="D649" t="n">
        <v>3</v>
      </c>
      <c r="E649" t="n">
        <v>28</v>
      </c>
      <c r="F649">
        <f>HYPERLINK("https://www.reddit.com/r/GERD/comments/b1eyuo/can_it_really_be_gerd_adrenaline_surges_chest_pain/")</f>
        <v/>
      </c>
      <c r="G649" t="inlineStr">
        <is>
          <t>2019-03-15 06:28:49</t>
        </is>
      </c>
      <c r="H649" t="inlineStr"/>
    </row>
    <row r="650">
      <c r="A650" t="inlineStr">
        <is>
          <t>b1g8wd</t>
        </is>
      </c>
      <c r="B650" t="inlineStr">
        <is>
          <t>das anyone have symptoms such as mine ?</t>
        </is>
      </c>
      <c r="C650" t="inlineStr">
        <is>
          <t>I dont feel any heartburn's, I dont feel any problems with my stomach, its not bacterial and was triggered by cheap noodle soup. All I feel is dryness in throat and it is bad to the point it scars my throat or makes it sensitive and dry. Most of the time it is dry. I am per-cribbed with pantoprazolum 40mg. I dont think this medicine helps me. I am using it for a month now</t>
        </is>
      </c>
      <c r="D650" t="n">
        <v>1</v>
      </c>
      <c r="E650" t="n">
        <v>0</v>
      </c>
      <c r="F650">
        <f>HYPERLINK("https://www.reddit.com/r/GERD/comments/b1g8wd/das_anyone_have_symptoms_such_as_mine/")</f>
        <v/>
      </c>
      <c r="G650" t="inlineStr">
        <is>
          <t>2019-03-15 08:26:16</t>
        </is>
      </c>
      <c r="H650" t="inlineStr"/>
    </row>
    <row r="651">
      <c r="A651" t="inlineStr">
        <is>
          <t>b1gean</t>
        </is>
      </c>
      <c r="B651" t="inlineStr">
        <is>
          <t>BRAVO reflux recorder... hurts.</t>
        </is>
      </c>
      <c r="C651" t="inlineStr">
        <is>
          <t>I just got this yesterday and it huuuuurts. I can’t eat or drink. I’m sipping water to get some fluids in, but everything hurts and I can’t get it removed because it’ll cause an ulcer. I need some relief.</t>
        </is>
      </c>
      <c r="D651" t="n">
        <v>1</v>
      </c>
      <c r="E651" t="n">
        <v>23</v>
      </c>
      <c r="F651">
        <f>HYPERLINK("https://www.reddit.com/r/GERD/comments/b1gean/bravo_reflux_recorder_hurts/")</f>
        <v/>
      </c>
      <c r="G651" t="inlineStr">
        <is>
          <t>2019-03-15 08:39:25</t>
        </is>
      </c>
      <c r="H651" t="inlineStr"/>
    </row>
    <row r="652">
      <c r="A652" t="inlineStr">
        <is>
          <t>b1hmhd</t>
        </is>
      </c>
      <c r="B652" t="inlineStr">
        <is>
          <t>Sick/breathing problems with GERD?</t>
        </is>
      </c>
      <c r="C652" t="inlineStr">
        <is>
          <t>F26. I was taking omeprazole for a couple months per my doctor and felt better so stopped taking it and tried modifying my diet a bit. I felt fine for about a month and then I got a nasty cold and have felt weird for about 6 weeks. I had a lingering cough and my chest feels heavy. It’s not bad enough where I’m missing work or anything but I feel like at 70% capacity everyday. 
Now I’m beginning to suspect that it might be from the GERD and may start the omeprazole again. Anyone experience this?</t>
        </is>
      </c>
      <c r="D652" t="n">
        <v>6</v>
      </c>
      <c r="E652" t="n">
        <v>1</v>
      </c>
      <c r="F652">
        <f>HYPERLINK("https://www.reddit.com/r/GERD/comments/b1hmhd/sickbreathing_problems_with_gerd/")</f>
        <v/>
      </c>
      <c r="G652" t="inlineStr">
        <is>
          <t>2019-03-15 10:24:36</t>
        </is>
      </c>
      <c r="H652" t="inlineStr"/>
    </row>
    <row r="653">
      <c r="A653" t="inlineStr">
        <is>
          <t>b1i16b</t>
        </is>
      </c>
      <c r="B653" t="inlineStr">
        <is>
          <t>Who to see? ENT or Gastroenterologist?</t>
        </is>
      </c>
      <c r="C653" t="inlineStr">
        <is>
          <t>TLDR: I’m ready to get to the bottom of my issues and probably need a camera down my throat. Which specialist makes more sense to see- and ENT or Gastroenterologist?
Full history below:
I’ve suffered from touchy digestion my whole life. In college I started having bad heartburn. As an adult, it came back as a burning in-between my sternum and navel (upper stomach?) that would wake me up at night. My doctor was not all that helpful and just told me to load up on either Zantac or Omeprezole.  Effects were generally short lived. Finally at one point I had a gallstone attack and then ended up getting my gallbladder removed. All my burning/gerd-like issues went away for 5-6 months. However, the attacks became very infrequent and controllable with DGL, Zantac, and generally trying to not go too nuts with bad eating (though I am generally fairly healthy- no soda, avoid dairy most of the time). 
Everything was generally fine and under control until about a week ago, and I am now having throat stuff happen for the first time in my life. Lump in throat feeling, sour taste in mouth. So I’m worried for my health (I’m 34) and ready to get to the bottom of this. I started reading and following the Acid Watcher diet after someone posted a video of dr. Aviv here. Still early in the process, but I am still suffering. I’m wondering if I should see an ENT or a Gastroenterologist??</t>
        </is>
      </c>
      <c r="D653" t="n">
        <v>2</v>
      </c>
      <c r="E653" t="n">
        <v>5</v>
      </c>
      <c r="F653">
        <f>HYPERLINK("https://www.reddit.com/r/GERD/comments/b1i16b/who_to_see_ent_or_gastroenterologist/")</f>
        <v/>
      </c>
      <c r="G653" t="inlineStr">
        <is>
          <t>2019-03-15 10:59:10</t>
        </is>
      </c>
      <c r="H653" t="inlineStr"/>
    </row>
    <row r="654">
      <c r="A654" t="inlineStr">
        <is>
          <t>b1klwd</t>
        </is>
      </c>
      <c r="B654" t="inlineStr">
        <is>
          <t>I screwed up last night and slept too flat</t>
        </is>
      </c>
      <c r="C654" t="inlineStr">
        <is>
          <t>So I've been doing pretty well lately all things considered. I've definitely been having more good days than bad days. I've been very careful with my diet and sleep situation, but last night I fell asleep on the couch and ended up not sleeping on an incline. Today it seems like all of my symptoms have come back, I'm nauseous, my voice is scratchy, and I feel like absolute shit. I didn't realize that one night could mess me up so bad. Has this happened to anyone else? How long did it take to go back to "normal" afterwards? Thanks for helping me!</t>
        </is>
      </c>
      <c r="D654" t="n">
        <v>9</v>
      </c>
      <c r="E654" t="n">
        <v>1</v>
      </c>
      <c r="F654">
        <f>HYPERLINK("https://www.reddit.com/r/GERD/comments/b1klwd/i_screwed_up_last_night_and_slept_too_flat/")</f>
        <v/>
      </c>
      <c r="G654" t="inlineStr">
        <is>
          <t>2019-03-15 14:41:36</t>
        </is>
      </c>
      <c r="H654" t="inlineStr"/>
    </row>
    <row r="655">
      <c r="A655" t="inlineStr">
        <is>
          <t>b1l8df</t>
        </is>
      </c>
      <c r="B655" t="inlineStr">
        <is>
          <t>Symptoms .. maybe GERD ?</t>
        </is>
      </c>
      <c r="C655" t="inlineStr">
        <is>
          <t>Hello All, 
I've been having odd GI symptoms for about a month , and came across this community a week or so ago. Long story short I had a terrible cold/flu ( just coughing, not vomiting) in late November, early December of 2018. While I got better after about two weeks I couldn't kick the cough, it stuck around well into January. Finally the cough seemed to subside, save for in the evenings when I would lie down in bed I would cough a bit ( unless I had consumed some cannabis, oddly enough I found I didn't cough post consumption when laying down for bed). This stuck around in to February, and at some point around mid February I started to feel as though I had a lump in my throat( like phlegm, or like a pill was stuck ) I finally went to the Dr , a fair bit spooked after excessive( unwise) googling. She determined the cough was unrelated and prescribed me a PPI for acid reflux. I took the PPI for about 10-13 days ( I'm not super big on the idea of them ) and found that my symptoms got worse, instead of the lump feeling happing occasionally as it had before, it was almost constant and I started to have some heartburn, which I had yet to have. After discontinuing the PPIs I actually felt some relief, the lump feeling went away and the heartburn also subsided. Around this time I spoke with my brother who has GERD and he recommended kombucha, which I began to drink on a semi regular basis. Now however I find that most mornings I feel fine when I wake up, then within half an hour (before eating or drinking anything ) the lump feeling occurs, and I might or might not get a slight acidy feeling in my lower throat region. Otherwise I have bad days where the heartburn feeling is occasional throughout the day and the lump feeling is almost always present, or better days when the heartburn is non existent( save for the morning maybe briefly) and the lump feeling might only happen once or twice throughout the day for a short period of time ,or only when I swallow. 
Diet and health related things:
&amp;amp;#x200B;
I have never had GI issues before, except on occasion I might feel bloated and get a runny nose ( I always intended on tracking it down assuming I might have a mild food allergy)
26 yo Male
approx 138 -145lb 
height 5'6"
I eat quite healthily , with meals usually consisting of:
Breakfast:  smoothies (spinach, avocado, blueberries, banana, ginger, turmeric, ice, water) ( and coffee , though I've cut back to almost none in the hopes that it would help) or the occasional bagel w/ cheese 
On rare occasions, maybe homemade peached eggs w/hollindase and asparagus on English muffins, or bagels and lox 
&amp;amp;#x200B;
Lunch: Typically leftovers(see supper) or maybe Sushi, or the occasional Falafel wrap
&amp;amp;#x200B;
Supper : Salads, homemade traditional Indian foods(dal, curries, paneer dishes, naan, etc), and Greek dishes (like dolmades, salad ,haloumi, and lemon potatoes, etc),and other traditional foreign dishes,   soups( usually squash or zucchini, recently mushroom ),  guacamole  on occasion, veggie chilli, mushrooms w/garlic thyme, and butter, lazy avocado toast, shakshuka, and similar dishes( I don't eat a lot of meat). Or on rare occasions charchuterie boards with homemade pickled veggies, cheese, crackers, blueberries, or apples, hummus, or a homemade tomato kasundi, or homemade kimchi.
\*\*95% of the food that I eat is gluten free as my partner has celiac disease and we cook together primarily\*\*
Noteworthy : 
I work as a software engineer, so my job involves a fair bit of sitting. 
I drink about 3-4 L of water a day, sometimes more, sometimes less, though I try to aim for more. 
\*\* I rarely eat desserts , typically only if visiting family and they're offered, also I don't drink soda, I don't eat candy( again unless offered when visiting), 
\*\* I rarely eat sweet pastries or similar sweet treats, like maybe once a month if that ( though I have been eating them a bit more lately as the job I started in January is right next to a bakery ... though in that case I stick with the savoury ones usually) 
\*\* I do eat garlic and onions often ( I read the could be triggers but haven't experienced issues with them )
\*\* I have been drinking copious amounts of liquorice tea.
\*\* I do drink alcohol, though I usually stick with wine, cider, or beer , prior to this I would have been a one-two beer in the evening, maybe 2-5 times a week and 2-8 over the weekend( maybe after a hike ,or one for a mid hike lunch ) type of drinker. I have since cut back to almost nothing in the hopes that it would help with this maybe GERD or Silent Reflux stuff. 
\*\* I do get stressed out easily, and have been taking measures to reduce stressors , and my reaction to them lately ( mentioning as the Dr I visited at the beginning of my story mentioned stress and anxiety as a trigger). 
As far as exercise : I haven't been as diligent in the past six months but :
I do yoga every evening, I meditate every morning ( or double up if I miss a night/ morning ) 
I go for long day hikes ,or snowshoe trips on the weekends. 
I try to get out for a walk in the evening if my day has been particularly sedentary
&amp;amp;#x200B;
I would appreciate any advice ! I am a bit of a hypochondriac so I have been busy scaring myself with all manner of things from cancer to hernias and much more. I am hoping to get this resolved 100% with diet and have been ( not super punctually or regularly but will be doing better now ) keeping a food diary. 
&amp;amp;#x200B;
Lastly, I plan to go to the Dr this upcoming week to see about getting a referral to an ENT or Gastroeninologist for an appointment, and I guess that would involve a scope.. they're not so bad right ( please do not tell me horror stories, only good pleasant/ or at least mildly annoying tales ) ? 
I am wondering if anyone has had a similar experience to me ? 
Thank you all for any advice you can offer !! It is greatly appreciated !</t>
        </is>
      </c>
      <c r="D655" t="n">
        <v>1</v>
      </c>
      <c r="E655" t="n">
        <v>0</v>
      </c>
      <c r="F655">
        <f>HYPERLINK("https://www.reddit.com/r/GERD/comments/b1l8df/symptoms_maybe_gerd/")</f>
        <v/>
      </c>
      <c r="G655" t="inlineStr">
        <is>
          <t>2019-03-15 15:38:36</t>
        </is>
      </c>
      <c r="H655" t="inlineStr"/>
    </row>
    <row r="656">
      <c r="A656" t="inlineStr">
        <is>
          <t>b1lm4r</t>
        </is>
      </c>
      <c r="B656" t="inlineStr">
        <is>
          <t>recently devolped gerd and cant sleep every night</t>
        </is>
      </c>
      <c r="C656" t="inlineStr">
        <is>
          <t>i am only 24 and had my gallbladder removed last may, i started getting symptoms a month ago small stuff like unable to burp but feeling like i really need to burp. like it gets stuck in the back of my throat and triggered vomit a few times.
now, i get this battery acid taste in my throat when i am hungry, or after i eat, but the taste is different, if i am hungry it is bitter and the taste is inside my mouth. if i am full instead it will burn inbetween breasts, i had my gallbladder removed last may and have been taking Omeprazole 20mg every day with my biggest meal, and my doctor told me to fucking quadruple my dose and take 80mg a day in 2 doses. now here is the problem, this increased dose doesnt fucking do anything and ive been on it for a week. i have already made drastic changes to my diet which was def needed, but now we come to the real problem. i have not slept in a week, i just lay there all night, either with burning pain because i have eaten, or a sore stomach and this weird rain stick sensation in my upper spine and the back of my neck. if i eat too much fat it is noticable harder to relax, but even if i dont eat gerd triggers i still am completely and utterly unable to sleep. i have anxiety and it has been getting progressively worse the more sleep deprived i become, i have tried every sleeping position imaginable, even if i lay on my back it hurts my stomach and feels like its pulsing. i can be slight comfortable laying on my left side and even then i cannot sleep. i have a bed wedge and it doesnt help much. my GI that i am referred to is off of march break next week but i feel like thinking one week ahead is so much, because i am in constant pain and discomfort no matter what i eat, when i eat, how often i eat, i feel truly lost am and in physical and mental pain. if anyone can relate or has any suggestions please i will try anything</t>
        </is>
      </c>
      <c r="D656" t="n">
        <v>4</v>
      </c>
      <c r="E656" t="n">
        <v>2</v>
      </c>
      <c r="F656">
        <f>HYPERLINK("https://www.reddit.com/r/GERD/comments/b1lm4r/recently_devolped_gerd_and_cant_sleep_every_night/")</f>
        <v/>
      </c>
      <c r="G656" t="inlineStr">
        <is>
          <t>2019-03-15 16:14:45</t>
        </is>
      </c>
      <c r="H656" t="inlineStr"/>
    </row>
    <row r="657">
      <c r="A657" t="inlineStr">
        <is>
          <t>b1m02s</t>
        </is>
      </c>
      <c r="B657" t="inlineStr">
        <is>
          <t>Can I get PPI rebound after 3 weeks of ppi rebound ?</t>
        </is>
      </c>
      <c r="C657" t="inlineStr">
        <is>
          <t xml:space="preserve">Can I get ppi rebound after 3 weeks of ppi rebound ? </t>
        </is>
      </c>
      <c r="D657" t="n">
        <v>2</v>
      </c>
      <c r="E657" t="n">
        <v>1</v>
      </c>
      <c r="F657">
        <f>HYPERLINK("https://www.reddit.com/r/GERD/comments/b1m02s/can_i_get_ppi_rebound_after_3_weeks_of_ppi_rebound/")</f>
        <v/>
      </c>
      <c r="G657" t="inlineStr">
        <is>
          <t>2019-03-15 16:53:23</t>
        </is>
      </c>
      <c r="H657" t="inlineStr"/>
    </row>
    <row r="658">
      <c r="A658" t="inlineStr">
        <is>
          <t>b1njvl</t>
        </is>
      </c>
      <c r="B658" t="inlineStr">
        <is>
          <t>GERD and Asthma -- Deadly?</t>
        </is>
      </c>
      <c r="C658" t="inlineStr">
        <is>
          <t xml:space="preserve">Hi everyone. My husband suffers from GERD. He is not overweight, eats very healthy, and was just sort of cursed with unkind genetics when it comes to GERD. He is thirty. He used to just get nasty, painful flare-ups with the usual "danger" foods. But now, since January, every so often he gets a new symptom:
Difficulty breathing. 
He doesn't cough, or struggle too horrendously. He can still talk, but he feels like it's a bit laboring -- like he needs to force himself to breathe in and out. Often, he needs to get up and walk around, go outside. Sometimes, the feeling lasts for three minutes. Today, the feeling was "not as bad," but is still sort of lingering for the past six hours. 
First time this happened, I took him to urgent care. They said it's asthma triggered by GERD. Later, his doctor did an MRI on him -- nothing weird anywhere in his body apart from a hiatal hernia (not severe enough to operate one). Everyone he's seen concerning this has prescribed him a handful of new GERD medication and just said "okay, take these." 
He's been taking these new medications (which are stronger than his old ones), and yet the same thing is still happening. 
I'm frightened, of course, but he's all too calm about it. I'm thinking the worst: what if his airways completely constrict and he chokes to death? Is that possible with GERD? Have there been cases of it? I've asked his doctor and his gastroenterologist, but both have ignored the question and suggested to just try and treat the underlying cause... but it seems no matter what medication they give him, nothing works. 
I'm sorry. I've written a lot. I'm just so afraid and hoping that someone with either a similar experience or knowledge in this area can help with their story or opinion. I guess I'm hoping to ease my anxiety, or convince my husband to see another doctor since his current one isn't seeming to help. 
tl;dr -- asthma flare ups triggered only by GERD -- have you had this? How to stop a GERD-linked asthma attack? Is it a huge concern? Deadly? </t>
        </is>
      </c>
      <c r="D658" t="n">
        <v>3</v>
      </c>
      <c r="E658" t="n">
        <v>12</v>
      </c>
      <c r="F658">
        <f>HYPERLINK("https://www.reddit.com/r/GERD/comments/b1njvl/gerd_and_asthma_deadly/")</f>
        <v/>
      </c>
      <c r="G658" t="inlineStr">
        <is>
          <t>2019-03-15 19:36:05</t>
        </is>
      </c>
      <c r="H658" t="inlineStr"/>
    </row>
    <row r="659">
      <c r="A659" t="inlineStr">
        <is>
          <t>b1qtsv</t>
        </is>
      </c>
      <c r="B659" t="inlineStr">
        <is>
          <t>Throat Infection + heartburn</t>
        </is>
      </c>
      <c r="C659" t="inlineStr">
        <is>
          <t>So I recently got a throat infection, doc confirmed it’s not strep or flu but man my heartburn is kicking in bad. I’m having trouble swallowing and the acid up and down my throat and touching the infected areas is very painful. I can’t go back to sleep.
I’ve drank a glass of milk, popped 4 gaviscon and drank an anti acid within the span of a few hours, no luck. I’m only 24 and I feel this is going to get worse with age.
I got an endoscopy a year ago and doc prescribed me some medication that began with Dex or something, I stopped taking it because I didn’t want to build a reoccurring dependence to it...not sure what to do for the long term.</t>
        </is>
      </c>
      <c r="D659" t="n">
        <v>5</v>
      </c>
      <c r="E659" t="n">
        <v>1</v>
      </c>
      <c r="F659">
        <f>HYPERLINK("https://www.reddit.com/r/GERD/comments/b1qtsv/throat_infection_heartburn/")</f>
        <v/>
      </c>
      <c r="G659" t="inlineStr">
        <is>
          <t>2019-03-16 02:54:09</t>
        </is>
      </c>
      <c r="H659" t="inlineStr"/>
    </row>
    <row r="660">
      <c r="A660" t="inlineStr">
        <is>
          <t>b1ruap</t>
        </is>
      </c>
      <c r="B660" t="inlineStr">
        <is>
          <t>Super confused about what to do, what to eat, who should i listen to ??</t>
        </is>
      </c>
      <c r="C660" t="inlineStr">
        <is>
          <t xml:space="preserve">Hi guys, i am having GERD symptoms for like 3 weeks (maybe more). It begins after a bad anxiety period that knocked me out for a good month. The anxiety went slowly away and the last symptoms i now have sounds pretty much like GERD : burn feeling in my chest, random pain in my chest, soar throat and indigestion. 
I have been reading A LOT and ... wow i still have no idea what to eat or what to do.
I read stop trigger food (coffee, alcohol, chocolate, acid fruits ...) - eat alkaline food - go vegan for a prim phase of 28 days and introduce other food after - All acidic are not when digested ! For instance lemon is alkaline in our stomach - check the PH of your aliments - Try cider vinegar - take pills - do not take pills - sleep at a 45• angle - eat little meals more often ...
And many many more things that basically left me a bit confused ! 
Yesterday after 3 frustrating weeks of eating veg and not feeling better, i failed and eat a pizza and had a gin cocktail. 
Did not sleep too bad + not feeling too bad  today as well ?! Nothing much different than when i ate cereals in the morning or a salad at lunch. 
So what the Flip ? 
Is dairy products that bad ? 
Is bread and pasta that bad ? 
Are fruits that bad ? 
WHAT SHOULD I EAT ? 
Could GERD have something to do with the fact that i stopped smoking ? (It has been 5 weeks) 
Or is it just a bad symptoms of the deep anxiety I had ? 
How can I help my body now ? 
</t>
        </is>
      </c>
      <c r="D660" t="n">
        <v>6</v>
      </c>
      <c r="E660" t="n">
        <v>2</v>
      </c>
      <c r="F660">
        <f>HYPERLINK("https://www.reddit.com/r/GERD/comments/b1ruap/super_confused_about_what_to_do_what_to_eat_who/")</f>
        <v/>
      </c>
      <c r="G660" t="inlineStr">
        <is>
          <t>2019-03-16 05:15:11</t>
        </is>
      </c>
      <c r="H660" t="inlineStr"/>
    </row>
    <row r="661">
      <c r="A661" t="inlineStr">
        <is>
          <t>b1t48c</t>
        </is>
      </c>
      <c r="B661" t="inlineStr">
        <is>
          <t>Acid reflux/GERD + messed up prolactin levels</t>
        </is>
      </c>
      <c r="C661" t="inlineStr">
        <is>
          <t xml:space="preserve">Hi all! I'm a 21 year old female. I've been on medication for my GERD since the last 5 months. Recently, my menstruation cycle has become really irregular and messed up. On getting my tests done, realized that my prolactin levels are higher than normal. Are the two things connected? Does medication impact prolactin or tsh?
</t>
        </is>
      </c>
      <c r="D661" t="n">
        <v>1</v>
      </c>
      <c r="E661" t="n">
        <v>1</v>
      </c>
      <c r="F661">
        <f>HYPERLINK("https://www.reddit.com/r/GERD/comments/b1t48c/acid_refluxgerd_messed_up_prolactin_levels/")</f>
        <v/>
      </c>
      <c r="G661" t="inlineStr">
        <is>
          <t>2019-03-16 07:39:11</t>
        </is>
      </c>
      <c r="H661" t="inlineStr"/>
    </row>
    <row r="662">
      <c r="A662" t="inlineStr">
        <is>
          <t>b1u4rb</t>
        </is>
      </c>
      <c r="B662" t="inlineStr">
        <is>
          <t>Has anybody taken 40 mg of omeprazole for 2-3 months and been able to get off it completely?</t>
        </is>
      </c>
      <c r="C662" t="inlineStr">
        <is>
          <t xml:space="preserve">I'm having a bout of reflux that has lasted a few weeks. I went to see my gastro doctor this morning. He wants to do an endoscopy and prescribed me 40 mg of Omeprazole. 
I have no desire to take medication on a long term basis. I'd prefer to make lifestyle changes first.
Research online states these drugs have some dangerous side effects and I read, once you start, it's hard to get off because reflux keeps coming back. 
My doctor said he thinks I'll be able to get off in a few months. Has anybody been able to successfully do this? 
Thanks. </t>
        </is>
      </c>
      <c r="D662" t="n">
        <v>6</v>
      </c>
      <c r="E662" t="n">
        <v>26</v>
      </c>
      <c r="F662">
        <f>HYPERLINK("https://www.reddit.com/r/GERD/comments/b1u4rb/has_anybody_taken_40_mg_of_omeprazole_for_23/")</f>
        <v/>
      </c>
      <c r="G662" t="inlineStr">
        <is>
          <t>2019-03-16 09:16:55</t>
        </is>
      </c>
      <c r="H662" t="inlineStr"/>
    </row>
    <row r="663">
      <c r="A663" t="inlineStr">
        <is>
          <t>b1wsdz</t>
        </is>
      </c>
      <c r="B663" t="inlineStr">
        <is>
          <t>How long does it take after starting a PPI for it to start working?</t>
        </is>
      </c>
      <c r="C663" t="inlineStr">
        <is>
          <t>Took my first dose today. Not working so far</t>
        </is>
      </c>
      <c r="D663" t="n">
        <v>1</v>
      </c>
      <c r="E663" t="n">
        <v>8</v>
      </c>
      <c r="F663">
        <f>HYPERLINK("https://www.reddit.com/r/GERD/comments/b1wsdz/how_long_does_it_take_after_starting_a_ppi_for_it/")</f>
        <v/>
      </c>
      <c r="G663" t="inlineStr">
        <is>
          <t>2019-03-16 13:16:08</t>
        </is>
      </c>
      <c r="H663" t="inlineStr"/>
    </row>
    <row r="664">
      <c r="A664" t="inlineStr">
        <is>
          <t>b1xqq8</t>
        </is>
      </c>
      <c r="B664" t="inlineStr">
        <is>
          <t>Consistent breathing problem after eating and less but still constant when not eating anything at all; have no clue what to do!</t>
        </is>
      </c>
      <c r="C664" t="inlineStr">
        <is>
          <t xml:space="preserve">Over the past month I’ve experienced on and off trouble breathing after eating. The best way I can describe it is labored, which then leads to an increased heart rate as sometimes I begin to panic a bit
A few reasons I can see this happening is
1. I have had asthma my entire life, but it has become extremely insignificant ever since I begun middle school and is only an issue once or twice every few months after strenuous physical activity. However, I do think in some way this could be related to me possibly having GERD
2. About 2 months ago I began working out about 2-3 times a week (bench, squats, deadlifts etc.) and considered that I might potentially have a hernia due to improper form while squatting. 
3. I have a peanut allergy and I did immunotherapy for 6 months UNTIL I got the flu beginning of February with a 105 fever and pretty harsh symptoms. Since then I have stopped immunotherapy but I noticed after I had recovered from the flu I began experiencing  these GERD-like symptoms. I had acid reflux occasionally during immunotherapy and it became much less after I quit, but now I’m having a much harder time finishing and breathing after meals. 
The past week I was at Disneyworld and my symptoms seemed to be exacerbated quite a bit there as I was getting better at home. 
Anything would help I genuinely have no idea how to really tackle this or what doctors to see </t>
        </is>
      </c>
      <c r="D664" t="n">
        <v>3</v>
      </c>
      <c r="E664" t="n">
        <v>5</v>
      </c>
      <c r="F664">
        <f>HYPERLINK("https://www.reddit.com/r/GERD/comments/b1xqq8/consistent_breathing_problem_after_eating_and/")</f>
        <v/>
      </c>
      <c r="G664" t="inlineStr">
        <is>
          <t>2019-03-16 14:44:56</t>
        </is>
      </c>
      <c r="H664" t="inlineStr"/>
    </row>
    <row r="665">
      <c r="A665" t="inlineStr">
        <is>
          <t>b1y4ou</t>
        </is>
      </c>
      <c r="B665" t="inlineStr">
        <is>
          <t>Inhaling my food?</t>
        </is>
      </c>
      <c r="C665" t="inlineStr">
        <is>
          <t xml:space="preserve">dae feel like they aren't swallowing correctly? I'm not sure if this is simply acid reflux or if my swallowing posture and muscles are also messed up from my tmj disorder/ messed up bite.
I have a coughing fit after and while eating followed by lots of burping and a mucusy throat and chest (sometimes dry sometimes some clear mucus but not a lot of it, just a wet feeling) 
My breathing is decent enough as I take a daily ICS inhaler for asthma. I thought I was just having asthma but this coughing occurs while eating and I'm breathing ok I just feel choking. 
It goes away pretty quickly I just am too anxious to continue eating. Drinking from a straw helps.
TLDR - is trouble swallowing and throat irritation a symptom of GERD? What do y'all do? </t>
        </is>
      </c>
      <c r="D665" t="n">
        <v>1</v>
      </c>
      <c r="E665" t="n">
        <v>2</v>
      </c>
      <c r="F665">
        <f>HYPERLINK("https://www.reddit.com/r/GERD/comments/b1y4ou/inhaling_my_food/")</f>
        <v/>
      </c>
      <c r="G665" t="inlineStr">
        <is>
          <t>2019-03-16 15:22:00</t>
        </is>
      </c>
      <c r="H665" t="inlineStr"/>
    </row>
    <row r="666">
      <c r="A666" t="inlineStr">
        <is>
          <t>b1yyla</t>
        </is>
      </c>
      <c r="B666" t="inlineStr">
        <is>
          <t>GERD / silent reflux / gastritis.</t>
        </is>
      </c>
      <c r="C666" t="inlineStr">
        <is>
          <t xml:space="preserve">My life is hell.
Started off as silent reflux.
Developed to GERD
Now I have gastritis (self diagnosed)
Is there a link to all this shit? I mean, for real I’ve never been so miserable and my quality of life has never been so poor. 
I’m just ranting because I feel so ill all the time. My real question is, is there a link to GERD and gastritis?
I’m my own worst enemy because I drink too much as well. 
I get swollen lymph nodes in my neck all the time as well. I imagine caused by persistent sore throats caused by, would you fucking believe it, reflux. 
Sorry I just needed to rant.  I get reflux off salads ffs. </t>
        </is>
      </c>
      <c r="D666" t="n">
        <v>2</v>
      </c>
      <c r="E666" t="n">
        <v>0</v>
      </c>
      <c r="F666">
        <f>HYPERLINK("https://www.reddit.com/r/GERD/comments/b1yyla/gerd_silent_reflux_gastritis/")</f>
        <v/>
      </c>
      <c r="G666" t="inlineStr">
        <is>
          <t>2019-03-16 16:47:44</t>
        </is>
      </c>
      <c r="H666" t="inlineStr"/>
    </row>
    <row r="667">
      <c r="A667" t="inlineStr">
        <is>
          <t>b1z9u8</t>
        </is>
      </c>
      <c r="B667" t="inlineStr">
        <is>
          <t>Intermittent fasting healed me and saved my life</t>
        </is>
      </c>
      <c r="C667" t="inlineStr">
        <is>
          <t>I have been suffering from GERD, acid reflux, LPR for over 5 years now. I have tried literally tried EVERYTHING to heal this chronic disease. Recently, I have been trying intermittent fasting (20:4). Instead of eating during the evening like most people on this diet, I only eat in the morning. Then I fast, so really this is like the 23:1 diet. I am fasting for the next 23 hours. THis helps a lot with food that does up to the throat and gets stuck by only eating in the morning. Now, while I sleep - no food gets stuck in throat since I didn't eat since morning. My stomach takes a lot of time to digest things. This diet has literally saved my life. Food would get stuck in my throat all the time. I was constantly clearing my throat. This has been the ONLY way to heal my throat. I literally thought I was dying from throat cancer for a while there. I love intermittent fasting - I believe it heals and can save your life. I am thanking God that I tried this way of intermittent fasting.</t>
        </is>
      </c>
      <c r="D667" t="n">
        <v>20</v>
      </c>
      <c r="E667" t="n">
        <v>31</v>
      </c>
      <c r="F667">
        <f>HYPERLINK("https://www.reddit.com/r/GERD/comments/b1z9u8/intermittent_fasting_healed_me_and_saved_my_life/")</f>
        <v/>
      </c>
      <c r="G667" t="inlineStr">
        <is>
          <t>2019-03-16 17:20:04</t>
        </is>
      </c>
      <c r="H667" t="inlineStr"/>
    </row>
    <row r="668">
      <c r="A668" t="inlineStr">
        <is>
          <t>b1zbxf</t>
        </is>
      </c>
      <c r="B668" t="inlineStr">
        <is>
          <t>Question about drug im using</t>
        </is>
      </c>
      <c r="C668" t="inlineStr">
        <is>
          <t xml:space="preserve">I have Barrett's esophagus.  My doctor prescribed me Apo-Esomeprazole Magnesium to slow down acid production.  It has worked great.  I haven't even had any esophageal obstructions since taking it, which used to happen semi frequently.   Ive been taking it for about two years.  When I forget to take it, I find that I am 100% going to have acid reflux at some point in the day.     I was wondering if taking it was fine, or if there's something else I should do or take.   
Also, if anybody has any questions about my condition, feel free to ask.  </t>
        </is>
      </c>
      <c r="D668" t="n">
        <v>2</v>
      </c>
      <c r="E668" t="n">
        <v>4</v>
      </c>
      <c r="F668">
        <f>HYPERLINK("https://www.reddit.com/r/GERD/comments/b1zbxf/question_about_drug_im_using/")</f>
        <v/>
      </c>
      <c r="G668" t="inlineStr">
        <is>
          <t>2019-03-16 17:25:50</t>
        </is>
      </c>
      <c r="H668" t="inlineStr"/>
    </row>
    <row r="669">
      <c r="A669" t="inlineStr">
        <is>
          <t>b20hw3</t>
        </is>
      </c>
      <c r="B669" t="inlineStr">
        <is>
          <t>Pantoprazole, headaches, and magnesium deficiency</t>
        </is>
      </c>
      <c r="C669" t="inlineStr">
        <is>
          <t xml:space="preserve">No GERD here, but I was recently diagnosed with chronic gastritis and have been prescribed 40mg pantoprazole sodium. I have been completely sidelined by borderline migraine headaches. Has anyone else had this very cool side effect from that medication?
I've read that it can be causes by magnesium deficiency brought on by the medication, and some of my other symptoms (dizziness, confusion, poor concentration, racing heart, jitters, and cramps in various parts of my body) line up with Mg deficiency. Have any of you found any luck with alleviating these pantoprazole side effects by taking a magnesium supplement, or do you have any suggestions? </t>
        </is>
      </c>
      <c r="D669" t="n">
        <v>2</v>
      </c>
      <c r="E669" t="n">
        <v>5</v>
      </c>
      <c r="F669">
        <f>HYPERLINK("https://www.reddit.com/r/GERD/comments/b20hw3/pantoprazole_headaches_and_magnesium_deficiency/")</f>
        <v/>
      </c>
      <c r="G669" t="inlineStr">
        <is>
          <t>2019-03-16 19:29:27</t>
        </is>
      </c>
      <c r="H669" t="inlineStr"/>
    </row>
    <row r="670">
      <c r="A670" t="inlineStr">
        <is>
          <t>b283au</t>
        </is>
      </c>
      <c r="B670" t="inlineStr">
        <is>
          <t>Fish oil alternative?</t>
        </is>
      </c>
      <c r="C670" t="inlineStr">
        <is>
          <t>I've noticed fish oil has been giving me acid reflux recently. Is there an alternative? It feels like it gets stuck in my throat.</t>
        </is>
      </c>
      <c r="D670" t="n">
        <v>2</v>
      </c>
      <c r="E670" t="n">
        <v>13</v>
      </c>
      <c r="F670">
        <f>HYPERLINK("https://www.reddit.com/r/GERD/comments/b283au/fish_oil_alternative/")</f>
        <v/>
      </c>
      <c r="G670" t="inlineStr">
        <is>
          <t>2019-03-17 11:15:31</t>
        </is>
      </c>
      <c r="H670" t="inlineStr"/>
    </row>
    <row r="671">
      <c r="A671" t="inlineStr">
        <is>
          <t>b29v1d</t>
        </is>
      </c>
      <c r="B671" t="inlineStr">
        <is>
          <t>Are mild spices &amp;amp; coconut milk safe for Gerd?</t>
        </is>
      </c>
      <c r="C671" t="inlineStr">
        <is>
          <t>My first post here but have been reading a lot since being diagnosed with Gerd 2 weeks.
I've had Gerd symptoms triggered this evening after having a very mild Indian curry. Cooked it myself so kept any spicing to a minimum.
Used no chili, just the following spices: cumin - a teaspoon for a meal for 5, turmeric (which I know is touted as being beneficial for reflux) and a very small dash of garam masala. 
Or could it be the coconut milk I used in the curry? Does anyone find that to be a trigger?
Ate with brown rice.
It could be portion size though really did try to keep that small. Or just accumulated food that was had over the day?
For info - I've been taking Omeprazole 20mg once daily for the last 2 weeks.
Thanks all.</t>
        </is>
      </c>
      <c r="D671" t="n">
        <v>2</v>
      </c>
      <c r="E671" t="n">
        <v>9</v>
      </c>
      <c r="F671">
        <f>HYPERLINK("https://www.reddit.com/r/GERD/comments/b29v1d/are_mild_spices_coconut_milk_safe_for_gerd/")</f>
        <v/>
      </c>
      <c r="G671" t="inlineStr">
        <is>
          <t>2019-03-17 13:52:33</t>
        </is>
      </c>
      <c r="H671" t="inlineStr"/>
    </row>
    <row r="672">
      <c r="A672" t="inlineStr">
        <is>
          <t>b2bimw</t>
        </is>
      </c>
      <c r="B672" t="inlineStr">
        <is>
          <t>Bradycardia with pPi</t>
        </is>
      </c>
      <c r="C672" t="inlineStr">
        <is>
          <t>I have been on omeprazole for a few months and hasn’t really helped. One thing I have noticed is I have developed bradycardia , low heart rate. After doing research I have seen reports saying pPi can cause this. Anyone have any similar issues and advice on if it gets better if I stop?</t>
        </is>
      </c>
      <c r="D672" t="n">
        <v>0</v>
      </c>
      <c r="E672" t="n">
        <v>14</v>
      </c>
      <c r="F672">
        <f>HYPERLINK("https://www.reddit.com/r/GERD/comments/b2bimw/bradycardia_with_ppi/")</f>
        <v/>
      </c>
      <c r="G672" t="inlineStr">
        <is>
          <t>2019-03-17 16:28:39</t>
        </is>
      </c>
      <c r="H672" t="inlineStr"/>
    </row>
    <row r="673">
      <c r="A673" t="inlineStr">
        <is>
          <t>b2ctvd</t>
        </is>
      </c>
      <c r="B673" t="inlineStr">
        <is>
          <t>Hypersalivation and GERD</t>
        </is>
      </c>
      <c r="C673" t="inlineStr">
        <is>
          <t>I’ve had GERD for seven months now, and one reoccurring symptom I’ve had is hypersalivation. Sometimes, it tastes acidic and sometimes it tastes bland. It usually is worse throughout the day and is only okay when I’m sleeping because my mouth gets dry. Is there any way to alleviate this symptom? I’ve tried baking soda and water and apple cider vinegar. I’ve also tried PPIs but I’ve had to stop because of the side effects.</t>
        </is>
      </c>
      <c r="D673" t="n">
        <v>2</v>
      </c>
      <c r="E673" t="n">
        <v>4</v>
      </c>
      <c r="F673">
        <f>HYPERLINK("https://www.reddit.com/r/GERD/comments/b2ctvd/hypersalivation_and_gerd/")</f>
        <v/>
      </c>
      <c r="G673" t="inlineStr">
        <is>
          <t>2019-03-17 18:41:56</t>
        </is>
      </c>
      <c r="H673" t="inlineStr"/>
    </row>
    <row r="674">
      <c r="A674" t="inlineStr">
        <is>
          <t>b2hp7w</t>
        </is>
      </c>
      <c r="B674" t="inlineStr">
        <is>
          <t>New to this.</t>
        </is>
      </c>
      <c r="C674" t="inlineStr">
        <is>
          <t>Hi all - Sorry if the post is long.  Looking for general tips or advice to make this situation better.
I had been having an issue with a dry cough, some reflux issues when i would eat fast, and some minor difficulty swallowing that i attributed to nerves for a little awhile.  Then about 6 weeks ago, i began to notice what felt like a lump or something in my throat.  Not a physical lump, but im sure some of you know what im saying.  Also, it seemed like even if i was talking at a normal level at work, after i while my throat would get very sore and weak.  
Background here:  I was a smoker, drank lots of diet soda, but cut out the caffeinated kind because i deal with anxiety and it made it worse.  My diet was not good either - eating out at lunch everyday, and occasionally making a meal at home.  Ate very late on the weekends, i drank alcohol on sat nights and went to bed right after. etc etc.  Ridiculous living i should have quit a long time ago.  
I went to my doctor and he diagnosed me with GERD, which i always associated with heartburn, which i never get.  So i was confused.  He explained to me something about LPR and set up an appt for me with a gastro and ENT doctor and gave me 40mg of omeprazole.
I will tell you i took very seriously and these are the things ive done since then.  I have literally quit smoking after many years, stopped drinking, no soda or carbonated beverages, just water, no junk food - etc.  I raised my bed up, and do not eat anything several hours before i sleep. Started exercising, and walking after dinner for 30 minutes.
I'm waiting to meet up with the specialists, but my one uncertainty i was hoping the community could recommend is some of the foods they eat that seem ok.  I'm slowly beginning to start over with healthier foods that dont seem to make things worse.  I seem to tolerate bananas just fine, oatmeal, etc.  I know this will be a bit of trial and error, and watching the acidic types of foods.  Which fruits do you avoid?  Grapes, strawberries?  What protein sources have been ok with you?
Also, did anyone experience with talking making the throat sore or weak, did it just take time to heal?  
Thanks for anyone experience you all may have with it youre willing to share.</t>
        </is>
      </c>
      <c r="D674" t="n">
        <v>1</v>
      </c>
      <c r="E674" t="n">
        <v>6</v>
      </c>
      <c r="F674">
        <f>HYPERLINK("https://www.reddit.com/r/GERD/comments/b2hp7w/new_to_this/")</f>
        <v/>
      </c>
      <c r="G674" t="inlineStr">
        <is>
          <t>2019-03-18 04:43:59</t>
        </is>
      </c>
      <c r="H674" t="inlineStr"/>
    </row>
    <row r="675">
      <c r="A675" t="inlineStr">
        <is>
          <t>b2irle</t>
        </is>
      </c>
      <c r="B675" t="inlineStr">
        <is>
          <t>Reflux maybe???</t>
        </is>
      </c>
      <c r="C675" t="inlineStr">
        <is>
          <t xml:space="preserve">I recently was on antibiotics and now have reflux before I only burped  gas  because I ate food fast and my throat felt fine  I am wondering did I have reflux before or did the antibiotics cause me to get reflux ??? </t>
        </is>
      </c>
      <c r="D675" t="n">
        <v>0</v>
      </c>
      <c r="E675" t="n">
        <v>0</v>
      </c>
      <c r="F675">
        <f>HYPERLINK("https://www.reddit.com/r/GERD/comments/b2irle/reflux_maybe/")</f>
        <v/>
      </c>
      <c r="G675" t="inlineStr">
        <is>
          <t>2019-03-18 06:30:56</t>
        </is>
      </c>
      <c r="H675" t="inlineStr"/>
    </row>
    <row r="676">
      <c r="A676" t="inlineStr">
        <is>
          <t>b2kcye</t>
        </is>
      </c>
      <c r="B676" t="inlineStr">
        <is>
          <t>LPRD and accutane/isotetrinoin</t>
        </is>
      </c>
      <c r="C676" t="inlineStr">
        <is>
          <t>I’m about to start my accutane journey, just finishing up my 1 week of omeprazole. I’ve recently found out that my GERD is actually LPRD. 
Anyone here who is taking accutane? I’m curious if it has had any effect on your GERD or LPRD.
Thanks!</t>
        </is>
      </c>
      <c r="D676" t="n">
        <v>0</v>
      </c>
      <c r="E676" t="n">
        <v>0</v>
      </c>
      <c r="F676">
        <f>HYPERLINK("https://www.reddit.com/r/GERD/comments/b2kcye/lprd_and_accutaneisotetrinoin/")</f>
        <v/>
      </c>
      <c r="G676" t="inlineStr">
        <is>
          <t>2019-03-18 08:55:08</t>
        </is>
      </c>
      <c r="H676" t="inlineStr"/>
    </row>
    <row r="677">
      <c r="A677" t="inlineStr">
        <is>
          <t>b2kmuy</t>
        </is>
      </c>
      <c r="B677" t="inlineStr">
        <is>
          <t>Reflux?</t>
        </is>
      </c>
      <c r="C677" t="inlineStr">
        <is>
          <t>I recently took antibiotics and now I have reflux before I took antibiotics I had burps but they were full of air because I eat fast and my throat was fine but after taking antibiotics I have reflux my question is do antibiotics cause reflux and did I have reflux to start of with and then when I took antibiotics did my reflux get worse ??</t>
        </is>
      </c>
      <c r="D677" t="n">
        <v>0</v>
      </c>
      <c r="E677" t="n">
        <v>1</v>
      </c>
      <c r="F677">
        <f>HYPERLINK("https://www.reddit.com/r/GERD/comments/b2kmuy/reflux/")</f>
        <v/>
      </c>
      <c r="G677" t="inlineStr">
        <is>
          <t>2019-03-18 09:17:55</t>
        </is>
      </c>
      <c r="H677" t="inlineStr"/>
    </row>
    <row r="678">
      <c r="A678" t="inlineStr">
        <is>
          <t>b2m5a0</t>
        </is>
      </c>
      <c r="B678" t="inlineStr">
        <is>
          <t>this should reassure anyone worried about esophageal cancer</t>
        </is>
      </c>
      <c r="C678" t="inlineStr">
        <is>
          <t>There is a new technique out there which is part of an upper endoscopy. It finds still harmless precancerous cells so they can be removed before they can progress to cancer.  Check out this non-profit  site from the biggest Gasto medical org in the world [c](https://preventheartburncancer.org/patients/)alled [https://preventheartburncancer.org/patients/](https://preventheartburncancer.org/patients/)</t>
        </is>
      </c>
      <c r="D678" t="n">
        <v>11</v>
      </c>
      <c r="E678" t="n">
        <v>11</v>
      </c>
      <c r="F678">
        <f>HYPERLINK("https://www.reddit.com/r/GERD/comments/b2m5a0/this_should_reassure_anyone_worried_about/")</f>
        <v/>
      </c>
      <c r="G678" t="inlineStr">
        <is>
          <t>2019-03-18 11:22:53</t>
        </is>
      </c>
      <c r="H678" t="inlineStr"/>
    </row>
    <row r="679">
      <c r="A679" t="inlineStr">
        <is>
          <t>b2oj3g</t>
        </is>
      </c>
      <c r="B679" t="inlineStr">
        <is>
          <t>Hysteria/hypochondria on this sub</t>
        </is>
      </c>
      <c r="C679" t="inlineStr">
        <is>
          <t>I recently joined this sub, being a lifelong sufferer of GERD, and I’m seeing lots of threads from people worrying about oesophageal cancer and other life-threatening complications.
Ive seen enough doctors now to know that oesophageal cancer is so rare (even in GERD sufferers) that it really shouldn’t be a huge concern unless you have symptoms, or unless your doctor expresses concern. If your doctor does, or you have Barrett’s, you’d surely be scheduling gastroscopies when necessary. 
I think people fail to understand that GERD is very common, and there are huge numbers of people who aren’t aware of it, or treat it as a nuisance that they fix with antacids. Cancer shouldn’t be a huge worry for most people, as you’re more likely to suffer from CHD, or get another type of cancer, among many other illnesses. 
I understand that some people are in a lot of pain, but for the vast majority of cases, it’s manageable with the right PPI. Otherwise, it’s basic science that enough of a base will neutralise an acid, so if people who can’t use PPI’s are in excruciating pain, they should take some strong antacids regularly, or get a second opinion about whether it’s something else like bile reflux. 
Overall, I think people should generally understand how common GERD is (about 20% of adults in the West, and probably plenty more undiagnosed/infrequent sufferers). It’s extremely rarely a death sentence!</t>
        </is>
      </c>
      <c r="D679" t="n">
        <v>9</v>
      </c>
      <c r="E679" t="n">
        <v>2</v>
      </c>
      <c r="F679">
        <f>HYPERLINK("https://www.reddit.com/r/GERD/comments/b2oj3g/hysteriahypochondria_on_this_sub/")</f>
        <v/>
      </c>
      <c r="G679" t="inlineStr">
        <is>
          <t>2019-03-18 14:43:42</t>
        </is>
      </c>
      <c r="H679" t="inlineStr"/>
    </row>
    <row r="680">
      <c r="A680" t="inlineStr">
        <is>
          <t>b2p6pi</t>
        </is>
      </c>
      <c r="B680" t="inlineStr">
        <is>
          <t>Green poop....from GERD meds?</t>
        </is>
      </c>
      <c r="C680" t="inlineStr">
        <is>
          <t xml:space="preserve">So I used to take acid reflux/GERD meds years ago. Then I got off it for the last 8 years. I now am back on it (a new version) because I couldn't stand the reflux anymore. Been on it for about 3 weeks. Problem is whenever I eat cereal I get an upset stomach within a few hours and semi-watery green poop happens. I eat cereal a few times a month. I had eaten fruit loops with marshmellows (yes I realize its not healthy lol). I stopped eating it because it said online sometimes it gives people green poop because some color dye in it. I am now eating frosted mini wheats and having the same issuel.  
I assume it must be the GERD med since this happened now that I am on them again. </t>
        </is>
      </c>
      <c r="D680" t="n">
        <v>1</v>
      </c>
      <c r="E680" t="n">
        <v>2</v>
      </c>
      <c r="F680">
        <f>HYPERLINK("https://www.reddit.com/r/GERD/comments/b2p6pi/green_poopfrom_gerd_meds/")</f>
        <v/>
      </c>
      <c r="G680" t="inlineStr">
        <is>
          <t>2019-03-18 15:39:34</t>
        </is>
      </c>
      <c r="H680" t="inlineStr"/>
    </row>
    <row r="681">
      <c r="A681" t="inlineStr">
        <is>
          <t>b2pabg</t>
        </is>
      </c>
      <c r="B681" t="inlineStr">
        <is>
          <t>Anyone else experience upper stomach discomfort or mild pain after drinking water?</t>
        </is>
      </c>
      <c r="C681" t="inlineStr">
        <is>
          <t>I deal with mild symptoms of GERD, mainly coughing, burning in stomach/chest, and fatigue after extensive coughing. I had a steak recently and symptoms picked up and have been really bad for the last 3 days or so. It now feels like my symptoms get even worst after drinking water and I tend to get what I stated in the title. Anyone else deal with this? Know a solution to it? It's been keeping me up the past couple of nights.</t>
        </is>
      </c>
      <c r="D681" t="n">
        <v>3</v>
      </c>
      <c r="E681" t="n">
        <v>2</v>
      </c>
      <c r="F681">
        <f>HYPERLINK("https://www.reddit.com/r/GERD/comments/b2pabg/anyone_else_experience_upper_stomach_discomfort/")</f>
        <v/>
      </c>
      <c r="G681" t="inlineStr">
        <is>
          <t>2019-03-18 15:47:55</t>
        </is>
      </c>
      <c r="H681" t="inlineStr"/>
    </row>
    <row r="682">
      <c r="A682" t="inlineStr">
        <is>
          <t>b2q74a</t>
        </is>
      </c>
      <c r="B682" t="inlineStr">
        <is>
          <t>Back posture and how it reduced my symptoms</t>
        </is>
      </c>
      <c r="C682" t="inlineStr">
        <is>
          <t>GERD symptoms for 6 years which have not reduced when using PPI's. I tried everything to stop my symptoms which were ruining my life. I went on prolonged FODMAP and nothing seemed to help me, I would get acid just from drinking water. I was absolutely miserable every day. 
&amp;amp;#x200B;
Recently I went to my physical therapist for something unrelated to my GERD and we began working on my back posture as well. I have a habit of slumping over, especially while I eat or drive my car. Unfortunately I do both often because of my job. I also have a large chest which is heavy and pulls me down so it was just natural for me to hunch over.
&amp;amp;#x200B;
Since I have kept my back straight my symptoms have reduced drastically. I am not burping as much, I haven't upchucked since I changed my posture and I feel so much better. Apparently hunching over can increase pressure on your abdomen and push acid upwards into your esophagus. 
&amp;amp;#x200B;
So, if you have poor posture I really encourage you to change that and see if it helps. I know many people who visit this r/GERD are miserable and just want some relief. I also want to mention that I still don't eat many foods like onion, tomato and garlic, so clearly it's not a cure but it definitely helped. 
&amp;amp;#x200B;</t>
        </is>
      </c>
      <c r="D682" t="n">
        <v>25</v>
      </c>
      <c r="E682" t="n">
        <v>2</v>
      </c>
      <c r="F682">
        <f>HYPERLINK("https://www.reddit.com/r/GERD/comments/b2q74a/back_posture_and_how_it_reduced_my_symptoms/")</f>
        <v/>
      </c>
      <c r="G682" t="inlineStr">
        <is>
          <t>2019-03-18 17:08:39</t>
        </is>
      </c>
      <c r="H682" t="inlineStr"/>
    </row>
    <row r="683">
      <c r="A683" t="inlineStr">
        <is>
          <t>b2qi1a</t>
        </is>
      </c>
      <c r="B683" t="inlineStr">
        <is>
          <t>What is the difference between PPIs and H2 Blockers?</t>
        </is>
      </c>
      <c r="C683" t="inlineStr">
        <is>
          <t xml:space="preserve">I’m using omeprazole right, have been on it since July 2018, got off of it in November for like 2 weeks, noticed symptoms came back and have been on it ever since. I was just curious what PPIs do exactly and how they differ from H2 Blockers. 
I read online what they do, but I still don’t understand and my GI doctor seems hesitant to explain it to me. </t>
        </is>
      </c>
      <c r="D683" t="n">
        <v>1</v>
      </c>
      <c r="E683" t="n">
        <v>0</v>
      </c>
      <c r="F683">
        <f>HYPERLINK("https://www.reddit.com/r/GERD/comments/b2qi1a/what_is_the_difference_between_ppis_and_h2/")</f>
        <v/>
      </c>
      <c r="G683" t="inlineStr">
        <is>
          <t>2019-03-18 17:35:27</t>
        </is>
      </c>
      <c r="H683" t="inlineStr"/>
    </row>
    <row r="684">
      <c r="A684" t="inlineStr">
        <is>
          <t>b2s1f7</t>
        </is>
      </c>
      <c r="B684" t="inlineStr">
        <is>
          <t>Everything we eat/drink is either a step forward or backward.</t>
        </is>
      </c>
      <c r="C684" t="inlineStr">
        <is>
          <t>It's a simplistic view of the dietary impact on symptoms, I know, but I still think this is a good way to think of food  — especially when you're tempted by a delicious trigger.</t>
        </is>
      </c>
      <c r="D684" t="n">
        <v>9</v>
      </c>
      <c r="E684" t="n">
        <v>3</v>
      </c>
      <c r="F684">
        <f>HYPERLINK("https://www.reddit.com/r/GERD/comments/b2s1f7/everything_we_eatdrink_is_either_a_step_forward/")</f>
        <v/>
      </c>
      <c r="G684" t="inlineStr">
        <is>
          <t>2019-03-18 19:59:36</t>
        </is>
      </c>
      <c r="H684" t="inlineStr"/>
    </row>
    <row r="685">
      <c r="A685" t="inlineStr">
        <is>
          <t>b2s1oy</t>
        </is>
      </c>
      <c r="B685" t="inlineStr">
        <is>
          <t>Do I have gastritis or something else?</t>
        </is>
      </c>
      <c r="C685" t="inlineStr">
        <is>
          <t>Hey guys. So I'm an 18 year old female. I never had heartburn in my life until January of this year, the day I came back from winter break. I was extremely stressed about coming back to college and decided to eat a lot of junk food that night as a way to cope. I went to sleep and woke up with a burning sensation in my throat. Shortly thereafter, I had gnawing pains in my stomach and decided to go to the doctor at my university. I was prescribed Zantac for gastritis. Took 1 dose and got a pounding migraine. Went back to the doctor's and was put on Prilosec. Took that for 2 and a half weeks. Some days it worked, some days it didn't. I would say there were 4 or 5 days when I still had burning in my throat. Went back to a different doctor and was given Sulcrafate. It's been a miracle medicine and I've been 80-90% better most days. I went to a GI doctor last week over spring break and he was completely rude. Briefly listened to my symptoms as I tried to explain 2 months worth of details, didn't even diagnose me, then hurried out the room 15 minutes later. He gave me more Sulcrafate and Pepcid. Taking the Pepcid has given me heartburn in my chest, which I've never had before. I'm going to continue taking the Sulcrafate only and see what happens. If I still have a burning pain in my throat or chest, I guess I'll make an appointment with a GI near my university. 
&amp;amp;#x200B;
The current symptoms I'm having right now are a burning sensation in my throat after meals and some heartburn in my chest. Sometimes when I'll eat dry foods, such as bread or potatoes, it's difficult to swallow. I'll have to drink water to get it to go down. The GI I went to found this concerning. My diet has been alright for the past 3 months. Lost 10 pounds from it. Haven't had any coffee, chocolate, spicy foods, or alcohol. I'll admit, I went back to a sugary diet over spring break which I shouldn't have done. I'm back to the bland diet now. Diet suggestions would be awesome. Stress is inevitable though, since I have pretty bad anxiety and college to deal with. I'm thinking that's what triggered all of this in the first place.
&amp;amp;#x200B;
The GI I went to suggested an endoscopy, which I really didn't want to do. I have horrible anxiety and it terrifies me, although if I'm still having problems when college ends next month, I'll definitely get a scope back home. I just want a solution at this point. Does anyone have any inclination as to what I might have? Gastritis? GERD? Just inflammation of my throat? All of this happened overnight which is obscure to me, especially considering I'm only 18. It's stressing me out. I really hate having to worry about this 24/7. It's so mentally draining.
&amp;amp;#x200B;
Thanks so much to any responses!
&amp;amp;#x200B;</t>
        </is>
      </c>
      <c r="D685" t="n">
        <v>3</v>
      </c>
      <c r="E685" t="n">
        <v>1</v>
      </c>
      <c r="F685">
        <f>HYPERLINK("https://www.reddit.com/r/GERD/comments/b2s1oy/do_i_have_gastritis_or_something_else/")</f>
        <v/>
      </c>
      <c r="G685" t="inlineStr">
        <is>
          <t>2019-03-18 20:00:20</t>
        </is>
      </c>
      <c r="H685" t="inlineStr"/>
    </row>
    <row r="686">
      <c r="A686" t="inlineStr">
        <is>
          <t>b2tuq8</t>
        </is>
      </c>
      <c r="B686" t="inlineStr">
        <is>
          <t>Hiatus hernia and low stomach acid</t>
        </is>
      </c>
      <c r="C686" t="inlineStr">
        <is>
          <t xml:space="preserve">Hi everyone, have been suffering with Gerd seemingly out of nowhere since 2015. On ranitidine since then and on and off omeprazole since 2016. Diagnosed with hiatus hernia in November 2018 (doctors took forever to actually believe me and refer me to hospital). Now my problem, I'm  very sick at the moment and my reflux has come back full force. So bad that I have had to take omeprazole again for this first time since 2017. I think I may have brought this on myself? I was trying to repair low stomach acid as I did the baking soda test and didn't burp at all. I took ACV and acid soothe digestive enzymes for 3 days. After that my Gerd came back, to the point where I was coughing up acid again and in severe pain. Has anyone with a hernia found a safe way to increase stomach acid? I can't find information anywhere.
TLDR: have hiatus hernia, tried to repair low stomach acid, caused bad rebound of symptoms. Would like to know how to increase acid without aggravating hernia
Thanks for reading! </t>
        </is>
      </c>
      <c r="D686" t="n">
        <v>1</v>
      </c>
      <c r="E686" t="n">
        <v>7</v>
      </c>
      <c r="F686">
        <f>HYPERLINK("https://www.reddit.com/r/GERD/comments/b2tuq8/hiatus_hernia_and_low_stomach_acid/")</f>
        <v/>
      </c>
      <c r="G686" t="inlineStr">
        <is>
          <t>2019-03-18 23:22:16</t>
        </is>
      </c>
      <c r="H686" t="inlineStr"/>
    </row>
    <row r="687">
      <c r="A687" t="inlineStr">
        <is>
          <t>b2w048</t>
        </is>
      </c>
      <c r="B687" t="inlineStr">
        <is>
          <t>Being sick: how often is too often?</t>
        </is>
      </c>
      <c r="C687" t="inlineStr">
        <is>
          <t xml:space="preserve">I almost had a complete year off from my GERD sickness symptoms in 2018 (no idea why), but since December I've been vomiting in the mornings at least 2/3 times a month. 
I take Ranitidine every night and have cut out pretty much all food/drinks I can think to be a trigger (dairy, greasy stuff, alcohol) but it still happens. Its frustrating because I'm only 24 but I'm constantly worried about my stomach whenever I go out somewhere. Is this normal? </t>
        </is>
      </c>
      <c r="D687" t="n">
        <v>0</v>
      </c>
      <c r="E687" t="n">
        <v>0</v>
      </c>
      <c r="F687">
        <f>HYPERLINK("https://www.reddit.com/r/GERD/comments/b2w048/being_sick_how_often_is_too_often/")</f>
        <v/>
      </c>
      <c r="G687" t="inlineStr">
        <is>
          <t>2019-03-19 03:59:47</t>
        </is>
      </c>
      <c r="H687" t="inlineStr"/>
    </row>
    <row r="688">
      <c r="A688" t="inlineStr">
        <is>
          <t>b2xyge</t>
        </is>
      </c>
      <c r="B688" t="inlineStr">
        <is>
          <t>PPI</t>
        </is>
      </c>
      <c r="C688" t="inlineStr">
        <is>
          <t xml:space="preserve">I have been on Omeproazaole 10mg once per day for a few years for a stomach ulcer.    Basically although I did not have any symptoms any more but the doctor advised just to stay on them.   I then read all the bad long term effects of them and decided to stop.    Was fine, however then I got the rebound symptoms.. which sucked.    I went back to another doctor who told me to go back on the PPI (although I never had reflux to begin with) and he gave me an alternative of Zantac 150 twice per day.   This seemed to work for the reflux however I am now extremely constipated.    I was wondering a few things.   Should I try something like Pepcid as an alternative, or would that generally be the same.  If not is there a safe way to go back on PPI's?   Once or twice a week maybe.   I am 43, quite healthy and eat a mainly paleo diet, work out.  </t>
        </is>
      </c>
      <c r="D688" t="n">
        <v>1</v>
      </c>
      <c r="E688" t="n">
        <v>2</v>
      </c>
      <c r="F688">
        <f>HYPERLINK("https://www.reddit.com/r/GERD/comments/b2xyge/ppi/")</f>
        <v/>
      </c>
      <c r="G688" t="inlineStr">
        <is>
          <t>2019-03-19 07:17:36</t>
        </is>
      </c>
      <c r="H688" t="inlineStr"/>
    </row>
    <row r="689">
      <c r="A689" t="inlineStr">
        <is>
          <t>b2ydta</t>
        </is>
      </c>
      <c r="B689" t="inlineStr">
        <is>
          <t>Reducing reflux at night.</t>
        </is>
      </c>
      <c r="C689" t="inlineStr">
        <is>
          <t>Hi! Male 20. 
My worst reflux is at night. I always wake up kinda gunky and with a sore throat.
I usually dont eat for a few hours before bed but I do normally drink water.
I used to raise the head of my bed but that never worked too well for me.
I take gaviscon when it's bad but that doesnt help too much either.
Is there anything you take before bed or habits that help with yours??</t>
        </is>
      </c>
      <c r="D689" t="n">
        <v>2</v>
      </c>
      <c r="E689" t="n">
        <v>7</v>
      </c>
      <c r="F689">
        <f>HYPERLINK("https://www.reddit.com/r/GERD/comments/b2ydta/reducing_reflux_at_night/")</f>
        <v/>
      </c>
      <c r="G689" t="inlineStr">
        <is>
          <t>2019-03-19 07:55:17</t>
        </is>
      </c>
      <c r="H689" t="inlineStr"/>
    </row>
    <row r="690">
      <c r="A690" t="inlineStr">
        <is>
          <t>b302xy</t>
        </is>
      </c>
      <c r="B690" t="inlineStr">
        <is>
          <t>Microbiota Research</t>
        </is>
      </c>
      <c r="C690" t="inlineStr">
        <is>
          <t>Hi guys! I'm a junior at Binghamton University conducting and independent research study on **how gut microbiota impact human behavior**. I have had GERD for 20 years, and was recently diagnosed with IBS, so I understand the struggle of GI disease. I am looking for **participants who are EITHER HEALTHY, OR HAVE GASTROINTESTINAL DISEASE, ARE 18 YEARS OR OLDER, and NOT ENROLLED in college.** It's a **ten minute online survey** that requires **no further participation once the form is completed**. The link can be found below. I would really appreciate you taking time to fill out my survey, as this is something I am extremely passionate about. I hope the results will provide more understanding and set grounds for future research for those who suffer from gastrointestinal disease and discomfort. Thank you! 
[https://docs.google.com/forms/d/e/1FAIpQLSc8ADuYPb7KhIkv\_P24Y445WTBHxDa0QsB4FmNbfY4TiQBDWg/viewform](https://docs.google.com/forms/d/e/1FAIpQLSc8ADuYPb7KhIkv_P24Y445WTBHxDa0QsB4FmNbfY4TiQBDWg/viewform)</t>
        </is>
      </c>
      <c r="D690" t="n">
        <v>10</v>
      </c>
      <c r="E690" t="n">
        <v>4</v>
      </c>
      <c r="F690">
        <f>HYPERLINK("https://www.reddit.com/r/GERD/comments/b302xy/microbiota_research/")</f>
        <v/>
      </c>
      <c r="G690" t="inlineStr">
        <is>
          <t>2019-03-19 10:15:23</t>
        </is>
      </c>
      <c r="H690" t="inlineStr"/>
    </row>
    <row r="691">
      <c r="A691" t="inlineStr">
        <is>
          <t>b32j3q</t>
        </is>
      </c>
      <c r="B691" t="inlineStr">
        <is>
          <t>Anti acids making it worse?</t>
        </is>
      </c>
      <c r="C691" t="inlineStr">
        <is>
          <t>I was just in the hospital last week and was told that my chest pain was from GERD, so the doctor prescribed me anti acids and the other neutralizer type drug that you're supposed to take before meals. I'd never really heard of this disease until recently, nor did the symptoms start until about 5 or 6 months ago. I'd only get chest pain after I'd eat and just brushed it off as maybe I ate too much or something. Regardless, never went to see my doctor for it. After my trip to the hospital, I have a follow-up with my primary doctor coming soon, but this has been bothering me so much that I have to get other's opinions ASAP.
&amp;amp;#x200B;
So its been about 4 days since I've started taking the medication and ever since, I've been getting nonstop heartburn all the way from the bottom of my stomach to the very top back of my throat. I went to bed with heartburn last night and woke up this morning on an empty stomach, STILL with heartburn! Before the medication, I'd never even had heartburn rarely at all. It was mostly just the chest pain when I would sit or lay back a certain way. This doesn't make sense, if I'm taking anti acids and neutralizers, how am I getting prominent reflux? 
&amp;amp;#x200B;
 I have not eaten any heavy, fatty, dairy or acidic foods since my visit to the hospital so I know it couldn't be my diet. I'm thinking it has to be the medication just making it worse. My real question is, is it possible for anti acids to make your stomach more acidic? Or maybe its the other drug. Any ideas?</t>
        </is>
      </c>
      <c r="D691" t="n">
        <v>1</v>
      </c>
      <c r="E691" t="n">
        <v>6</v>
      </c>
      <c r="F691">
        <f>HYPERLINK("https://www.reddit.com/r/GERD/comments/b32j3q/anti_acids_making_it_worse/")</f>
        <v/>
      </c>
      <c r="G691" t="inlineStr">
        <is>
          <t>2019-03-19 13:36:34</t>
        </is>
      </c>
      <c r="H691" t="inlineStr"/>
    </row>
    <row r="692">
      <c r="A692" t="inlineStr">
        <is>
          <t>b330gk</t>
        </is>
      </c>
      <c r="B692" t="inlineStr">
        <is>
          <t>Is it okay to sleep on my back if i'm on a wedge pillow?</t>
        </is>
      </c>
      <c r="C692" t="inlineStr">
        <is>
          <t xml:space="preserve">I just got a wedge pillow yesterday and it has helped a ton. However, I could barely sleep because i'm still adjusting and I have a CPAP / used to sleeping on back only.
Is it that big of a deal if I sleep on my back even on a wedge pillow? Also, is it okay to put my pillow on the wedge pillow or is that too much? </t>
        </is>
      </c>
      <c r="D692" t="n">
        <v>3</v>
      </c>
      <c r="E692" t="n">
        <v>2</v>
      </c>
      <c r="F692">
        <f>HYPERLINK("https://www.reddit.com/r/GERD/comments/b330gk/is_it_okay_to_sleep_on_my_back_if_im_on_a_wedge/")</f>
        <v/>
      </c>
      <c r="G692" t="inlineStr">
        <is>
          <t>2019-03-19 14:16:31</t>
        </is>
      </c>
      <c r="H692" t="inlineStr"/>
    </row>
    <row r="693">
      <c r="A693" t="inlineStr">
        <is>
          <t>b331jm</t>
        </is>
      </c>
      <c r="B693" t="inlineStr">
        <is>
          <t>GERD-friendly international recipes?</t>
        </is>
      </c>
      <c r="C693" t="inlineStr">
        <is>
          <t xml:space="preserve">I've been searching for recipes with an international flair that are either specifically GERD-friendly, or can easily be adaptable to be GERD-friendly (my triggers include garlic, onion, tomato sauces, and spicy food). It would nice to try international cuisine and not have to reach for a bottle of Tum's afterwards (which also makes going out to eat hard).  
I've searched Pinterest but most of the recipes that come up say they are "reflux friendly" but still include like 6 cloves of garlic. I've found some helpful cookbooks, but doesn't really offer a lot of variety. </t>
        </is>
      </c>
      <c r="D693" t="n">
        <v>1</v>
      </c>
      <c r="E693" t="n">
        <v>2</v>
      </c>
      <c r="F693">
        <f>HYPERLINK("https://www.reddit.com/r/GERD/comments/b331jm/gerdfriendly_international_recipes/")</f>
        <v/>
      </c>
      <c r="G693" t="inlineStr">
        <is>
          <t>2019-03-19 14:18:56</t>
        </is>
      </c>
      <c r="H693" t="inlineStr"/>
    </row>
    <row r="694">
      <c r="A694" t="inlineStr">
        <is>
          <t>b34bzn</t>
        </is>
      </c>
      <c r="B694" t="inlineStr">
        <is>
          <t>Prilosec OTC - Yellow Eyes? Wtf?</t>
        </is>
      </c>
      <c r="C694" t="inlineStr">
        <is>
          <t>I have been taking this since Saturday, and the sides of my eyes are a light yellow... Has anyone else experienced this? What did your doctor say? I found this online:
&amp;amp;#x200B;
"Drugs.com states that use of omeprazole may affect the functioning of the biliary stystem. According to the National Institutes of Health, the biliary system includes the liver, gallbladder, bile ducts inside the liver, and bile ducts outside the liver. The biliary system is important in the production of bile, which is a liquid important in the digestion of fats and lips. Omeprazole impairs the normal flow of bile and leads this leads to yellowing of the eyes and skin, biliary pain, gall bladder pain, gall bladder inflammation and bile stones."
&amp;amp;#x200B;
Should I stop taking this? Kind of freaking out, like, a lot.</t>
        </is>
      </c>
      <c r="D694" t="n">
        <v>6</v>
      </c>
      <c r="E694" t="n">
        <v>10</v>
      </c>
      <c r="F694">
        <f>HYPERLINK("https://www.reddit.com/r/GERD/comments/b34bzn/prilosec_otc_yellow_eyes_wtf/")</f>
        <v/>
      </c>
      <c r="G694" t="inlineStr">
        <is>
          <t>2019-03-19 16:06:33</t>
        </is>
      </c>
      <c r="H694" t="inlineStr"/>
    </row>
    <row r="695">
      <c r="A695" t="inlineStr">
        <is>
          <t>b367ls</t>
        </is>
      </c>
      <c r="B695" t="inlineStr">
        <is>
          <t>LPR or something else?</t>
        </is>
      </c>
      <c r="C695" t="inlineStr">
        <is>
          <t>Brief timeline of my symptoms and diagnosis:
Feb 2018: Started feeling a small tickle in my throat every day; it didn't hurt and mostly confused me. Doctors told me it was just a cold that didn't want to leave me.
March 2018: Traveled abroad and got sick. Throat was going through hell, and I thought it would be over once the cold passed. But since then, I consistently had a sore throat every day. Main symptoms were just pain on the left side, especially when swallowing saliva. The pain varied from a 3/10 to a 9/10 pain but was consistent every day. I'd describe it as the pain you feel on the first day of your cold and your throat is sore and burning. (no lump, no phlegm, no major coughing)
May 2018\~June 2018: Went to the ENT twice while abroad and they performed an endoscopy, both times finding nothing wrong with my throat. (This was really weird and made me believe that Japanese doctors aren't too aware of GERD?)
October 2018: Went to GP in home country who gave me antibiotics but they didn't do anything. Finally get a referral  to see an ENT.
December 2018: ENT performs endoscopy and tells me that the entrance to my throat from my stomach is red and swollen and diagnoses me with Acid Reflux. (He never said anything about LPR and it was something that I figured on my own because I don't get heartburn nor stomach pain) Puts me on a strict diet and prescribes Omeprazole 40 mg for a month.
January 2019:  Have been sticking to a strict reflux-friendly diet and been taking Omeprazole for a month but no big changes (besides losing about 20 lbs and no longer getting diarrhea; I had pretty terrible eating habits). However it made me notice that when I wake up in the morning it'll hurt most the second I wake up and then slowly fade after some minutes. (However, the pain will always come back some time throughout the day, maybe because I'm using my voice or eating something)
Present: Took a one and a half month break from Omeprazole. Had another endoscopy and my ENT says it looks the same as the first time. I'm back on Omeprazole 40 mg, but now for five months. Besides that, my ENT hasn't really suggested anything besides sticking to the medication. Started taking vitamin D. Noticed that throat is more itchy and that I have more of a choking sensation; more coughing. 
My question now is what should I do? I've just been sticking to my diet and taking Omeprazole but I don't feel like it's making a difference and I'm really tired of struggling to talk at work and when I go out to socialize. I try my best to not use my voice and only spent a few minutes talking to a student today at work before I started choking up and coughing. After reading up on Laryngeal Sensory Neuropathy, I'm starting to question if it's an acid problem or a nerve problem. Any advice on where to go from here? :( 
&amp;amp;#x200B;</t>
        </is>
      </c>
      <c r="D695" t="n">
        <v>5</v>
      </c>
      <c r="E695" t="n">
        <v>0</v>
      </c>
      <c r="F695">
        <f>HYPERLINK("https://www.reddit.com/r/GERD/comments/b367ls/lpr_or_something_else/")</f>
        <v/>
      </c>
      <c r="G695" t="inlineStr">
        <is>
          <t>2019-03-19 19:03:59</t>
        </is>
      </c>
      <c r="H695" t="inlineStr"/>
    </row>
    <row r="696">
      <c r="A696" t="inlineStr">
        <is>
          <t>b36j8a</t>
        </is>
      </c>
      <c r="B696" t="inlineStr">
        <is>
          <t>How Does it Start?</t>
        </is>
      </c>
      <c r="C696" t="inlineStr">
        <is>
          <t xml:space="preserve">Does GERD slowly become noticeable over time, or is it like instantly one day you can no longer eat certain things? I ask because I've always had an iron stomach, but have been having problems for like 2 weeks now. </t>
        </is>
      </c>
      <c r="D696" t="n">
        <v>1</v>
      </c>
      <c r="E696" t="n">
        <v>7</v>
      </c>
      <c r="F696">
        <f>HYPERLINK("https://www.reddit.com/r/GERD/comments/b36j8a/how_does_it_start/")</f>
        <v/>
      </c>
      <c r="G696" t="inlineStr">
        <is>
          <t>2019-03-19 19:36:31</t>
        </is>
      </c>
      <c r="H696" t="inlineStr"/>
    </row>
    <row r="697">
      <c r="A697" t="inlineStr">
        <is>
          <t>b373zx</t>
        </is>
      </c>
      <c r="B697" t="inlineStr">
        <is>
          <t>New here, throat pain, nightly reflux</t>
        </is>
      </c>
      <c r="C697" t="inlineStr">
        <is>
          <t>Hey guys! I am new and just wanted to get some Input from more experienced people.
I went through a difficult Phase of anxiety/panic attacks during the last few months (December - february basically). Haven't had a panic attack since a month now. 
Still, even though my anxiety got better, i got Reflux at night, sometimes waking up from it. I am still Stressed because of an upcoming deadline and try to take some time to relax each day.
In addition to the Reflux, my throat started hurting now, but I don't have additional symptoms of a cold. Is that caused by acid reflux? I wanted to get back into exercising, but it feels wrong doing Sports with throat pain, even though I am fit otherwise.
How do you Deal with throat pain/nightly Reflux? I started to have my last meal ~3 h before sleeping a few days ago, but I have the feeling it got worse since then (it's 4:30 am as I am writing this, i just woke up an hour ago).
TL;dr: Developed nightly Reflux after Phase of anxiety/panic attacks. Throat hurts but no other signs of cold. How to deal with it, is Sports okay? Glad for General advice.
Hope to get some input, thank you very much!</t>
        </is>
      </c>
      <c r="D697" t="n">
        <v>4</v>
      </c>
      <c r="E697" t="n">
        <v>4</v>
      </c>
      <c r="F697">
        <f>HYPERLINK("https://www.reddit.com/r/GERD/comments/b373zx/new_here_throat_pain_nightly_reflux/")</f>
        <v/>
      </c>
      <c r="G697" t="inlineStr">
        <is>
          <t>2019-03-19 20:34:53</t>
        </is>
      </c>
      <c r="H697" t="inlineStr"/>
    </row>
    <row r="698">
      <c r="A698" t="inlineStr">
        <is>
          <t>b38kl8</t>
        </is>
      </c>
      <c r="B698" t="inlineStr">
        <is>
          <t>Heartburn still, many months after LINX surgery</t>
        </is>
      </c>
      <c r="C698" t="inlineStr">
        <is>
          <t xml:space="preserve">I had my Linx surgery just about five months ago and I still get heartburn often. I got an x-ray and the physician says my Linx is in the correct spot. Has anyone else experienced this? 
The only thing I can say is that relatively quickly the ease in which I could swallow food abruptly changed about 3 months after surgery. I can quickly eat almost anything (e.g. a burger) without much bad effects. I thought my LINX moved which is why I got an x-ray but apparently that was not the case. 
I don't know what to do. My heartburn is terrible :( </t>
        </is>
      </c>
      <c r="D698" t="n">
        <v>2</v>
      </c>
      <c r="E698" t="n">
        <v>14</v>
      </c>
      <c r="F698">
        <f>HYPERLINK("https://www.reddit.com/r/GERD/comments/b38kl8/heartburn_still_many_months_after_linx_surgery/")</f>
        <v/>
      </c>
      <c r="G698" t="inlineStr">
        <is>
          <t>2019-03-19 23:27:14</t>
        </is>
      </c>
      <c r="H698" t="inlineStr"/>
    </row>
    <row r="699">
      <c r="A699" t="inlineStr">
        <is>
          <t>b3go3t</t>
        </is>
      </c>
      <c r="B699" t="inlineStr">
        <is>
          <t>Coming off Omeprazole?</t>
        </is>
      </c>
      <c r="C699" t="inlineStr">
        <is>
          <t>Hi everyone!
I started to take a 60mg/day dose of Omeprazole for 2 days and then shot down to 20mg for 4 days as a precaution in case I had GERD. I found out that the medication was causing stomach rumbling every time I ate which I assume was due to lower stomach acid but I've still had the same rumbling noises after coming off the medication completely about 6 days ago.
Has anyone else had this and is it likely to go once my stomach acid is back to normal? I don't have any GERD symptoms. Thanks for any advice!</t>
        </is>
      </c>
      <c r="D699" t="n">
        <v>0</v>
      </c>
      <c r="E699" t="n">
        <v>3</v>
      </c>
      <c r="F699">
        <f>HYPERLINK("https://www.reddit.com/r/GERD/comments/b3go3t/coming_off_omeprazole/")</f>
        <v/>
      </c>
      <c r="G699" t="inlineStr">
        <is>
          <t>2019-03-20 13:02:39</t>
        </is>
      </c>
      <c r="H699" t="inlineStr"/>
    </row>
    <row r="700">
      <c r="A700" t="inlineStr">
        <is>
          <t>b3h6h8</t>
        </is>
      </c>
      <c r="B700" t="inlineStr">
        <is>
          <t>Has anyone had a cancer scare that turned out to be GERD?</t>
        </is>
      </c>
      <c r="C700" t="inlineStr">
        <is>
          <t>I’m a 27 year old female 5’5” 115lbs and I’ve had mild mostly untreated GERD since I was 12 or 13. That is until last year when my symptoms got worse dramatically. I was throwing up first thing nearly every morning, could hardly eat. Then started the night sweats every night. All in all I’ve lost over 20lbs of body fat and muscle mass, in the last 6 months. I’m seeing a doctor now, and having tests done, but I’m high risk for gastric cancers and a heavy tobacco user of over a decade, so of course I’m worried. 
Looking for personal accounts of anyone who’s experienced severe or atypical GERD symptoms.</t>
        </is>
      </c>
      <c r="D700" t="n">
        <v>6</v>
      </c>
      <c r="E700" t="n">
        <v>10</v>
      </c>
      <c r="F700">
        <f>HYPERLINK("https://www.reddit.com/r/GERD/comments/b3h6h8/has_anyone_had_a_cancer_scare_that_turned_out_to/")</f>
        <v/>
      </c>
      <c r="G700" t="inlineStr">
        <is>
          <t>2019-03-20 13:43:59</t>
        </is>
      </c>
      <c r="H700" t="inlineStr"/>
    </row>
    <row r="701">
      <c r="A701" t="inlineStr">
        <is>
          <t>b3h7u5</t>
        </is>
      </c>
      <c r="B701" t="inlineStr">
        <is>
          <t>What causes the "lump" in the throat?</t>
        </is>
      </c>
      <c r="C701" t="inlineStr">
        <is>
          <t>I have GERD but most of the time I don't feel a lump in my throat. But sometimes it flares up and I have the lumpy feeling in my throat for some time. What is it? Is it damage in my esophagus or why does this problem persist?</t>
        </is>
      </c>
      <c r="D701" t="n">
        <v>6</v>
      </c>
      <c r="E701" t="n">
        <v>6</v>
      </c>
      <c r="F701">
        <f>HYPERLINK("https://www.reddit.com/r/GERD/comments/b3h7u5/what_causes_the_lump_in_the_throat/")</f>
        <v/>
      </c>
      <c r="G701" t="inlineStr">
        <is>
          <t>2019-03-20 13:46:53</t>
        </is>
      </c>
      <c r="H701" t="inlineStr"/>
    </row>
    <row r="702">
      <c r="A702" t="inlineStr">
        <is>
          <t>b3hhs9</t>
        </is>
      </c>
      <c r="B702" t="inlineStr">
        <is>
          <t>Really bad gerd issues, clueless on what to do</t>
        </is>
      </c>
      <c r="C702" t="inlineStr">
        <is>
          <t>For 3 weeks now i feel like im dying from both gerd and general unwellness. It all started from eating too much birthday cake and now I feel like I can barely eat any solids. Im only eating around 1000-1200 calories a day. I dont know how to eat more since eating has gotten so uncomfortable to where anything I try to swallow just sticks in my chest. When my stomach is empty, the gerd doesnt go away. I stop eating at 8pm and try going to sleep at 2am and its not working.
I went to the ER and they did absolutely nothing. Gave me pepcid and carafate and told me to see a gastro. I feel like im dying off slowly here from lack of food. Also im getting heart palpitations out of nowhere and feeling on edge all the time. It doesnt help either when Im trying to sleep that I wake up from feeling out of breath and am only sleeping 4-5 hours. I normally feel like I cant breathe right either. All tests from ER were fine. ECG was fine, blood work was fine, xray was fine, no food was found stuck in me.
Im supposed to see a GP a week from now but god knows when I can see a gastro and god knows when they can do anything for me. I tried prilosec as well for about a week and that didnt do anything. Im just so sad since I have no idea what the hell to do since im so disfunctional. I know people cant give medical advice but any tips on anything thats worked for anyone with a similar situation? Would be very appreciated.</t>
        </is>
      </c>
      <c r="D702" t="n">
        <v>12</v>
      </c>
      <c r="E702" t="n">
        <v>12</v>
      </c>
      <c r="F702">
        <f>HYPERLINK("https://www.reddit.com/r/GERD/comments/b3hhs9/really_bad_gerd_issues_clueless_on_what_to_do/")</f>
        <v/>
      </c>
      <c r="G702" t="inlineStr">
        <is>
          <t>2019-03-20 14:09:25</t>
        </is>
      </c>
      <c r="H702" t="inlineStr"/>
    </row>
    <row r="703">
      <c r="A703" t="inlineStr">
        <is>
          <t>b3k2hc</t>
        </is>
      </c>
      <c r="B703" t="inlineStr">
        <is>
          <t>Struggling with self inflicted GERD flare up</t>
        </is>
      </c>
      <c r="C703" t="inlineStr">
        <is>
          <t>I'm writing this just in hopes that someone else has had a similar experience and can tell me that it'll get better. A history, I've had GERD since I was very young and a hiatal hernia. I've been on prilosec/omeprazole on and off for periods. Overall though, I've not had to take any medication and could get by with just cutting a few things out of my diet or limiting them. I also have anxiety/panic disorder.   
About three years ago I had a severe panic attack and ended up having two duodenal ulcers. It was a miserable month but it eventually healed and I felt good as new. Now leading up to my current issues, I started consuming large amounts of food/drink that usually doesn't sit well with me because I was doing so well. Slowly my issues were coming back but not enough to cause any problems in my day to day life so I ignored them, stupidly. After a huge fast food meal one day everything became absolutely terrible and I was in a lot of pain. This was two and a half weeks ago, and I'm still struggling hard. I saw my family doctor who prescribed me 40mg of omeprazole once a day and am eating a very restrictive diet. Although my symptoms have definitely improved, my quality of life is quite low. I was drinking 6+ coffees a day leading up to the incident and eating a lot of processed food, and now I'm eating vegetables, bread, pasta, rice, and chicken with water only.
&amp;amp;#x200B;
Some questions/issues I have are:
1. I constantly feel like I'm having heart issues or palpatations that I think are probably just heart burn or GERD, but I don't know for sure. I know only a doctor can say for sure, but I've had recent EEGs and ER visits due to my panic attacks and not one has even showed a small sign of abnormality. Could something have changed within the past month that my GERD is causing heart issues, or is it all just stomach related?
2. I'm assuming my stomach has been irritated and may possibly have ulcers again due to my diet. How long until I start feeling a semblance of a normal life again? I've read that ulcers can take 2-8 weeks to heal up, but I'm approaching week 3 with only small amounts of relief, which isn't saying much considering I still can barely sleep/eat well.
3. I always see people say they can eat a special diet and it helps them dramatically. Does anyone not get this? I actually have insane acid reflux just from drinking a cup of cold water...</t>
        </is>
      </c>
      <c r="D703" t="n">
        <v>3</v>
      </c>
      <c r="E703" t="n">
        <v>1</v>
      </c>
      <c r="F703">
        <f>HYPERLINK("https://www.reddit.com/r/GERD/comments/b3k2hc/struggling_with_self_inflicted_gerd_flare_up/")</f>
        <v/>
      </c>
      <c r="G703" t="inlineStr">
        <is>
          <t>2019-03-20 17:53:48</t>
        </is>
      </c>
      <c r="H703" t="inlineStr"/>
    </row>
    <row r="704">
      <c r="A704" t="inlineStr">
        <is>
          <t>b3k2w4</t>
        </is>
      </c>
      <c r="B704" t="inlineStr">
        <is>
          <t>possible to have GERD symptoms in the gut?</t>
        </is>
      </c>
      <c r="C704" t="inlineStr">
        <is>
          <t>I have Crohns and Acid Reflux but lately GERD symptoms have been EXTREMELY bad but instead of heartburn, I'm feeling REALLY BAD cramps in my stomach. When I take Pepcid AC before eating, I have no issues. 
Is it possible the acid is in my gut?</t>
        </is>
      </c>
      <c r="D704" t="n">
        <v>1</v>
      </c>
      <c r="E704" t="n">
        <v>1</v>
      </c>
      <c r="F704">
        <f>HYPERLINK("https://www.reddit.com/r/GERD/comments/b3k2w4/possible_to_have_gerd_symptoms_in_the_gut/")</f>
        <v/>
      </c>
      <c r="G704" t="inlineStr">
        <is>
          <t>2019-03-20 17:54:49</t>
        </is>
      </c>
      <c r="H704" t="inlineStr"/>
    </row>
    <row r="705">
      <c r="A705" t="inlineStr">
        <is>
          <t>b3k7mx</t>
        </is>
      </c>
      <c r="B705" t="inlineStr">
        <is>
          <t>Feeling like I can't breathe...</t>
        </is>
      </c>
      <c r="C705" t="inlineStr">
        <is>
          <t xml:space="preserve">I've had GERD for years, tbh I don't always avoid the foods that aggravate it. I'm 24 and financially its not always possible to buy all the right foods. Anyway...lately when I'm experiencing symptoms I have the sensation that I can't take a satisfying breath. I'm not struggling to breathe and I don't feel like anything is stuck in my throat but I find myself constantly trying to yawn and then I can't and it's giving me anxiety. I do have a dr appt but its not for a couple weeks away. Anyone else experience similar symptoms? I'm not even sure if it's related to GERD but medically that's the only issue I have that I'm aware of. </t>
        </is>
      </c>
      <c r="D705" t="n">
        <v>14</v>
      </c>
      <c r="E705" t="n">
        <v>19</v>
      </c>
      <c r="F705">
        <f>HYPERLINK("https://www.reddit.com/r/GERD/comments/b3k7mx/feeling_like_i_cant_breathe/")</f>
        <v/>
      </c>
      <c r="G705" t="inlineStr">
        <is>
          <t>2019-03-20 18:07:28</t>
        </is>
      </c>
      <c r="H705" t="inlineStr"/>
    </row>
    <row r="706">
      <c r="A706" t="inlineStr">
        <is>
          <t>b3l328</t>
        </is>
      </c>
      <c r="B706" t="inlineStr">
        <is>
          <t>Should I take PPIs?</t>
        </is>
      </c>
      <c r="C706" t="inlineStr">
        <is>
          <t>I have a doctors appointment for April 4th with my doctor and feel like she'll just have me try PPI's anyway, so should I start taking them now and then in 2 weeks I can tell her if they helped? I already tried taking 150mg of zantac twice a day and it does nothing I tried it for almost a month.And if the PPIs dont help after a couple weeks will I get rebound from them?</t>
        </is>
      </c>
      <c r="D706" t="n">
        <v>2</v>
      </c>
      <c r="E706" t="n">
        <v>3</v>
      </c>
      <c r="F706">
        <f>HYPERLINK("https://www.reddit.com/r/GERD/comments/b3l328/should_i_take_ppis/")</f>
        <v/>
      </c>
      <c r="G706" t="inlineStr">
        <is>
          <t>2019-03-20 19:31:06</t>
        </is>
      </c>
      <c r="H706" t="inlineStr"/>
    </row>
    <row r="707">
      <c r="A707" t="inlineStr">
        <is>
          <t>b3nqvr</t>
        </is>
      </c>
      <c r="B707" t="inlineStr">
        <is>
          <t>Serious acid reflux, unusual symptoms, not sure what to do</t>
        </is>
      </c>
      <c r="C707" t="inlineStr">
        <is>
          <t xml:space="preserve">I'm almost 19 and have had acid reflux symptoms for over 2.5 years. My reflux has gotten much worse over the past year.   Nowadays, I would experience acid reflux after eating or drinking anything except water, even just a few bites of something. Yes, seriously. I went to the doctor last year and did an endoscopy which revealed that I just have acid reflux and no other issues. I was prescribed with omeprazole and other PPIs but none of them helped after trying them for a while. What's unusual is that my acid reflux gets worse when I sit or stand up, but better when I lay down. When I sit up, I would constantly burp, feel congestion in my throat, and in worst cases, I salivate/vomit. None of my doctors have an explanation for why this is the case. They just say that it's unusual. I know everyone recommends not to lay down immediately after eating, but I have to lay down every time after eating a meal to feel better. I often each large meals just before bed. Does anyone have an explanation for this? I'm suspecting that there's something more involved other than acid reflux because of this symptom. At this point I'm not sure what to do. I cannot eat anything before going to work/school because I cannot lay down in public. 
&amp;amp;#x200B;
I appreciate any input. </t>
        </is>
      </c>
      <c r="D707" t="n">
        <v>1</v>
      </c>
      <c r="E707" t="n">
        <v>1</v>
      </c>
      <c r="F707">
        <f>HYPERLINK("https://www.reddit.com/r/GERD/comments/b3nqvr/serious_acid_reflux_unusual_symptoms_not_sure/")</f>
        <v/>
      </c>
      <c r="G707" t="inlineStr">
        <is>
          <t>2019-03-21 00:46:48</t>
        </is>
      </c>
      <c r="H707" t="inlineStr"/>
    </row>
    <row r="708">
      <c r="A708" t="inlineStr">
        <is>
          <t>b3pjpd</t>
        </is>
      </c>
      <c r="B708" t="inlineStr">
        <is>
          <t>I thought it was bad ventilation at first</t>
        </is>
      </c>
      <c r="C708" t="inlineStr">
        <is>
          <t>I had my first episode of difficulty in breathing around August last year. Initially thought it was suffocation. I was in my apartment cooking lunch, had only coffee for breakfast. Suddenly felt my chest and throat tightening. I went out and had knocked next door due to panic. Neighbor gave me a bag to help me breath and told me to get checked immediately. I thought it was the fumes from my stove. I forgot to turn on the exhaust and all my windows were closed. Went to the doctor that afternoon and got an X-ray and ECG. Results were normal so I didn't get any meds and was told to ventilate my place. 
&amp;amp;#x200B;
Happened again in October. Drank a large iced green tea latte on an empty stomach. Didn't even get to finish it and felt the worst stomach pain. I couldn't sleep properly and had to wake up in between due to difficulty in breathing. Slept on an incline with a fan + air conditioning for two weeks and felt better. Didn't know it was acid reflux back then.  
I was pretty much fine for about 2 months until it recurred last January. I had burger and soda for lunch and was okay until the evening. After lying down I had a small hiccup. Drank water to get rid of it but felt my throat tighten and had difficulty in breathing again. It was the worst as I also had a panic attack while trying to catch my breath. Got a check up and was diagnosed with GERD. I was given Pantoprazole + Domperidone and Gaviscon for 2 weeks. I stopped drinking coffee. I also stopped eating spicy food which sucks cause I love Korean food. Didn't have much of a problem after.
&amp;amp;#x200B;
Then I had this bad idea of drinking coffee just last month. Didn't even get to drink meds and had to go to the ER right away due to difficulty in breathing. I was administered with Omeprazole via IV. I took Omeprazole for 2 weeks again. 
&amp;amp;#x200B;
Just last Monday, I felt my something above my stomach weaken or shrink. Happened before lunch time. Didn't drink any coffee or soda. Had breakfast at 10. Went for a check up yesterday and was given more meds this time: Omeprazole, Domperidone and Rebamipide. I'm getting an ultrasound of my upper abdomen tomorrow. Doctor said if nothing is found and I'm still having reflux after taking meds and proper diet, I should get an endoscopy.
&amp;amp;#x200B;
Here are things that helped me the most when I'm having difficulty breathing or acid reflux:
* Stand up and try breathing slowly. Sitting makes it worse as your stomach gets squished.
* Sleep on an incline. I thought about getting a sleep wedge but having two pillows against the headboard works fine for me.
* Don't drink a lot of water before meals. I get full quickly so I get bloated which can cause the reflux. You can drink a lot of water in between meals instead. 
* I completely avoided eating tomatoes, citrus fruits, oily food, drinking coffee and carbonated drinks. 
* Follow your doctor's advice. Drink your meds on time. I found myself getting better after completing my prescriptions on schedule.
* Don't be stubborn and don't even try to eat or drink food that could trigger your reflux after completing your prescriptions. 
&amp;amp;#x200B;
It's really hard to change your lifestyle habits so suddenly, but it's harder when you have to go through the episodes more often than ever. Hoping to get better after the meds and a lifestyle change.</t>
        </is>
      </c>
      <c r="D708" t="n">
        <v>8</v>
      </c>
      <c r="E708" t="n">
        <v>12</v>
      </c>
      <c r="F708">
        <f>HYPERLINK("https://www.reddit.com/r/GERD/comments/b3pjpd/i_thought_it_was_bad_ventilation_at_first/")</f>
        <v/>
      </c>
      <c r="G708" t="inlineStr">
        <is>
          <t>2019-03-21 04:45:59</t>
        </is>
      </c>
      <c r="H708" t="inlineStr"/>
    </row>
    <row r="709">
      <c r="A709" t="inlineStr">
        <is>
          <t>b3qorl</t>
        </is>
      </c>
      <c r="B709" t="inlineStr">
        <is>
          <t>Relief with new symptoms</t>
        </is>
      </c>
      <c r="C709" t="inlineStr">
        <is>
          <t>My whole life I have woken up each morning with what I called "the morning yucks" which was basically a sour stomach with chest discomfort and since I gained a little weight in college I started waking in the middle of the night choking. Which is odd to begin with since I do not have a vomit reflex. I have only thrown up once in my adult life, when i had a nasty stomach flu a few years ago but before that I was 8, so i went 20 years without vomiting and waking up choking on what i could only describe as vomit was a shock. Not to mention its scary as hell cause you are literally sufficating. Came to find out it was GERD.
I tried everything to curb my GERD. I didn't eat anything, at all, unless i had at least 4 hours before bed and I would even stop drinking even water a couple hours ahead of bed. Cut drastically down on coffee, sugar, fats, etc. even reduced portion sizes since in America our portions are out of hand to begin with. But even then I still had the yucks upon waking.
Well recently I purchased an elevated pillow that has a wave design, making side sleeping easier (i sleep on my left to again curb the gerd) and I use my standard pillow on top if it so I am fairly well elevated without any odd hip angles or placement. It has literally been like night and day. I sleep better, I dont wake up with any yucks or nothing. I can even lay on my back using the pillow, which i do for a bit before I get out of bed now, something I could never have done before. The pillow is super comfortabl so i like laying on it.
But now that I have no symptoms my brain is looking for them. Having no symptoms is like a symptom in and of itself which kicks in the anxiety and then panics. I am so used to feeling sick that feeling well feels like a sickness itself, if that makes any sense. I also have been experiencing a very noisy tum. Ever since i got the elevated pillow, about two weeks ago, my stomach has been very rumbly. My stomach rumbles whether or not i have eaten, whether I am active or not, have had enough water. There is just no getting away from a rumbly stomach. I took pepto the first few days which helped, but I hate taking pepto.
Anyone have something similar? Anything that can be done about it or is my stomach just adapting?</t>
        </is>
      </c>
      <c r="D709" t="n">
        <v>1</v>
      </c>
      <c r="E709" t="n">
        <v>0</v>
      </c>
      <c r="F709">
        <f>HYPERLINK("https://www.reddit.com/r/GERD/comments/b3qorl/relief_with_new_symptoms/")</f>
        <v/>
      </c>
      <c r="G709" t="inlineStr">
        <is>
          <t>2019-03-21 06:43:42</t>
        </is>
      </c>
      <c r="H709" t="inlineStr"/>
    </row>
    <row r="710">
      <c r="A710" t="inlineStr">
        <is>
          <t>b3qvmn</t>
        </is>
      </c>
      <c r="B710" t="inlineStr">
        <is>
          <t>Hope progress is being made..</t>
        </is>
      </c>
      <c r="C710" t="inlineStr">
        <is>
          <t>Ok - I've been on omeprazole about 10 days.  Completely on new diet as well.  Gave up smoking, no alcohol, caffeine etc.  Only water, (Essentia 9.5 ph)
I havent felt the lump in my throat in 3 days, thankfully.  However, my throat is still sore, especially if i do any talking for a period of time, which unfortunately i need to at my work.  
For those that have experienced this, does the sore throat eventually subside? Strength in the voice? Sorry if this sounds like dumb questions, this is just new for me.</t>
        </is>
      </c>
      <c r="D710" t="n">
        <v>3</v>
      </c>
      <c r="E710" t="n">
        <v>3</v>
      </c>
      <c r="F710">
        <f>HYPERLINK("https://www.reddit.com/r/GERD/comments/b3qvmn/hope_progress_is_being_made/")</f>
        <v/>
      </c>
      <c r="G710" t="inlineStr">
        <is>
          <t>2019-03-21 07:01:44</t>
        </is>
      </c>
      <c r="H710" t="inlineStr"/>
    </row>
    <row r="711">
      <c r="A711" t="inlineStr">
        <is>
          <t>b3txox</t>
        </is>
      </c>
      <c r="B711" t="inlineStr">
        <is>
          <t>My Untreated Silent Reflux/LPR Journey [with TLDR]</t>
        </is>
      </c>
      <c r="C711" t="inlineStr">
        <is>
          <t xml:space="preserve">Hi! I'm new here but please let me tell you my story. My throat has been feeling very sore ever since I was like 10 (probably even younger) and I'm 19 now. Before anything else, just wanted to let you know that I had asthma when I was a kid.
I still remember the very first time I experienced the pain. I was eating spicy chips then choked on it, causing a mild sore throat. I ignored it at that time because who would've thought it was the start of my unfortunate reflux. However, days have gone by and the chronic throat pain kept coming back. But since I like to sing, I thought it was just a part of it and I was just straining, so I overlooked having health issues and started working on bettering my singing skills. Growing up, I can't actually remember if the pain has subsided, but one thing I'm sure of is that I've developed some kind of a spasm that makes me clear my throat every freaking 5 seconds. My dad also does the same (up to now, and he's still not diagnosed) so my family told me I probably got this "mannerism" from him. It annoyed me a lot because I always thought I always had excess mucus, and it doesn't help me in my singing habit. 
Fast forward to present (more like 5yrs ago) I noticed the chronic pain in my throat go back (if it ever went away) and get way worse to the point that I sometimes wish I could just remove my throats and clean it with a brush and bleach, you know? It felt like there was some kind of fishbone stuck in and rubbing against the flesh of my throat. I also still have this throat-clearing situation but I'm glad to say that it's significantly not as frequent as it used to be.
I would sometimes get rid of my sore throat by pushing my throat in from my neck with my fingers or raising my throat upwards as if I'm vomiting (if that makes sense). That worked most of the time but only for a few minutes, sometimes seconds. It was then that I started to take this seriously.
It has only been this week that I was finally diagnosed with LPR / Silent Reflux. I'm on medications right now but my doctor said it would take months until I could possibly feel improvements. If ever I don't feel any, I'm going to see the ENT.
I really can't believe how long I've ignored these signs and now I'm kind of worried I've damaged my esophagus and my vocal cords from having it way too overdue. It took me a decade to figure out what my problem is. Also, I'm also worried how it would affect my singing ability in the long run. However, I haven't really experienced frequent hoarseness aside from very occassional days.  
TLDR; I've left my Silent / LP reflux untreated for 10 yrs until now and now I'm worried if I've damaged my esophagus, I don't experience any hoarseness nor heartburn but sore throat and persistent throat-clearing. 
For anyone else out there who has also left their reflux untreated for a long time, were there any severe consequences you faced? How are you doing now?
Thanks for reading!
</t>
        </is>
      </c>
      <c r="D711" t="n">
        <v>1</v>
      </c>
      <c r="E711" t="n">
        <v>19</v>
      </c>
      <c r="F711">
        <f>HYPERLINK("https://www.reddit.com/r/GERD/comments/b3txox/my_untreated_silent_refluxlpr_journey_with_tldr/")</f>
        <v/>
      </c>
      <c r="G711" t="inlineStr">
        <is>
          <t>2019-03-21 11:15:36</t>
        </is>
      </c>
      <c r="H711" t="inlineStr"/>
    </row>
    <row r="712">
      <c r="A712" t="inlineStr">
        <is>
          <t>b3woge</t>
        </is>
      </c>
      <c r="B712" t="inlineStr">
        <is>
          <t>Question about symptom length</t>
        </is>
      </c>
      <c r="C712" t="inlineStr">
        <is>
          <t>Has anyone had acid reflux symptoms last for 24 hours or longer? My throat has been tight for 2 days straight and was wondering if anyone else had this problem. I haven’t had any trigger foods or overeaten so I don’t know what triggered it this time.</t>
        </is>
      </c>
      <c r="D712" t="n">
        <v>2</v>
      </c>
      <c r="E712" t="n">
        <v>6</v>
      </c>
      <c r="F712">
        <f>HYPERLINK("https://www.reddit.com/r/GERD/comments/b3woge/question_about_symptom_length/")</f>
        <v/>
      </c>
      <c r="G712" t="inlineStr">
        <is>
          <t>2019-03-21 15:02:26</t>
        </is>
      </c>
      <c r="H712" t="inlineStr"/>
    </row>
    <row r="713">
      <c r="A713" t="inlineStr">
        <is>
          <t>b3x46t</t>
        </is>
      </c>
      <c r="B713" t="inlineStr">
        <is>
          <t>Newcomer here! Have some questions too!</t>
        </is>
      </c>
      <c r="C713" t="inlineStr">
        <is>
          <t xml:space="preserve">Hello,
I've been diagnosed with Irritable Bowel Sindrome a few years back and got used to the idea. After some traveling, living in common dorms and eating various food, sometimes healthy and sometimes not, I started getting GERD symptoms before knowing what it is. Due to heart disease history in my family, I had my medical provider run some tests and came back good and very good (hearth, blood, cholesterol, immune system, electrolytes etc.)
The throat tightness, bloating, throat burns and etc. started a month after a new job in a bigger and not so ventilated office and with a new selection of lunches from the nearby mall. They were ocasional, but they were there and very fucking annoying. I usually got them either after meals, either while commuting in the subway, at a high pressure in artificially ventilated train cars.
I made the connection later.
As a shorter and later introduction: I'm a medical engineer specialized in biomaterials and medical devices, currently working for a big corp on their clinical sciences study software. Bottom line: I've worked and continue to do work with a shitload of research, I'm a factual person and I prefer recent paper in order to compare them with older ones to assess things. I started investigating my symptoms and concluded I have GERD, but wenf to the doctor to find out why. He ordered some tests for Helicobacter Pyroli and a few other possible bacterial infections alongside and endoscopy, just to be sure.
I'm going to drop the stool samples tomorrow (hopefully) at the lab and wait for the results while taking the endoscopy next Thursday. From what i've objectively assessed on myself and researched and re-researched, Helicobacter Pyroli or an intolerance may be the cause of my non-constant episodes of GERD (non-constant as in I drink coke, smoke and eat tomatoes without feeling a thing even a few times per week if my other meals from that week are healthy). Constant would've meant that classic GERD triggering food would've had a faster effect.
Also, I took PPIs for a few days (patoprazole) and didn't feel good at all. More like the throat burn sensation intensified while the gas volume was growing and releasing quickly (without bloating, jurst burping and an abdominal discomfort).  It made sense since:
- PPIs inhibit stomach acid synthetization;
- bacteria populations proliferate in the absence of stomach acid, fermenting food, producing methane or other gases in the whole digestive system, rising abdominal pressure and subsequently applying a big pressure on the valve separating the stomach from the esophagus, forcing it to stay open or weakning it. 
Since the problem worsened by taking PPIs, I concluded the high bacterial population/low stomach acid level theory was kind of valid. Especially since my current GERD symptoms have been lasting for the past week, since I ate a big variety of food and a drank a lot during the weekend in a different city while visiting , finishing  my short vacation with a 10.000 meter altitude puking during a RyanAir flight after a nasty headache which I kind of felt was caused by the stomach.
I would share links and comparisons, but I'm on my phone right now and it's kind of late here. But I will tomorrow and I'm glad I found this thread because I thought I was crazy and it was all caused by anxiety or panic attacks.
Anyway, I'm insisting with the Helicobacter because it's been on a rise within the younger people, mainly due to the migration of all forms of the populations across the globe in the last decades, along with a higher pallette of food choices, providers and lack of resourcers or interest in proper sanitization.
I live in Eastern Europe and it started to gain ground quite fast in younger populations in the last decade. I'm 25 years old, btw.
Have a nice day and be well! </t>
        </is>
      </c>
      <c r="D713" t="n">
        <v>6</v>
      </c>
      <c r="E713" t="n">
        <v>5</v>
      </c>
      <c r="F713">
        <f>HYPERLINK("https://www.reddit.com/r/GERD/comments/b3x46t/newcomer_here_have_some_questions_too/")</f>
        <v/>
      </c>
      <c r="G713" t="inlineStr">
        <is>
          <t>2019-03-21 15:41:00</t>
        </is>
      </c>
      <c r="H713" t="inlineStr"/>
    </row>
    <row r="714">
      <c r="A714" t="inlineStr">
        <is>
          <t>b40b4t</t>
        </is>
      </c>
      <c r="B714" t="inlineStr">
        <is>
          <t>Could it be something else besides GERD?</t>
        </is>
      </c>
      <c r="C714" t="inlineStr">
        <is>
          <t>I started having Gerd issues since October and it went away twice with Prilosec, but once I got off Prilosec it would come back. Well now it hasn’t gone away and I even got an endoscopy done and all they saw was light acid reflux. My symptoms are just having trouble swallowing my food and it feels like it gets stuck in the lower part of my throat. I’ve been on medication for a month and it seems to be helping a tad bit but I still have some trouble with my throat. I was wondering if this could  be something else with my throat? I do have an autoimmune disease and that might be causing the problem with my throat but I’m not to sure. I’ve lost 20 pounds and all the muscle mass I had, and when my friends see me they are surprised by how skinny I’ve gotten(I was 170 and now I’m 150). I am on a strict/healthy diet because I want to try and get better but nothing seems to be working, and I also don’t drink or smoke and I’ve always been a pretty healthy eater. Any help/advice would be greatly appreciated.</t>
        </is>
      </c>
      <c r="D714" t="n">
        <v>2</v>
      </c>
      <c r="E714" t="n">
        <v>0</v>
      </c>
      <c r="F714">
        <f>HYPERLINK("https://www.reddit.com/r/GERD/comments/b40b4t/could_it_be_something_else_besides_gerd/")</f>
        <v/>
      </c>
      <c r="G714" t="inlineStr">
        <is>
          <t>2019-03-21 20:52:14</t>
        </is>
      </c>
      <c r="H714" t="inlineStr"/>
    </row>
    <row r="715">
      <c r="A715" t="inlineStr">
        <is>
          <t>b40f4e</t>
        </is>
      </c>
      <c r="B715" t="inlineStr">
        <is>
          <t>Pills trying to escape</t>
        </is>
      </c>
      <c r="C715" t="inlineStr">
        <is>
          <t>I've been managing my GERD for twelve years now, taking lansoprazole off and on alongside a variety of other meds and vitamins, but recently I've been experiencing really horrible nausea after taking my pills. I've even broken them up into to AM and PM so I'm not taking more than four in one go and I still feel terrible. I've literally thrown them up a couple of times.
Nothing I'm taking is particularly fancy. Vitamins C and D, Zinc, a probiotic and a fiber capsule besides my lansoprazole. Has anyone else had issues with keeping pills down? How do you deal with it? I'm supposed to be starting an antidepressant soon but I'm nervous about that if there's a likelihood I'll be constantly missing doses because I've thrown them up.</t>
        </is>
      </c>
      <c r="D715" t="n">
        <v>2</v>
      </c>
      <c r="E715" t="n">
        <v>1</v>
      </c>
      <c r="F715">
        <f>HYPERLINK("https://www.reddit.com/r/GERD/comments/b40f4e/pills_trying_to_escape/")</f>
        <v/>
      </c>
      <c r="G715" t="inlineStr">
        <is>
          <t>2019-03-21 21:04:19</t>
        </is>
      </c>
      <c r="H715" t="inlineStr"/>
    </row>
    <row r="716">
      <c r="A716" t="inlineStr">
        <is>
          <t>b41r2l</t>
        </is>
      </c>
      <c r="B716" t="inlineStr">
        <is>
          <t>Chest rash with reflux</t>
        </is>
      </c>
      <c r="C716" t="inlineStr">
        <is>
          <t>Hey all,
Just wondering if anyone also gets a red rash (not lumpy or anything gross, literally just like spreading red colouring on the skin) that you can press with your fingers and will leave marks - kinda like a skin burn.
I get this when I get bad acid reflux - unable to find any text saying that this is a regular thing.
Anyone have ideas?</t>
        </is>
      </c>
      <c r="D716" t="n">
        <v>2</v>
      </c>
      <c r="E716" t="n">
        <v>2</v>
      </c>
      <c r="F716">
        <f>HYPERLINK("https://www.reddit.com/r/GERD/comments/b41r2l/chest_rash_with_reflux/")</f>
        <v/>
      </c>
      <c r="G716" t="inlineStr">
        <is>
          <t>2019-03-21 23:47:52</t>
        </is>
      </c>
      <c r="H716" t="inlineStr"/>
    </row>
    <row r="717">
      <c r="A717" t="inlineStr">
        <is>
          <t>b41vtg</t>
        </is>
      </c>
      <c r="B717" t="inlineStr">
        <is>
          <t>Esophagitis?</t>
        </is>
      </c>
      <c r="C717" t="inlineStr">
        <is>
          <t xml:space="preserve">Has anybody been able to heal from esophagitis? What helped? It feels like I'm swallowing glass. I've been on Omeprazole for a month and a half and it's not helping. It just makes me feel awful like my foods not digesting and I get constipated. My doctor ordered the h. Pylori test, but I have to wait two weeks before testing. I'm eating whole foods and following all the GERD recommendations religiously. Thanks. </t>
        </is>
      </c>
      <c r="D717" t="n">
        <v>2</v>
      </c>
      <c r="E717" t="n">
        <v>5</v>
      </c>
      <c r="F717">
        <f>HYPERLINK("https://www.reddit.com/r/GERD/comments/b41vtg/esophagitis/")</f>
        <v/>
      </c>
      <c r="G717" t="inlineStr">
        <is>
          <t>2019-03-22 00:04:54</t>
        </is>
      </c>
      <c r="H717" t="inlineStr"/>
    </row>
    <row r="718">
      <c r="A718" t="inlineStr">
        <is>
          <t>b43y1v</t>
        </is>
      </c>
      <c r="B718" t="inlineStr">
        <is>
          <t>Esphogeal motility mammomentry test</t>
        </is>
      </c>
      <c r="C718" t="inlineStr">
        <is>
          <t xml:space="preserve">Like many of you who already posted about this, I have been diagnosed with GERD, with a very small hiatal hernia. Due to in increase in symptoms, my GI doctor ordered an upper GI and endoscopy. However, both were not conclusive in terms of whether I would benefit from surgery or not, so the 24hr esophogeal mammometry was ordered before surgery would even be considered as an option. Well, I had this test done in 2006, and it was not a piece of cake getting that tube down my throat. I would have much prefered cake actually!  Anyway, with the spray that was administered, which is supposed to numb the nasal passages and throat, I still experienced a strong gag reflex. I have decided that the only way I will do this test is if additional medications are prescribed prior to the test itself. I think sedation should be an option for this test, but it never seems to be offered. Ridiculous given how many people simply cannot tolerate this. </t>
        </is>
      </c>
      <c r="D718" t="n">
        <v>1</v>
      </c>
      <c r="E718" t="n">
        <v>6</v>
      </c>
      <c r="F718">
        <f>HYPERLINK("https://www.reddit.com/r/GERD/comments/b43y1v/esphogeal_motility_mammomentry_test/")</f>
        <v/>
      </c>
      <c r="G718" t="inlineStr">
        <is>
          <t>2019-03-22 04:29:45</t>
        </is>
      </c>
      <c r="H718" t="inlineStr"/>
    </row>
    <row r="719">
      <c r="A719" t="inlineStr">
        <is>
          <t>b46jbh</t>
        </is>
      </c>
      <c r="B719" t="inlineStr">
        <is>
          <t>Is this Reflux or something else?</t>
        </is>
      </c>
      <c r="C719" t="inlineStr">
        <is>
          <t>I've been suffering for a few months now with what I \*think\* is LPR, but I'm not totally sure.
Back before Christmas it started as a catarrh feeling in my throat most of the time. I then got tonsillitis, so I assumed the two were related. Since that cleared up, I then developed this near-constant feeling of saliva in the back of my mouth. That then progressed into involuntary slurping to clear it, which has now progressed to including snorting noises as well. I've also had periods of serious coughing fits, and I sometimes get a tiny bit of food stuck in the back of my throat that I just can't clear which causes this. I also get periods of belching a lot - though I'm not anywhere near as bloated as I used to be but I still get the belching.
I saw ENT in mid-February who said it \*could\* be reflux and prescribed me PPIs. They made a difference fairly quickly, but then stopped. I'm now significantly better than I was when I saw ENT, but I'm still nowhere near "cured". If anything, I feel like in the last week or so my symptoms are getting worse again! I'm still taking them - now on 2 a day instead of 1 a day that I was originally prescribed.
The strange things about it are:
* It has never stopped me sleeping, and I don't do any of the symptoms whilst asleep
* I have no pain or discomfort. I was getting really bloated before the PPIs and that's all but gone now, but that's all.
* The saliva and slurping and so on gets worse as the day progresses, and gets worse when I have periods of talking lots.
I've tried lots of things already - including but not limited to: PPIs, Antacid medication, Probiotics, Steroid Spray for potential post nasal drip, Antihistamines (in case it was an allergy thing)
I've got my follow up at the end of April, but I'm curious if this does sound like it's reflux - and I just need to be patient with the meds - or if it could be something else?</t>
        </is>
      </c>
      <c r="D719" t="n">
        <v>4</v>
      </c>
      <c r="E719" t="n">
        <v>4</v>
      </c>
      <c r="F719">
        <f>HYPERLINK("https://www.reddit.com/r/GERD/comments/b46jbh/is_this_reflux_or_something_else/")</f>
        <v/>
      </c>
      <c r="G719" t="inlineStr">
        <is>
          <t>2019-03-22 08:39:08</t>
        </is>
      </c>
      <c r="H719" t="inlineStr"/>
    </row>
    <row r="720">
      <c r="A720" t="inlineStr">
        <is>
          <t>b47zcb</t>
        </is>
      </c>
      <c r="B720" t="inlineStr">
        <is>
          <t>Do I even have GERD?</t>
        </is>
      </c>
      <c r="C720" t="inlineStr">
        <is>
          <t xml:space="preserve">I've been dealing with chronic throat clearing and irritation for about 2 years. I saw an ENT about two months ago, and she stuck a camera down my nostrils to take a look at my vocal cords and saw some red areas indicating acid damage. She diagnosed me with GERD, but I really don't have any other symptoms of GERD besides the throat irritation. I don't feel the need to regurgitate, no heart burn, no chest pain, no difficulty swallowing, no sore throat, nothing. 
&amp;amp;#x200B;
The only thing I do experience is dealing with a build up of phelgm after I eat anything, especially spicy foods, and after eating almost anything, my vocal cords will feel very sensitive, and I'll always feel like I need to clear my throat. Sometimes it will act up even without me eating anything. I've been reading about LPR and my diagnosis sounds much more like LPR than it does GERD.
&amp;amp;#x200B;
I actually just got off the phone with my ENT for a follow up, and she wants to keep me on Protonix for another 2 months with even more restrictive dieting and elevated sleeping, but I'm honestly a bit skeptical that the Protonix is working for me. I tried asking if it was possible to have a medication that would soothe the nerves in my vocal cords, but all she recommended was a type of spray for 10-15 minute relief. 
&amp;amp;#x200B;
Anyone have any similar experiences here? </t>
        </is>
      </c>
      <c r="D720" t="n">
        <v>1</v>
      </c>
      <c r="E720" t="n">
        <v>1</v>
      </c>
      <c r="F720">
        <f>HYPERLINK("https://www.reddit.com/r/GERD/comments/b47zcb/do_i_even_have_gerd/")</f>
        <v/>
      </c>
      <c r="G720" t="inlineStr">
        <is>
          <t>2019-03-22 10:40:05</t>
        </is>
      </c>
      <c r="H720" t="inlineStr"/>
    </row>
    <row r="721">
      <c r="A721" t="inlineStr">
        <is>
          <t>b48a3u</t>
        </is>
      </c>
      <c r="B721" t="inlineStr">
        <is>
          <t>7 Foods You MUST Avoid To Treat &amp;amp; Reduce Acid Reflux</t>
        </is>
      </c>
      <c r="C721" t="inlineStr">
        <is>
          <t>[Watch This Video For More Detail](https://youtu.be/33V7GHo4-V4)s
1. Coffee and other caffeine-containing beverages
2. Alcohol can irritate the stomach
3. High-fat foods
4. Chocolate
5. Milk and milk-based products
6. Peppermint, spearmint and other mints
7. Acidic foods (such as oranges and tomatoes) and cruciferous vegetables (onions, cabbage)</t>
        </is>
      </c>
      <c r="D721" t="n">
        <v>3</v>
      </c>
      <c r="E721" t="n">
        <v>33</v>
      </c>
      <c r="F721">
        <f>HYPERLINK("https://www.reddit.com/r/GERD/comments/b48a3u/7_foods_you_must_avoid_to_treat_reduce_acid_reflux/")</f>
        <v/>
      </c>
      <c r="G721" t="inlineStr">
        <is>
          <t>2019-03-22 11:04:03</t>
        </is>
      </c>
      <c r="H721" t="inlineStr"/>
    </row>
    <row r="722">
      <c r="A722" t="inlineStr">
        <is>
          <t>b48wkr</t>
        </is>
      </c>
      <c r="B722" t="inlineStr">
        <is>
          <t>Tips/ advice for esophageal manometry?</t>
        </is>
      </c>
      <c r="C722" t="inlineStr">
        <is>
          <t xml:space="preserve">Any advice is welcomed. How bad was it really? </t>
        </is>
      </c>
      <c r="D722" t="n">
        <v>1</v>
      </c>
      <c r="E722" t="n">
        <v>5</v>
      </c>
      <c r="F722">
        <f>HYPERLINK("https://www.reddit.com/r/GERD/comments/b48wkr/tips_advice_for_esophageal_manometry/")</f>
        <v/>
      </c>
      <c r="G722" t="inlineStr">
        <is>
          <t>2019-03-22 11:55:24</t>
        </is>
      </c>
      <c r="H722" t="inlineStr"/>
    </row>
    <row r="723">
      <c r="A723" t="inlineStr">
        <is>
          <t>b49fx3</t>
        </is>
      </c>
      <c r="B723" t="inlineStr">
        <is>
          <t>Hey people, meet the Okinawa diet</t>
        </is>
      </c>
      <c r="C723" t="inlineStr">
        <is>
          <t>I've been accustomed to thr Mediterranean diet since I live close to the area of origin and tried it some time. But, as I've noticed for myself, regurlarly eating pasta, bread and other grain based products, GERD can be easily triggered.
Aaaaand the I stumbled upon the Okinawa diet and everything became more interesting:
https://www.wellandgood.com/good-food/okinawa-diet-vs-mediterranean-diet/</t>
        </is>
      </c>
      <c r="D723" t="n">
        <v>10</v>
      </c>
      <c r="E723" t="n">
        <v>3</v>
      </c>
      <c r="F723">
        <f>HYPERLINK("https://www.reddit.com/r/GERD/comments/b49fx3/hey_people_meet_the_okinawa_diet/")</f>
        <v/>
      </c>
      <c r="G723" t="inlineStr">
        <is>
          <t>2019-03-22 12:40:12</t>
        </is>
      </c>
      <c r="H723" t="inlineStr"/>
    </row>
    <row r="724">
      <c r="A724" t="inlineStr">
        <is>
          <t>b49oyb</t>
        </is>
      </c>
      <c r="B724" t="inlineStr">
        <is>
          <t>Can GERD be cured?</t>
        </is>
      </c>
      <c r="C724" t="inlineStr">
        <is>
          <t>If I take my PPI daily and follow an alkaline diet, will I one day be fixed?</t>
        </is>
      </c>
      <c r="D724" t="n">
        <v>2</v>
      </c>
      <c r="E724" t="n">
        <v>9</v>
      </c>
      <c r="F724">
        <f>HYPERLINK("https://www.reddit.com/r/GERD/comments/b49oyb/can_gerd_be_cured/")</f>
        <v/>
      </c>
      <c r="G724" t="inlineStr">
        <is>
          <t>2019-03-22 13:00:45</t>
        </is>
      </c>
      <c r="H724" t="inlineStr"/>
    </row>
    <row r="725">
      <c r="A725" t="inlineStr">
        <is>
          <t>b4bgvy</t>
        </is>
      </c>
      <c r="B725" t="inlineStr">
        <is>
          <t>First time poster: Could this be LPR?</t>
        </is>
      </c>
      <c r="C725" t="inlineStr">
        <is>
          <t xml:space="preserve">I’ll try to keep this as short and sweet as possible: 3 months ago got a common cold and developed a cough. Cough hasn’t gone away and I’m still hacking away. No runny nose but ton of post nasal drip. Waking up at night hacking away, constant tickling in throat, burning sensation. Thought it was just allergies &amp;amp; PND but a few days ago while on a flight I suddenly got extreme tightness in my throat. Legitimately thought I was having anaphylaxis for a few minutes, but realized I’d probably have more trouble breathing if that were the case. But that tightness hasn’t gone away since then. The tightness (lump in throat feeling) has lessened and increased in intensity throughout these few days, but never has completely gone away. Still hacking cough with phlegm coming out. My anxiety is pretty high as it feels like I can’t breathe properly. Also, not wanting to eat because it feels like food is getting stuck in my throat. 
Before I did some research on the internet I thought it could be a throat tumor, food lodged in my throat, maybe I swallowed a bug and it burrowed in my esophagus... yes, I thought of everything. 
Going to see my GP on Tuesday, but for anyone that has dealt with LPR, does this sound familiar? And what did your doctor do for you when you explained your symptoms? Hoping to start some kind of treatment but not even sure where to start. Just want this awful feeling to go away. </t>
        </is>
      </c>
      <c r="D725" t="n">
        <v>1</v>
      </c>
      <c r="E725" t="n">
        <v>0</v>
      </c>
      <c r="F725">
        <f>HYPERLINK("https://www.reddit.com/r/GERD/comments/b4bgvy/first_time_poster_could_this_be_lpr/")</f>
        <v/>
      </c>
      <c r="G725" t="inlineStr">
        <is>
          <t>2019-03-22 15:33:07</t>
        </is>
      </c>
      <c r="H725" t="inlineStr"/>
    </row>
    <row r="726">
      <c r="A726" t="inlineStr">
        <is>
          <t>b4c7l3</t>
        </is>
      </c>
      <c r="B726" t="inlineStr">
        <is>
          <t>How to gradually stop PPIs</t>
        </is>
      </c>
      <c r="C726" t="inlineStr">
        <is>
          <t xml:space="preserve">I've been on Omeprazole 20mg for 3 weeks, didn't work. Doctor switched to Rabeprazole 20mg for 3 weeks now, also didn't work. In fact, I feel like my heartburn is worse now than when I first started seeing the Gastroenterologist in January. I get a burning in my chest after every meal every day. I already watch what I eat, but today I may have taken too much olive oil and bread, I'm not really sure, but it's killing me. 
I'm a healthy weight female in my early 30s, and this has been a really depressing few months. I started seeing the gastroenterologist for bloating, had an endoscopy which showed shallow ulcers but no H. pylori, but ultimately now I'm stuck with heartburn which was minor back in January and has since gotten worse. 
I'm thinking of tapering off the PPI, worried about any rebound effects from the Rabeprazole. I have Zantac 75mg around - should I start with alternating Rabeprazole every other day? Or just switch to Zantac immediately? 
Thanks all! </t>
        </is>
      </c>
      <c r="D726" t="n">
        <v>1</v>
      </c>
      <c r="E726" t="n">
        <v>6</v>
      </c>
      <c r="F726">
        <f>HYPERLINK("https://www.reddit.com/r/GERD/comments/b4c7l3/how_to_gradually_stop_ppis/")</f>
        <v/>
      </c>
      <c r="G726" t="inlineStr">
        <is>
          <t>2019-03-22 16:41:24</t>
        </is>
      </c>
      <c r="H726" t="inlineStr"/>
    </row>
    <row r="727">
      <c r="A727" t="inlineStr">
        <is>
          <t>b4cc0t</t>
        </is>
      </c>
      <c r="B727" t="inlineStr">
        <is>
          <t>Voice changes?</t>
        </is>
      </c>
      <c r="C727" t="inlineStr">
        <is>
          <t xml:space="preserve">Hi - I have been diagnosed w GERD for about 5ish years and takes my generic Prilosec on and off but it’s been steady. 
I constantly feel like I have clearing my throat of something and sometimes my voice isn’t “strong” enough. 
Wondering if this means a different med might be better? Thoughts? </t>
        </is>
      </c>
      <c r="D727" t="n">
        <v>1</v>
      </c>
      <c r="E727" t="n">
        <v>8</v>
      </c>
      <c r="F727">
        <f>HYPERLINK("https://www.reddit.com/r/GERD/comments/b4cc0t/voice_changes/")</f>
        <v/>
      </c>
      <c r="G727" t="inlineStr">
        <is>
          <t>2019-03-22 16:52:57</t>
        </is>
      </c>
      <c r="H727" t="inlineStr"/>
    </row>
    <row r="728">
      <c r="A728" t="inlineStr">
        <is>
          <t>b4cn55</t>
        </is>
      </c>
      <c r="B728" t="inlineStr">
        <is>
          <t>Anyone else get headache spells?</t>
        </is>
      </c>
      <c r="C728" t="inlineStr">
        <is>
          <t xml:space="preserve">Diagnosed with GERD in December. Taking 60 mg Dexilant (was daily, but have gone to every other day because this stuff has some scary side effects.) Had a slight, very dull, super annoying headache and minor pinch in my chest all week. No heartburn, just really annoying symptoms. Anyone else have anything similar? </t>
        </is>
      </c>
      <c r="D728" t="n">
        <v>9</v>
      </c>
      <c r="E728" t="n">
        <v>8</v>
      </c>
      <c r="F728">
        <f>HYPERLINK("https://www.reddit.com/r/GERD/comments/b4cn55/anyone_else_get_headache_spells/")</f>
        <v/>
      </c>
      <c r="G728" t="inlineStr">
        <is>
          <t>2019-03-22 17:22:49</t>
        </is>
      </c>
      <c r="H728" t="inlineStr"/>
    </row>
    <row r="729">
      <c r="A729" t="inlineStr">
        <is>
          <t>b4d1nu</t>
        </is>
      </c>
      <c r="B729" t="inlineStr">
        <is>
          <t>Stabbing chest pain near ribs</t>
        </is>
      </c>
      <c r="C729" t="inlineStr">
        <is>
          <t>I am 19 years old, for about the past year now I have noticed a stabbing chest pain near the heart area that seems to come and go, it feels like when you inhale too much the pain increases and gets worse so you have to wait for it to go away. It usually lasts for seconds to a few minutes at most  It seems to have got much worse since then as I experience this stabbing pain once a day, a couple months ago I went to the ER as that night I had the stabbing chest pain for a whole 30 minutes straight, followed by numbness and coldness in the fingers i had an ekg done and a ct scan and was put on a holter monitor on for 3 days. The results were fine and no heart problems, however i recently was put on omeprazole for the last month or so and take one every morning. I however still get chest pain and sometimes that acidic feeling in the lower stomach, no other symptoms like burning throat or a food stuck in throat sensation. I fear about it possibly being serious like esophageal cancer but I plan on going to the doctor soon, anyone else get this pain?</t>
        </is>
      </c>
      <c r="D729" t="n">
        <v>1</v>
      </c>
      <c r="E729" t="n">
        <v>5</v>
      </c>
      <c r="F729">
        <f>HYPERLINK("https://www.reddit.com/r/GERD/comments/b4d1nu/stabbing_chest_pain_near_ribs/")</f>
        <v/>
      </c>
      <c r="G729" t="inlineStr">
        <is>
          <t>2019-03-22 18:03:35</t>
        </is>
      </c>
      <c r="H729" t="inlineStr"/>
    </row>
    <row r="730">
      <c r="A730" t="inlineStr">
        <is>
          <t>b4itk6</t>
        </is>
      </c>
      <c r="B730" t="inlineStr">
        <is>
          <t>New Gerd Victim</t>
        </is>
      </c>
      <c r="C730" t="inlineStr">
        <is>
          <t>Hi, so it turns out that i have GERD. What can i do to cure or at least relieve symptoms? Can it even be cured?</t>
        </is>
      </c>
      <c r="D730" t="n">
        <v>1</v>
      </c>
      <c r="E730" t="n">
        <v>3</v>
      </c>
      <c r="F730">
        <f>HYPERLINK("https://www.reddit.com/r/GERD/comments/b4itk6/new_gerd_victim/")</f>
        <v/>
      </c>
      <c r="G730" t="inlineStr">
        <is>
          <t>2019-03-23 05:51:02</t>
        </is>
      </c>
      <c r="H730" t="inlineStr"/>
    </row>
    <row r="731">
      <c r="A731" t="inlineStr">
        <is>
          <t>b4k61a</t>
        </is>
      </c>
      <c r="B731" t="inlineStr">
        <is>
          <t>Digestive enzymes are helping!</t>
        </is>
      </c>
      <c r="C731" t="inlineStr">
        <is>
          <t xml:space="preserve">I noticed that it’s been awhile since this topic came up, so I thought I’d post it for any newbs.
Digestive enzymes have been great for my GERD symptoms! The food in my stomach digests better and faster, and so less comes back up, and my symptoms are lessened. It’s not a catch all, cure all but they’re relatively inexpensive and worth a shot if you’re still struggling with symptoms on just PPI’s. </t>
        </is>
      </c>
      <c r="D731" t="n">
        <v>19</v>
      </c>
      <c r="E731" t="n">
        <v>8</v>
      </c>
      <c r="F731">
        <f>HYPERLINK("https://www.reddit.com/r/GERD/comments/b4k61a/digestive_enzymes_are_helping/")</f>
        <v/>
      </c>
      <c r="G731" t="inlineStr">
        <is>
          <t>2019-03-23 08:09:20</t>
        </is>
      </c>
      <c r="H731" t="inlineStr"/>
    </row>
    <row r="732">
      <c r="A732" t="inlineStr">
        <is>
          <t>b4l4ms</t>
        </is>
      </c>
      <c r="B732" t="inlineStr">
        <is>
          <t>just getting started, don't know what to do next</t>
        </is>
      </c>
      <c r="C732" t="inlineStr">
        <is>
          <t>Hey guys, first time on here. I've been having noticeably weird throat problems going on for about a year now, but i'm worried these issues have been going on for a while but flying under the radar. so I'll just explain everything and see what you guys have to say.
&amp;amp;#x200B;
about 4 years ago I started getting these reoccurring sore throats with typical sore throat symptoms and didn't think much of it at first. after a while though, they began to get more and more frequent. within the last year alone I've had probably 3-4 real bad sore throats accompanied with lots of congestion, sinus pressure, headaches, etc.
&amp;amp;#x200B;
then, about a year ago I started getting this weird popping sensation in my throat when I swallow. it wouldn't happen every time, and it didn't always hurt. if anything i would say a 2/10 on a pain scale so nothing serious, but enough to know its not just in my head. I went to the doctor about it, had a CT scan done, went to an ENT doctor, and everything checked out. the ENT doctor said it was probably some cartilage slipping on my spine for some reason and that if it wasn't painful or causing difficulty breathing/swallowing then I should just leave it. 
&amp;amp;#x200B;
the popping sensation started to go away, only being noticeable on occasion, until about a month ago when it started up again in full force. this time though, it was accompanied with the sensation of always having a lump in my throat. so, I went to see my doctor again. This was about a week ago, and the appointment was very odd and I don't really know what to do next. I explained my symptoms, he looked in the back of my throat, and told me I didn't have tonsillitis (which is why I went to the doctor in the first place). He did, however, give me a packet of information on LPR ( Laryngopharyngeal reflux) which is similar to acid reflux but doesn't commonly have heartburn as a symptom and goes unnoticed very easily. 
&amp;amp;#x200B;
This is where I'm kind of lost on what to do next. he didn't diagnose me with anything. didn't tell me to take any specific medication, and didn't tell me to set up any other appointments. the packet of info explained a lot of things and suggested some medication, but I have no idea which ones i need to take. they don't even all do the same thing, so how am I supposed to know which meds to take? in his after-visit summary he said to follow up in 3 months... but that seems like a long time. like i mentioned earlier, this could have been going on for a while unnoticed and it seems odd to me that he wouldn't want me to get a better examination done sooner. 
&amp;amp;#x200B;
I think I want to contact them about doing some further testing, maybe getting a camera down there to really see whats going on, and getting a better idea of where i'm at with this. the fact that this could have been going on for a while terrifies me and without really looking down there I feel as though anything could be wrong and i wouldn't even know it. 
&amp;amp;#x200B;
what do you guys think? am I overreacting? should I be freaking out?</t>
        </is>
      </c>
      <c r="D732" t="n">
        <v>1</v>
      </c>
      <c r="E732" t="n">
        <v>3</v>
      </c>
      <c r="F732">
        <f>HYPERLINK("https://www.reddit.com/r/GERD/comments/b4l4ms/just_getting_started_dont_know_what_to_do_next/")</f>
        <v/>
      </c>
      <c r="G732" t="inlineStr">
        <is>
          <t>2019-03-23 09:33:40</t>
        </is>
      </c>
      <c r="H732" t="inlineStr"/>
    </row>
    <row r="733">
      <c r="A733" t="inlineStr">
        <is>
          <t>b4lo6i</t>
        </is>
      </c>
      <c r="B733" t="inlineStr">
        <is>
          <t>Acid Reflux</t>
        </is>
      </c>
      <c r="C733" t="inlineStr">
        <is>
          <t xml:space="preserve">Hey everyone, I was told I had acid reflux a month or  so ago, was perscribed Famotidine and let go. With that I tried to eat more slowly and switched my diet a bit but last week I had a tea that was too sweet, set off my pancreas in hours and havent been right since.  Went to the hospital they gave me sucralfate 
I have new symptoms now, swelled chest, sorenesd in chest area, water taste kinda sweet sometimes out of nowhere, and just recently anything I eat has just bothered my chest besides water.
I thought eating way healthier would work but so far a couple celery sticks is all I've managed to eat after two days of only water passes through me right.
</t>
        </is>
      </c>
      <c r="D733" t="n">
        <v>2</v>
      </c>
      <c r="E733" t="n">
        <v>0</v>
      </c>
      <c r="F733">
        <f>HYPERLINK("https://www.reddit.com/r/GERD/comments/b4lo6i/acid_reflux/")</f>
        <v/>
      </c>
      <c r="G733" t="inlineStr">
        <is>
          <t>2019-03-23 10:20:48</t>
        </is>
      </c>
      <c r="H733" t="inlineStr"/>
    </row>
    <row r="734">
      <c r="A734" t="inlineStr">
        <is>
          <t>b4mrej</t>
        </is>
      </c>
      <c r="B734" t="inlineStr">
        <is>
          <t>My Severe Heartburn Settled Using This Amazing Technique</t>
        </is>
      </c>
      <c r="C734" t="inlineStr">
        <is>
          <t>Check out my blog:  https://ricreator.blogspot.com/2019/03/cure-acid-reflux.html</t>
        </is>
      </c>
      <c r="D734" t="n">
        <v>0</v>
      </c>
      <c r="E734" t="n">
        <v>2</v>
      </c>
      <c r="F734">
        <f>HYPERLINK("https://www.reddit.com/r/GERD/comments/b4mrej/my_severe_heartburn_settled_using_this_amazing/")</f>
        <v/>
      </c>
      <c r="G734" t="inlineStr">
        <is>
          <t>2019-03-23 11:55:23</t>
        </is>
      </c>
      <c r="H734" t="inlineStr"/>
    </row>
    <row r="735">
      <c r="A735" t="inlineStr">
        <is>
          <t>b4p5f1</t>
        </is>
      </c>
      <c r="B735" t="inlineStr">
        <is>
          <t>Side effects from Prilosec</t>
        </is>
      </c>
      <c r="C735" t="inlineStr">
        <is>
          <t>My GI had me start Prilosec 20mg once a day. I’m having some stomach discomfort and generally feel a little out of it. 
This is just my first day, so I was wondering for those of you who have taken it, is this an adjustment period? Should I give it a few days before worrying about it as the side effects will start to fade as I get used to it?
Thanks for any help!</t>
        </is>
      </c>
      <c r="D735" t="n">
        <v>2</v>
      </c>
      <c r="E735" t="n">
        <v>3</v>
      </c>
      <c r="F735">
        <f>HYPERLINK("https://www.reddit.com/r/GERD/comments/b4p5f1/side_effects_from_prilosec/")</f>
        <v/>
      </c>
      <c r="G735" t="inlineStr">
        <is>
          <t>2019-03-23 15:35:54</t>
        </is>
      </c>
      <c r="H735" t="inlineStr"/>
    </row>
    <row r="736">
      <c r="A736" t="inlineStr">
        <is>
          <t>b4pych</t>
        </is>
      </c>
      <c r="B736" t="inlineStr">
        <is>
          <t>Dr. Aviv's Acid watcher diet</t>
        </is>
      </c>
      <c r="C736" t="inlineStr">
        <is>
          <t>Dr Aviv says that in some people some acidic  foods provide a full-body inflammatory response  the moment they come into contact with the esophagus.
Has anyone read his book? Is there any merit to this theory? There are so many voices on this subject it's exhausting... some people say ACV is good for you but according to him citrus and vinegar are  a big no-no. He tells people to eat melon and cucumber that have healing properties.
&amp;amp;#x200B;
Personally, I have esophageal pain all day every day and I've tried a lot of diets and medications, I'm pretty exhausted by things that "sort of work". Gonna try a PPI again for the sake of diagnostic elimination...
&amp;amp;#x200B;
&amp;amp;#x200B;</t>
        </is>
      </c>
      <c r="D736" t="n">
        <v>6</v>
      </c>
      <c r="E736" t="n">
        <v>2</v>
      </c>
      <c r="F736">
        <f>HYPERLINK("https://www.reddit.com/r/GERD/comments/b4pych/dr_avivs_acid_watcher_diet/")</f>
        <v/>
      </c>
      <c r="G736" t="inlineStr">
        <is>
          <t>2019-03-23 16:58:10</t>
        </is>
      </c>
      <c r="H736" t="inlineStr"/>
    </row>
    <row r="737">
      <c r="A737" t="inlineStr">
        <is>
          <t>b4si7i</t>
        </is>
      </c>
      <c r="B737" t="inlineStr">
        <is>
          <t>Can acid reflux cause dry mouth?</t>
        </is>
      </c>
      <c r="C737" t="inlineStr">
        <is>
          <t>I've had the dry mouth for a over a year and figured out I have acid reflux relatively recently. It was a self diagnosis and I started taking zantac 75mg and it helped as I'm not nauseous like I was before as that was the biggest symptom I had. The dry mouth persists though and I wondered if acid reflux could be the cause for that.</t>
        </is>
      </c>
      <c r="D737" t="n">
        <v>1</v>
      </c>
      <c r="E737" t="n">
        <v>5</v>
      </c>
      <c r="F737">
        <f>HYPERLINK("https://www.reddit.com/r/GERD/comments/b4si7i/can_acid_reflux_cause_dry_mouth/")</f>
        <v/>
      </c>
      <c r="G737" t="inlineStr">
        <is>
          <t>2019-03-23 21:36:10</t>
        </is>
      </c>
      <c r="H737" t="inlineStr"/>
    </row>
    <row r="738">
      <c r="A738" t="inlineStr">
        <is>
          <t>b4w9uq</t>
        </is>
      </c>
      <c r="B738" t="inlineStr">
        <is>
          <t>3 Main Causes Of Acid Reflux &amp;amp; Heartburn</t>
        </is>
      </c>
      <c r="C738" t="inlineStr">
        <is>
          <t>[Watch This Video For More Details](https://youtu.be/GU5L0gmb7aM)
1. Lower Esophageal Sphincter Malfunction
2.  Behaviour And Lifestyle
3. Fungal Yeast Infection</t>
        </is>
      </c>
      <c r="D738" t="n">
        <v>3</v>
      </c>
      <c r="E738" t="n">
        <v>12</v>
      </c>
      <c r="F738">
        <f>HYPERLINK("https://www.reddit.com/r/GERD/comments/b4w9uq/3_main_causes_of_acid_reflux_heartburn/")</f>
        <v/>
      </c>
      <c r="G738" t="inlineStr">
        <is>
          <t>2019-03-24 06:21:35</t>
        </is>
      </c>
      <c r="H738" t="inlineStr"/>
    </row>
    <row r="739">
      <c r="A739" t="inlineStr">
        <is>
          <t>b4wghw</t>
        </is>
      </c>
      <c r="B739" t="inlineStr">
        <is>
          <t>LINX in Europe</t>
        </is>
      </c>
      <c r="C739" t="inlineStr">
        <is>
          <t>Anyone who underwent the magnetic sphincter augmentation in Europe, could you please share some data? Like Country and hospital or medical facility - (feel free to pm me if you wish to share any doctor suggestions in particular).</t>
        </is>
      </c>
      <c r="D739" t="n">
        <v>3</v>
      </c>
      <c r="E739" t="n">
        <v>14</v>
      </c>
      <c r="F739">
        <f>HYPERLINK("https://www.reddit.com/r/GERD/comments/b4wghw/linx_in_europe/")</f>
        <v/>
      </c>
      <c r="G739" t="inlineStr">
        <is>
          <t>2019-03-24 06:42:25</t>
        </is>
      </c>
      <c r="H739" t="inlineStr"/>
    </row>
    <row r="740">
      <c r="A740" t="inlineStr">
        <is>
          <t>b4wyzl</t>
        </is>
      </c>
      <c r="B740" t="inlineStr">
        <is>
          <t>GERD/Anxiety really bothering me</t>
        </is>
      </c>
      <c r="C740" t="inlineStr">
        <is>
          <t xml:space="preserve">Hi! So I have a question! Do people with anxiety/GERD sometimes feel a weird sensation on only one side of throat? It's so hard to explain </t>
        </is>
      </c>
      <c r="D740" t="n">
        <v>2</v>
      </c>
      <c r="E740" t="n">
        <v>12</v>
      </c>
      <c r="F740">
        <f>HYPERLINK("https://www.reddit.com/r/GERD/comments/b4wyzl/gerdanxiety_really_bothering_me/")</f>
        <v/>
      </c>
      <c r="G740" t="inlineStr">
        <is>
          <t>2019-03-24 07:34:35</t>
        </is>
      </c>
      <c r="H740" t="inlineStr"/>
    </row>
    <row r="741">
      <c r="A741" t="inlineStr">
        <is>
          <t>b53t8d</t>
        </is>
      </c>
      <c r="B741" t="inlineStr">
        <is>
          <t>Chest pain after eat...</t>
        </is>
      </c>
      <c r="C741" t="inlineStr">
        <is>
          <t>Does anyone has chest pain like the food did not goes down after a few minutes of eat something?
I do feel that, but what is stranger is that the pain goes away if I eat more, for example I eat some cookies, so the pain starts and then I get lunch, some soup and beef with vegetables, the pain dissapears
For how long have you been dealing with chest pain or a lump in the throat after eat?
Do you take meds?
Whats your diagnose and which tests have you got?
Thanks!!</t>
        </is>
      </c>
      <c r="D741" t="n">
        <v>5</v>
      </c>
      <c r="E741" t="n">
        <v>8</v>
      </c>
      <c r="F741">
        <f>HYPERLINK("https://www.reddit.com/r/GERD/comments/b53t8d/chest_pain_after_eat/")</f>
        <v/>
      </c>
      <c r="G741" t="inlineStr">
        <is>
          <t>2019-03-24 17:32:01</t>
        </is>
      </c>
      <c r="H741" t="inlineStr"/>
    </row>
    <row r="742">
      <c r="A742" t="inlineStr">
        <is>
          <t>b53vx1</t>
        </is>
      </c>
      <c r="B742" t="inlineStr">
        <is>
          <t>27, have dealt with GETD since early 20s. Now it’s at the point where after most meals I get nauseous.</t>
        </is>
      </c>
      <c r="C742" t="inlineStr">
        <is>
          <t>And it really sucks. How do you guys deal with this? I also get bloated I think, and have to force myself to pass gas/go to the restroom because lately I feel as if the natural urges to make me defecate aren’t really happening
Doctor said I have moderate GERD when I did a barium swallow about a year ago. Prescribed me omeprazole which helps the acid/burning but not the naseua.
Is this just my life now?</t>
        </is>
      </c>
      <c r="D742" t="n">
        <v>1</v>
      </c>
      <c r="E742" t="n">
        <v>0</v>
      </c>
      <c r="F742">
        <f>HYPERLINK("https://www.reddit.com/r/GERD/comments/b53vx1/27_have_dealt_with_getd_since_early_20s_now_its/")</f>
        <v/>
      </c>
      <c r="G742" t="inlineStr">
        <is>
          <t>2019-03-24 17:39:30</t>
        </is>
      </c>
      <c r="H742" t="inlineStr"/>
    </row>
    <row r="743">
      <c r="A743" t="inlineStr">
        <is>
          <t>b593c3</t>
        </is>
      </c>
      <c r="B743" t="inlineStr">
        <is>
          <t>How I cured years of Reflux in just a couple of days</t>
        </is>
      </c>
      <c r="C743" t="inlineStr">
        <is>
          <t xml:space="preserve">I struggled with reflux for as long as I can remember. My father and brother were always clearing their throat so I thought it was normal. Until one night about 2 years ago I was lying in bed with a girl and was clearing my throat and she was like what da fuq lol
I tried everything for years, fast tract which helped a little, low acid diet and all the other stuff we hear out there. I got little to no relief. 
About a month ago I stumbled across a recommendation on r/zerocarb suggesting to try a carnivore diet. Then I came across numerous accounts of it successfully healing peoples lifelong issue of reflux. 
I was super skeptical of doing this as you can imagine. I was vegan for a year and a half (which actually made my reflux insanely bad along with another whole host of issues). So although I was back on meat I felt there were dangers to excessive consumption. So I did my research and read the thousands of anecdotal reports  of people’s experience. Guess I had nothing really to lose really since this my reflux was always there. 
Within 4 days of adopting this diet my reflux stopped. No throat clearing, no post nasal drip, no anxiety from the reflux stimulating my vagus nerve. My depressive thoughts just stopped. It’s fucking weird I know. Counterintuitive to the bullshit were fed on diet and nutrition. I’ve actually benefited in so many other ways outside of those listed. 
If you want to try this I will have you know there is a switch cost. You feel tired, moody, and overall a bit shitty for first 2 weeks more or less depending on the individual and diet you came from. I was paleo/low carb so my transition may not be as bad as others coming from SAD. You’re energy will return in abundance I promise you. Tough out the adaptation period please, I promise there is a light at the end of the tunnel. 
Anyway, just thought I’d share this and encourage those struggling to seriously consider doing this. There are so many resources out there. Don’t judge the diet until you’ve tried it yourself. It has made me a new man. 
Also, you don’t have to stick to this long term. Think of it as a mini experimentation phase. An elimination diet. Once you’ve healed your reflux start slowing incorporating foods back in and you’ll see which foods trigger reflux. 
Some great doctors and people out there promoting this on YouTube: 
- Dr. Paul Saladino 
- Dr. Ken Berry 
- Dr. Shawn Baker 
- Frank Tufano 
- Primal Edge Health 
- Amber O’Hearn 
- Kelly Hogan 
If you have any questions or concerns feel free to ask in the comments. Good luck! </t>
        </is>
      </c>
      <c r="D743" t="n">
        <v>0</v>
      </c>
      <c r="E743" t="n">
        <v>6</v>
      </c>
      <c r="F743">
        <f>HYPERLINK("https://www.reddit.com/r/GERD/comments/b593c3/how_i_cured_years_of_reflux_in_just_a_couple_of/")</f>
        <v/>
      </c>
      <c r="G743" t="inlineStr">
        <is>
          <t>2019-03-25 03:46:23</t>
        </is>
      </c>
      <c r="H743" t="inlineStr"/>
    </row>
    <row r="744">
      <c r="A744" t="inlineStr">
        <is>
          <t>b59r8t</t>
        </is>
      </c>
      <c r="B744" t="inlineStr">
        <is>
          <t>GERD?</t>
        </is>
      </c>
      <c r="C744" t="inlineStr">
        <is>
          <t>Anyone help? I'm 6'2 17 yrs old and 220lbs 17%Bf
So after a day of eating. at night I get stomach pains and I have to drink Castor oil to poop so the pain would be gone. I'm cutting at 2200 calories</t>
        </is>
      </c>
      <c r="D744" t="n">
        <v>1</v>
      </c>
      <c r="E744" t="n">
        <v>14</v>
      </c>
      <c r="F744">
        <f>HYPERLINK("https://www.reddit.com/r/GERD/comments/b59r8t/gerd/")</f>
        <v/>
      </c>
      <c r="G744" t="inlineStr">
        <is>
          <t>2019-03-25 04:56:29</t>
        </is>
      </c>
      <c r="H744" t="inlineStr"/>
    </row>
    <row r="745">
      <c r="A745" t="inlineStr">
        <is>
          <t>b5bddv</t>
        </is>
      </c>
      <c r="B745" t="inlineStr">
        <is>
          <t>Manometry survivor</t>
        </is>
      </c>
      <c r="C745" t="inlineStr">
        <is>
          <t xml:space="preserve">Just wanted to post my experience with the dreaded esophogeal manometry test. I'd read a lot of scare stuff about it, the surgeon told me "I'd hate it!," etc etc--the nurse doing the procedure asked me if I knew anything about it and I said, "yeah, that's it's nasty." She agreed. Anyhow, if people are  seriously stressed about it (as I was) I'd like to caution them against over-reacting to hearsay. An hour ago I had the test. The nurse numbs out your sinuses with lydocaine on a Q-tip. I was afraid they'd numb my throat, which can cause me to have a panic attack, but they didn't (not sure if it was because of what I told them or not). The tube goes in and hits the back of your sinuses in about two seconds, no struggle, no shoving or twisting. Then they have you tilt you head forward and take a drink of water while they snake it the rest of the way down. That takes another, what, four or five seconds. At this point the thing is in place, and you're going to feel an uncomfortable sensation of something stuck in your throat that you want out of there, like a stuck potato chip or something. A few minutes later I sort of relaxed and got used to it. Then you swallow a mouthful of salt water ten or twelve times while they get the data (30 seconds per swallow, while you aren't allowed to speak, swallow or talk). So maybe ten minutes later, it's done. The nurse warned me she was about to "alley oop" the thing out of my nose, I said fine, three seconds of mild, gross out discomfort and it was done. I am SURE there are people for whom this would be more of an ordeal, but if I'd read a description like this one, I'd have been a lot less stressed out. Hope it helps somebody. </t>
        </is>
      </c>
      <c r="D745" t="n">
        <v>10</v>
      </c>
      <c r="E745" t="n">
        <v>14</v>
      </c>
      <c r="F745">
        <f>HYPERLINK("https://www.reddit.com/r/GERD/comments/b5bddv/manometry_survivor/")</f>
        <v/>
      </c>
      <c r="G745" t="inlineStr">
        <is>
          <t>2019-03-25 07:30:05</t>
        </is>
      </c>
      <c r="H745" t="inlineStr"/>
    </row>
    <row r="746">
      <c r="A746" t="inlineStr">
        <is>
          <t>b5btxv</t>
        </is>
      </c>
      <c r="B746" t="inlineStr">
        <is>
          <t>Could this be LPR?</t>
        </is>
      </c>
      <c r="C746" t="inlineStr">
        <is>
          <t>Hey guys, I need a little help.
First, let me start by saying that last year I had a barium swallow test and my doctor said everything looked normal. The reason I had the test is because I had issues with lots of burping for over two years, as well as an intense episode of acid reflux after eating garlic. My throat and chest burned for about 48hours after the garlic. I thought I had a hole in my throat. It was awful.
Since then, I’ve had problems on and off with my throat. I tend to have a throbbing pain on one side of my throat that stays for weeks at a time and then leaves. It also moves around my throat a lot. My doctor said it was stress (I suffer from severe anxiety at times and am in therapy for it). 
This year, I’ve had two colds almost back to back, which caused me a lot of stress and left me terrified of throat pain. Two days ago, I took two vitamin C tablets right before bedtime (I chewed them lying down on my bed) and within an hour I woke up with what felt like fire in my throat. I couldn’t sleep all night because my throat was hurting so badly.
I spent the day in lots of pain. Yesterday I went to the doctor thinking maybe I had strep but she said no. She said it was probably just a viral infection. The pain stayed yesterday and didn’t get better this morning. I am only just now realizing it may be acid reflux (like the time I ate the garlic) as I feel no symptoms of a cold and it’s day 3. Also, the pain is still there; it especially hurts when I swallow.
Is it possible for this to be lpr? Could I have lpr and a barium swallow still come back as “normal”? Can lpr pain get worse when swallowing? Can the pain move around your throat, feeling different at times?
I seem to always have a hard time convincing my doctor that my symptoms are real since I suffer from anxiety and he kind of thinks that a lot of my symptoms are due to that stress. But my throat has been bothering for about two years now and right now I feel like just ripping it out haha.
Anyway, any input would help! Thanks in advance!</t>
        </is>
      </c>
      <c r="D746" t="n">
        <v>2</v>
      </c>
      <c r="E746" t="n">
        <v>0</v>
      </c>
      <c r="F746">
        <f>HYPERLINK("https://www.reddit.com/r/GERD/comments/b5btxv/could_this_be_lpr/")</f>
        <v/>
      </c>
      <c r="G746" t="inlineStr">
        <is>
          <t>2019-03-25 08:09:29</t>
        </is>
      </c>
      <c r="H746" t="inlineStr"/>
    </row>
    <row r="747">
      <c r="A747" t="inlineStr">
        <is>
          <t>b5c6uz</t>
        </is>
      </c>
      <c r="B747" t="inlineStr">
        <is>
          <t>What is Pepsin relation with Upper Esophageal Sphincter and Lower Esophageal Sphincter</t>
        </is>
      </c>
      <c r="C747" t="inlineStr">
        <is>
          <t>Hello everyone.
My symptoms:
irritated throat, I presume, because  of weak upper Esophageal Sphincter that is caused by refluxing with pepsin (thing that dissolves proteins in stomach) if pepsin is refluxed up into the throat it dissolves tissue, cell's...
1. I was diagnosed having GERD and perspcribeed with PPI's. Thought I dont have any heartburn or any kind of chess pain ?
My question is - do I have prblems with Lower Esophageal Sphincter ? Or is it only the problem with Upper Esophageal Sphincter and some kind of pressure that keeps pushing pepsin up ?
 Thank you</t>
        </is>
      </c>
      <c r="D747" t="n">
        <v>1</v>
      </c>
      <c r="E747" t="n">
        <v>5</v>
      </c>
      <c r="F747">
        <f>HYPERLINK("https://www.reddit.com/r/GERD/comments/b5c6uz/what_is_pepsin_relation_with_upper_esophageal/")</f>
        <v/>
      </c>
      <c r="G747" t="inlineStr">
        <is>
          <t>2019-03-25 08:39:25</t>
        </is>
      </c>
      <c r="H747" t="inlineStr"/>
    </row>
    <row r="748">
      <c r="A748" t="inlineStr">
        <is>
          <t>b5ejpc</t>
        </is>
      </c>
      <c r="B748" t="inlineStr">
        <is>
          <t>Pain in back, between shoulder blades?</t>
        </is>
      </c>
      <c r="C748" t="inlineStr">
        <is>
          <t>I have pain in my back, between my shoulder blades.  Is that where the lower esophogial sphincter is? I know my upper one is at the bottom of my neck. What is causing the pain in my back?</t>
        </is>
      </c>
      <c r="D748" t="n">
        <v>1</v>
      </c>
      <c r="E748" t="n">
        <v>4</v>
      </c>
      <c r="F748">
        <f>HYPERLINK("https://www.reddit.com/r/GERD/comments/b5ejpc/pain_in_back_between_shoulder_blades/")</f>
        <v/>
      </c>
      <c r="G748" t="inlineStr">
        <is>
          <t>2019-03-25 11:41:13</t>
        </is>
      </c>
      <c r="H748" t="inlineStr"/>
    </row>
    <row r="749">
      <c r="A749" t="inlineStr">
        <is>
          <t>b5emm5</t>
        </is>
      </c>
      <c r="B749" t="inlineStr">
        <is>
          <t>How do you take your PPI?</t>
        </is>
      </c>
      <c r="C749" t="inlineStr">
        <is>
          <t>I am on pantoprazole 40mg per day. I take 20mg on an empty stomach in the morning and 20mg before (my very early) dinner. My symptoms are not always well-controlled by my PPI and I've read that some people simply take one 40mg dose a day. Has anyone played with how they take their PPI and found better results? I am in the process of determining if I am a good candidate for Nissen Fundoplication and I want to get off PPIs as I have been on them for three years. But in the meantime, it would be nice to know if there's a way to have better results with my medication.</t>
        </is>
      </c>
      <c r="D749" t="n">
        <v>1</v>
      </c>
      <c r="E749" t="n">
        <v>9</v>
      </c>
      <c r="F749">
        <f>HYPERLINK("https://www.reddit.com/r/GERD/comments/b5emm5/how_do_you_take_your_ppi/")</f>
        <v/>
      </c>
      <c r="G749" t="inlineStr">
        <is>
          <t>2019-03-25 11:48:01</t>
        </is>
      </c>
      <c r="H749" t="inlineStr"/>
    </row>
    <row r="750">
      <c r="A750" t="inlineStr">
        <is>
          <t>b5eovj</t>
        </is>
      </c>
      <c r="B750" t="inlineStr">
        <is>
          <t>What do you use for stimulants when coffee and tea both trigger acid reflux?</t>
        </is>
      </c>
      <c r="C750" t="inlineStr">
        <is>
          <t>My partner is having a bad time with acid reflux and seems to have narrowed down caffeine as being the cause. Both coffee and tea cause it for him. 
He works an intense job and needs the stimulant though. Is there some other (legal) stimulant I'm not thinking of? Or maybe it's just the tea and coffee, and maybe he can take caffeine pills? How likely is that? 
Any advice will be appreciated!</t>
        </is>
      </c>
      <c r="D750" t="n">
        <v>7</v>
      </c>
      <c r="E750" t="n">
        <v>20</v>
      </c>
      <c r="F750">
        <f>HYPERLINK("https://www.reddit.com/r/GERD/comments/b5eovj/what_do_you_use_for_stimulants_when_coffee_and/")</f>
        <v/>
      </c>
      <c r="G750" t="inlineStr">
        <is>
          <t>2019-03-25 11:53:17</t>
        </is>
      </c>
      <c r="H750" t="inlineStr"/>
    </row>
    <row r="751">
      <c r="A751" t="inlineStr">
        <is>
          <t>b5g3zu</t>
        </is>
      </c>
      <c r="B751" t="inlineStr">
        <is>
          <t>What to expect at first gastroenterology appt?</t>
        </is>
      </c>
      <c r="C751" t="inlineStr">
        <is>
          <t>I'm super scared to schedule an appt with a gastroenterologist. Idk why because I've had other medical procedures and I'm not usually scared of doctors but for this I am just completely irrationally terrified.  What should a new patient expect? Many thanks in advance.</t>
        </is>
      </c>
      <c r="D751" t="n">
        <v>1</v>
      </c>
      <c r="E751" t="n">
        <v>3</v>
      </c>
      <c r="F751">
        <f>HYPERLINK("https://www.reddit.com/r/GERD/comments/b5g3zu/what_to_expect_at_first_gastroenterology_appt/")</f>
        <v/>
      </c>
      <c r="G751" t="inlineStr">
        <is>
          <t>2019-03-25 13:43:02</t>
        </is>
      </c>
      <c r="H751" t="inlineStr"/>
    </row>
    <row r="752">
      <c r="A752" t="inlineStr">
        <is>
          <t>b5h9e9</t>
        </is>
      </c>
      <c r="B752" t="inlineStr">
        <is>
          <t>LINX talk with GI doctor</t>
        </is>
      </c>
      <c r="C752" t="inlineStr">
        <is>
          <t>Guys, I'm gonna talk with my GI doctor about having LINX procedure. What topics should we cover?</t>
        </is>
      </c>
      <c r="D752" t="n">
        <v>2</v>
      </c>
      <c r="E752" t="n">
        <v>4</v>
      </c>
      <c r="F752">
        <f>HYPERLINK("https://www.reddit.com/r/GERD/comments/b5h9e9/linx_talk_with_gi_doctor/")</f>
        <v/>
      </c>
      <c r="G752" t="inlineStr">
        <is>
          <t>2019-03-25 15:13:40</t>
        </is>
      </c>
      <c r="H752" t="inlineStr"/>
    </row>
    <row r="753">
      <c r="A753" t="inlineStr">
        <is>
          <t>b5i9v8</t>
        </is>
      </c>
      <c r="B753" t="inlineStr">
        <is>
          <t>What can I do to get nutrients without eating</t>
        </is>
      </c>
      <c r="C753" t="inlineStr">
        <is>
          <t xml:space="preserve">So for about a month now I have had the feeling that something is stuck in my throat after I eat. It has progressed to the point that I constantly have that feeling so eating has become a nightmare. I literally have panic attacks when I think of eating.  I haven't had an actual meal in over a week and my day usually consists of one banana or a rice cake. I feel like I'm choking and have thrown up a few times when I was still eating. I'm getting an endoscopy tomorrow. I've already had the feesst and barium swallow.  I've also been bounced around by many doctors/specialists and essentially feel like giving up.  I know my diet isn't sustainable so I wanted to know if drinks like pedialyte will make the symptoms worse or at least stop me from feeling like I'm sick from the lack of food. 
Thanks in advance for reading all this. 
</t>
        </is>
      </c>
      <c r="D753" t="n">
        <v>3</v>
      </c>
      <c r="E753" t="n">
        <v>13</v>
      </c>
      <c r="F753">
        <f>HYPERLINK("https://www.reddit.com/r/GERD/comments/b5i9v8/what_can_i_do_to_get_nutrients_without_eating/")</f>
        <v/>
      </c>
      <c r="G753" t="inlineStr">
        <is>
          <t>2019-03-25 16:39:44</t>
        </is>
      </c>
      <c r="H753" t="inlineStr"/>
    </row>
    <row r="754">
      <c r="A754" t="inlineStr">
        <is>
          <t>b5ioqc</t>
        </is>
      </c>
      <c r="B754" t="inlineStr">
        <is>
          <t>Does anyone with gerd/lpr suffer from chronic headaches, ear pain, and back of neck pain?</t>
        </is>
      </c>
      <c r="C754" t="inlineStr">
        <is>
          <t>I was diagnosed with LPR in November and these on an off headaches, ear pain , and back of neck pain started in January, it’s still going on now, has anyone else been experiencing this too? I’ve also been having a lot of chest tightness and anxiety attacks but I believe this could be the result of stress and my Zantac pills (I read a lot of reviews on the relationship of Zantac/anxiety attacks)</t>
        </is>
      </c>
      <c r="D754" t="n">
        <v>12</v>
      </c>
      <c r="E754" t="n">
        <v>23</v>
      </c>
      <c r="F754">
        <f>HYPERLINK("https://www.reddit.com/r/GERD/comments/b5ioqc/does_anyone_with_gerdlpr_suffer_from_chronic/")</f>
        <v/>
      </c>
      <c r="G754" t="inlineStr">
        <is>
          <t>2019-03-25 17:16:27</t>
        </is>
      </c>
      <c r="H754" t="inlineStr"/>
    </row>
    <row r="755">
      <c r="A755" t="inlineStr">
        <is>
          <t>b5jxmd</t>
        </is>
      </c>
      <c r="B755" t="inlineStr">
        <is>
          <t>Anyone have experience with stopping daily zantac habbit?</t>
        </is>
      </c>
      <c r="C755" t="inlineStr">
        <is>
          <t>Ive been taking daily zantac for over 5 years. Im thinking about coming off as ive recently realized some other issues i have might be caused by the ranitidine. Im just curious if anyone knows how long the withdrawal period might last and if i should pick up some prilosec to substitute the zantac while i get through it?</t>
        </is>
      </c>
      <c r="D755" t="n">
        <v>3</v>
      </c>
      <c r="E755" t="n">
        <v>2</v>
      </c>
      <c r="F755">
        <f>HYPERLINK("https://www.reddit.com/r/GERD/comments/b5jxmd/anyone_have_experience_with_stopping_daily_zantac/")</f>
        <v/>
      </c>
      <c r="G755" t="inlineStr">
        <is>
          <t>2019-03-25 19:10:04</t>
        </is>
      </c>
      <c r="H755" t="inlineStr"/>
    </row>
    <row r="756">
      <c r="A756" t="inlineStr">
        <is>
          <t>b5mf95</t>
        </is>
      </c>
      <c r="B756" t="inlineStr">
        <is>
          <t>Fundic Gland Polyps</t>
        </is>
      </c>
      <c r="C756" t="inlineStr">
        <is>
          <t xml:space="preserve">Who has taken a ppi for a long time and has fundic gland polyps on EGD, is this cause to stop taking ppi? And who has heard of eoe vs gerd ugh this sucks! </t>
        </is>
      </c>
      <c r="D756" t="n">
        <v>2</v>
      </c>
      <c r="E756" t="n">
        <v>2</v>
      </c>
      <c r="F756">
        <f>HYPERLINK("https://www.reddit.com/r/GERD/comments/b5mf95/fundic_gland_polyps/")</f>
        <v/>
      </c>
      <c r="G756" t="inlineStr">
        <is>
          <t>2019-03-25 23:46:56</t>
        </is>
      </c>
      <c r="H756" t="inlineStr"/>
    </row>
    <row r="757">
      <c r="A757" t="inlineStr">
        <is>
          <t>b5qv6e</t>
        </is>
      </c>
      <c r="B757" t="inlineStr">
        <is>
          <t>Melatonin</t>
        </is>
      </c>
      <c r="C757" t="inlineStr">
        <is>
          <t>Wanted to pass along to folks that 1mg of melatonin 1 hour before bed has essentially rid me of all my symptoms.  There's also a growing body of researching in this area with positive results.  Cheers.</t>
        </is>
      </c>
      <c r="D757" t="n">
        <v>13</v>
      </c>
      <c r="E757" t="n">
        <v>30</v>
      </c>
      <c r="F757">
        <f>HYPERLINK("https://www.reddit.com/r/GERD/comments/b5qv6e/melatonin/")</f>
        <v/>
      </c>
      <c r="G757" t="inlineStr">
        <is>
          <t>2019-03-26 08:11:17</t>
        </is>
      </c>
      <c r="H757" t="inlineStr"/>
    </row>
    <row r="758">
      <c r="A758" t="inlineStr">
        <is>
          <t>b5ra5z</t>
        </is>
      </c>
      <c r="B758" t="inlineStr">
        <is>
          <t>Low FODMAPs Diet, anyone?</t>
        </is>
      </c>
      <c r="C758" t="inlineStr">
        <is>
          <t>I've seen it mentioned more than a dozen times among comments across the web the the **low FODMAPs** diet helped people with acid reflux, even though most of the studies concentrate solely on the IBS. Yet, we all know in some individuals, they're connected. 
It was developed in Australia some time ago and it's the *smartest* diet I've seen so far due to the simple fact that it's not meant to be followed for a long time. You're essentially cutting all short chained carbohydrates for a period of 3-8 weeks, then gradually reintroducing them, while testing on yourself what's doing you good and what's doing you bad. That's because short chained carbohydrates are a source of probiotics.   
A fancy review by Healthline, [here](https://www.healthline.com/nutrition/low-fodmap-diet).
A shitload of studies on Gastrojournal, [here](https://www.gastrojournal.org/action/doSearch?occurrences=all&amp;amp;searchText=low+fodmap&amp;amp;searchType=quick&amp;amp;searchScope=fullSite&amp;amp;journalCode=ygast&amp;amp;rows=100&amp;amp;startPage=0#navigation) \- start with the most popular ones by scrolling down and accessing the ones that have a lot of citations (40+, mostly green indicators also).  
The diet is kind of restrictive, but its doable for a maximum of 2 months.</t>
        </is>
      </c>
      <c r="D758" t="n">
        <v>2</v>
      </c>
      <c r="E758" t="n">
        <v>4</v>
      </c>
      <c r="F758">
        <f>HYPERLINK("https://www.reddit.com/r/GERD/comments/b5ra5z/low_fodmaps_diet_anyone/")</f>
        <v/>
      </c>
      <c r="G758" t="inlineStr">
        <is>
          <t>2019-03-26 08:44:45</t>
        </is>
      </c>
      <c r="H758" t="inlineStr"/>
    </row>
    <row r="759">
      <c r="A759" t="inlineStr">
        <is>
          <t>b5sucm</t>
        </is>
      </c>
      <c r="B759" t="inlineStr">
        <is>
          <t>I Cured My Gerd With Diet</t>
        </is>
      </c>
      <c r="C759" t="inlineStr">
        <is>
          <t>I'm sure some of you are at the point you would adopt an incredibly strict diet to cure your GERD so thought I would post for you people.
I spent years battling painful GERD. I would get lumps in my throat when eating, tons of mucus, heartburn, heart palpitatons. I would have significant trouble breathing. I would have to get on all fours with a pillow under my gut to breathe properly and get the gas out. I would get dizzy often, lightheaded. Would have weird episodes where I thought I was going to pass out. I was miserable. I also had terrible IBS. I would get awful gut pains, sometimes felt like it was a hot empty burning pain in my stomach, other times it was just stabbing pains all throughout my gut.  I was really, really miserable and sure that there was something seriously wrong with me. After all, how could I be in so much pain if there wasn't a medical reason for it? But test after test showed nothing. Doctors thought I was faking it or crazy I'm sure.
A few years ago, feeling like I had no hope, I started a strict elimination diet and within a few weeks I was so much better.
I now eat chicken, turkey or tuna and salmon. Banana, cherry or blueberries. Coconut oil or animal fat. TONS of bone broth and gravy made from chicken or turkey drippings (so delicious, just need some potato starch!) All herbs and spices. Any green veggie I like, carrots, parsnips, peas, rice, and a limited amount of potatoes and potato chips. I add a new food in once in a blue moon but have had some bad reactions so I mostly stick to this.
No dairy, no legumes, no nuts, no red meat, no wheat, nothing else. Just these foods. Veggies, a few fruits and lean meats.
I feel 100% better and all those symptoms are gone.  All of them.
I'm sure some people will wonder how I could live like this but I can tell you with all the certainty in the world, I would much rather live like this then live how I was. I feel healthy and glad to be alive.</t>
        </is>
      </c>
      <c r="D759" t="n">
        <v>12</v>
      </c>
      <c r="E759" t="n">
        <v>32</v>
      </c>
      <c r="F759">
        <f>HYPERLINK("https://www.reddit.com/r/GERD/comments/b5sucm/i_cured_my_gerd_with_diet/")</f>
        <v/>
      </c>
      <c r="G759" t="inlineStr">
        <is>
          <t>2019-03-26 10:51:30</t>
        </is>
      </c>
      <c r="H759" t="inlineStr"/>
    </row>
    <row r="760">
      <c r="A760" t="inlineStr">
        <is>
          <t>b5uvq7</t>
        </is>
      </c>
      <c r="B760" t="inlineStr">
        <is>
          <t>Difficulty breathing the past several weeks. Normal?</t>
        </is>
      </c>
      <c r="C760" t="inlineStr">
        <is>
          <t>Well it’s clearly not normal, but I was expecting this to go away after being diagnosed GERD a few weeks ago and prescribed medication to prevent GERD, but I still can’t breathe.
Sometimes I feel like I’m not inhaling enough, sometimes I feel like I’m forgetting to breathe. Some days are worse than others. But today, I really can’t breathe, I feel like I’m back to having bronchitis, and I’m itching to use that Zenhale inhaler I got for it to help me breathe, but I feel like I’m taking enough meds as is.
The medication is working to an extent, but it’s not helping with this ‘gas-feeling’ build up near the bottom of my center ribcage. If I lie sideways, I feel a sharp pain going into that side of my chest, perhaps it’s my lungs?
What to do? Is this an urgent problem? I feel like I’ll just stop breathing or die from lack of breath.</t>
        </is>
      </c>
      <c r="D760" t="n">
        <v>3</v>
      </c>
      <c r="E760" t="n">
        <v>3</v>
      </c>
      <c r="F760">
        <f>HYPERLINK("https://www.reddit.com/r/GERD/comments/b5uvq7/difficulty_breathing_the_past_several_weeks_normal/")</f>
        <v/>
      </c>
      <c r="G760" t="inlineStr">
        <is>
          <t>2019-03-26 13:33:41</t>
        </is>
      </c>
      <c r="H760" t="inlineStr"/>
    </row>
    <row r="761">
      <c r="A761" t="inlineStr">
        <is>
          <t>b5wvr4</t>
        </is>
      </c>
      <c r="B761" t="inlineStr">
        <is>
          <t>Taking Chlorax and GERD</t>
        </is>
      </c>
      <c r="C761" t="inlineStr">
        <is>
          <t>I just got prescribed Chlorax for GERD, because I am having even more problems with my stomach, but mostly for my breathing difficulty.
I looked up the medication online, and it says it can cause breathing difficulty, which concerns me, since I am already having problems breathing. And I don’t wanna just stop breathing. Is it really safe? Is there a risk for taking it if I already have problems breathing?</t>
        </is>
      </c>
      <c r="D761" t="n">
        <v>1</v>
      </c>
      <c r="E761" t="n">
        <v>0</v>
      </c>
      <c r="F761">
        <f>HYPERLINK("https://www.reddit.com/r/GERD/comments/b5wvr4/taking_chlorax_and_gerd/")</f>
        <v/>
      </c>
      <c r="G761" t="inlineStr">
        <is>
          <t>2019-03-26 16:20:42</t>
        </is>
      </c>
      <c r="H761" t="inlineStr"/>
    </row>
    <row r="762">
      <c r="A762" t="inlineStr">
        <is>
          <t>b5x4c0</t>
        </is>
      </c>
      <c r="B762" t="inlineStr">
        <is>
          <t>Acid Reflex Help, I do not know what to do</t>
        </is>
      </c>
      <c r="C762" t="inlineStr">
        <is>
          <t xml:space="preserve">I am looking for any advise on trying to reduce/get rid of my symptoms for acid reflex.  I've tried a few things and nothing has seemed to be a permanent solution
&amp;amp;#x200B;
I am 19 right now, and I first noticed my symptoms 2 years ago.  I went to multiple doctors and have now settled on one that seems to know what he is doing (finding a GI is very hard under 18 in my experience).  He prescribed me omperazole for 2 months at first, to reduce inflammation already in my stomach.  I also underwent and endoscopy to check for ulcers ( I had none).  He gave me a twice daily prescription for ranitidine as well. Since then It gradually got better, to the point about a year ago I thought it had went away and I reintroduced some tomato based foods into my diet once or twice a week.  This did not affect me until about a month and  half ago, when suddenly, it got way worse almost overnight.  
&amp;amp;#x200B;
To be fair, that day I had accidentally ate a couple pieces of chocolate.  Realizing I messed up, I took a pill to help my stomach.  The pill did absolutely nothing, and the next 3 days were hell.  I am a college student, and I could not get out of bed, let alone go to class during this period.  I called my doctor and he said to start taking the omperazole again for a couple months to calm it down.  After those 3 days my 'attack' went away, but my symptoms became regular again.  Every time I eat now, I get severe stomach pain.  I now take ranitidine before lunch and dinner (my main meals).  The pill does say to take twice a day, so I am taking like it is supposed to.  After almost 2 months now taking omperazole, my symptoms still have not gotten better.  I have completely gotten rid of caffeine and chocolate from my diet for 2 months.  I also haven't had tomato based foods for 2 weeks now.  Nothing has helped.  I am also not helped by my schools dining courts which seem to serve a lot of acid containing foods.
&amp;amp;#x200B;
Any advise to help get rid of the symptoms? I am almost to the point where I do not want to eat because the pain of eating is not worth it.    </t>
        </is>
      </c>
      <c r="D762" t="n">
        <v>1</v>
      </c>
      <c r="E762" t="n">
        <v>3</v>
      </c>
      <c r="F762">
        <f>HYPERLINK("https://www.reddit.com/r/GERD/comments/b5x4c0/acid_reflex_help_i_do_not_know_what_to_do/")</f>
        <v/>
      </c>
      <c r="G762" t="inlineStr">
        <is>
          <t>2019-03-26 16:42:46</t>
        </is>
      </c>
      <c r="H762" t="inlineStr"/>
    </row>
    <row r="763">
      <c r="A763" t="inlineStr">
        <is>
          <t>b5xpfq</t>
        </is>
      </c>
      <c r="B763" t="inlineStr">
        <is>
          <t>How worried should I be?</t>
        </is>
      </c>
      <c r="C763" t="inlineStr">
        <is>
          <t>Hi.  This will be long, so I’m sorry in advance.
I’m 41/f.  I had reflux issues with my two pregnancies and went on OTC Prilosec.  I stupidly have stayed on them for 11 years now, no doctor has urged me to wean off them, and they’ve been perfect with zero breakthrough or trouble unless I forget a few days.  Until two years ago.  We were uninsured (too expensive) so I couldn’t get scoped.  I started feeling back burning and acid in my throat when I’d drink black coffee on an empty stomach.  I stopped that, and the reflux stopped.  It has come back twice since then.
For about six years, I had bad depression, gained massive weight, drank to excess most evenings and pretty much ruined my health.  Two years ago, I began to get healthy again.
Fast forward to now.  I had bad breakthrough acid last October and trouble swallowing.  Still no insurance, but went to the ER who did X-rays and blood work, gave me sulcafate (?), and it got better.  Last week I had the back pain and stomach burning after too much coffee.  Stopped that, and am trying to sleep on an incline and stick with a basic GERD diet and eliminating known culprits.
In the meantime, I’m making an appointment with my GP to get seen by a GI because we finally have decent insurance.  I’m really terrified.
I have lots of risk factors for EC.  I have gone a long time with symptoms without ever knowing if I even had Barrett’s at some point.  I am just scared that these recent symptoms are cancer after years of abuse and neglect.  I’m overwhelmed with anxiety over this, and waiting is the worst.  
Can you offer any reassurance?  I guess I feel like since I know I engaged in risky lifestyle choices, my chances are really bad.  These symptoms are all I can think about, and they don’t seem to be getting much better this time.  Thoughts?</t>
        </is>
      </c>
      <c r="D763" t="n">
        <v>1</v>
      </c>
      <c r="E763" t="n">
        <v>5</v>
      </c>
      <c r="F763">
        <f>HYPERLINK("https://www.reddit.com/r/GERD/comments/b5xpfq/how_worried_should_i_be/")</f>
        <v/>
      </c>
      <c r="G763" t="inlineStr">
        <is>
          <t>2019-03-26 17:36:40</t>
        </is>
      </c>
      <c r="H763" t="inlineStr"/>
    </row>
    <row r="764">
      <c r="A764" t="inlineStr">
        <is>
          <t>b5xrwf</t>
        </is>
      </c>
      <c r="B764" t="inlineStr">
        <is>
          <t>Broccoli?</t>
        </is>
      </c>
      <c r="C764" t="inlineStr">
        <is>
          <t xml:space="preserve">I've been omeprazole for almost 2 weeks since this nightmare began, being careful about what I've been eating. To my surprise, the food that has bothered me most, since I started avoiding triggers, has been broccoli. Does anyone else have problems with broccoli? </t>
        </is>
      </c>
      <c r="D764" t="n">
        <v>1</v>
      </c>
      <c r="E764" t="n">
        <v>4</v>
      </c>
      <c r="F764">
        <f>HYPERLINK("https://www.reddit.com/r/GERD/comments/b5xrwf/broccoli/")</f>
        <v/>
      </c>
      <c r="G764" t="inlineStr">
        <is>
          <t>2019-03-26 17:43:04</t>
        </is>
      </c>
      <c r="H764" t="inlineStr"/>
    </row>
    <row r="765">
      <c r="A765" t="inlineStr">
        <is>
          <t>b5zbyt</t>
        </is>
      </c>
      <c r="B765" t="inlineStr">
        <is>
          <t>Low Blood Pressure caused by PPIs</t>
        </is>
      </c>
      <c r="C765" t="inlineStr">
        <is>
          <t>Anyone has low blood pressure since taking PPIs? I’ve been on Omeprazole then Panto-Prazole then now Nexium (Esomeprazole) and my blood pressure has been low (around averaging from 85/65 to 90/70) my Doctor told me it’s normal for me have low blood pressure cos I’m petite but I have a feeling me taking medication for 2-3 years is a factor. I did a research and read that PPIs have been associated with an increased risk of Vitamin B12 deficiency, and low blood pressure is one of symptoms of. I also experience fast heartbeat sometimes, lightheadedness, pain on my neck and shoulders and sometimes a bit dizzy.
[where I found the info](https://www.webmd.com/heartburn-gerd/news/20131210/acid-reflux-drugs-tied-to-lower-levels-of-vitamin-b-12)</t>
        </is>
      </c>
      <c r="D765" t="n">
        <v>2</v>
      </c>
      <c r="E765" t="n">
        <v>5</v>
      </c>
      <c r="F765">
        <f>HYPERLINK("https://www.reddit.com/r/GERD/comments/b5zbyt/low_blood_pressure_caused_by_ppis/")</f>
        <v/>
      </c>
      <c r="G765" t="inlineStr">
        <is>
          <t>2019-03-26 20:15:57</t>
        </is>
      </c>
      <c r="H765" t="inlineStr"/>
    </row>
    <row r="766">
      <c r="A766" t="inlineStr">
        <is>
          <t>b5znua</t>
        </is>
      </c>
      <c r="B766" t="inlineStr">
        <is>
          <t>Heartburn Gave My Dad Cancer. What About the Rest of Us?</t>
        </is>
      </c>
      <c r="C766" t="inlineStr">
        <is>
          <t>Esophageal cancer related to chronic acid reflux is among the fastest-growing cancers in the U.S. Diet and weight are likely culprits, but what else?
[https://undark.org/article/esophageal-cancer-rates-rising-united-states/](https://undark.org/article/esophageal-cancer-rates-rising-united-states/)</t>
        </is>
      </c>
      <c r="D766" t="n">
        <v>18</v>
      </c>
      <c r="E766" t="n">
        <v>12</v>
      </c>
      <c r="F766">
        <f>HYPERLINK("https://www.reddit.com/r/GERD/comments/b5znua/heartburn_gave_my_dad_cancer_what_about_the_rest/")</f>
        <v/>
      </c>
      <c r="G766" t="inlineStr">
        <is>
          <t>2019-03-26 20:51:58</t>
        </is>
      </c>
      <c r="H766" t="inlineStr"/>
    </row>
    <row r="767">
      <c r="A767" t="inlineStr">
        <is>
          <t>b63lav</t>
        </is>
      </c>
      <c r="B767" t="inlineStr">
        <is>
          <t>Thanks! and third week update.</t>
        </is>
      </c>
      <c r="C767" t="inlineStr">
        <is>
          <t>Hey everyone - i dont know if anyone finds these posts helpful, but in case it does, i just want to give you an update so far.  
The lump still hasn't returned yet, throat is still a bit sore - trying not to talk too much.  Swallowing has gotten much better.  I'm speaking with my PCP again this weekend for a routine physical and will get the appt for the scope to see about Barrett's.  
Changes i made:
Quit smoking, quit drinking alcohol or anything caffeinated.  I only drink two liquids.  Essentia water (High PH) and Premier protein to supplement the protein intake a bit.  Diet is centered around chicken, (wish i had a taste for fish) i do have a lean cut of beef once a week, vegetables, oatmeal, bananas, watermelon.  I'm making a better effort to eat slower as well.  I've elevated myself when sleeping with a wedge pillow.  I take omeprazole (40mg once a day religiously when i get up).  I'm trying to cut out most stress as i deal with anxiety as well and felt like that also wasn't helping.  I was recommended by the sub last week the book Acid Watchers, and trying to introduce slowly back into my diet his approved foods.  Finally i'm walking a lot more, and began exercising.  My weight has come down about 4 pounds since this began just cutting out some of the bad foods i was eating in excess.  5'9"/173 lbs.  I had one bad day this past monday, because i screwed up and ate a bit later than usual.  I knew it when i laid down.  It passed but i hope it wasn't too much of a setback because even the next day i felt like a pressure that i needed to burp, but couldnt, but it was more irritating than anything scary like the full on lump.
Just wanted to thank everyone here for some good initial advice that got me through the first several days!.  This sucks, but having a sub like this makes things a bit easier.</t>
        </is>
      </c>
      <c r="D767" t="n">
        <v>9</v>
      </c>
      <c r="E767" t="n">
        <v>4</v>
      </c>
      <c r="F767">
        <f>HYPERLINK("https://www.reddit.com/r/GERD/comments/b63lav/thanks_and_third_week_update/")</f>
        <v/>
      </c>
      <c r="G767" t="inlineStr">
        <is>
          <t>2019-03-27 04:59:06</t>
        </is>
      </c>
      <c r="H767" t="inlineStr"/>
    </row>
    <row r="768">
      <c r="A768" t="inlineStr">
        <is>
          <t>b65rkb</t>
        </is>
      </c>
      <c r="B768" t="inlineStr">
        <is>
          <t>Is taking pills enough?</t>
        </is>
      </c>
      <c r="C768" t="inlineStr">
        <is>
          <t xml:space="preserve">So today I finally went through the gastroscopy procedure.that was my first time and  It was unbelievable horror. I was crying all the time and they even lost the whatever they cut out of the stomach 2 times and had to do it all over again. 
Beside acid reflux the doctor said I have abnormally thin gastric mucosa so I’m also waiting for the laboratory- if it’s bacteria I’ll probably get some antibiotics.
I know from reading posts from the past that the food can make a big difference but my doctor just gave me the medicine and didn’t discuss anything about diet or else. 
I’m just curious Is taking pills enough for you or do you all combine with some sort of diet? 
</t>
        </is>
      </c>
      <c r="D768" t="n">
        <v>2</v>
      </c>
      <c r="E768" t="n">
        <v>8</v>
      </c>
      <c r="F768">
        <f>HYPERLINK("https://www.reddit.com/r/GERD/comments/b65rkb/is_taking_pills_enough/")</f>
        <v/>
      </c>
      <c r="G768" t="inlineStr">
        <is>
          <t>2019-03-27 08:39:08</t>
        </is>
      </c>
      <c r="H768" t="inlineStr"/>
    </row>
    <row r="769">
      <c r="A769" t="inlineStr">
        <is>
          <t>b664iw</t>
        </is>
      </c>
      <c r="B769" t="inlineStr">
        <is>
          <t>Question on color of stool on meds</t>
        </is>
      </c>
      <c r="C769" t="inlineStr">
        <is>
          <t xml:space="preserve">I always pay attention to the color and consistency and since eating healthier/getting on PPIs (happened around the same time) they have been solid and smooth, sink, never float, and no straining and pretty regular (twice a day when I’m eating a lot more beans). 
But the color has changed. Sometimes orangish, yellowish, greenish, light brown etc but almost never brown like the crayon brown. I’ve looked up colors and it’s the lighter and yellower colors that worry me. 
My diet has been vegan for the past two months, helps me with my stomach acid personally. So in general it’s a lot of beans, sweet potato, brown rice, steel cut oats, spinach, and tofu. 
If I’m regular, no pain, solid soft bowel movements should I be digging into the color so much? Also do PPIs (panpropazol) change it? </t>
        </is>
      </c>
      <c r="D769" t="n">
        <v>1</v>
      </c>
      <c r="E769" t="n">
        <v>7</v>
      </c>
      <c r="F769">
        <f>HYPERLINK("https://www.reddit.com/r/GERD/comments/b664iw/question_on_color_of_stool_on_meds/")</f>
        <v/>
      </c>
      <c r="G769" t="inlineStr">
        <is>
          <t>2019-03-27 09:14:59</t>
        </is>
      </c>
      <c r="H769" t="inlineStr"/>
    </row>
    <row r="770">
      <c r="A770" t="inlineStr">
        <is>
          <t>b674qn</t>
        </is>
      </c>
      <c r="B770" t="inlineStr">
        <is>
          <t>Best curcumin supplement?</t>
        </is>
      </c>
      <c r="C770" t="inlineStr">
        <is>
          <t xml:space="preserve">Anyone try smartercurcumin? </t>
        </is>
      </c>
      <c r="D770" t="n">
        <v>3</v>
      </c>
      <c r="E770" t="n">
        <v>2</v>
      </c>
      <c r="F770">
        <f>HYPERLINK("https://www.reddit.com/r/GERD/comments/b674qn/best_curcumin_supplement/")</f>
        <v/>
      </c>
      <c r="G770" t="inlineStr">
        <is>
          <t>2019-03-27 10:34:55</t>
        </is>
      </c>
      <c r="H770" t="inlineStr"/>
    </row>
    <row r="771">
      <c r="A771" t="inlineStr">
        <is>
          <t>b6791f</t>
        </is>
      </c>
      <c r="B771" t="inlineStr">
        <is>
          <t>My general practitioner is finally sending me to gastroenterologist for an endoscopy. I'm both relieved and anxious.</t>
        </is>
      </c>
      <c r="C771" t="inlineStr">
        <is>
          <t>After a year of dealing with GERD, coughing, and frequent reflux despite being on pantoprazole, my GP agreed to send me to a specialist. She said they'll probably want to do an endoscopy and possibly a biopsy. She also wants them to test me for food allergies/intolerances and Celiac disease. 
So, that's fun. I would rather have to give up certain foods than have a surgery tho. 
Anyway. I just felt the need to post. I'm incredibly nervous about going under anesthesia for the endoscopy, so any advice and/or support would be appreciated.</t>
        </is>
      </c>
      <c r="D771" t="n">
        <v>14</v>
      </c>
      <c r="E771" t="n">
        <v>20</v>
      </c>
      <c r="F771">
        <f>HYPERLINK("https://www.reddit.com/r/GERD/comments/b6791f/my_general_practitioner_is_finally_sending_me_to/")</f>
        <v/>
      </c>
      <c r="G771" t="inlineStr">
        <is>
          <t>2019-03-27 10:44:23</t>
        </is>
      </c>
      <c r="H771" t="inlineStr"/>
    </row>
    <row r="772">
      <c r="A772" t="inlineStr">
        <is>
          <t>b68c9c</t>
        </is>
      </c>
      <c r="B772" t="inlineStr">
        <is>
          <t>Clogged Ears, Omeprazole</t>
        </is>
      </c>
      <c r="C772" t="inlineStr">
        <is>
          <t>Hi all,
I have had a clogged ear for 3 months and finally went to an ENT. He prescribed me Omeprazole saying it is acid reflux causing the clogged ear.
Before I take these, I wanted to see if my symptoms sound right to you guys:
- clogged ear (won’t pop)
- mucus/ nasal drip feeling in back of throat
Aside from that I feel no pain, heart burn, etc. is this common for acid reflux?</t>
        </is>
      </c>
      <c r="D772" t="n">
        <v>2</v>
      </c>
      <c r="E772" t="n">
        <v>6</v>
      </c>
      <c r="F772">
        <f>HYPERLINK("https://www.reddit.com/r/GERD/comments/b68c9c/clogged_ears_omeprazole/")</f>
        <v/>
      </c>
      <c r="G772" t="inlineStr">
        <is>
          <t>2019-03-27 12:11:36</t>
        </is>
      </c>
      <c r="H772" t="inlineStr"/>
    </row>
    <row r="773">
      <c r="A773" t="inlineStr">
        <is>
          <t>b694iv</t>
        </is>
      </c>
      <c r="B773" t="inlineStr">
        <is>
          <t>What are your personal symptoms?</t>
        </is>
      </c>
      <c r="C773" t="inlineStr">
        <is>
          <t>I was diagnosed with GERD years ago.  
It comes in and out of my life, sometimes I even forget about it.
I'm posting here because I've always been confused whether if I have experience "acid reflex".  
What exactly IS acid reflex?
I experience almost all other symptoms very mildly, nauseousness/regurgitation is the most consistent; daily when the disease is active. The most acid or burning feeling I get is when I throw up. I rarely ever feel the typical "heart burn" or "burning sensation". Does that mean I probably don't even have GERD?
What are your personal symptoms? Do most of us experience it differently?
&amp;amp;#x200B;
Hope you guys are doing okay today! Cause I sure feel like shit lol probably relapsed hardcore. I plan on getting my shit together to deal with GERD.
Thanks y'all.</t>
        </is>
      </c>
      <c r="D773" t="n">
        <v>3</v>
      </c>
      <c r="E773" t="n">
        <v>18</v>
      </c>
      <c r="F773">
        <f>HYPERLINK("https://www.reddit.com/r/GERD/comments/b694iv/what_are_your_personal_symptoms/")</f>
        <v/>
      </c>
      <c r="G773" t="inlineStr">
        <is>
          <t>2019-03-27 13:14:54</t>
        </is>
      </c>
      <c r="H773" t="inlineStr"/>
    </row>
    <row r="774">
      <c r="A774" t="inlineStr">
        <is>
          <t>b69655</t>
        </is>
      </c>
      <c r="B774" t="inlineStr">
        <is>
          <t>Weight lifting dilemma</t>
        </is>
      </c>
      <c r="C774" t="inlineStr">
        <is>
          <t>Greetings all,
Ive been a sufferer of GERD for the longest time and was put on some PPIs for treatment for about 8 months. After going through this sub I found the keto diet or that going low carb helped people, so Ive been on it for a year now and feel symptom free.
Ive started weight lifting for about 3 months now and feel great. After losing alot of weight from keto and being on ppis, eating less etc; gaining strength and building muscle makes me feel great, just one problem.
Every time I hit a slightly intense session, or workout hard for more than 30 minutes, I get a very bad burning sensation in my stomach post workout which lasts about 30 minutes to an hour.
I dont eat any trigger foods, spicy etc and eat a pretty strict keto diet meaning grilled meats cheese and veggies on most days. I also noticed it usually triggered because of exercise that puts abdominal pressure, such as squats. I simply avoided it and it helped alleviate the pains.
But nowadays even a full upper body workout puts me in pain. And really have no idea what else to do. 
I really dont want to stop weight lifting as this is something that really helps with my overall mood, quality of living etc; and really want to know if anyone else has gone through this or anything similar
For reference im about 145lbs, 5'11</t>
        </is>
      </c>
      <c r="D774" t="n">
        <v>4</v>
      </c>
      <c r="E774" t="n">
        <v>3</v>
      </c>
      <c r="F774">
        <f>HYPERLINK("https://www.reddit.com/r/GERD/comments/b69655/weight_lifting_dilemma/")</f>
        <v/>
      </c>
      <c r="G774" t="inlineStr">
        <is>
          <t>2019-03-27 13:18:22</t>
        </is>
      </c>
      <c r="H774" t="inlineStr"/>
    </row>
    <row r="775">
      <c r="A775" t="inlineStr">
        <is>
          <t>b6ac81</t>
        </is>
      </c>
      <c r="B775" t="inlineStr">
        <is>
          <t>Gastric emptying</t>
        </is>
      </c>
      <c r="C775" t="inlineStr">
        <is>
          <t>I have a gastric emptying test on Friday. It takes about 4 hours, they tell me. I'm wondering if I can bring a laptop or paperwork with me. I can't envision it--no descriptions actually tell you what you're doing all that time, other than "images are taken at certain intervals." You're sitting around an office, a waiting room, what? Lying under a scope?</t>
        </is>
      </c>
      <c r="D775" t="n">
        <v>1</v>
      </c>
      <c r="E775" t="n">
        <v>2</v>
      </c>
      <c r="F775">
        <f>HYPERLINK("https://www.reddit.com/r/GERD/comments/b6ac81/gastric_emptying/")</f>
        <v/>
      </c>
      <c r="G775" t="inlineStr">
        <is>
          <t>2019-03-27 14:51:19</t>
        </is>
      </c>
      <c r="H775" t="inlineStr"/>
    </row>
    <row r="776">
      <c r="A776" t="inlineStr">
        <is>
          <t>b6aetk</t>
        </is>
      </c>
      <c r="B776" t="inlineStr">
        <is>
          <t>Does everyone here suffer from anxiety?</t>
        </is>
      </c>
      <c r="C776" t="inlineStr">
        <is>
          <t>Just curious.</t>
        </is>
      </c>
      <c r="D776" t="n">
        <v>36</v>
      </c>
      <c r="E776" t="n">
        <v>54</v>
      </c>
      <c r="F776">
        <f>HYPERLINK("https://www.reddit.com/r/GERD/comments/b6aetk/does_everyone_here_suffer_from_anxiety/")</f>
        <v/>
      </c>
      <c r="G776" t="inlineStr">
        <is>
          <t>2019-03-27 14:56:59</t>
        </is>
      </c>
      <c r="H776" t="inlineStr"/>
    </row>
    <row r="777">
      <c r="A777" t="inlineStr">
        <is>
          <t>b6b8p8</t>
        </is>
      </c>
      <c r="B777" t="inlineStr">
        <is>
          <t>Sternum Pain</t>
        </is>
      </c>
      <c r="C777" t="inlineStr">
        <is>
          <t>Hello everyone! I have been experiencing acid reflux issues for about three months. During this time, my sternum has hurt THE WHOLE TIME! It feels like a burning dull ache down my entire sternum, and it doesn't ever stop. It doesn't only happen after I eat. I saw my gastroenterologist today who told me that acid reflux doesn't cause costochondritis. Though I don't know if that is what this is. Every now and then it feels sore to the touch, but not all the time. She looked at me like I was crazy. As if acid reflux doesn't ever cause chest pain. She basically said it was probably anxiety based or fibromyalgia. I'm really worried about what this could be. I, like many of us have bad anxiety. My mind goes crazy thinking the worst. I was wondering if anyone else has experienced this. I have an appointment with my regular doctor on Monday. I'm going to mention this to them and see what they say.</t>
        </is>
      </c>
      <c r="D777" t="n">
        <v>1</v>
      </c>
      <c r="E777" t="n">
        <v>9</v>
      </c>
      <c r="F777">
        <f>HYPERLINK("https://www.reddit.com/r/GERD/comments/b6b8p8/sternum_pain/")</f>
        <v/>
      </c>
      <c r="G777" t="inlineStr">
        <is>
          <t>2019-03-27 16:08:04</t>
        </is>
      </c>
      <c r="H777" t="inlineStr"/>
    </row>
    <row r="778">
      <c r="A778" t="inlineStr">
        <is>
          <t>b6c7rz</t>
        </is>
      </c>
      <c r="B778" t="inlineStr">
        <is>
          <t>I don't understand why I am getting worse while on meds?</t>
        </is>
      </c>
      <c r="C778" t="inlineStr">
        <is>
          <t xml:space="preserve">I am heading into my third month on lansoprazole and I am not getting any better. I was really hopeful about this one, too. I have been taking melatonin at night because I read that could help and I've noticed no difference. 
I still have problems with different foods and the pain in my neck is getting worse. I also am now having chest and arm pains after eating. The list of foods ok for me to eat just keeps getting shorter. I am afraid to eat now and I am now starving most of the time because I just don't trust that I won't end up gagging on my own throat afterwards. 
I'm on vacation right now with my daughter. We are at some fancy waterpark resort in the mountains and after spending the day swimming I was totally starving. I let her talk me into getting Chinese food. I promised her a night of laser tag and glow in the dark mini golf but now I'm stuck in bed afraid to go anywhere. My head is pounding, I have food in my throat, my arms hurt, I have gas, and I am freezing cold. 
Why can't I just get better instead of worse? </t>
        </is>
      </c>
      <c r="D778" t="n">
        <v>3</v>
      </c>
      <c r="E778" t="n">
        <v>1</v>
      </c>
      <c r="F778">
        <f>HYPERLINK("https://www.reddit.com/r/GERD/comments/b6c7rz/i_dont_understand_why_i_am_getting_worse_while_on/")</f>
        <v/>
      </c>
      <c r="G778" t="inlineStr">
        <is>
          <t>2019-03-27 17:39:58</t>
        </is>
      </c>
      <c r="H778" t="inlineStr"/>
    </row>
    <row r="779">
      <c r="A779" t="inlineStr">
        <is>
          <t>b6cyr9</t>
        </is>
      </c>
      <c r="B779" t="inlineStr">
        <is>
          <t>My reflux symptoms are worse when standing. Why?</t>
        </is>
      </c>
      <c r="C779" t="inlineStr">
        <is>
          <t>Hi
I’ve been dealing with numerous symptoms for a while now. Have see doctors regularly and been for an endoscopy which didn’t find anything. I very rarely get an acidic sensation, more throat tightness and this odd tension like feeling that is relieved when I swallow. These symptoms only seem to be present when I’m standing which I don’t understand because that should actually help. Does anyone else experience this or know why it might happen?</t>
        </is>
      </c>
      <c r="D779" t="n">
        <v>2</v>
      </c>
      <c r="E779" t="n">
        <v>0</v>
      </c>
      <c r="F779">
        <f>HYPERLINK("https://www.reddit.com/r/GERD/comments/b6cyr9/my_reflux_symptoms_are_worse_when_standing_why/")</f>
        <v/>
      </c>
      <c r="G779" t="inlineStr">
        <is>
          <t>2019-03-27 18:53:43</t>
        </is>
      </c>
      <c r="H779" t="inlineStr"/>
    </row>
    <row r="780">
      <c r="A780" t="inlineStr">
        <is>
          <t>b6fgeb</t>
        </is>
      </c>
      <c r="B780" t="inlineStr">
        <is>
          <t>What tests have you had done, what did they find, and what was the follow-up treatment?</t>
        </is>
      </c>
      <c r="C780" t="inlineStr">
        <is>
          <t>I read about different tests here and there, mostly endoscopies, but thought it might be useful to compile the info.</t>
        </is>
      </c>
      <c r="D780" t="n">
        <v>1</v>
      </c>
      <c r="E780" t="n">
        <v>2</v>
      </c>
      <c r="F780">
        <f>HYPERLINK("https://www.reddit.com/r/GERD/comments/b6fgeb/what_tests_have_you_had_done_what_did_they_find/")</f>
        <v/>
      </c>
      <c r="G780" t="inlineStr">
        <is>
          <t>2019-03-27 23:41:49</t>
        </is>
      </c>
      <c r="H780" t="inlineStr"/>
    </row>
    <row r="781">
      <c r="A781" t="inlineStr">
        <is>
          <t>b6ilef</t>
        </is>
      </c>
      <c r="B781" t="inlineStr">
        <is>
          <t>OGD Results</t>
        </is>
      </c>
      <c r="C781" t="inlineStr">
        <is>
          <t>Hi everyone. finally had an OGD today after dealing with reflux for about a year. My doctor is very nice but we do not speak the same language (I'm not in my home country)so I had a bit of trouble understanding him, but he did not seem terribly concerned. The results were:
Esophagus: "There is acid reflux with mucosal breaks at the OGJ at 40 CM"
Stomach: "Normal"
D1: "Bulb is deformed with mucosal oedema"
D2: "Inflamed, biopsy taken"
H Pylori: "Negative"
Conclusion: Grade "A" oesophagitis + Duodenitis
Recommendation: "Nexium 20mg twice daily for 8 weeks plus Dicetel.
Anybody had similar results? Like I said, he didn't seem overly concerned but I've been on Nexium for a while and though it helps I still have some issues. Thanks!</t>
        </is>
      </c>
      <c r="D781" t="n">
        <v>0</v>
      </c>
      <c r="E781" t="n">
        <v>0</v>
      </c>
      <c r="F781">
        <f>HYPERLINK("https://www.reddit.com/r/GERD/comments/b6ilef/ogd_results/")</f>
        <v/>
      </c>
      <c r="G781" t="inlineStr">
        <is>
          <t>2019-03-28 06:09:53</t>
        </is>
      </c>
      <c r="H781" t="inlineStr"/>
    </row>
    <row r="782">
      <c r="A782" t="inlineStr">
        <is>
          <t>b6kfvb</t>
        </is>
      </c>
      <c r="B782" t="inlineStr">
        <is>
          <t>Breaking GERD rules helps me- clue that it's anxiety?</t>
        </is>
      </c>
      <c r="C782" t="inlineStr">
        <is>
          <t xml:space="preserve">**TL;DR: I only have symptoms when I sleep. Following the usual GERD advice seems to have made my symptoms worse over time. When I break the rules, I feel more relaxed and I have no symptoms. Is this a clue that it's caused by anxiety?** 
I only have symptoms when I sleep (no burping, heartburn after eating, etc. UNLESS I'm very stressed). I've spent about a year following all the typical advice for GERD (sleep on incline, avoid food 3 hours before bed, avoid certain foods, etc). I've kept a food &amp;amp; symptom diary and found no patterns.
For years, I used to have LPR with no heartburn. Since I found out it was LPR and I started focusing on the GERD tips, it's turned into LPR + nightly heartburn + throat burn. The more advice I've followed to avoid burning overnight, the more symptoms and stress I've felt. I get stuck in the stress/desperation &amp;lt;-&amp;gt; reflux cycle easily. 
On the nights where I've said "screw it, I'm craving those chips, and I get the f-ing heartburn no matter what I do anyway, so I might as well enjoy the food" or where I rolled over to sleep on my stomach (which used to be the only way I could sleep and feels so good to do again), I've woken up with NO symptoms. 
I've tested this a few more times and it seems like the opposite of a lot of the typical advice works for me. Following the tips stresses me out and this has helped me relax a bit. I do have anxiety generally. 
1. Does this point to anxiety being a more likely cause than something physical? A combination?
2. Does something anxiety-related happen while we sleep that can cause reflux (versus just being horizontal)? </t>
        </is>
      </c>
      <c r="D782" t="n">
        <v>4</v>
      </c>
      <c r="E782" t="n">
        <v>1</v>
      </c>
      <c r="F782">
        <f>HYPERLINK("https://www.reddit.com/r/GERD/comments/b6kfvb/breaking_gerd_rules_helps_me_clue_that_its_anxiety/")</f>
        <v/>
      </c>
      <c r="G782" t="inlineStr">
        <is>
          <t>2019-03-28 08:49:24</t>
        </is>
      </c>
      <c r="H782" t="inlineStr"/>
    </row>
    <row r="783">
      <c r="A783" t="inlineStr">
        <is>
          <t>b6mmeu</t>
        </is>
      </c>
      <c r="B783" t="inlineStr">
        <is>
          <t>Update on my previous post: "Newcomer here! Have some questions!"</t>
        </is>
      </c>
      <c r="C783" t="inlineStr">
        <is>
          <t>My first post was [this](https://www.reddit.com/r/GERD/comments/b3x46t/newcomer_here_have_some_questions_too/).
I may have mentioned this already, but this sub kind of cleared the air for me. Since November I've been having throat tightness and progressive satiety and bloating sensations with occasional heartburn. I couldn't even ride the subway no more during rush hours out of the fear of losing air or puking.  I found this sub after a Gastroenterology visit and **I was shocked on the similarity of my symptoms and also how common and unresolved they are among people.**  Tomorrow I'm having my next visit and I plan to show this sub to my doctor, just so he can also see the pain and confusion some of the people here go through. A lot of you have to rely on self-research and a community to get through these annoying symptoms that more or less, fuck up our social lives.
So, I had my endoscopy today, which went good. The main points:  
* I was diagnosed with **erythomatous antral gastritis**, which means that I have a region of inflamed mucosa in the lower part of my stomach;
* I refused a biopsy, because they would've tested it only for H.Pylori if it didn't look bad - and it didn't. I did refuse it because I already gave a stool sample to my clinic to test for it. The test came back negative, with a presence value of **0.54** \- it would've been positive only if it passed the **1.10** threshold.
* My calprotectin level was 8.1. This analysis tests for inflammations, as calprotectin secretion is associated with the presence of an inflammation in the digestive system. The interval for a mild inflammation is 50-100, and for a serious one is 200 or more. Chron's disease for example often scores over 400, 600 or more. So this one was good too.
* Also, the blood traces in stool samples came back negative too. So it's just the IBS playing together with it's new asshole buddy, gastritis.
I was taking notes with the purpose of identifying events, triggers and the relation between them:
* I started wearing braces about a year ago and my diet kind of altered a little. The food is not properly masticated every time **even though** I still usually and stupidly spend no more than 10 minutes per meal. Also, more air can get in too.
* Along with the braces, I started using a powerful Listerine formula due to this (6 in 1 or something like that) in a little bit more than the recommended dosage due to the fact that I put some of it in my irrigation device to (a Sonicare Airflosser), prior to the mouthwash itself, every night before bed. I don't rinse with water after and my mouth is as dry as Sahara in the morning. I'm afraid rising with water may affect its efficiency. And that Listerine is acidic as hell.
* I ate Greek yogurt *(10% fat, that type with a special seal that absorbed the water - the greekest Greek yogurt you can get)* almost **every single morning for a year straight**, along with a banana, a pretzel with seeds and a pain au chocolat.  Every. Single. Morning. Ok, almost.
* I had a very bad nausea and vomit episode, alongside mild hallucinations , an incredible headache and generally a shitload of pain (and I'm quite tolerant) after what I believe was a food poisoning back in November. I ended up vomiting everything I ate and then my bile for 3 or 4 times. I didn't go to the doctor, of course. I mean, why not be stupid all the way to the end.
* Soon after this, about 3 weeks later I ate a bad burger in a mall near my office and had almost the same symptoms as  above, only slightly milder and without hallucinations and vomit. It happened after work, on my way to the subway station when I suddenly started getting cold sweats, a very fast heart beat and the sensation that I was kind of phasing out. I ended up lurking around the subway station because I felt I would puke if I walked. Every time I tried to enter the subway, I thought I was gonna throw up so I went back outside. This happened for the next 2 day too, but with a tightness in my throat and an inability to swallow, at the same freaking hour. I think I developed an anxiety trigger for that subway station. Because it stayed with me 5 fucking months after. I still prefer taking them tram after work instead of the subway just because I know I'm not going to to lose air.
* In the following month I had another 3 puking episode, 2 of them after some binge drinking. Those two ended up with me puking my bile 3 or 4 times. The last one happened almost 2 weeks ago. I was already having these reflux/bloating symptoms getting stronger for a week or so, but I was out on a evening walk, and I drank a lemonade, then a beer, then ate some vegan food in a interval of 5 hours maybe. Then, at the airport, I started getting THE *stomach headache* as I call it. It's always on the right side of my forehead, radiating from inside my brain, feeling like something was pulsating in these. I ended up puking mid-flight, actually when the plane was ascending - the nicest flight attendant ever saw me and signaled that I can have a run for the restroom while the plane was still inclined all the other passengers were having their seat belts on. I puked something yellow at an inclination of 15-30 degrees. I don't know if it was my bile, that lemonade or that beer, since the food wasn't yellow and I had that the last time. The flight attendant was very nice though. And cute.
* After this puking episode, I was feeling like crap, bloated and stuff. Went to the drug store, asked the pharmacist to give me something for burns and gas and she gave me pantoprazole. I didn't knew what that was and neither PPIs. I took those for 2 or 3 days, including the day I gave the stool samples *(which has me thinking about that negative H.Pylori test now if I think it better)*   and felt like shit. Like an utterly expanding piece of shit. I had real bad burns, bloating and a sensation of complete crapness in my life. I stoped taking it and did some research about it. After reading for a few hours about PPIs, how they work, I jumped to GERD and then to this sub.
Things that need to be taken into consideration:
* My IBS was always there, but I managed it. Reflux hapened sometimes, bloating more often, but I always took bicarbonate based solutions and it went away. Didn't quite alter my lifestyle to be honest. Yet, these bile puking episodes gave it some material to work with towards ruining my life for the past months.
* I mostly ate ok to be honest, like steamed veggies, rice, bananas, hummus and carrots, chicken breast, beef, pasta, salads, tuna w/ rice etc. for most of the time and fast food for no more than 2 meals a week. But I also drank espressos, like 3 a day, but with milk and an everage  of 3-4 liters of water per 24 hours . I'm also a smoker, almost a pack a day,  Also, I'm not overweight (or didn't used to, now my BMI is borderline) as I did work out, compound lifting to be more exact. It wasn't the worst lifestyle, not the best either, but in balance for a 25 year old corporate worker. So this gastritis didn't have where to come from, and I'm frustrated about it. Because I have to eat basically, mostly, what I was already eating. WHICH MAKES NO SENSE WHATSOEVER.
Anyway, I didn't tell my friends about this. They wouldn't even care I guess. Stomach problems are both underrated and generalized when it comes to diagnosing and I got tired of reading recent research that pinpoints to a big reforms in terms of recommendations for gastro diseaseas and symptoms, but people keep prescribing PPIS lke candy. I prefered venting out in a sub where people get this. Maybe we can find solutions together.  
Tomorrow I'm going to get my treatment plan, hopefully. Until then I'm gonna start taking melatoning, first 3mg tonight (for that IBS at least).  
How are you guys?  
Gosh I wrote a lot. I don't even know what to TL;DR.</t>
        </is>
      </c>
      <c r="D783" t="n">
        <v>4</v>
      </c>
      <c r="E783" t="n">
        <v>0</v>
      </c>
      <c r="F783">
        <f>HYPERLINK("https://www.reddit.com/r/GERD/comments/b6mmeu/update_on_my_previous_post_newcomer_here_have/")</f>
        <v/>
      </c>
      <c r="G783" t="inlineStr">
        <is>
          <t>2019-03-28 11:46:14</t>
        </is>
      </c>
      <c r="H783" t="inlineStr"/>
    </row>
    <row r="784">
      <c r="A784" t="inlineStr">
        <is>
          <t>b6oj4p</t>
        </is>
      </c>
      <c r="B784" t="inlineStr">
        <is>
          <t>acid reflux/ gerd/ heartburn</t>
        </is>
      </c>
      <c r="C784" t="inlineStr">
        <is>
          <t xml:space="preserve">so  a gp doctor told me i dont have a heart attack but gerd. it started on monday and my heart still hurts. how long does this last? </t>
        </is>
      </c>
      <c r="D784" t="n">
        <v>2</v>
      </c>
      <c r="E784" t="n">
        <v>11</v>
      </c>
      <c r="F784">
        <f>HYPERLINK("https://www.reddit.com/r/GERD/comments/b6oj4p/acid_reflux_gerd_heartburn/")</f>
        <v/>
      </c>
      <c r="G784" t="inlineStr">
        <is>
          <t>2019-03-28 14:22:39</t>
        </is>
      </c>
      <c r="H784" t="inlineStr"/>
    </row>
    <row r="785">
      <c r="A785" t="inlineStr">
        <is>
          <t>b6ondt</t>
        </is>
      </c>
      <c r="B785" t="inlineStr">
        <is>
          <t>gerd acid reflux pop rocks sound in throat</t>
        </is>
      </c>
      <c r="C785" t="inlineStr">
        <is>
          <t>(i got diagnosed with gerd but i dont really get sour taste or reflux. )
i sometimes hear and feel a pop rocks sound in my throat. is that part of GERD? its not painful or anything. just feels like crackling</t>
        </is>
      </c>
      <c r="D785" t="n">
        <v>6</v>
      </c>
      <c r="E785" t="n">
        <v>12</v>
      </c>
      <c r="F785">
        <f>HYPERLINK("https://www.reddit.com/r/GERD/comments/b6ondt/gerd_acid_reflux_pop_rocks_sound_in_throat/")</f>
        <v/>
      </c>
      <c r="G785" t="inlineStr">
        <is>
          <t>2019-03-28 14:32:39</t>
        </is>
      </c>
      <c r="H785" t="inlineStr"/>
    </row>
    <row r="786">
      <c r="A786" t="inlineStr">
        <is>
          <t>b6pg7r</t>
        </is>
      </c>
      <c r="B786" t="inlineStr">
        <is>
          <t>New guy + advice</t>
        </is>
      </c>
      <c r="C786" t="inlineStr">
        <is>
          <t xml:space="preserve">Hey everybody, been dealing with the acid reflux/heartburn issue for a while now and I'm glad I found this reddit.  I never went to the doctor and therefore have never been diagnosed with GERD, but reading your posts describe my symptoms to a T.  I know that coffee is the main factor, so I'm going to make efforts to cut that out.  I take Zantac to calm it.  I used to try not taking it because I don't like to rely on pills (I'd just deal with the pain) but I was reading that they actually nutralize the stomach acid so it doesn't do physical damage to my stomach/esophagus, which makes sense, so I take them every day now.  Obviously my goal is to not have to take anything, but I'm glad I have them to help while I try to figure this out.  Foods definitely agitate it and make it worse, but I don't feel like they're the main trigger, they just add insult to the injury that was already there.  I'm willing to alter my diet if need be, I just want to figure this out since I don't want to do internal harm to my body which could lead to further medical issues down the road.
Anyway, I see that a lot of you have success with cutting certain things out of your diets.  Do you find that it ends up more or less healing itself?  In other words, do you occassionally go back to eating/drinking those things in moderation with no problems; i.e., living a normal life?  Do you find success in cutting down on these things or do you just have to cut them out completely?  As far as cutting out foods, I know some of them are obvious (high salt, acid, etc) but what do your diets look like in general?  What were they like before?
Any other insights or advice would be greatly appreciated, thanks!
</t>
        </is>
      </c>
      <c r="D786" t="n">
        <v>1</v>
      </c>
      <c r="E786" t="n">
        <v>1</v>
      </c>
      <c r="F786">
        <f>HYPERLINK("https://www.reddit.com/r/GERD/comments/b6pg7r/new_guy_advice/")</f>
        <v/>
      </c>
      <c r="G786" t="inlineStr">
        <is>
          <t>2019-03-28 15:40:35</t>
        </is>
      </c>
      <c r="H786" t="inlineStr"/>
    </row>
    <row r="787">
      <c r="A787" t="inlineStr">
        <is>
          <t>b6q1h6</t>
        </is>
      </c>
      <c r="B787" t="inlineStr">
        <is>
          <t>What to take before eating possible trigger food</t>
        </is>
      </c>
      <c r="C787" t="inlineStr">
        <is>
          <t>I do not take PPIs or H2 on a regular basis. Every now and then I am faced with heavy meals, alcohol, and other acid reflux triggers. IF I get reflux then it may take weeks to get symptoms back under control, usually with help of above mentioned drugs.
What do you guys take as a precautionary measure?</t>
        </is>
      </c>
      <c r="D787" t="n">
        <v>1</v>
      </c>
      <c r="E787" t="n">
        <v>3</v>
      </c>
      <c r="F787">
        <f>HYPERLINK("https://www.reddit.com/r/GERD/comments/b6q1h6/what_to_take_before_eating_possible_trigger_food/")</f>
        <v/>
      </c>
      <c r="G787" t="inlineStr">
        <is>
          <t>2019-03-28 16:32:29</t>
        </is>
      </c>
      <c r="H787" t="inlineStr"/>
    </row>
    <row r="788">
      <c r="A788" t="inlineStr">
        <is>
          <t>b6qehf</t>
        </is>
      </c>
      <c r="B788" t="inlineStr">
        <is>
          <t>Question about H Pylori's impact on GERD</t>
        </is>
      </c>
      <c r="C788" t="inlineStr">
        <is>
          <t>How exactly does H Pylori cause GERD?
&amp;amp;#x200B;
If H Pylori causes your GERD, would treating the H Pylori cure your GERD?</t>
        </is>
      </c>
      <c r="D788" t="n">
        <v>4</v>
      </c>
      <c r="E788" t="n">
        <v>7</v>
      </c>
      <c r="F788">
        <f>HYPERLINK("https://www.reddit.com/r/GERD/comments/b6qehf/question_about_h_pyloris_impact_on_gerd/")</f>
        <v/>
      </c>
      <c r="G788" t="inlineStr">
        <is>
          <t>2019-03-28 17:05:46</t>
        </is>
      </c>
      <c r="H788" t="inlineStr"/>
    </row>
    <row r="789">
      <c r="A789" t="inlineStr">
        <is>
          <t>b6reew</t>
        </is>
      </c>
      <c r="B789" t="inlineStr">
        <is>
          <t>Will I grow out of it??</t>
        </is>
      </c>
      <c r="C789" t="inlineStr">
        <is>
          <t xml:space="preserve">Hi! I was diagnosed with GERD when I was a baby and the specialists told my mom I would grow out of it. I am now 13 and I still have it, but I now take medication for it and on the day's I take it I have zero symptoms. Will I ever grow out of it? </t>
        </is>
      </c>
      <c r="D789" t="n">
        <v>2</v>
      </c>
      <c r="E789" t="n">
        <v>2</v>
      </c>
      <c r="F789">
        <f>HYPERLINK("https://www.reddit.com/r/GERD/comments/b6reew/will_i_grow_out_of_it/")</f>
        <v/>
      </c>
      <c r="G789" t="inlineStr">
        <is>
          <t>2019-03-28 18:42:04</t>
        </is>
      </c>
      <c r="H789" t="inlineStr"/>
    </row>
    <row r="790">
      <c r="A790" t="inlineStr">
        <is>
          <t>b6vrxv</t>
        </is>
      </c>
      <c r="B790" t="inlineStr">
        <is>
          <t>How long does it take to heal LPR?</t>
        </is>
      </c>
      <c r="C790" t="inlineStr">
        <is>
          <t xml:space="preserve">I took a course of antibiotics for H-Pylori. Even before I could test for eradication, hit with LPR as soon as that was over. About a month now. Doctor put me back on Omeprazole 20mg 2x day for 2-3 months. I suspect the ulcers have healed since stomach is fairy symptom free but I have this persistent throat hoarseness, globus etc., which comes in waves. Few days of relative normality then back to square one despite taking precautions. Of course I do stray a bit but not too much from acid free diet. The reflux must be silent because I dont feel bloated or gassy most of the times and burps are not acidic. Perhaps the gut is numbed.
Question is, how long will it take for the throat thing to heal, assuming PPIs are working? Are we looking at weeks? Months? Also assuming fairly bland diet and stay off booze etc.
</t>
        </is>
      </c>
      <c r="D790" t="n">
        <v>2</v>
      </c>
      <c r="E790" t="n">
        <v>6</v>
      </c>
      <c r="F790">
        <f>HYPERLINK("https://www.reddit.com/r/GERD/comments/b6vrxv/how_long_does_it_take_to_heal_lpr/")</f>
        <v/>
      </c>
      <c r="G790" t="inlineStr">
        <is>
          <t>2019-03-29 03:53:03</t>
        </is>
      </c>
      <c r="H790" t="inlineStr"/>
    </row>
    <row r="791">
      <c r="A791" t="inlineStr">
        <is>
          <t>b6yx31</t>
        </is>
      </c>
      <c r="B791" t="inlineStr">
        <is>
          <t>What are all the ways H Pylori can be transferred?</t>
        </is>
      </c>
      <c r="C791" t="inlineStr">
        <is>
          <t xml:space="preserve">Can it be transferred through sex? Please list me all known ways of transfer. </t>
        </is>
      </c>
      <c r="D791" t="n">
        <v>2</v>
      </c>
      <c r="E791" t="n">
        <v>11</v>
      </c>
      <c r="F791">
        <f>HYPERLINK("https://www.reddit.com/r/GERD/comments/b6yx31/what_are_all_the_ways_h_pylori_can_be_transferred/")</f>
        <v/>
      </c>
      <c r="G791" t="inlineStr">
        <is>
          <t>2019-03-29 08:49:26</t>
        </is>
      </c>
      <c r="H791" t="inlineStr"/>
    </row>
    <row r="792">
      <c r="A792" t="inlineStr">
        <is>
          <t>b70k6d</t>
        </is>
      </c>
      <c r="B792" t="inlineStr">
        <is>
          <t>Has anyone found anything that's actually helped with the shortness of breath symptom?</t>
        </is>
      </c>
      <c r="C792" t="inlineStr">
        <is>
          <t>Aside from healing LPR all together, has anyone found anything that helps with their shortness of breath symptom of LPR?</t>
        </is>
      </c>
      <c r="D792" t="n">
        <v>6</v>
      </c>
      <c r="E792" t="n">
        <v>8</v>
      </c>
      <c r="F792">
        <f>HYPERLINK("https://www.reddit.com/r/GERD/comments/b70k6d/has_anyone_found_anything_thats_actually_helped/")</f>
        <v/>
      </c>
      <c r="G792" t="inlineStr">
        <is>
          <t>2019-03-29 11:04:43</t>
        </is>
      </c>
      <c r="H792" t="inlineStr"/>
    </row>
    <row r="793">
      <c r="A793" t="inlineStr">
        <is>
          <t>b721vq</t>
        </is>
      </c>
      <c r="B793" t="inlineStr">
        <is>
          <t>Which test for H Pylori is most effective?</t>
        </is>
      </c>
      <c r="C793" t="inlineStr">
        <is>
          <t>Least amount of chance for a false negative?</t>
        </is>
      </c>
      <c r="D793" t="n">
        <v>2</v>
      </c>
      <c r="E793" t="n">
        <v>3</v>
      </c>
      <c r="F793">
        <f>HYPERLINK("https://www.reddit.com/r/GERD/comments/b721vq/which_test_for_h_pylori_is_most_effective/")</f>
        <v/>
      </c>
      <c r="G793" t="inlineStr">
        <is>
          <t>2019-03-29 13:09:36</t>
        </is>
      </c>
      <c r="H793" t="inlineStr"/>
    </row>
    <row r="794">
      <c r="A794" t="inlineStr">
        <is>
          <t>b73s63</t>
        </is>
      </c>
      <c r="B794" t="inlineStr">
        <is>
          <t>“LPR is a made up diagnosis that ENTs came up with.”</t>
        </is>
      </c>
      <c r="C794" t="inlineStr">
        <is>
          <t>Anyone else hear this from a GI doctor? I heard it yesterday. What is the basis for this claim other than GI doctors are annoyed that ENTs are sending people to them with diagnoses they made?
It’s not allergies. I can nuclear bomb my sinuses with Sudafed, Flonase and Allegra and the hoarseness and burning is still there.</t>
        </is>
      </c>
      <c r="D794" t="n">
        <v>1</v>
      </c>
      <c r="E794" t="n">
        <v>0</v>
      </c>
      <c r="F794">
        <f>HYPERLINK("https://www.reddit.com/r/GERD/comments/b73s63/lpr_is_a_made_up_diagnosis_that_ents_came_up_with/")</f>
        <v/>
      </c>
      <c r="G794" t="inlineStr">
        <is>
          <t>2019-03-29 15:42:06</t>
        </is>
      </c>
      <c r="H794" t="inlineStr"/>
    </row>
    <row r="795">
      <c r="A795" t="inlineStr">
        <is>
          <t>b743s6</t>
        </is>
      </c>
      <c r="B795" t="inlineStr">
        <is>
          <t>Being startled triggers GERD symptoms</t>
        </is>
      </c>
      <c r="C795" t="inlineStr">
        <is>
          <t>I notice lately that being startled or scared leads to an immediate flare up of my symptoms. For example, I heard a loud noise that scared me for a second. I felt the adrenaline rush and two seconds later, chest pain and a feeling of tightness in my throat. The pain then continued for about 15 mins, long after I calmed down (I calmed down almost immediately because the noise was nothing. My heart rate barely spiked).   
Does anyone else notice this?</t>
        </is>
      </c>
      <c r="D795" t="n">
        <v>2</v>
      </c>
      <c r="E795" t="n">
        <v>3</v>
      </c>
      <c r="F795">
        <f>HYPERLINK("https://www.reddit.com/r/GERD/comments/b743s6/being_startled_triggers_gerd_symptoms/")</f>
        <v/>
      </c>
      <c r="G795" t="inlineStr">
        <is>
          <t>2019-03-29 16:12:03</t>
        </is>
      </c>
      <c r="H795" t="inlineStr"/>
    </row>
    <row r="796">
      <c r="A796" t="inlineStr">
        <is>
          <t>b758n4</t>
        </is>
      </c>
      <c r="B796" t="inlineStr">
        <is>
          <t>Ulcer ???</t>
        </is>
      </c>
      <c r="C796" t="inlineStr">
        <is>
          <t xml:space="preserve">I took 6 Aleve pills in a couple of days because I was in pain and later went to the doctor who said it was due to reflux so he gave me ppi meds I am wondering after taking aleve for a few days now when I take ppi meds am I going to get a ulcer I do not want a ulcer any help / advice??? </t>
        </is>
      </c>
      <c r="D796" t="n">
        <v>1</v>
      </c>
      <c r="E796" t="n">
        <v>2</v>
      </c>
      <c r="F796">
        <f>HYPERLINK("https://www.reddit.com/r/GERD/comments/b758n4/ulcer/")</f>
        <v/>
      </c>
      <c r="G796" t="inlineStr">
        <is>
          <t>2019-03-29 18:04:04</t>
        </is>
      </c>
      <c r="H796" t="inlineStr"/>
    </row>
    <row r="797">
      <c r="A797" t="inlineStr">
        <is>
          <t>b75sda</t>
        </is>
      </c>
      <c r="B797" t="inlineStr">
        <is>
          <t>Esophageal motility problems</t>
        </is>
      </c>
      <c r="C797" t="inlineStr">
        <is>
          <t xml:space="preserve">Just got my motility study results and they showed that my lower esophagus is not working. This is the reason food gets stuck and I need to drink lots of water while eating. My LES is also too relaxed, which allows for acid to enter the esophagus.  Has anyone else had a similar diagnosis?  My doctor explained that there is no medication for this condition. </t>
        </is>
      </c>
      <c r="D797" t="n">
        <v>2</v>
      </c>
      <c r="E797" t="n">
        <v>1</v>
      </c>
      <c r="F797">
        <f>HYPERLINK("https://www.reddit.com/r/GERD/comments/b75sda/esophageal_motility_problems/")</f>
        <v/>
      </c>
      <c r="G797" t="inlineStr">
        <is>
          <t>2019-03-29 19:01:43</t>
        </is>
      </c>
      <c r="H797" t="inlineStr"/>
    </row>
    <row r="798">
      <c r="A798" t="inlineStr">
        <is>
          <t>b765v4</t>
        </is>
      </c>
      <c r="B798" t="inlineStr">
        <is>
          <t>Do y'all suffer from bad allergies too?</t>
        </is>
      </c>
      <c r="C798" t="inlineStr">
        <is>
          <t>Thinking back to when I was younger, I think my very first health issues were sinus related.  I would get sinus infections.  I now get chronic nasal congestion due to swelling so I can't breathe at of my nose that often.  And I know sinus issues can bother the throat.  Just thinking they might be related.</t>
        </is>
      </c>
      <c r="D798" t="n">
        <v>3</v>
      </c>
      <c r="E798" t="n">
        <v>3</v>
      </c>
      <c r="F798">
        <f>HYPERLINK("https://www.reddit.com/r/GERD/comments/b765v4/do_yall_suffer_from_bad_allergies_too/")</f>
        <v/>
      </c>
      <c r="G798" t="inlineStr">
        <is>
          <t>2019-03-29 19:41:37</t>
        </is>
      </c>
      <c r="H798" t="inlineStr"/>
    </row>
    <row r="799">
      <c r="A799" t="inlineStr">
        <is>
          <t>b766cj</t>
        </is>
      </c>
      <c r="B799" t="inlineStr">
        <is>
          <t>I've had a chronic cough for years</t>
        </is>
      </c>
      <c r="C799" t="inlineStr">
        <is>
          <t>Hello everyone.  I have had a chronic cough for years that I feel like it starts in my throat and I am tired of it.  
I have been to the doctors and I've had the endoscopy done about 3-4 years ago and everything was good. I've had x-rays taken of my lungs and all is normal. I had a physical with blood test and all came out good yet this cough is still here.
At one time, one doctor said that the symptoms were from acid reflux/GERD and put me on medicine but I took it and I did not see any good results. I never took it again. 
So I am wondering if I really have GERD or not? My symptoms are,
1. An itch in my throat that makes me cough.
2. I've had times where I have to gasp for air as my esophagus closes up and can't breath. This has not happened in a long time. 
3. With the first bite of any food, I will cough. After that I can eat normally.
4. Chocolates makes me cough.
5. Minty stuff makes me cough. Even while brushing my teeth.
6. Spicy stuff makes me cough so I try to stay away from it.
7. My mucus is thick at times but has never been a different color; always is white like saliva. I do feel like the phlegm is so thick at times that it clings to the vocal cords and I have to cough really hard or drink water.
Concerning my diet. I drink coffee, lots of it.  It seems like coffee might be a trigger so I am wondering if it is the caffeine in coffee or what? Is that why cokes are also bad?  And I eat pretty much anything I want.
I have not been as active this past year but I am not terribly obese. I am 5'8" and 204lbs and I would like to be near 180 range.
&amp;amp;#x200B;
So what do you guy think? Are my symptoms similar to what you all experience? Do I really have GERD? What OTC medicine can I take to help?
&amp;amp;#x200B;
Thanks in advance.</t>
        </is>
      </c>
      <c r="D799" t="n">
        <v>6</v>
      </c>
      <c r="E799" t="n">
        <v>15</v>
      </c>
      <c r="F799">
        <f>HYPERLINK("https://www.reddit.com/r/GERD/comments/b766cj/ive_had_a_chronic_cough_for_years/")</f>
        <v/>
      </c>
      <c r="G799" t="inlineStr">
        <is>
          <t>2019-03-29 19:43:12</t>
        </is>
      </c>
      <c r="H799" t="inlineStr"/>
    </row>
    <row r="800">
      <c r="A800" t="inlineStr">
        <is>
          <t>b78lnz</t>
        </is>
      </c>
      <c r="B800" t="inlineStr">
        <is>
          <t>successful short term omeprazole?</t>
        </is>
      </c>
      <c r="C800" t="inlineStr">
        <is>
          <t>has anyone here had a successful short term experience with omeprazole? that is, taken it for maybe 1-3 months, and then stopped taking it, and have felt normal after? it seems like relapse is very common...</t>
        </is>
      </c>
      <c r="D800" t="n">
        <v>1</v>
      </c>
      <c r="E800" t="n">
        <v>6</v>
      </c>
      <c r="F800">
        <f>HYPERLINK("https://www.reddit.com/r/GERD/comments/b78lnz/successful_short_term_omeprazole/")</f>
        <v/>
      </c>
      <c r="G800" t="inlineStr">
        <is>
          <t>2019-03-30 00:42:12</t>
        </is>
      </c>
      <c r="H800" t="inlineStr"/>
    </row>
    <row r="801">
      <c r="A801" t="inlineStr">
        <is>
          <t>b7e2ww</t>
        </is>
      </c>
      <c r="B801" t="inlineStr">
        <is>
          <t>Clear Mucus issue</t>
        </is>
      </c>
      <c r="C801" t="inlineStr">
        <is>
          <t>Does anyone know what makes me sometimes have stringy white stuff inside of clear mucus?</t>
        </is>
      </c>
      <c r="D801" t="n">
        <v>2</v>
      </c>
      <c r="E801" t="n">
        <v>6</v>
      </c>
      <c r="F801">
        <f>HYPERLINK("https://www.reddit.com/r/GERD/comments/b7e2ww/clear_mucus_issue/")</f>
        <v/>
      </c>
      <c r="G801" t="inlineStr">
        <is>
          <t>2019-03-30 11:04:20</t>
        </is>
      </c>
      <c r="H801" t="inlineStr"/>
    </row>
    <row r="802">
      <c r="A802" t="inlineStr">
        <is>
          <t>b7kaaq</t>
        </is>
      </c>
      <c r="B802" t="inlineStr">
        <is>
          <t>Need help with symptoms</t>
        </is>
      </c>
      <c r="C802" t="inlineStr">
        <is>
          <t>My boyfriend is suffering from (what we think) is GERD.  Can anyone help us to narrow down these symptoms?
1.  Sometimes when eating, he needs to throw up because food literally gets stuck in his throat.  I have watched him cough out vegetable, meat, and whatever he was drinking.  During these episodes, he will sometimes cough up blood in his spit.  
2. After one of these episodes with coughing up whatever he just ate, he constantly needs to spit, burp, and cough.  The burping is almost constant, with every breath, which can make it hard to breathe.  His spit is foamy and the consistency of phlegm, but still clear.  This can last from an hour to 2-3 hours after the episode.  During this time he says that taking in any water causes it to "sit on top" of whatever is in his throat and makes it incredible hard to breathe.
3. He suffers from Anxiety, which I can see seems to be a common ailment on this sub.
Do these symptoms sound like what you experience with your GERD.  We are making a doctor's appointment Monday since he finally was able to get insurance, but this is causing him so much pain and fear, and if you or someone you know suffers from anxiety, you know that being unsure is fucking hell.  Any help would be much appreciated.
&amp;amp;#x200B;
Thank you so much in advance!</t>
        </is>
      </c>
      <c r="D802" t="n">
        <v>5</v>
      </c>
      <c r="E802" t="n">
        <v>7</v>
      </c>
      <c r="F802">
        <f>HYPERLINK("https://www.reddit.com/r/GERD/comments/b7kaaq/need_help_with_symptoms/")</f>
        <v/>
      </c>
      <c r="G802" t="inlineStr">
        <is>
          <t>2019-03-30 22:19:13</t>
        </is>
      </c>
      <c r="H802" t="inlineStr"/>
    </row>
    <row r="803">
      <c r="A803" t="inlineStr">
        <is>
          <t>b7kl8l</t>
        </is>
      </c>
      <c r="B803" t="inlineStr">
        <is>
          <t>Praxid - has anyone tried it?</t>
        </is>
      </c>
      <c r="C803" t="inlineStr">
        <is>
          <t>I’ve seen a few posts on faceyB about Praxid - it has very good reviews for GERD and LPR but I can’t tell if the people promoting it are genuine or being paid by the company that makes it. Has anyone tried it?
Link - [https://praxid.com](https://praxid.com)</t>
        </is>
      </c>
      <c r="D803" t="n">
        <v>1</v>
      </c>
      <c r="E803" t="n">
        <v>6</v>
      </c>
      <c r="F803">
        <f>HYPERLINK("https://www.reddit.com/r/GERD/comments/b7kl8l/praxid_has_anyone_tried_it/")</f>
        <v/>
      </c>
      <c r="G803" t="inlineStr">
        <is>
          <t>2019-03-30 23:02:08</t>
        </is>
      </c>
      <c r="H803" t="inlineStr"/>
    </row>
    <row r="804">
      <c r="A804" t="inlineStr">
        <is>
          <t>b7o82b</t>
        </is>
      </c>
      <c r="B804" t="inlineStr">
        <is>
          <t>Have you seen a dietitian?</t>
        </is>
      </c>
      <c r="C804" t="inlineStr">
        <is>
          <t>Hi new friends. I was diagnosed with GERD last week. 
I've started a medicine and a GERD friendly diet and HOLY MOLY do I already feel much better in just 3 days. I lived in agony for 6 months. Turns out, all my favorite foods were hurting me. Starting a GERD diet is already helping, but I'm a bit overwhelmed. My doctor can't meet with me until May to follow up from my endo, so I've been reading and doing research to answer a lot of my questions. I am very disappointed to cut out so many delicious things... but I am looking forward normalcy when I eat.
&amp;amp;#x200B;
Have you ever seen a dietitian or a nutritionist to help guide you through your GERD? How'd that go? Or maybe you didn't, and you figured out your new diet for yourself?</t>
        </is>
      </c>
      <c r="D804" t="n">
        <v>2</v>
      </c>
      <c r="E804" t="n">
        <v>8</v>
      </c>
      <c r="F804">
        <f>HYPERLINK("https://www.reddit.com/r/GERD/comments/b7o82b/have_you_seen_a_dietitian/")</f>
        <v/>
      </c>
      <c r="G804" t="inlineStr">
        <is>
          <t>2019-03-31 07:18:22</t>
        </is>
      </c>
      <c r="H804" t="inlineStr"/>
    </row>
    <row r="805">
      <c r="A805" t="inlineStr">
        <is>
          <t>b7otte</t>
        </is>
      </c>
      <c r="B805" t="inlineStr">
        <is>
          <t>Doc said I have NERD (GERD without visible injury) but I am not too convinced and he seemed very unsure himself</t>
        </is>
      </c>
      <c r="C805" t="inlineStr">
        <is>
          <t>Starting around 1.5 years ago, I got nausea, which comes and goes but when it comes it is persistent, stays for about a month, then I will be totally fine for few weeks and then it comes again rinse and repeat
&amp;amp;#x200B;
Main symptoms are heavy nausea, and fatigue. Also head feels hazy and difficult to focus at work. GP referred me to specialist who did endoscopy and colonoscopy on me, he found some inflammation but nothing chronic and tested in the lab, there is no sign of chronic illness.
&amp;amp;#x200B;
So the doc in the end  have given me diagnosis of NERD, but he really did not seem sure himself. I don't want to sound too critical, but this is probably one of the worst specialist I have ever visited, he kept hedging himself when giving his opinion. In the end whatever he said confused me more than before. He also gave me omeprazole to take and that's it, which I took for a month and then stopped because I don't want to be on the medicine for too long
&amp;amp;#x200B;
This is about a year ago. I still have the same symptoms which comes and goes, just recently I have been feeling rather unwell for one month.
&amp;amp;#x200B;
I am really not convinced this is GERD/NERD. I googled all the symptoms of GERD/NERD, such as sore throat, cough, heartburn,  chest pain, difficulty swallowing. And I never ever have any of these symptoms.
My primary symptoms are nausea, excessive gas, excessive burping and fatigue. And these all comes and goes out of nowhere. I have retaken my omeprazole, for the time being, but I am wondering if what I really have is GERD.
&amp;amp;#x200B;
Wondering if anyone is in the same shoes? Can you have GERD without heartburn/cough, instead only nausea ?
&amp;amp;#x200B;
thanks</t>
        </is>
      </c>
      <c r="D805" t="n">
        <v>3</v>
      </c>
      <c r="E805" t="n">
        <v>13</v>
      </c>
      <c r="F805">
        <f>HYPERLINK("https://www.reddit.com/r/GERD/comments/b7otte/doc_said_i_have_nerd_gerd_without_visible_injury/")</f>
        <v/>
      </c>
      <c r="G805" t="inlineStr">
        <is>
          <t>2019-03-31 08:18:12</t>
        </is>
      </c>
      <c r="H805" t="inlineStr"/>
    </row>
    <row r="806">
      <c r="A806" t="inlineStr">
        <is>
          <t>b7p54p</t>
        </is>
      </c>
      <c r="B806" t="inlineStr">
        <is>
          <t>Has anyone taking Sucralfate?</t>
        </is>
      </c>
      <c r="C806" t="inlineStr">
        <is>
          <t>I’m going to start Sucralfate today and was wondering if anyone has taken this, and if they had any luck with it? I know the doctor told me to take it 3 times a day on an empty stomach....one hour before lunch, before dinner, and before bed. I don’t know how I would go about it before dinner because an hour and a half or 2 hours before dinner I drink a shake. Can anyone give me any advice on how to go about this?</t>
        </is>
      </c>
      <c r="D806" t="n">
        <v>2</v>
      </c>
      <c r="E806" t="n">
        <v>5</v>
      </c>
      <c r="F806">
        <f>HYPERLINK("https://www.reddit.com/r/GERD/comments/b7p54p/has_anyone_taking_sucralfate/")</f>
        <v/>
      </c>
      <c r="G806" t="inlineStr">
        <is>
          <t>2019-03-31 08:50:03</t>
        </is>
      </c>
      <c r="H806" t="inlineStr"/>
    </row>
    <row r="807">
      <c r="A807" t="inlineStr">
        <is>
          <t>b7plzb</t>
        </is>
      </c>
      <c r="B807" t="inlineStr">
        <is>
          <t>Anyone get vertigo and tinnitus from H2 OTC treatments (pepcid, zantac, tagamet)?</t>
        </is>
      </c>
      <c r="C807" t="inlineStr">
        <is>
          <t xml:space="preserve">I have been taking zantac 150 for years before bed for night time heartburn.  I have taken pepcid 20 mg in the past.  I recenty switched back to pepcid, but this time  it didn't seem to work as well, and I developed vertigo after a couple weeks (went to urgent care and hospital, no apparent emergency causes), and also a ringing in my ears (tinnitus).  I guess it is well known (google it) that these types of drugs (pepcid, zantac, lesser extend tagamet), and also PPIs can have this affect.  I told urgent care doc I was taking this drug, I even told urgent care doc the bottle said right on it, to consult doctor right away if dizziness occurs.
Doctor gave me Antivert and we did some Epley manuevers.  Neither did a thing for me.  I'm 1 day off pepcid and all GERD meds except antacids until follow-up with my PCP next Friday.
I'm not too thrilled that these are potential side effects of this medication and that doctor didn't seem to put it together.
Questions:  Has this happened to anyone else?  What can I take for overnight treatment?  Is gaviscon safe?  </t>
        </is>
      </c>
      <c r="D807" t="n">
        <v>1</v>
      </c>
      <c r="E807" t="n">
        <v>3</v>
      </c>
      <c r="F807">
        <f>HYPERLINK("https://www.reddit.com/r/GERD/comments/b7plzb/anyone_get_vertigo_and_tinnitus_from_h2_otc/")</f>
        <v/>
      </c>
      <c r="G807" t="inlineStr">
        <is>
          <t>2019-03-31 09:35:08</t>
        </is>
      </c>
      <c r="H807" t="inlineStr"/>
    </row>
    <row r="808">
      <c r="A808" t="inlineStr">
        <is>
          <t>b7q0hh</t>
        </is>
      </c>
      <c r="B808" t="inlineStr">
        <is>
          <t>After trial/error, which med worked best for you?</t>
        </is>
      </c>
      <c r="C808" t="inlineStr">
        <is>
          <t>I'm on 40mg pantoprazole and it is doing shit.</t>
        </is>
      </c>
      <c r="D808" t="n">
        <v>1</v>
      </c>
      <c r="E808" t="n">
        <v>10</v>
      </c>
      <c r="F808">
        <f>HYPERLINK("https://www.reddit.com/r/GERD/comments/b7q0hh/after_trialerror_which_med_worked_best_for_you/")</f>
        <v/>
      </c>
      <c r="G808" t="inlineStr">
        <is>
          <t>2019-03-31 10:11:01</t>
        </is>
      </c>
      <c r="H808" t="inlineStr"/>
    </row>
    <row r="809">
      <c r="A809" t="inlineStr">
        <is>
          <t>b7q5md</t>
        </is>
      </c>
      <c r="B809" t="inlineStr">
        <is>
          <t>Longtime gerd sufferer just recently having constant pain if I eat</t>
        </is>
      </c>
      <c r="C809" t="inlineStr">
        <is>
          <t xml:space="preserve">Hello, I was diagnosed with gerd at 21, now 32. I’ve been taking Zantac 150 twice a day and it’s worked great! Just recently within the past couple weeks I have been experiencing upper middle stomach pain, like either dull, sharp and sometimes going up into the chest. I eat a pretty healthy vegetarian diet and workout about three times a week doing Trx. I’ve been taking tums on top of the Zantac in hopes it stops, my upper endoscopy isn’t for another couple months.
Unsure if this is related to my endometriosis or no? I’m so afraid of PPIs and would like to avoid them. Just looking for some real life experience from people who have had this weird upper abdominal pain and what it turned out to be and how you fixed it? Thanks! </t>
        </is>
      </c>
      <c r="D809" t="n">
        <v>1</v>
      </c>
      <c r="E809" t="n">
        <v>13</v>
      </c>
      <c r="F809">
        <f>HYPERLINK("https://www.reddit.com/r/GERD/comments/b7q5md/longtime_gerd_sufferer_just_recently_having/")</f>
        <v/>
      </c>
      <c r="G809" t="inlineStr">
        <is>
          <t>2019-03-31 10:23:06</t>
        </is>
      </c>
      <c r="H809" t="inlineStr"/>
    </row>
    <row r="810">
      <c r="A810" t="inlineStr">
        <is>
          <t>b7qz17</t>
        </is>
      </c>
      <c r="B810" t="inlineStr">
        <is>
          <t>LINX procedure cost</t>
        </is>
      </c>
      <c r="C810" t="inlineStr">
        <is>
          <t>Guys I am wondering how much this procedure will cost since it is not covered by my insurance Aetna.
BTW how do you find a surgeon that does this procedure? I searched on the linxforlife website and only found 3 surgeons that do this in my state. However my local hospital has a surgeon does this procedure as well but his name is not listed on the linxforlife website.</t>
        </is>
      </c>
      <c r="D810" t="n">
        <v>3</v>
      </c>
      <c r="E810" t="n">
        <v>4</v>
      </c>
      <c r="F810">
        <f>HYPERLINK("https://www.reddit.com/r/GERD/comments/b7qz17/linx_procedure_cost/")</f>
        <v/>
      </c>
      <c r="G810" t="inlineStr">
        <is>
          <t>2019-03-31 11:32:42</t>
        </is>
      </c>
      <c r="H810" t="inlineStr"/>
    </row>
    <row r="811">
      <c r="A811" t="inlineStr">
        <is>
          <t>b7tz69</t>
        </is>
      </c>
      <c r="B811" t="inlineStr">
        <is>
          <t>Prilosec and headaches</t>
        </is>
      </c>
      <c r="C811" t="inlineStr">
        <is>
          <t>The last 2 times I've taken prilosec I've immediately gotten a headache.  Anyone else have this problem?  I'm going to see a gastroenterologist Tuesday.  I think I'll ask for a different medication.</t>
        </is>
      </c>
      <c r="D811" t="n">
        <v>1</v>
      </c>
      <c r="E811" t="n">
        <v>0</v>
      </c>
      <c r="F811">
        <f>HYPERLINK("https://www.reddit.com/r/GERD/comments/b7tz69/prilosec_and_headaches/")</f>
        <v/>
      </c>
      <c r="G811" t="inlineStr">
        <is>
          <t>2019-03-31 15:57:53</t>
        </is>
      </c>
      <c r="H811" t="inlineStr"/>
    </row>
    <row r="812">
      <c r="A812" t="inlineStr">
        <is>
          <t>b7v1t2</t>
        </is>
      </c>
      <c r="B812" t="inlineStr">
        <is>
          <t>Extreme obdominal pain</t>
        </is>
      </c>
      <c r="C812" t="inlineStr">
        <is>
          <t xml:space="preserve">Hey all been 24 hours of just bend over pain in my belly-am on orazapole20 mg, my gerd is always pain behind breastplate but this has been a doozy...any idea what I can take sleep or relieve pain? Hate to go to er but feel like I am dying
</t>
        </is>
      </c>
      <c r="D812" t="n">
        <v>6</v>
      </c>
      <c r="E812" t="n">
        <v>14</v>
      </c>
      <c r="F812">
        <f>HYPERLINK("https://www.reddit.com/r/GERD/comments/b7v1t2/extreme_obdominal_pain/")</f>
        <v/>
      </c>
      <c r="G812" t="inlineStr">
        <is>
          <t>2019-03-31 17:37:45</t>
        </is>
      </c>
      <c r="H812" t="inlineStr"/>
    </row>
    <row r="813">
      <c r="A813" t="inlineStr">
        <is>
          <t>b7vfrk</t>
        </is>
      </c>
      <c r="B813" t="inlineStr">
        <is>
          <t>Is "avoid trigger foods" really just trial and error over time?</t>
        </is>
      </c>
      <c r="C813" t="inlineStr">
        <is>
          <t xml:space="preserve">My doctor recently prescribed me a PPI. I decided to try changing my diet after doing some research before popping pills. I have an endoscopy on the 9th. I prefer to manage until I get definitive results. I feel I've mostly been successful thus far but do find things that trigger me. 
Seems like a bunch of trial and error - which can be tough. Any tips or a routine you've found to be very successful? </t>
        </is>
      </c>
      <c r="D813" t="n">
        <v>13</v>
      </c>
      <c r="E813" t="n">
        <v>31</v>
      </c>
      <c r="F813">
        <f>HYPERLINK("https://www.reddit.com/r/GERD/comments/b7vfrk/is_avoid_trigger_foods_really_just_trial_and/")</f>
        <v/>
      </c>
      <c r="G813" t="inlineStr">
        <is>
          <t>2019-03-31 18:16:06</t>
        </is>
      </c>
      <c r="H813" t="inlineStr"/>
    </row>
    <row r="814">
      <c r="A814" t="inlineStr">
        <is>
          <t>b7vp3o</t>
        </is>
      </c>
      <c r="B814" t="inlineStr">
        <is>
          <t>When should one get a endoscopy?</t>
        </is>
      </c>
      <c r="C814" t="inlineStr">
        <is>
          <t xml:space="preserve">I had acid reflux for 2 years it hasn’t been that bad in the last week at all, I’m 23 male 6’ 160 lb I don’t take any meds for it. I got booked for a endoscopy but I don’t know if I need it.
I was told I have a wheat allergy and peanuts and everything in the birch family and I thought maybe those cause my acid reflex but I eat them all the time and never have issues and my acid reflux has been good even with that stuff in my diet. </t>
        </is>
      </c>
      <c r="D814" t="n">
        <v>3</v>
      </c>
      <c r="E814" t="n">
        <v>8</v>
      </c>
      <c r="F814">
        <f>HYPERLINK("https://www.reddit.com/r/GERD/comments/b7vp3o/when_should_one_get_a_endoscopy/")</f>
        <v/>
      </c>
      <c r="G814" t="inlineStr">
        <is>
          <t>2019-03-31 18:42:23</t>
        </is>
      </c>
      <c r="H814" t="inlineStr"/>
    </row>
    <row r="815">
      <c r="A815" t="inlineStr">
        <is>
          <t>b7vuy2</t>
        </is>
      </c>
      <c r="B815" t="inlineStr">
        <is>
          <t>Cardio and Gerd</t>
        </is>
      </c>
      <c r="C815" t="inlineStr">
        <is>
          <t>Hey folks,
Wondering if anyone else has this and if they have anything that's helped. 
Whenever I do higher intensity cardio type activities (in this case basketball and volleyball) I get a lot of chest tightness and burping etc (which is how my GERD tends to manifest). When I first started getting it, it legit felt like heart problems. So I've been to a cardiologist in the past and everything checked out. Being a relatively active 31/m, I think it's safe-ish to say it's not heart related.  
Did a 1 and 3 month stint of PPIs (pantoprazole) that worked quite well, but wanted to try to see if I could be reflux free without it. So far, varying degrees of success. 
Tl;dr - I get chest tightness reflux symptoms from moderate to intense physical activity. Got any strategies that work to prevent it?</t>
        </is>
      </c>
      <c r="D815" t="n">
        <v>2</v>
      </c>
      <c r="E815" t="n">
        <v>4</v>
      </c>
      <c r="F815">
        <f>HYPERLINK("https://www.reddit.com/r/GERD/comments/b7vuy2/cardio_and_gerd/")</f>
        <v/>
      </c>
      <c r="G815" t="inlineStr">
        <is>
          <t>2019-03-31 18:58:44</t>
        </is>
      </c>
      <c r="H815" t="inlineStr"/>
    </row>
    <row r="816">
      <c r="A816" t="inlineStr">
        <is>
          <t>b7wxqk</t>
        </is>
      </c>
      <c r="B816" t="inlineStr">
        <is>
          <t>Has anyone had surgery to fix hiatal hernia?</t>
        </is>
      </c>
      <c r="C816" t="inlineStr">
        <is>
          <t>At what age and how did you feel after/now?</t>
        </is>
      </c>
      <c r="D816" t="n">
        <v>1</v>
      </c>
      <c r="E816" t="n">
        <v>12</v>
      </c>
      <c r="F816">
        <f>HYPERLINK("https://www.reddit.com/r/GERD/comments/b7wxqk/has_anyone_had_surgery_to_fix_hiatal_hernia/")</f>
        <v/>
      </c>
      <c r="G816" t="inlineStr">
        <is>
          <t>2019-03-31 20:49:04</t>
        </is>
      </c>
      <c r="H816" t="inlineStr"/>
    </row>
    <row r="817">
      <c r="A817" t="inlineStr">
        <is>
          <t>b7z1g7</t>
        </is>
      </c>
      <c r="B817" t="inlineStr">
        <is>
          <t>Had GERD for 3 years now, any chance of curing it? Really down about it ...</t>
        </is>
      </c>
      <c r="C817" t="inlineStr">
        <is>
          <t>I'm 24 and I got diagnosed a few years ago. I don't know what the trigger was and it has never worried me until recently as I've taken 20 mg Nexium daily for it. I have tried a couple of times to ease off the Nexium and have it ever 2-3 days but this usually fails. I'm vegan and relatively fit, I enjoy long distance running and recently started weight lifting. I don't really want to go into my career but basically my long term goal was to try and become an astronaut lol :/. Don't know why but the reality didn't really sink in until recently that there's no way I would pass the medical with GERD! 
&amp;amp;#x200B;
Pretty depressing but I'm gonna try everything I can to overcome it. Anyone got any ideas? I'm legit open to anything except alternative medicine. Thanks!</t>
        </is>
      </c>
      <c r="D817" t="n">
        <v>1</v>
      </c>
      <c r="E817" t="n">
        <v>9</v>
      </c>
      <c r="F817">
        <f>HYPERLINK("https://www.reddit.com/r/GERD/comments/b7z1g7/had_gerd_for_3_years_now_any_chance_of_curing_it/")</f>
        <v/>
      </c>
      <c r="G817" t="inlineStr">
        <is>
          <t>2019-04-01 00:36:48</t>
        </is>
      </c>
      <c r="H817" t="inlineStr"/>
    </row>
    <row r="818">
      <c r="A818" t="inlineStr">
        <is>
          <t>b7zix8</t>
        </is>
      </c>
      <c r="B818" t="inlineStr">
        <is>
          <t>What's the safe upper limit of Zantac?</t>
        </is>
      </c>
      <c r="C818" t="inlineStr">
        <is>
          <t>How many of the 150 mg tablets are safe to take within 24 hours?</t>
        </is>
      </c>
      <c r="D818" t="n">
        <v>1</v>
      </c>
      <c r="E818" t="n">
        <v>7</v>
      </c>
      <c r="F818">
        <f>HYPERLINK("https://www.reddit.com/r/GERD/comments/b7zix8/whats_the_safe_upper_limit_of_zantac/")</f>
        <v/>
      </c>
      <c r="G818" t="inlineStr">
        <is>
          <t>2019-04-01 01:36:22</t>
        </is>
      </c>
      <c r="H818" t="inlineStr"/>
    </row>
    <row r="819">
      <c r="A819" t="inlineStr">
        <is>
          <t>b815hc</t>
        </is>
      </c>
      <c r="B819" t="inlineStr">
        <is>
          <t>(my case of lpr) LES erosion is it posible ?</t>
        </is>
      </c>
      <c r="C819" t="inlineStr">
        <is>
          <t>Hello, I am diagnosed with LPR 4 months ago and I am trying to keep up with the diet and PPI's. In that perriod of 4 months I am not always on the diet, but 70% of the time. My diet is basicaly cooked food, not baked or grilled, with little to no fruits (except some berries, bananas and apples without skin). I use PPI 40% of that 4 months time. I thought it should help me and I only see a bit of improvment since 4 months. My question is, what are the posibilities, that I have erosed LES and will be always with lpr symptoms ? Has anyone had worst lpr cases and succesfully treated ?</t>
        </is>
      </c>
      <c r="D819" t="n">
        <v>0</v>
      </c>
      <c r="E819" t="n">
        <v>8</v>
      </c>
      <c r="F819">
        <f>HYPERLINK("https://www.reddit.com/r/GERD/comments/b815hc/my_case_of_lpr_les_erosion_is_it_posible/")</f>
        <v/>
      </c>
      <c r="G819" t="inlineStr">
        <is>
          <t>2019-04-01 04:38:36</t>
        </is>
      </c>
      <c r="H819" t="inlineStr"/>
    </row>
    <row r="820">
      <c r="A820" t="inlineStr">
        <is>
          <t>b84zkg</t>
        </is>
      </c>
      <c r="B820" t="inlineStr">
        <is>
          <t>Are surgeries that "fix" the LES legit and safe? Has anyone here went through it?</t>
        </is>
      </c>
      <c r="C820" t="inlineStr">
        <is>
          <t xml:space="preserve">This is something that I've just been finding out recently, but I've been told about LES surgery and I'm surprised that this can be done. Though I have a question, is this something new or have Doctors been doing it for a while enough for it to be completely risk free? </t>
        </is>
      </c>
      <c r="D820" t="n">
        <v>3</v>
      </c>
      <c r="E820" t="n">
        <v>6</v>
      </c>
      <c r="F820">
        <f>HYPERLINK("https://www.reddit.com/r/GERD/comments/b84zkg/are_surgeries_that_fix_the_les_legit_and_safe_has/")</f>
        <v/>
      </c>
      <c r="G820" t="inlineStr">
        <is>
          <t>2019-04-01 09:55:39</t>
        </is>
      </c>
      <c r="H820" t="inlineStr"/>
    </row>
    <row r="821">
      <c r="A821" t="inlineStr">
        <is>
          <t>b8a258</t>
        </is>
      </c>
      <c r="B821" t="inlineStr">
        <is>
          <t>Unexpected BE</t>
        </is>
      </c>
      <c r="C821" t="inlineStr">
        <is>
          <t>Sorry in advance for the length; hope this does't sound like a big bitch fest.
36 white male.  Healthy weight, non smoker.  
Up until November I had never experienced reflux symptoms.  I love cooking, good food, and enjoyed wine / beer but nothing crazy. 
 I woke up one morning shortly after Thanksgiving with severe sternum pain that felt like a stake driven all the way through my back.  After a couple of days the pain subsided but returned shortly after Christmas (nice pattern of holidays and stress perhaps).  The pain was again severe and began to cause anxiety.  I ended up going to see my PCP and they did an EKG right away to make sure it wasn't heart related.  Everything with the heart was fine.  The physician opted to treat it as esophagitis - prescriing me 80mg Omeprazole (2 40g twice daily).  He said he couldn't be sure, but suggested going this route first and then referring to a GI if the pain returned after tapering off the Omeprazole.  
When I went to fulfill my prescription the insurance denied the claim 3 separate times. After several days and attempts, the pharmacist suggested to me that 80mg was excessively high for a first treatment, and that some insurance companies would deny the claim without previous failed treatments.  I ended up paying out of pocket and did a 40mg once daily regimen instead of the 2x daily.
The pain subsided - until I tapered off the Omeprazole.  I called my PCP and he started the referral process.  I tried to be patient with the referral, but ended up having a couple of panic attacks (also a first) while waiting to hear back.  My insurance does not require referral for a specialist, so I decided to take matters into my own hand and set up and appointment.
I could not get a timely appointment with the doctor I chose (based on recommendation from a family member).  I opted to get in sooner and see his PA.  I didn't have a lot of risk factors (besides the whole white male deal).  Her best guess was my frequent use of Ibuprofen to treat knee pain from running.  Since there was nothing definitive, she recommended getting an Endoscopy.
The soonest I could get the scope was a month out.  During this period of time the PA had me continue the 40mg 1x dosage.  The pain once again subsided but flared up a couple of times with the wait, just not as bad.  I felt pretty good the day of the procedure.
I was a little nervous, but ready for some answers.  Following the scope the doctor indicated that he saw no real signs of reflux or areas of concern.  He went ahead and did some biopsies to be sure. On my printed results from the day of the procedure it did note that I had an irregular Z-line. Everything else appeared normal.
The results were a mixture of relief but also confusion about what could have been causing the pain.  I was told to continue with the Omeprazole until we got pathology results.  Not long after I started experiencing occasional pain once again.  *I should note, I have been careful - not perfect-  with my diet during this whole experience, as I knew reflux could be a cause).  
I got my results back from pathology in 6 days through the online patient portal:
A.  Stomach, body, antrum, biopsy:
-Antral and oxyntic mucosa with mild chronic focally active gastritis.
-Immunohistochemical stain for Helicobacter pylori: Negative.
B.  GE junction, biopsy:
-Squamocolumnar mucosa with intestinal metaplasia.
-Negative for dysplasia.
-Note: The intestinal metaplasia underlies squamous mucosa.
C.  Esophagus, upper third, middle third, biopsy:
-Squamous mucosa, no diagnostic morphologic abnormality.
So I had intestinal metaplasia near the GE junction.  A quick google search and call to my mother (who is a nurse) let me know it was Barretts.  I was quite surprised but hoped to hear back from my doctor soon for more clarification.
A week passed and a nurse called me from the GI clinic.  She told me I had short segment BE and that the doctor wanted me to try to stick to a lower dosage (20mg otc) of Omeprazole.  I had lots of questions but she was short with me.  I get that she is just relaying info, but I was so confused to how this happened in general with my lack of prior symptoms.  She suggested maybe it was silent reflux. 
I'm still confused and pain has returned on 20mg daily while sticking to the suggested diet I was referred to.  I don't experience liquids in the back of my mouth, nausea, regurgitation etc.  Nothing really happens immediately that I can identify as a trigger.  The pain around my sternum just comes on an lingers for days. Sometimes, I get some bloating with it, or the pain moves slightly to my right side - but still near the sternum.  
I called today and the PA at the GI clinic suggested I double the Omeprazole dose and call them on Friday, updating them on how I feel.
I feel guilty, because I know others have it much worse when it comes to this shit, but I can seem to shake being depressed and frustrated about all of it.  I wish there was something that had clued me into what was going on before things got this bad.  I am really missing good food and wine (and I think my wife is also disappointed with all the bland ass food I'm preparing).
TL;DR: I'm a healthy middle aged white male diagnosed with BE without a long history of GERD (that i was aware of anyway)</t>
        </is>
      </c>
      <c r="D821" t="n">
        <v>3</v>
      </c>
      <c r="E821" t="n">
        <v>11</v>
      </c>
      <c r="F821">
        <f>HYPERLINK("https://www.reddit.com/r/GERD/comments/b8a258/unexpected_be/")</f>
        <v/>
      </c>
      <c r="G821" t="inlineStr">
        <is>
          <t>2019-04-01 15:12:03</t>
        </is>
      </c>
      <c r="H821" t="inlineStr"/>
    </row>
    <row r="822">
      <c r="A822" t="inlineStr">
        <is>
          <t>b8bz8p</t>
        </is>
      </c>
      <c r="B822" t="inlineStr">
        <is>
          <t>GERD after trip to Spain/Morocco</t>
        </is>
      </c>
      <c r="C822" t="inlineStr">
        <is>
          <t xml:space="preserve">30M came back from winter break trip in early January and had burning throat and chest. Throat is good now (except it feels like I got a ball of metallic tasting phlegm--doesnt impact my swallowing). 
Anybody have this problem or got an idea of what's up? Any insights or words of encouragement would help. I'd be relieved to hear if someone had a similar experience. </t>
        </is>
      </c>
      <c r="D822" t="n">
        <v>1</v>
      </c>
      <c r="E822" t="n">
        <v>16</v>
      </c>
      <c r="F822">
        <f>HYPERLINK("https://www.reddit.com/r/GERD/comments/b8bz8p/gerd_after_trip_to_spainmorocco/")</f>
        <v/>
      </c>
      <c r="G822" t="inlineStr">
        <is>
          <t>2019-04-01 17:35:32</t>
        </is>
      </c>
      <c r="H822" t="inlineStr"/>
    </row>
    <row r="823">
      <c r="A823" t="inlineStr">
        <is>
          <t>b8d65u</t>
        </is>
      </c>
      <c r="B823" t="inlineStr">
        <is>
          <t>PPIs and depression/anxiety</t>
        </is>
      </c>
      <c r="C823" t="inlineStr">
        <is>
          <t>I've suffered from anxiety and depression for a long time. I've been taking pantoprazole for about three months and my anxiety is sky high, and my mood has gone right down the toilet. Is this a thing that can happen, or am I just imagining it? I'm constantly anxious now and it's making me crazy!</t>
        </is>
      </c>
      <c r="D823" t="n">
        <v>7</v>
      </c>
      <c r="E823" t="n">
        <v>10</v>
      </c>
      <c r="F823">
        <f>HYPERLINK("https://www.reddit.com/r/GERD/comments/b8d65u/ppis_and_depressionanxiety/")</f>
        <v/>
      </c>
      <c r="G823" t="inlineStr">
        <is>
          <t>2019-04-01 19:21:52</t>
        </is>
      </c>
      <c r="H823" t="inlineStr"/>
    </row>
    <row r="824">
      <c r="A824" t="inlineStr">
        <is>
          <t>b8dqlg</t>
        </is>
      </c>
      <c r="B824" t="inlineStr">
        <is>
          <t>Trigger foods?</t>
        </is>
      </c>
      <c r="C824" t="inlineStr">
        <is>
          <t xml:space="preserve">What are some trigger food for y'all? Is it normal for these foods to cause coughing and hella phlegm and post nasal drip shortly after consuming? For me it's citrus, dairy, wheat, alcohol. </t>
        </is>
      </c>
      <c r="D824" t="n">
        <v>2</v>
      </c>
      <c r="E824" t="n">
        <v>10</v>
      </c>
      <c r="F824">
        <f>HYPERLINK("https://www.reddit.com/r/GERD/comments/b8dqlg/trigger_foods/")</f>
        <v/>
      </c>
      <c r="G824" t="inlineStr">
        <is>
          <t>2019-04-01 20:16:53</t>
        </is>
      </c>
      <c r="H824" t="inlineStr"/>
    </row>
    <row r="825">
      <c r="A825" t="inlineStr">
        <is>
          <t>b8dyi1</t>
        </is>
      </c>
      <c r="B825" t="inlineStr">
        <is>
          <t>So worried ???</t>
        </is>
      </c>
      <c r="C825" t="inlineStr">
        <is>
          <t>Has anyone here developed chronic or long lasting acid reflux during and /or after taking antibiotics and/or costeriods ???</t>
        </is>
      </c>
      <c r="D825" t="n">
        <v>1</v>
      </c>
      <c r="E825" t="n">
        <v>0</v>
      </c>
      <c r="F825">
        <f>HYPERLINK("https://www.reddit.com/r/GERD/comments/b8dyi1/so_worried/")</f>
        <v/>
      </c>
      <c r="G825" t="inlineStr">
        <is>
          <t>2019-04-01 20:39:41</t>
        </is>
      </c>
      <c r="H825" t="inlineStr"/>
    </row>
    <row r="826">
      <c r="A826" t="inlineStr">
        <is>
          <t>b8dyxu</t>
        </is>
      </c>
      <c r="B826" t="inlineStr">
        <is>
          <t>PPI's and when to take them</t>
        </is>
      </c>
      <c r="C826" t="inlineStr">
        <is>
          <t>I have been taking 20 mg PPI every morning for nearly 2 years. 
Like clockwork I take the pill 30 minutes before my first coffee of the day. This is around 8 AM. I don't eat any food at all until about 1 PM.
I've read you are supposed to eat a meal 30-60 minutes after taking it. So my question is -- is the pill even being activated to work? Or am I just wasting it by only drinking coffee for hours after?</t>
        </is>
      </c>
      <c r="D826" t="n">
        <v>1</v>
      </c>
      <c r="E826" t="n">
        <v>5</v>
      </c>
      <c r="F826">
        <f>HYPERLINK("https://www.reddit.com/r/GERD/comments/b8dyxu/ppis_and_when_to_take_them/")</f>
        <v/>
      </c>
      <c r="G826" t="inlineStr">
        <is>
          <t>2019-04-01 20:40:56</t>
        </is>
      </c>
      <c r="H826" t="inlineStr"/>
    </row>
    <row r="827">
      <c r="A827" t="inlineStr">
        <is>
          <t>b8eqv3</t>
        </is>
      </c>
      <c r="B827" t="inlineStr">
        <is>
          <t>Help with eating smaller meals? (And getting enough calories)</t>
        </is>
      </c>
      <c r="C827" t="inlineStr">
        <is>
          <t xml:space="preserve">well to put it shortly I'm skinny underweight, and suffer from severe lpr/gerd. I've recently got a few books on these issues and have been trying harder to adjust my eating habits toward smaller meals, alkaline foods, and identifying potential triggers. (Especially since medication seems to not make much of a impact.)
My biggest issue so far though is simply getting enough calories, and identifying what exactly a small meal is. If I eat what i consider smaller meals and try to have something every 2-3 hours I always end up approaching bedtime/cut off time short of my calorie goals. 
I definitely get slight symptom improvement, compared to eating huge meals, but I'm a bit discouraged right now that i can't seem to find a good healthy  balance with things.
If anyone has any advice I'd greatly appreciate it. I'd also just be interested to know how many calories people are consuming per meal and how often.
</t>
        </is>
      </c>
      <c r="D827" t="n">
        <v>6</v>
      </c>
      <c r="E827" t="n">
        <v>7</v>
      </c>
      <c r="F827">
        <f>HYPERLINK("https://www.reddit.com/r/GERD/comments/b8eqv3/help_with_eating_smaller_meals_and_getting_enough/")</f>
        <v/>
      </c>
      <c r="G827" t="inlineStr">
        <is>
          <t>2019-04-01 22:06:59</t>
        </is>
      </c>
      <c r="H827" t="inlineStr"/>
    </row>
    <row r="828">
      <c r="A828" t="inlineStr">
        <is>
          <t>b8f1p5</t>
        </is>
      </c>
      <c r="B828" t="inlineStr">
        <is>
          <t>How to stop the esophagus spasms??</t>
        </is>
      </c>
      <c r="C828" t="inlineStr">
        <is>
          <t xml:space="preserve">Been having issues the last 4 days with the spasms. If there anyway to stop that quickly. I’ve been drinking so much water but it’s not helping.. </t>
        </is>
      </c>
      <c r="D828" t="n">
        <v>2</v>
      </c>
      <c r="E828" t="n">
        <v>4</v>
      </c>
      <c r="F828">
        <f>HYPERLINK("https://www.reddit.com/r/GERD/comments/b8f1p5/how_to_stop_the_esophagus_spasms/")</f>
        <v/>
      </c>
      <c r="G828" t="inlineStr">
        <is>
          <t>2019-04-01 22:40:40</t>
        </is>
      </c>
      <c r="H828" t="inlineStr"/>
    </row>
    <row r="829">
      <c r="A829" t="inlineStr">
        <is>
          <t>b8ggcs</t>
        </is>
      </c>
      <c r="B829" t="inlineStr">
        <is>
          <t>PPI Pantoprazole 40mg 2 times per day.</t>
        </is>
      </c>
      <c r="C829" t="inlineStr">
        <is>
          <t xml:space="preserve">I got diagnosed with LA grade A reflux disease and got prescribed Pantoloc 40mg for 2 weeks twice per day. I’m worrying that the dosage might be too high and it may cause some undesirable long term side effects. Could you please give me some advices to ease up my anxiety ? Also why do have to take so much? Usually with this type of PPI, you only need 40mg per day as I have read on the internet. Thanks ! </t>
        </is>
      </c>
      <c r="D829" t="n">
        <v>2</v>
      </c>
      <c r="E829" t="n">
        <v>16</v>
      </c>
      <c r="F829">
        <f>HYPERLINK("https://www.reddit.com/r/GERD/comments/b8ggcs/ppi_pantoprazole_40mg_2_times_per_day/")</f>
        <v/>
      </c>
      <c r="G829" t="inlineStr">
        <is>
          <t>2019-04-02 01:28:09</t>
        </is>
      </c>
      <c r="H829" t="inlineStr"/>
    </row>
    <row r="830">
      <c r="A830" t="inlineStr">
        <is>
          <t>b8hlym</t>
        </is>
      </c>
      <c r="B830" t="inlineStr">
        <is>
          <t>Alcohol and reflux</t>
        </is>
      </c>
      <c r="C830" t="inlineStr">
        <is>
          <t>Hi all has anyone giving up alcohol and seen a vast improvement in gerd symptoms? 
I know alcohol relaxes les as does coffee and chocolate but I read somewhere that giving up alcohol can improve les pressure and esophagael motility has this happened to anyone? I like a few drinks on weekend but am gonna try and cut it out completely for a bit.</t>
        </is>
      </c>
      <c r="D830" t="n">
        <v>4</v>
      </c>
      <c r="E830" t="n">
        <v>16</v>
      </c>
      <c r="F830">
        <f>HYPERLINK("https://www.reddit.com/r/GERD/comments/b8hlym/alcohol_and_reflux/")</f>
        <v/>
      </c>
      <c r="G830" t="inlineStr">
        <is>
          <t>2019-04-02 03:46:37</t>
        </is>
      </c>
      <c r="H830" t="inlineStr"/>
    </row>
    <row r="831">
      <c r="A831" t="inlineStr">
        <is>
          <t>b8jvv3</t>
        </is>
      </c>
      <c r="B831" t="inlineStr">
        <is>
          <t>Do I have GERD??</t>
        </is>
      </c>
      <c r="C831" t="inlineStr">
        <is>
          <t>Found this subreddit after trying to figure out why my chest, throat and head hurt in the mornings and throughout the day lately. I went to my doc for suspected sinus infection a few weeks ago, and along with antibiotics he prescribed me Prilosec to see if instead of a sinus infection, it was acid reflux. 
  Took the antibiotics, and I still have these strange symptoms (chest is incredibly “tight” in the mornings especially, throat feels like it’s been punched, inner ears hurt). I’ve thought for a long time that the tight chest was anxiety, because I can relieve it temporarily if I take an unusually deep breath, but it’s so instantaneous in the morning that I’m wondering if it’s GERD/acid reflux. 
  What does this sound like to you?</t>
        </is>
      </c>
      <c r="D831" t="n">
        <v>1</v>
      </c>
      <c r="E831" t="n">
        <v>2</v>
      </c>
      <c r="F831">
        <f>HYPERLINK("https://www.reddit.com/r/GERD/comments/b8jvv3/do_i_have_gerd/")</f>
        <v/>
      </c>
      <c r="G831" t="inlineStr">
        <is>
          <t>2019-04-02 07:24:28</t>
        </is>
      </c>
      <c r="H831" t="inlineStr"/>
    </row>
    <row r="832">
      <c r="A832" t="inlineStr">
        <is>
          <t>b8k0r6</t>
        </is>
      </c>
      <c r="B832" t="inlineStr">
        <is>
          <t>Dyspepsia mistaken for GERD</t>
        </is>
      </c>
      <c r="C832" t="inlineStr">
        <is>
          <t>I thought that I've been having GERD all these time due to burping, bloating and early satiety. After my endoscopy, everything looks normal and the doctor said i do not have gerd. So it seems like i have functional dyspepsia. Have been struggling with this for more than 2 months now and it sucks bc i cannot eat the normal amount or i'd feel full too early. Is anyone here also experiencing the symptom and how you improve?</t>
        </is>
      </c>
      <c r="D832" t="n">
        <v>1</v>
      </c>
      <c r="E832" t="n">
        <v>4</v>
      </c>
      <c r="F832">
        <f>HYPERLINK("https://www.reddit.com/r/GERD/comments/b8k0r6/dyspepsia_mistaken_for_gerd/")</f>
        <v/>
      </c>
      <c r="G832" t="inlineStr">
        <is>
          <t>2019-04-02 07:35:32</t>
        </is>
      </c>
      <c r="H832" t="inlineStr"/>
    </row>
    <row r="833">
      <c r="A833" t="inlineStr">
        <is>
          <t>b8kpog</t>
        </is>
      </c>
      <c r="B833" t="inlineStr">
        <is>
          <t>Betaine and cholesterol</t>
        </is>
      </c>
      <c r="C833" t="inlineStr">
        <is>
          <t>So, did any of you take betaine for GERD and happened to check their cholesterol levels for any reason? I was excited to try betaine for my acid reflux since I didn't feel any improvement on omeprazole but I heard it can raise your cholesterol levels. Mine are already high at 250.
So, does anyone know if it raises the cholesterol drastically or what? Would it be safe to take it?</t>
        </is>
      </c>
      <c r="D833" t="n">
        <v>0</v>
      </c>
      <c r="E833" t="n">
        <v>2</v>
      </c>
      <c r="F833">
        <f>HYPERLINK("https://www.reddit.com/r/GERD/comments/b8kpog/betaine_and_cholesterol/")</f>
        <v/>
      </c>
      <c r="G833" t="inlineStr">
        <is>
          <t>2019-04-02 08:30:59</t>
        </is>
      </c>
      <c r="H833" t="inlineStr"/>
    </row>
    <row r="834">
      <c r="A834" t="inlineStr">
        <is>
          <t>b8lcjg</t>
        </is>
      </c>
      <c r="B834" t="inlineStr">
        <is>
          <t>Feeling Unheard by Doctor(s)</t>
        </is>
      </c>
      <c r="C834" t="inlineStr">
        <is>
          <t>Apologies in advance for the novel.
I have been having this issue since the end of February beginning of March.  I posted a week or two back desperate for advice on what to eat.  I have a constant feeling of something being "stuck" in my throat and it gets more exaggerated when I eat.  At one point the anxiety around eating got so bad all I had was 1 banana a day (I still haven't had an actual "meal" in weeks).
On march 7th I went to a PCP assigned to me by my insurance.  He briefly looked in my throat and said it wasn't anything he could see and I had to see and ENT.  By the 11th it was so bad I felt like I was choking so I went to urgent care.  They said try a nasal spray and advil cold and sinus, if it doesn't get better try medrol dose pak and sent an ENT.  In the interim I went to an GI-NP and he said the area I was complaining about was, you guessed it, something and ENT had to look at, but upped my omeprazole to 40 mg.  At this point I cannot eat without feeling like vomit is rising in my throat (sometimes throwing up) and the feeling of it being stuck/choking.  I saw the ENT on the 14th of March and he did a regular scope in my nostril, and said I should do a FEESST.  I went and go that test done and that person said I was actually swallowing the food so it must be GERD, specifically LPR.  
On the 18th of March I wound up going to the ER because along with all the other symptoms I felt like my throat was closing and panicked.  The ER did a chest x-ray, gave me IV fluids (at this point I was on the banana a day diet) and recommended I see a GI that "they would want their mom to go to" (ie- he's great).  I was also told I needed a barium swallow test.  I did the swallow test and the radiologist said I was "actively refluxing" when I drank water but not with the barium.  I then saw the GI; he claims there was no evidence of that in the test (although when I called the radiologist he said it was in there just under a medical name and the GI should use google to figure it out).  The GI suggested I have an Endoscopy with a BRAVO test and manometry.  He also gave me amitriptyline to help with the sleep/anxiety.  
The day of my endoscopy the GI shows up 1.5 hrs late and asks how my manometry went.  I explained I didn't have it.  He proceeded to chastise me for not booking it (which was his office's job).  The nurses even told him as much.  He was quite rude after my test as well and told the nurses "they had their work cut out for them".  He also told me the immediate endoscopy showed nothing but he took biopsies.
I called his office yesterday; all he seemed concerned about is whether or not I did the manometry yet.  I asked about the biopsies which he completely ignored, and said when I come back for a follow up (the 8th) we will discuss the BRAVO results.
&amp;amp;#x200B;
I am just at such a loss.  I am barely able to eat, my anxiety is through the roof, and I really do not feel like this doctor gives a crap.  Going so long with this symptoms is driving me nuts.  I lost 13 lbs in 3 weeks and I am weak and always in pain.  Please tell me I'm not going crazy!  Or at the very least, confirm that  I am.
&amp;amp;#x200B;
Any and all suggestions are appreciated as well.</t>
        </is>
      </c>
      <c r="D834" t="n">
        <v>8</v>
      </c>
      <c r="E834" t="n">
        <v>18</v>
      </c>
      <c r="F834">
        <f>HYPERLINK("https://www.reddit.com/r/GERD/comments/b8lcjg/feeling_unheard_by_doctors/")</f>
        <v/>
      </c>
      <c r="G834" t="inlineStr">
        <is>
          <t>2019-04-02 09:20:26</t>
        </is>
      </c>
      <c r="H834" t="inlineStr"/>
    </row>
    <row r="835">
      <c r="A835" t="inlineStr">
        <is>
          <t>b8mgbv</t>
        </is>
      </c>
      <c r="B835" t="inlineStr">
        <is>
          <t>Need some insight about an Espinosa</t>
        </is>
      </c>
      <c r="C835" t="inlineStr">
        <is>
          <t xml:space="preserve">So this started very recently .... probably within a couple weeks. Not more than twice a week.... I would eat something and right after I feel extremely uncomfortable and I have an inability to burp. Which makes me feel full force uncomfortable and gives me anxiety which in turn makes me panic because I feel like my throat is closing...
I looked up all the symptoms and yes I’m going to the doctor. But this all happened out of no where. Never had issues with acid reflex or burping before....
I’m 27 and this is a first for me. My “episodes” I like to call it last for like an hour...where I feel like a burp is stuck in my throat and it’s painfully uncomfortable. Makes me wanna lay on the floor in a ball. 
Could this be caused by something temporary in my life ? Am I screwed? Is this my new norm? 
Insight? Thank you </t>
        </is>
      </c>
      <c r="D835" t="n">
        <v>0</v>
      </c>
      <c r="E835" t="n">
        <v>2</v>
      </c>
      <c r="F835">
        <f>HYPERLINK("https://www.reddit.com/r/GERD/comments/b8mgbv/need_some_insight_about_an_espinosa/")</f>
        <v/>
      </c>
      <c r="G835" t="inlineStr">
        <is>
          <t>2019-04-02 10:46:53</t>
        </is>
      </c>
      <c r="H835" t="inlineStr"/>
    </row>
    <row r="836">
      <c r="A836" t="inlineStr">
        <is>
          <t>b8oa7e</t>
        </is>
      </c>
      <c r="B836" t="inlineStr">
        <is>
          <t>Omeprazole withdrawal</t>
        </is>
      </c>
      <c r="C836" t="inlineStr">
        <is>
          <t>Hey, guys!
I got prescribed this drug as a precaution whilst undergoing some tests. Turns out I didn't have GERD but the doctor told me beforehand to take a higher-than-normal dose (60mg) which I did for a few days until advised by another that it was too high, then I weaned off on 20mg for the rest of the week.
I've had stomach rumbling after eating since I came off it a couple of weeks ago and I wonder if anyone has ever had this before? I didn't have much faith the original doctor who said it was possible that the dose is causing a 'rebound affect' of acid due to the original strong dose and that it could take a month or so to clear the stomach noises?
Thanks in advance for any help - poor student here so I'm unable to see another doctor for a while. :)</t>
        </is>
      </c>
      <c r="D836" t="n">
        <v>2</v>
      </c>
      <c r="E836" t="n">
        <v>1</v>
      </c>
      <c r="F836">
        <f>HYPERLINK("https://www.reddit.com/r/GERD/comments/b8oa7e/omeprazole_withdrawal/")</f>
        <v/>
      </c>
      <c r="G836" t="inlineStr">
        <is>
          <t>2019-04-02 13:13:55</t>
        </is>
      </c>
      <c r="H836" t="inlineStr"/>
    </row>
    <row r="837">
      <c r="A837" t="inlineStr">
        <is>
          <t>b8obvj</t>
        </is>
      </c>
      <c r="B837" t="inlineStr">
        <is>
          <t>Foods good and bad</t>
        </is>
      </c>
      <c r="C837" t="inlineStr">
        <is>
          <t>I need some help finding some good gerd friendly foods and what should I avoid?</t>
        </is>
      </c>
      <c r="D837" t="n">
        <v>1</v>
      </c>
      <c r="E837" t="n">
        <v>3</v>
      </c>
      <c r="F837">
        <f>HYPERLINK("https://www.reddit.com/r/GERD/comments/b8obvj/foods_good_and_bad/")</f>
        <v/>
      </c>
      <c r="G837" t="inlineStr">
        <is>
          <t>2019-04-02 13:17:42</t>
        </is>
      </c>
      <c r="H837" t="inlineStr"/>
    </row>
    <row r="838">
      <c r="A838" t="inlineStr">
        <is>
          <t>b8p9r4</t>
        </is>
      </c>
      <c r="B838" t="inlineStr">
        <is>
          <t>LPR and Eustachian Tube Dysfunction</t>
        </is>
      </c>
      <c r="C838" t="inlineStr">
        <is>
          <t xml:space="preserve">Hello. So around the end of August, I started having ear problems. Started out with pain, and wouldn't go away. A few weeks to about a month later I saw a doctor (my GP wasn't in), he looked at my ears, said everything was fine, told me it was probably allergies, and removed a small bit of ear wax (nothing major) which did make me feel a decent amount better. 
A month later, I still wasn't feel 100% myself, so I went to see my GP. He looked in my ears and nose, and thought maybe I could have a sinus infection, so he prescribed me some antibiotics. Days later, they weren't working, so he gave me some stronger ones along with some oral steroids. Those didn't help it either. By that point, it wasn't ear pain anymore per say, but a feeling of like fullness in the ears, and a crackling/popping sound when I move my jaw a certain way, swallow, yawn, etc. 
A month after that or so, I went into an ENT. He said my ears were fine, and looked at everything in my throat and nose and all of that, and noticed redness in some places such as the nasopharynx. He said I have LPR. He wanted me to try making lifestyle adjustments before prescribing medication, and he said once he would use meds, he wouldn't use prilosec because of some drug interactions.
Another month later, still not feeling good. By that time, I had received a brief letter from him just talking about what we went over at the appointment sent to me and my parents (I am 17). He said to start taking Zantac to see if that would help. So, I took Zantac twice a day, maximum dose, from about January to March. End of January, I received a referral from my GP to see a GI-specialist.
From about December, to March, I started to notice other symptoms, like a stuffy nurse, lots of post-nasal drip, and a constant need to clear my throat
I saw the GI-specialist during the first week of March. She thought the problems could either be silent reflux, eosinophilic esophagitis (which I had told her my uncle has) (pardon me if I spelled that wrong), or ENT-related or habit related. She recommended an upper endoscopy and a 48-hour bravo PH test. I was actually able to get in for the appointment the following week. During the endoscopy, the surgeon said he saw some formation of ulcer's in my stomach, and erosion's in my duodenum. Said my esophagus looked fine. Of course, he had a biopsy done after all of this. The biopsy revealed esophagitis, gastritis, and duodenitis. The results of the PH test came back days later. My GI told me I have reflux during the day, and it was associated with my throat clearing. She said that daytime reflux is often associated with something called rumination syndrome, which I looked up, and seems weird, because I don't have vomiting or regurgitation. Anyway, she prescribed me some stronger acid blockers, 30mg delayed release Lansoprazole (Prevacid) to take once a day in the morning before breakfast. She also is giving me a referral to a biofeedback place. 
I guess with all this, my question is, has anybody had a similar experience to me. The ear problems have been my main problem, but of course I've had the stuffy nose, post-nasal drip, and chronic need to clear my throat. Let me know your thoughts! </t>
        </is>
      </c>
      <c r="D838" t="n">
        <v>8</v>
      </c>
      <c r="E838" t="n">
        <v>31</v>
      </c>
      <c r="F838">
        <f>HYPERLINK("https://www.reddit.com/r/GERD/comments/b8p9r4/lpr_and_eustachian_tube_dysfunction/")</f>
        <v/>
      </c>
      <c r="G838" t="inlineStr">
        <is>
          <t>2019-04-02 14:34:03</t>
        </is>
      </c>
      <c r="H838" t="inlineStr"/>
    </row>
    <row r="839">
      <c r="A839" t="inlineStr">
        <is>
          <t>b8qcls</t>
        </is>
      </c>
      <c r="B839" t="inlineStr">
        <is>
          <t>I suspect my silent reflux is due to alcohol abuse, has anyone dealt with anything similar? Did it heal over time?</t>
        </is>
      </c>
      <c r="C839" t="inlineStr">
        <is>
          <t xml:space="preserve"> Hi, so I do get gerd from time to time, especially when I abuse sugar and carbs. But it hasn't been an issue when I cut off carbs. The issue I'm dealing with is a lump in my throat and sometimes I do feel liquid jumping up the throat but it never goes to the mouth as far as I know. It seems that most people here just had it due to diet, but anyone feel the symptoms from something like drinking or any meds? </t>
        </is>
      </c>
      <c r="D839" t="n">
        <v>8</v>
      </c>
      <c r="E839" t="n">
        <v>11</v>
      </c>
      <c r="F839">
        <f>HYPERLINK("https://www.reddit.com/r/GERD/comments/b8qcls/i_suspect_my_silent_reflux_is_due_to_alcohol/")</f>
        <v/>
      </c>
      <c r="G839" t="inlineStr">
        <is>
          <t>2019-04-02 16:08:55</t>
        </is>
      </c>
      <c r="H839" t="inlineStr"/>
    </row>
    <row r="840">
      <c r="A840" t="inlineStr">
        <is>
          <t>b8rsqj</t>
        </is>
      </c>
      <c r="B840" t="inlineStr">
        <is>
          <t>Throat insanely sore. Any relief that doesn't involve prilosec or zantac?</t>
        </is>
      </c>
      <c r="C840" t="inlineStr">
        <is>
          <t xml:space="preserve">I've had acid reflux every night for a month because I've been dealing with gastritis. The acid reflux isn't nearly as bad but its left my throat quite sore. Any advice for soothing this? I've tried ice cream and water but its not really doing much 30 seconds later. </t>
        </is>
      </c>
      <c r="D840" t="n">
        <v>2</v>
      </c>
      <c r="E840" t="n">
        <v>6</v>
      </c>
      <c r="F840">
        <f>HYPERLINK("https://www.reddit.com/r/GERD/comments/b8rsqj/throat_insanely_sore_any_relief_that_doesnt/")</f>
        <v/>
      </c>
      <c r="G840" t="inlineStr">
        <is>
          <t>2019-04-02 18:28:37</t>
        </is>
      </c>
      <c r="H840" t="inlineStr"/>
    </row>
    <row r="841">
      <c r="A841" t="inlineStr">
        <is>
          <t>b8sr7c</t>
        </is>
      </c>
      <c r="B841" t="inlineStr">
        <is>
          <t>Worried ???</t>
        </is>
      </c>
      <c r="C841" t="inlineStr">
        <is>
          <t xml:space="preserve">Hi I recently developed acid reflux and my doctor thinks it is from antibiotics and or costeriods  My question is Has anyone here developed chronic or long lasting acid reflux during and /or after taking antibiotics and/or costeriods ??? </t>
        </is>
      </c>
      <c r="D841" t="n">
        <v>6</v>
      </c>
      <c r="E841" t="n">
        <v>0</v>
      </c>
      <c r="F841">
        <f>HYPERLINK("https://www.reddit.com/r/GERD/comments/b8sr7c/worried/")</f>
        <v/>
      </c>
      <c r="G841" t="inlineStr">
        <is>
          <t>2019-04-02 20:05:32</t>
        </is>
      </c>
      <c r="H841" t="inlineStr"/>
    </row>
    <row r="842">
      <c r="A842" t="inlineStr">
        <is>
          <t>b8uszi</t>
        </is>
      </c>
      <c r="B842" t="inlineStr">
        <is>
          <t>GERD symptoms?</t>
        </is>
      </c>
      <c r="C842" t="inlineStr">
        <is>
          <t>So about a month ago I went to the er for shortness of breath and heart palpitations whenever I had heart palpitations and shortness of breath I felt the need to burp and that seemed to help. I had a chest x ray and ekg and everything was fine. Had a CBC and everything checked out except low vitamin d. But this past week has been hell. I have had lower stomach and abdominal pain, and on top of my abdominal muscles I feel like a mass that causes discomfort mostly when I lay down . TMI but I have been constipated for around 5 days and burping frequently to release air from my stomach. I sometimes have trouble swallowing my food and saliva. Was wondering if any of you have had the same symptoms? Went to the doctor and she said it’s symptoms of gerd. Got tested for H Pylori but waiting on results to rule that out. It’s just like out of the blue I’ve been feeling like crap :(</t>
        </is>
      </c>
      <c r="D842" t="n">
        <v>1</v>
      </c>
      <c r="E842" t="n">
        <v>2</v>
      </c>
      <c r="F842">
        <f>HYPERLINK("https://www.reddit.com/r/GERD/comments/b8uszi/gerd_symptoms/")</f>
        <v/>
      </c>
      <c r="G842" t="inlineStr">
        <is>
          <t>2019-04-03 00:18:50</t>
        </is>
      </c>
      <c r="H842" t="inlineStr"/>
    </row>
    <row r="843">
      <c r="A843" t="inlineStr">
        <is>
          <t>b8uxu1</t>
        </is>
      </c>
      <c r="B843" t="inlineStr">
        <is>
          <t>Oral herpes from gastroscopy?</t>
        </is>
      </c>
      <c r="C843" t="inlineStr">
        <is>
          <t>Monday I had my first ever gastroscopy. It went fine, and the doctor said that as far as she can see, everything is fine. Waiting for lab results now. 
Here’s the weird thing: When I woke up from sedation, my lip was sore in one point. First I thought it was bleeding, but I couldn’t see any blood. It felt like I had bitten myself. 
I thought that maybe during the procedure there was accidentally some mechanical force on my lip or even stomach acid that accidentally came in contact with my lip somehow. 
Turns out, it wasn’t any of those things. Looks like it’s probably oral herpes. 
I can’t remember ever having oral herpes in my life. 
Also, before I went in, I didn’t feel anything at all on my lip.  
I must have been under for 20 minutes max. In that time frame the thing developed. From 0 to 100. How’s that even possible?  
It’s getting worse now. 
Do any of you have an explanation or did you have a similar experience?</t>
        </is>
      </c>
      <c r="D843" t="n">
        <v>1</v>
      </c>
      <c r="E843" t="n">
        <v>4</v>
      </c>
      <c r="F843">
        <f>HYPERLINK("https://www.reddit.com/r/GERD/comments/b8uxu1/oral_herpes_from_gastroscopy/")</f>
        <v/>
      </c>
      <c r="G843" t="inlineStr">
        <is>
          <t>2019-04-03 00:36:52</t>
        </is>
      </c>
      <c r="H843" t="inlineStr"/>
    </row>
    <row r="844">
      <c r="A844" t="inlineStr">
        <is>
          <t>b8v0o9</t>
        </is>
      </c>
      <c r="B844" t="inlineStr">
        <is>
          <t>Teeth Pain from GERD ?</t>
        </is>
      </c>
      <c r="C844" t="inlineStr">
        <is>
          <t>Hi, I've had reflux for the last few years, but the last couple of months I've been suffering with intermittent tooth pain, I've been to the dentist a couple of times and have been told my teeth are fine and he could find nothing worse than a cavity but yet the pain continues. I'm wondering is there any correlation between reflux and the teeth and has any body else experienced this ?</t>
        </is>
      </c>
      <c r="D844" t="n">
        <v>6</v>
      </c>
      <c r="E844" t="n">
        <v>16</v>
      </c>
      <c r="F844">
        <f>HYPERLINK("https://www.reddit.com/r/GERD/comments/b8v0o9/teeth_pain_from_gerd/")</f>
        <v/>
      </c>
      <c r="G844" t="inlineStr">
        <is>
          <t>2019-04-03 00:47:47</t>
        </is>
      </c>
      <c r="H844" t="inlineStr"/>
    </row>
    <row r="845">
      <c r="A845" t="inlineStr">
        <is>
          <t>b8xinq</t>
        </is>
      </c>
      <c r="B845" t="inlineStr">
        <is>
          <t>Annoying bloated feeling or fullness after or while taking PPIs</t>
        </is>
      </c>
      <c r="C845" t="inlineStr">
        <is>
          <t>I notice every time I’m taking PPIs medicines for my flare ups it’s start working and relieves my symptoms of early satiety and nausea after eating but I start feeling bloated in my belly area and feels like I need to burp or something to relieve it but nots working. My bowel movements these past couples days has been little. Am I constipated? The bloating feeling kinda gets uncomfortable and annoying as that my only symptoms at the moment I’m struggling with. Any ideas of medicines or what not to take for this?</t>
        </is>
      </c>
      <c r="D845" t="n">
        <v>1</v>
      </c>
      <c r="E845" t="n">
        <v>3</v>
      </c>
      <c r="F845">
        <f>HYPERLINK("https://www.reddit.com/r/GERD/comments/b8xinq/annoying_bloated_feeling_or_fullness_after_or/")</f>
        <v/>
      </c>
      <c r="G845" t="inlineStr">
        <is>
          <t>2019-04-03 05:48:25</t>
        </is>
      </c>
      <c r="H845" t="inlineStr"/>
    </row>
    <row r="846">
      <c r="A846" t="inlineStr">
        <is>
          <t>b8ywc6</t>
        </is>
      </c>
      <c r="B846" t="inlineStr">
        <is>
          <t>Can you create GERD?</t>
        </is>
      </c>
      <c r="C846" t="inlineStr">
        <is>
          <t>This is an odd question. For my whole life I have been mostly fine, but from time to time dealt with some heartburn issues like everyone else. Then last fall I got a new coffee pot and went from drinking 2 cups a day to about 6 cups while I was figuring it out and experimenting with my brews. Not long after that I got a lump in my throat that wouldn't go away, and the feeling of a stake being driven through the right side of my chest and back out of my shoulder blade. I cut out coffee on my own for about 2 months and eventually went to the doctor when I didn't get better. He said I had GERD and got put on Omeprazole for 2 months which I then extended for another month until the GI specialist told me to drop it and switch to basic Zantac since my symptoms were getting better (although not entirely gone).
I am still suffering from some symptoms (lump in throat mostly and a feeling of my stomach being full of water when it is not) but they are not as bad as they were and a couple of weeks ago they were completely gone. The feeling was amazing. Then they came back. Cool.
&amp;amp;#x200B;
So I guess my real question is this: since none of my doctors had an answer for me, is it possible that just drinking too much coffee for a couple of weeks created my GERD? It seems crazy that doing so would cause this issue and it still be sticking around 6 months later. Hypothetically speaking, if the acid damaged my esophagus, how long would it take to heal? Or is it just a weird coincidence that my symptoms started at the same time that I started increasing my coffee intake? Has anybody else experienced this?
&amp;amp;#x200B;
TLDR; I drank a ton of coffee for 2 weeks and got GERD, 6 months later it has not gone away. What is going on?</t>
        </is>
      </c>
      <c r="D846" t="n">
        <v>6</v>
      </c>
      <c r="E846" t="n">
        <v>14</v>
      </c>
      <c r="F846">
        <f>HYPERLINK("https://www.reddit.com/r/GERD/comments/b8ywc6/can_you_create_gerd/")</f>
        <v/>
      </c>
      <c r="G846" t="inlineStr">
        <is>
          <t>2019-04-03 07:47:37</t>
        </is>
      </c>
      <c r="H846" t="inlineStr"/>
    </row>
    <row r="847">
      <c r="A847" t="inlineStr">
        <is>
          <t>b8zg16</t>
        </is>
      </c>
      <c r="B847" t="inlineStr">
        <is>
          <t>Been Dealing with Acid Reflux for 2 Months Now, looking for help.</t>
        </is>
      </c>
      <c r="C847" t="inlineStr">
        <is>
          <t xml:space="preserve">For context, I'm a 22 year-old male in college, I'm roughly 15-20 pounds overweight, I deal with a considerable amount of stress. I averaged 2-3 cups of coffee a day for years, and I have a long history with energy drinks/pre-workout and in the months leading up to my first sign of problems I was consuming citrus fruit 3 times a day. I frequently over-eat growing up, and was overweight from ages 10-16. 
I was diagnosed with acid reflux by my general provider just over two months ago. 
My symptoms simply appeared one day. The symptoms include burping frequently (especially right after eating), scratchy throat, and increased levels of anxiety. I also occasionally feel pain/churning in my stomach area, but it's minute and usually only last a minute or so. Early on I experienced shortness of breath, but I haven't dealt with that specific symptom since I started on omneprazole a month and a half ago, and I (and my doctor) believe it was more anxiety related than physical. 
I've only been dealing with this condition for two months now, but I'm absolutely tired of it. How do I get better? Lifestyle changes is the obvious answer, and I've already started a pseudo-keto diet (and cut out all caffeine and alcohol) in an attempt to reduce acid build-up, but, thus far it's had no impact on my symptoms whatsoever. In-fact, I feel as if I've gotten worse. 
What else is there to be done? I won't be able to see a specialist until late May, and that's two months away. Is it possible for acid reflux to go away entirely and never return? Is it realistic to hope for a cure? I go through my every moment in mild discomfort at best, and throat pain/constant burping at the worst. I don't wan't the rest of my life to work out this way. 
P.S. - Those of you who have been dealing with this for years are titans to me now. You're stronger than I. Props to you for fighting this condition day in and day out. </t>
        </is>
      </c>
      <c r="D847" t="n">
        <v>3</v>
      </c>
      <c r="E847" t="n">
        <v>7</v>
      </c>
      <c r="F847">
        <f>HYPERLINK("https://www.reddit.com/r/GERD/comments/b8zg16/been_dealing_with_acid_reflux_for_2_months_now/")</f>
        <v/>
      </c>
      <c r="G847" t="inlineStr">
        <is>
          <t>2019-04-03 08:31:27</t>
        </is>
      </c>
      <c r="H847" t="inlineStr"/>
    </row>
    <row r="848">
      <c r="A848" t="inlineStr">
        <is>
          <t>b8zgnb</t>
        </is>
      </c>
      <c r="B848" t="inlineStr">
        <is>
          <t>How much should I pursue GERD testing with my doctor?</t>
        </is>
      </c>
      <c r="C848" t="inlineStr">
        <is>
          <t>Hi, I'm sure there are a lot of these questions, but I've been lurking awhile and wanted to ask. I am currently in a bad bout of a GERD flare up. I've had it once before in my life, had an endoscopy which showed a little inflammation, started eating better and on omeprazole for awhile and got rid of it. Around October it came back with a vengeance...this time with that lump in your throat feeling. I had an endoscopy again, similarly it turned up with mild inflammation and some bile reflux..but nothing else. Doctor never officially said it was GERD or not. So since then I've been on 40mg omeprazole, and basically not eating anything bad. Cut out all acidic foods, fatty, garlic, onion, coffee, sweets. I cut back on drinking-but I'm 25 and genuinely enjoy drinks with friends, so I never cut it out completely. I'll have a drink or two once or twice a week..usually a Guiness because it doesn't bother me too bad. But if I go off that diet at all-i.e. eat out without knowing exactly what's in the food, have 3 to 4 drinks, etc., the lump in my throat comes back immediately. And no matter what I wake up with a sore throat (my bed is elevated). Most days I'll take some Gaviscon tablets during the day to help too-especially if I have a drink or a cup of low acid coffee. Even so, the my doctor seems to think it's fine, no more testing required. She even wants me to try to wean off of omeprazole and other antacids, which seems impossible. So my question is-what would you do? I'm just afraid of having this constant throat irritation go on and it putting me at a risk for cancer. I dont mind eating healthy, and feeling crappy for a few days when I dont but still. I always fear getting cancer if this goes on for years.  Anyways, sorry for the novel-no one else I knows deals with this and people have a hard time understanding it. 
TL;DR Have bad gerd symptoms somewhat managed with meds but still come through, doctor doesn't want to do anything different or any more testing, what would you do?</t>
        </is>
      </c>
      <c r="D848" t="n">
        <v>8</v>
      </c>
      <c r="E848" t="n">
        <v>15</v>
      </c>
      <c r="F848">
        <f>HYPERLINK("https://www.reddit.com/r/GERD/comments/b8zgnb/how_much_should_i_pursue_gerd_testing_with_my/")</f>
        <v/>
      </c>
      <c r="G848" t="inlineStr">
        <is>
          <t>2019-04-03 08:32:47</t>
        </is>
      </c>
      <c r="H848" t="inlineStr"/>
    </row>
    <row r="849">
      <c r="A849" t="inlineStr">
        <is>
          <t>b8zn2k</t>
        </is>
      </c>
      <c r="B849" t="inlineStr">
        <is>
          <t>Can a 6 year old have gerd?</t>
        </is>
      </c>
      <c r="C849" t="inlineStr">
        <is>
          <t>Hi I know acid reflux is in my family me and my dad suffer with it but lately I’ve noticed my 6 year old boy burping a lot and seems to get hiccups maybe once a week maybe more. Is this normal am I worrying to much as I feel little guilty if he has? or is this normal my other boy doesn’t do it.</t>
        </is>
      </c>
      <c r="D849" t="n">
        <v>1</v>
      </c>
      <c r="E849" t="n">
        <v>3</v>
      </c>
      <c r="F849">
        <f>HYPERLINK("https://www.reddit.com/r/GERD/comments/b8zn2k/can_a_6_year_old_have_gerd/")</f>
        <v/>
      </c>
      <c r="G849" t="inlineStr">
        <is>
          <t>2019-04-03 08:47:01</t>
        </is>
      </c>
      <c r="H849" t="inlineStr"/>
    </row>
    <row r="850">
      <c r="A850" t="inlineStr">
        <is>
          <t>b9614q</t>
        </is>
      </c>
      <c r="B850" t="inlineStr">
        <is>
          <t>Feeling of acid rolling in throat in the morning?</t>
        </is>
      </c>
      <c r="C850" t="inlineStr">
        <is>
          <t>I sleep on my left side and lately when I wake up and choose to roll onto my other side I can feel something in my throat that seems to roll over to the other side of my throat as I roll in bed. I don\`t have any burning sensation, just a weird stuff in throat rolling around feeling. Was just curious if anyone else experiences anything similar in the mornings?</t>
        </is>
      </c>
      <c r="D850" t="n">
        <v>3</v>
      </c>
      <c r="E850" t="n">
        <v>5</v>
      </c>
      <c r="F850">
        <f>HYPERLINK("https://www.reddit.com/r/GERD/comments/b9614q/feeling_of_acid_rolling_in_throat_in_the_morning/")</f>
        <v/>
      </c>
      <c r="G850" t="inlineStr">
        <is>
          <t>2019-04-03 17:37:30</t>
        </is>
      </c>
      <c r="H850" t="inlineStr"/>
    </row>
    <row r="851">
      <c r="A851" t="inlineStr">
        <is>
          <t>b974sc</t>
        </is>
      </c>
      <c r="B851" t="inlineStr">
        <is>
          <t>Not sure ???</t>
        </is>
      </c>
      <c r="C851" t="inlineStr">
        <is>
          <t xml:space="preserve">I recently developed a fungal infection and I am wondering does antifungal medication increase or decrease acid reflux?????  (as I have acid reflux ) sometimes </t>
        </is>
      </c>
      <c r="D851" t="n">
        <v>1</v>
      </c>
      <c r="E851" t="n">
        <v>3</v>
      </c>
      <c r="F851">
        <f>HYPERLINK("https://www.reddit.com/r/GERD/comments/b974sc/not_sure/")</f>
        <v/>
      </c>
      <c r="G851" t="inlineStr">
        <is>
          <t>2019-04-03 19:28:46</t>
        </is>
      </c>
      <c r="H851" t="inlineStr"/>
    </row>
    <row r="852">
      <c r="A852" t="inlineStr">
        <is>
          <t>b97sgf</t>
        </is>
      </c>
      <c r="B852" t="inlineStr">
        <is>
          <t>Stopped taking my PPI in prep for EGD with Bravo. Feeling intense burning in chest when laying down. Help!</t>
        </is>
      </c>
      <c r="C852" t="inlineStr">
        <is>
          <t xml:space="preserve">Sorry for the formatting, I'm on mobile. I'll try to keep it brief. 
Diagnosed with GERD, Barrett's esophagus, hiatal hernia and multiple ulcers.
I've been on Omeprazole for 7+ years 40mg 2x, and 300mg of ranitidine once daily for three months. 
Is there anything that will help in the meantime without effecting my upcoming test? I need sleep but even water causes my reflux now, followed by vomiting and more pain.  
I've heard apples would help but it seems counterintuitive to me. Going to try a banana and some CBD oil. 
Any help would be greatly appreciated. </t>
        </is>
      </c>
      <c r="D852" t="n">
        <v>5</v>
      </c>
      <c r="E852" t="n">
        <v>14</v>
      </c>
      <c r="F852">
        <f>HYPERLINK("https://www.reddit.com/r/GERD/comments/b97sgf/stopped_taking_my_ppi_in_prep_for_egd_with_bravo/")</f>
        <v/>
      </c>
      <c r="G852" t="inlineStr">
        <is>
          <t>2019-04-03 20:38:23</t>
        </is>
      </c>
      <c r="H852" t="inlineStr"/>
    </row>
    <row r="853">
      <c r="A853" t="inlineStr">
        <is>
          <t>b983z5</t>
        </is>
      </c>
      <c r="B853" t="inlineStr">
        <is>
          <t>Starting a short round of PPIs</t>
        </is>
      </c>
      <c r="C853" t="inlineStr">
        <is>
          <t>I've been dealing with some acid reflux for some time now, my Dr. wants to do a short round of PPIs (about 6 weeks) to see if we can find out if it's GERD or not.  I've identified my trigger foods; the only things that seem to set it off are yogurt (surprised) and Curry (not surprised); coffee, chocolate, etc all seem to be fine.  
So I'm doing a round at 40mg a day; I had two questions:  
1) Generally speaking is 40mg a small dose, normal, large dose?  
2) How long does it generally take to get the acid under control?  I'm only on day 2 and this evening I got a bit of acid backsplash from some burping - should it already have reduced things or does it take awhile for it to improve symptoms?</t>
        </is>
      </c>
      <c r="D853" t="n">
        <v>4</v>
      </c>
      <c r="E853" t="n">
        <v>4</v>
      </c>
      <c r="F853">
        <f>HYPERLINK("https://www.reddit.com/r/GERD/comments/b983z5/starting_a_short_round_of_ppis/")</f>
        <v/>
      </c>
      <c r="G853" t="inlineStr">
        <is>
          <t>2019-04-03 21:15:48</t>
        </is>
      </c>
      <c r="H853" t="inlineStr"/>
    </row>
    <row r="854">
      <c r="A854" t="inlineStr">
        <is>
          <t>b98523</t>
        </is>
      </c>
      <c r="B854" t="inlineStr">
        <is>
          <t>Let's Bring down the Paywall for Low Acid / Enzymes / Betaine HCL Youtube Chiropractors</t>
        </is>
      </c>
      <c r="C854" t="inlineStr">
        <is>
          <t>As you might be aware of, there's a battle between big Pharma who push PPIs for GERD  for acid reflux problems, and then there's the alternative medicine voice, mainly by Chiropractors on youtube.
The problem is that both these sides make good points, but the Doctors are pretending these videos don't exist, and the Chiropractors / naturopaths are pretending  they know everything , poo-pooing all big pharma,  and that all you need to do is buy saurkraut, probiotics, Ox Bile, Enzymyes,and Betaine HCl, eat kale , and Do yoga breathing.
&amp;amp;#x200B;
I think that both sides are worth considering, but I would really like for **both sides to talk to each other** and bring in more evidence for people struggling to resolve their GERD, either without long-term PPIs, or some people can't resolve it at all.
&amp;amp;#x200B;
**What got me started:**
This guy, a typical YouTube chiropractor who sells expensive consulting via Skype  
[https://www.youtube.com/watch?v=uSDPgDr2Vpc](https://www.youtube.com/watch?v=uSDPgDr2Vpc) 
&amp;amp;#x200B;
**The problem:**
He is pretty convincing in his arguments and articulation. and doesn't sound like a typical quack supplement pusher. They actually say short term PPI might be useful, so he's much less combative.
&amp;amp;#x200B;
**What I want**
For people who have paid for private consulting from youtube doctors for GERD to post/comment here and or share the privileged documentation that they've been provided with, to see what's bullshit and what really works.
&amp;amp;#x200B;</t>
        </is>
      </c>
      <c r="D854" t="n">
        <v>1</v>
      </c>
      <c r="E854" t="n">
        <v>0</v>
      </c>
      <c r="F854">
        <f>HYPERLINK("https://www.reddit.com/r/GERD/comments/b98523/lets_bring_down_the_paywall_for_low_acid_enzymes/")</f>
        <v/>
      </c>
      <c r="G854" t="inlineStr">
        <is>
          <t>2019-04-03 21:19:14</t>
        </is>
      </c>
      <c r="H854" t="inlineStr"/>
    </row>
    <row r="855">
      <c r="A855" t="inlineStr">
        <is>
          <t>b98crb</t>
        </is>
      </c>
      <c r="B855" t="inlineStr">
        <is>
          <t>Resources that have helped you the most dealing with long-term GERD/Acid Reflux</t>
        </is>
      </c>
      <c r="C855" t="inlineStr">
        <is>
          <t>So this post is going to be targeting folks who have been living with GERD/Acid Reflux for a long time. I myself have lived with some kind of acid reflux issue since high school. You read that right, since highschool and I'm 26 now. Last year I got an endoscopy and was given an all clear for any red flags or issues from the gastroenterologist. Up till about last December everything was manageable. I was on Omeprazole which was the first ever relief I had that didn't require downing Tums or feeling like my chest was on fire (I'm now on pantoprazole because I was getting worried that Omeprazole was giving me a sun allergy and overall just hearing bad things about staying on it long term). But since December my throat has been having issues and I think a lot of you can relate. Lump feeling that comes and goes, aching feeling in back of throat, extra nasal discharge, etc. I've never had throat issues until now but I already have an irrational fear of esophageal cancer later in life. So I'm starting to realize I need to get this in control now (adding to the fear is that I just proposed to my gf of 5 years so my longevity has become more of a concern). With that, my plan is take this head on and really utilize resources to ensure I'm going to live a long healthy life and keep my esophagus protected, and overall trying to have this impact less of my day. 
So my question for those that have dealt with this a long time, what resources helped get you  on the right path for managing your GERD or acid reflux? For example would seeing a gastroenterologist often or building a relationship with one that knows your situation help? I don't have any known food allergies but would seeing an allergist to confirm any allergies or food intolerances help? Also, are you still on any perscriptions or do they become the norm I'll just have to deal with? I know the biggest challenge is that GERD/acid reflux relief doesn't have a one size fits all solution, but any insight or relatable information would be wonderful!</t>
        </is>
      </c>
      <c r="D855" t="n">
        <v>1</v>
      </c>
      <c r="E855" t="n">
        <v>3</v>
      </c>
      <c r="F855">
        <f>HYPERLINK("https://www.reddit.com/r/GERD/comments/b98crb/resources_that_have_helped_you_the_most_dealing/")</f>
        <v/>
      </c>
      <c r="G855" t="inlineStr">
        <is>
          <t>2019-04-03 21:44:17</t>
        </is>
      </c>
      <c r="H855" t="inlineStr"/>
    </row>
    <row r="856">
      <c r="A856" t="inlineStr">
        <is>
          <t>b991vv</t>
        </is>
      </c>
      <c r="B856" t="inlineStr">
        <is>
          <t>Help! 17 year old doesn't know if it's a stomach ulcer, GERD, or something else!</t>
        </is>
      </c>
      <c r="C856" t="inlineStr">
        <is>
          <t xml:space="preserve">So around Christmas I ate lasagna and chocolates. At around 7pm, I started feeling weird and a bit nauseous but brushed it off. At around 9pm, I had the urge to vomit and knew I was going to throw up and told my Mom about it (since she was a registered nurse back in Mexico.) I felt nervous because I have a fear of doing so. So I just kept telling myself to hold it in and that I didn't want to throw up. I thought that if I just walked around my apartment, the undigested food would pass. So I did. For the whole night and did not sleep. The next day, the urge was slightly less but still there. But there was another thing: A gnawing, dull pain in my stomach and a feeling of fullness. (Was it bloating?) A few days pass, hoping it would just go away but of course it did not. I finally went to Urgent Care because Winter Break would end in about a week. The doctor told me that it could be an ulcer and gave me 150mg Ranitidine (or Zantac, since that's its other name) capsules. 2 times a day for a month. It did help a bit but still felt slight nausea everyday. But I still wanted to see what it was just in case. So we went to my Pediatrician and told her all about it. She said it could be H. Pylori and gave me a blood and Urea Breath test to do, along with a stool sample. I checked online that the Urea breath test has to wait at least 30 minutes until I could breathe into multiple bags. But the nurses only waited 15 minutes and told me to breathe into one bag. And with the stool sample, since I did not need to use the bathroom at the time, the nurses told me that I could just put it in the freezer until my Mom could have time to drop it off since the office is a tiny bit far away from home. It took her 4 days until she had time to do so. When the results came back negative, I didn't know what to do next. I thought that maybe since the tests were done a bit improperly, it could have messed with the results? Anyways, it's been about 3 months and I still have whatever this is. Gnawing pain whenever I don't eat in my stomach, chest pain that randomly happens (Not sharp acute pain but it still hurts), and nausea are all symptoms. Recently, until a few days ago it's gotten a bit worse. I have the same gnawing pain but less in my lower abdomen. I feel like there is something in the back of my throat, not a lot , but feels like something is there along with my throat feeling a tiny bit acidy making my right ear feel weird. I have back pain but it's hard to describe. It's like cold bursts of pain? And in certain areas? It's weird, I know. I feel like my saliva tastes...odd. Sometimes fatigue, light-headed and such. I haven't told my parents about all this. Since my Mom read that the results were negative, I don't want to say that my stomach still hurts. They might not believe me and I don't want to be a bother. 
          So what could it be? An ulcer? GERD? Should I taks antibiotics if my doctor prescibes me it or should I drink Cabbage Juice? (I heard that it's effective.) Is it really serious? What should I do? Any advice, answers, tips, ANYTHING is greatly apprecciated! </t>
        </is>
      </c>
      <c r="D856" t="n">
        <v>1</v>
      </c>
      <c r="E856" t="n">
        <v>2</v>
      </c>
      <c r="F856">
        <f>HYPERLINK("https://www.reddit.com/r/GERD/comments/b991vv/help_17_year_old_doesnt_know_if_its_a_stomach/")</f>
        <v/>
      </c>
      <c r="G856" t="inlineStr">
        <is>
          <t>2019-04-03 23:09:31</t>
        </is>
      </c>
      <c r="H856" t="inlineStr"/>
    </row>
    <row r="857">
      <c r="A857" t="inlineStr">
        <is>
          <t>b9ayeu</t>
        </is>
      </c>
      <c r="B857" t="inlineStr">
        <is>
          <t>Nausea only in the morning after waking up?</t>
        </is>
      </c>
      <c r="C857" t="inlineStr">
        <is>
          <t>Hi guys! 
I’ve been told I have acid reflux ever since I was a little kid. My main, and most annoying symptom, is that i wake up nauseous in the morning. I have tried so many things. My diet is pescatarian, and has been for 2+ years, on top of nearly no dairy. I’ve slept on just one side, or on my back. Elevated pillows. I’ve cut out food SLOWLY at night, where I stopped eating at 8pm, and then i tried 7pm, 6pm. I had days where my last meal was at 12pm and I would still wake up the next morning nauseous. Its not a “i feel like vomiting” type, because i know i wont throw up. Its just.....basic nausea. Do you guys suggest anything? My old doctor used to tell me to take 2 tums with every meal, and i was taking upwards of 6+ tums a DAY, it just seemed excessive? 
Thank you guys xx</t>
        </is>
      </c>
      <c r="D857" t="n">
        <v>2</v>
      </c>
      <c r="E857" t="n">
        <v>4</v>
      </c>
      <c r="F857">
        <f>HYPERLINK("https://www.reddit.com/r/GERD/comments/b9ayeu/nausea_only_in_the_morning_after_waking_up/")</f>
        <v/>
      </c>
      <c r="G857" t="inlineStr">
        <is>
          <t>2019-04-04 03:18:39</t>
        </is>
      </c>
      <c r="H857" t="inlineStr"/>
    </row>
    <row r="858">
      <c r="A858" t="inlineStr">
        <is>
          <t>b9b058</t>
        </is>
      </c>
      <c r="B858" t="inlineStr">
        <is>
          <t>Ginger - The miracle cure?</t>
        </is>
      </c>
      <c r="C858" t="inlineStr">
        <is>
          <t xml:space="preserve">So guys, I have had pretty bad GERD for months. Tried every supplement I could find, but what really helped bring down my symptoms was good old ginger. Here’s what I do : chew an inch of raw ginger right before every meal or snack, much like a chewing gum. And voila! That’s it. I know, I know chewing raw ginger sounds ghastly, but eventually you get accustomed to the taste, and what better than being symptom free or having reduced symptoms. I urge you guys to give it a try and please post a feedback. Good luck! </t>
        </is>
      </c>
      <c r="D858" t="n">
        <v>18</v>
      </c>
      <c r="E858" t="n">
        <v>16</v>
      </c>
      <c r="F858">
        <f>HYPERLINK("https://www.reddit.com/r/GERD/comments/b9b058/ginger_the_miracle_cure/")</f>
        <v/>
      </c>
      <c r="G858" t="inlineStr">
        <is>
          <t>2019-04-04 03:25:03</t>
        </is>
      </c>
      <c r="H858" t="inlineStr"/>
    </row>
    <row r="859">
      <c r="A859" t="inlineStr">
        <is>
          <t>b9ejiy</t>
        </is>
      </c>
      <c r="B859" t="inlineStr">
        <is>
          <t>GERD and Anxiety/Stress (Im trying really hard to get myself figured out) Which of these symptoms have you seen in GERD??</t>
        </is>
      </c>
      <c r="C859" t="inlineStr">
        <is>
          <t xml:space="preserve">!SORRY IF THIS IS KIND OF MESSY! 
 OK so before I start I'll lay some groundwork details; I'm a 24 year old male and I currently work in finance. I came from three years in retail in a grocery store. Before that,  I was a bachelors student graduating with a degree in business. Toward the end of my time there was when I started to really have issues with these symptoms. So that is where the anxiety really started to work I think. The retail environment really took a toll on my mental health. This whole deal started around this time last year. I went to my doctor 5 or 6 times before going to a specialist. The specialist had a preliminary diagnosis for me with functional dyspepsia after doing some X-Rays via an upper GI series. I haven't been back to the specialist since because of the amount of money I had spent on doctors visits up to this point. 
 Both severe anxiety and GERD runs in my family with GERD coming from my Dad and anxiety coming from both sides.  So my goal is to see what you all have experienced in these lists of symptoms I've dealt with for the last year or so and where they might be coming from.   
GERD and Anxiety symptoms
These are where I assume these symptoms come from. I’m still trying to unravel a lot of this and figure out what is going on with my body. I’ve gotten to the point where some days I’m scared to leave the house because these symptoms get so bad. I've tried PPI's and exercise and gave it about two months and it seemed to help at first but then it suddenly all came back. So Im really hoping to find some answers and comfort in this sub. 
**GERD:** 
Upset stomach
Nausea
Stomach/side pains (Similar to an ulcer type pain I.E. burning sharp side pain etc.)
Dry/sore throat
**Anxiety:** (Most of this happens at once and for a few minutes then goes away.)
Cold sweats
Severe nausea
Fuzzy/darkened vision (This one happens only occasionally)
**Source Unknown (Both?):**
Constipation
Overall Lack of Energy 
Constant Exhaustion 
Lack of Appetite
&amp;amp;#x200B;
So I guess where I'm stuck at is the problem of not knowing where the symptoms I'm experiencing come from since a lot of them overlap on both sides of these two issues I am dealing with. So I guess I was hoping to ask some questions to you all in order to potentially figure out where they're coming from.
My first question is, on a scale of 1 to 10, what has been your experience with nausea and GERD? This is by far my most prevalent symptom and it gets so bad that sometimes it is crippling.
Second question is, do any of you have experience with GERD and anxiety together? Did your GERD cause Anxiety?
Final question is, What types of medication and treatments have worked for you? Like I said above I was on PPI's for about two months and I really felt like I was taking them for nothing. 
THANK YOU ALL IN ADVANCE FOR ANY INFORMATION!! </t>
        </is>
      </c>
      <c r="D859" t="n">
        <v>5</v>
      </c>
      <c r="E859" t="n">
        <v>12</v>
      </c>
      <c r="F859">
        <f>HYPERLINK("https://www.reddit.com/r/GERD/comments/b9ejiy/gerd_and_anxietystress_im_trying_really_hard_to/")</f>
        <v/>
      </c>
      <c r="G859" t="inlineStr">
        <is>
          <t>2019-04-04 08:58:38</t>
        </is>
      </c>
      <c r="H859" t="inlineStr"/>
    </row>
    <row r="860">
      <c r="A860" t="inlineStr">
        <is>
          <t>b9g9e5</t>
        </is>
      </c>
      <c r="B860" t="inlineStr">
        <is>
          <t>Calcium carbonate powder?</t>
        </is>
      </c>
      <c r="C860" t="inlineStr">
        <is>
          <t>Has anyone tried it? It seems to tighten the LES hence alleviating reflux symptoms. I'm thinking of buying it, but does it actually do the trick?</t>
        </is>
      </c>
      <c r="D860" t="n">
        <v>1</v>
      </c>
      <c r="E860" t="n">
        <v>0</v>
      </c>
      <c r="F860">
        <f>HYPERLINK("https://www.reddit.com/r/GERD/comments/b9g9e5/calcium_carbonate_powder/")</f>
        <v/>
      </c>
      <c r="G860" t="inlineStr">
        <is>
          <t>2019-04-04 11:14:43</t>
        </is>
      </c>
      <c r="H860" t="inlineStr"/>
    </row>
    <row r="861">
      <c r="A861" t="inlineStr">
        <is>
          <t>b9ggu3</t>
        </is>
      </c>
      <c r="B861" t="inlineStr">
        <is>
          <t>Calcium citrate powder?</t>
        </is>
      </c>
      <c r="C861" t="inlineStr">
        <is>
          <t>Has anyone tried it? It seems to tighten the LES hence alleviating reflux symptoms. I'm thinking of buying it, but does it actually do the trick?</t>
        </is>
      </c>
      <c r="D861" t="n">
        <v>1</v>
      </c>
      <c r="E861" t="n">
        <v>0</v>
      </c>
      <c r="F861">
        <f>HYPERLINK("https://www.reddit.com/r/GERD/comments/b9ggu3/calcium_citrate_powder/")</f>
        <v/>
      </c>
      <c r="G861" t="inlineStr">
        <is>
          <t>2019-04-04 11:30:37</t>
        </is>
      </c>
      <c r="H861" t="inlineStr"/>
    </row>
    <row r="862">
      <c r="A862" t="inlineStr">
        <is>
          <t>b9hqh4</t>
        </is>
      </c>
      <c r="B862" t="inlineStr">
        <is>
          <t>Pillow recommendations</t>
        </is>
      </c>
      <c r="C862" t="inlineStr">
        <is>
          <t>I’m buying a reflex pillow please let me know a good one. Is 7.5 inches good?</t>
        </is>
      </c>
      <c r="D862" t="n">
        <v>1</v>
      </c>
      <c r="E862" t="n">
        <v>2</v>
      </c>
      <c r="F862">
        <f>HYPERLINK("https://www.reddit.com/r/GERD/comments/b9hqh4/pillow_recommendations/")</f>
        <v/>
      </c>
      <c r="G862" t="inlineStr">
        <is>
          <t>2019-04-04 13:13:07</t>
        </is>
      </c>
      <c r="H862" t="inlineStr"/>
    </row>
    <row r="863">
      <c r="A863" t="inlineStr">
        <is>
          <t>b9j6kk</t>
        </is>
      </c>
      <c r="B863" t="inlineStr">
        <is>
          <t>PPI making me feel worse?</t>
        </is>
      </c>
      <c r="C863" t="inlineStr">
        <is>
          <t xml:space="preserve">I have been having issues with my stomach the last few months but have had no tests to say what I have. I was on 150 Zantac twice a day which kind of worked but I still had some really bad days. 
I started taking 20mg Prilosec (as recommended by my doctor) 4 days ago. The first two days I felt a little better but these last two days have been horrible. I am super bloated, foggy, I have the feeling of air in my throat, and I can barley even drink any water without wanting to throw up.
I haven’t eaten food that usually triggers me. 
Should I stop PPI’s or is it too soon to tell? </t>
        </is>
      </c>
      <c r="D863" t="n">
        <v>5</v>
      </c>
      <c r="E863" t="n">
        <v>16</v>
      </c>
      <c r="F863">
        <f>HYPERLINK("https://www.reddit.com/r/GERD/comments/b9j6kk/ppi_making_me_feel_worse/")</f>
        <v/>
      </c>
      <c r="G863" t="inlineStr">
        <is>
          <t>2019-04-04 15:16:31</t>
        </is>
      </c>
      <c r="H863" t="inlineStr"/>
    </row>
    <row r="864">
      <c r="A864" t="inlineStr">
        <is>
          <t>b9ja5q</t>
        </is>
      </c>
      <c r="B864" t="inlineStr">
        <is>
          <t>Haven't been here in a while!!</t>
        </is>
      </c>
      <c r="C864" t="inlineStr">
        <is>
          <t>Hi!! Who else experiences the feeling of air or like an air bubble moving up their throat? It's pretty on &amp;amp; off  but it still bothers me because it's on &amp;amp; off all day. I've recently gone vegan and it's helped a lot with my GERD. but this symptom just WONT go away. No pain, no heartburn, I still belch every now &amp;amp; then. But who knows what I can do for it? Could it be my anxiety?</t>
        </is>
      </c>
      <c r="D864" t="n">
        <v>7</v>
      </c>
      <c r="E864" t="n">
        <v>8</v>
      </c>
      <c r="F864">
        <f>HYPERLINK("https://www.reddit.com/r/GERD/comments/b9ja5q/havent_been_here_in_a_while/")</f>
        <v/>
      </c>
      <c r="G864" t="inlineStr">
        <is>
          <t>2019-04-04 15:25:34</t>
        </is>
      </c>
      <c r="H864" t="inlineStr"/>
    </row>
    <row r="865">
      <c r="A865" t="inlineStr">
        <is>
          <t>b9k6kt</t>
        </is>
      </c>
      <c r="B865" t="inlineStr">
        <is>
          <t>Looking for some reassurance</t>
        </is>
      </c>
      <c r="C865" t="inlineStr">
        <is>
          <t xml:space="preserve">I'm a 25-year-old male with no real health issues in the past. For the past three weeks, I've been having intermittent chest pain and lumps in my throat. This has now transitioned to having some discomfort between my shoulder blades on my back. I've never had chest pains or back pains in my life or lumps in my throat. I have anxiety but it's never given me a lump in my throat, at the most, it will make my hands shake. So being anxious me I went to the emergency room when the chest pains pains first started. They ran an EKG and X-rays along with blood tests and found nothing. Afterwards, I was referred to primary care doctor and she thought it could be related to my anxiety or acid reflux or issues related to my heart. So she ended up referring me to a cardiologist which did an EKG two days ago, presumably finding nothing however they didn't really say anything so I suppose it's okay?  I have to go in for them to do 48 hours holto monitor on tomorrow. This stuff is honestly scaring the heck out of me and I feel like it's just acid reflux because my dad had it and essentially had to have his throat surgically opened or something. </t>
        </is>
      </c>
      <c r="D865" t="n">
        <v>2</v>
      </c>
      <c r="E865" t="n">
        <v>4</v>
      </c>
      <c r="F865">
        <f>HYPERLINK("https://www.reddit.com/r/GERD/comments/b9k6kt/looking_for_some_reassurance/")</f>
        <v/>
      </c>
      <c r="G865" t="inlineStr">
        <is>
          <t>2019-04-04 16:52:49</t>
        </is>
      </c>
      <c r="H865" t="inlineStr"/>
    </row>
    <row r="866">
      <c r="A866" t="inlineStr">
        <is>
          <t>b9lki2</t>
        </is>
      </c>
      <c r="B866" t="inlineStr">
        <is>
          <t>Not sure ????</t>
        </is>
      </c>
      <c r="C866" t="inlineStr">
        <is>
          <t>Can low stomach acid cause reflux ??? And if low stomach acid can cause reflux does ppi meds make it worse then ???</t>
        </is>
      </c>
      <c r="D866" t="n">
        <v>3</v>
      </c>
      <c r="E866" t="n">
        <v>1</v>
      </c>
      <c r="F866">
        <f>HYPERLINK("https://www.reddit.com/r/GERD/comments/b9lki2/not_sure/")</f>
        <v/>
      </c>
      <c r="G866" t="inlineStr">
        <is>
          <t>2019-04-04 19:13:08</t>
        </is>
      </c>
      <c r="H866" t="inlineStr"/>
    </row>
    <row r="867">
      <c r="A867" t="inlineStr">
        <is>
          <t>b9lz50</t>
        </is>
      </c>
      <c r="B867" t="inlineStr">
        <is>
          <t>No more PPIs!</t>
        </is>
      </c>
      <c r="C867" t="inlineStr">
        <is>
          <t>I took a total of 3 different PPIs over about 2 years. And I took them daily, like if I missed one day I was in some trouble.
I started with Prilosec, then Nexium and finally Prevacid.
It got to the point that I was hardly eating anything, taking 7-9 Prevacid pills every week and still not doing far less than awesome.
I can't say I had some sort of well thougt out plan for getting off PPIs, I did not! Just a series of gut-hunches that turned out well
The first thing I did was I started substituting some meals (usually 1 a day) with a  meal replacement shake. My hard favorite is Raw Meal by Garden of Life but also Oats &amp;amp; Whey by Optimum Nutrition and MealX by New World Nutritionals all deserve mention. I typically buy all 3 on eBay because it is less expensive.
The shakes seem to reduce workload on my GI. But I can only point to my own reasoning and experience and don't know of any studies done to support this.
The second thing I did was switch to Prevacid from Nexium. Prevacid I am told can help transition off of proton pump inhibitors. This was the advice of my sister who is a registered nurse and soon to be practioner.
My next step was to get some herbal supplements. In my case I started supplementing ginger, aloe vera, turmeric and apple cider vinegar.
The herbals helped symptoms A LOT.
After I started on herbals, that is the point when I was able to cut PPI doses from daily to 1-3 per week.
And finally, I very recently started home brewing water kefir and kombucha. Lately I've been drinking about 24oz of kefir per day, and 6oz or so of kombucha.
After introducing kefir and kombucha, I am now at the point where I don't seem to need any PPI drugs unless it is a highly unusual circumstance. For instance, I worked 80 hours last week, during that week I ate junk food literally everyday so honestly I did take some Prevacid, but only 3 or 4 pills the whole week either way. I had been taking 7-9 per week.</t>
        </is>
      </c>
      <c r="D867" t="n">
        <v>3</v>
      </c>
      <c r="E867" t="n">
        <v>3</v>
      </c>
      <c r="F867">
        <f>HYPERLINK("https://www.reddit.com/r/GERD/comments/b9lz50/no_more_ppis/")</f>
        <v/>
      </c>
      <c r="G867" t="inlineStr">
        <is>
          <t>2019-04-04 19:55:52</t>
        </is>
      </c>
      <c r="H867" t="inlineStr"/>
    </row>
    <row r="868">
      <c r="A868" t="inlineStr">
        <is>
          <t>b9m39v</t>
        </is>
      </c>
      <c r="B868" t="inlineStr">
        <is>
          <t>Planning for linx..cost self pay</t>
        </is>
      </c>
      <c r="C868" t="inlineStr">
        <is>
          <t xml:space="preserve">I have cigna insurance. considering linx is experimental, looking for self pay options. Does any one recommend good doctors? east coast preferred. </t>
        </is>
      </c>
      <c r="D868" t="n">
        <v>2</v>
      </c>
      <c r="E868" t="n">
        <v>0</v>
      </c>
      <c r="F868">
        <f>HYPERLINK("https://www.reddit.com/r/GERD/comments/b9m39v/planning_for_linxcost_self_pay/")</f>
        <v/>
      </c>
      <c r="G868" t="inlineStr">
        <is>
          <t>2019-04-04 20:08:06</t>
        </is>
      </c>
      <c r="H868" t="inlineStr"/>
    </row>
    <row r="869">
      <c r="A869" t="inlineStr">
        <is>
          <t>b9oycz</t>
        </is>
      </c>
      <c r="B869" t="inlineStr">
        <is>
          <t>Your Tips &amp;amp; Tricks for dealing/treating GERD?</t>
        </is>
      </c>
      <c r="C869" t="inlineStr">
        <is>
          <t xml:space="preserve">Hey gang,
So ive been struggling along with gerd everyday for the past year or two.
I wouldnt mind the pain so much but it effects my singing/speaking voice which as a singer makes things very hard.
Id like to see if we can compile a list of all known home and medical remedies for treating gerd. 
Short term fixes
Chewing ginger
Chewing sugar free gum
Bicarb soda
Mothers apple cider vinegar
Curative life stylw changes
Gluten free
Chewing well
Great posture
Sleeping on your left side
Eating slowly and relaxed
Getting  restful sleep
Low carb diet
Caffeine free
Alcohol free
Wheat free
Stomach strengthening for les
Hernia exercises
Bone broth
Ill add any suggestions that you guys have. 
Hope you have a good w/e you gerdy battlers
</t>
        </is>
      </c>
      <c r="D869" t="n">
        <v>7</v>
      </c>
      <c r="E869" t="n">
        <v>9</v>
      </c>
      <c r="F869">
        <f>HYPERLINK("https://www.reddit.com/r/GERD/comments/b9oycz/your_tips_tricks_for_dealingtreating_gerd/")</f>
        <v/>
      </c>
      <c r="G869" t="inlineStr">
        <is>
          <t>2019-04-05 02:21:26</t>
        </is>
      </c>
      <c r="H869" t="inlineStr"/>
    </row>
    <row r="870">
      <c r="A870" t="inlineStr">
        <is>
          <t>b9pam6</t>
        </is>
      </c>
      <c r="B870" t="inlineStr">
        <is>
          <t>Ppis and Barretts Esophagus</t>
        </is>
      </c>
      <c r="C870" t="inlineStr">
        <is>
          <t xml:space="preserve">Hi had an endoscopy last year which showed grade 1 esophagitis and Barretts wasn’t mentioned, can they tell if Barretts is present or not even if there’s inflammation by the les? 
Could it be possible to be under inflammation and do ppis actually stop Barretts and stricture if used long term? Ppis heal esophagitis apparently but do they stop the progression of Barretts happening. Thanks </t>
        </is>
      </c>
      <c r="D870" t="n">
        <v>1</v>
      </c>
      <c r="E870" t="n">
        <v>0</v>
      </c>
      <c r="F870">
        <f>HYPERLINK("https://www.reddit.com/r/GERD/comments/b9pam6/ppis_and_barretts_esophagus/")</f>
        <v/>
      </c>
      <c r="G870" t="inlineStr">
        <is>
          <t>2019-04-05 03:05:33</t>
        </is>
      </c>
      <c r="H870" t="inlineStr"/>
    </row>
    <row r="871">
      <c r="A871" t="inlineStr">
        <is>
          <t>b9qoih</t>
        </is>
      </c>
      <c r="B871" t="inlineStr">
        <is>
          <t>GERD-triggering foods much less appealing to me now.</t>
        </is>
      </c>
      <c r="C871" t="inlineStr">
        <is>
          <t xml:space="preserve">Hi friends,       
I was diagnosed with GERD recently (&amp;amp; a small hiatal hernia) and was told to make dietary changes and track my progress.     
So I started super basic and started paying more attention to the cues my body was giving. 
I noticed a few things:   
(1) If I eat slowly, I can almost pinpoint the exact moment that my stomach is actually full and that I shouldn’t take the next bite. If I push past this limit, I always have some reflux. 
(2) The classic triggers trigger me: fatty, fried, spicy, chocolate, alcohol.    
But here’s a positive bit of news. I was at first very bummed because I thought I’d be sacrificing a lot by changing my diet, and didn’t want to add another restriction to my eating. BUT after just a month or two of paying more attention to my body, I’ve noticed I *feel* much better when I don’t overeat and avoid the trigger foods. And that feeling better has actually translated to a new set of food preferences really quickly.      
Like I saw a person in front of me at a burrito place adding hot sauce and sour cream and jalapeños to his burrito. Which I used to do in the past. And my only thought was “wow that looks so unappetizing” ¯\_(ツ)_//¯.   
Anyway, all that to say it’s really not as bad as I thought and the foods that I can enjoy I *do* enjoy more. </t>
        </is>
      </c>
      <c r="D871" t="n">
        <v>1</v>
      </c>
      <c r="E871" t="n">
        <v>5</v>
      </c>
      <c r="F871">
        <f>HYPERLINK("https://www.reddit.com/r/GERD/comments/b9qoih/gerdtriggering_foods_much_less_appealing_to_me_now/")</f>
        <v/>
      </c>
      <c r="G871" t="inlineStr">
        <is>
          <t>2019-04-05 05:37:36</t>
        </is>
      </c>
      <c r="H871" t="inlineStr"/>
    </row>
    <row r="872">
      <c r="A872" t="inlineStr">
        <is>
          <t>b9rchw</t>
        </is>
      </c>
      <c r="B872" t="inlineStr">
        <is>
          <t>GERD and gallbladder?</t>
        </is>
      </c>
      <c r="C872" t="inlineStr">
        <is>
          <t xml:space="preserve">Since I've been having issues with GERD, very recently I noticed I'm having dull aching and pinching pains kind of under my right bottom part of ribs. Can GERD and gallbladder issues relate to one another? </t>
        </is>
      </c>
      <c r="D872" t="n">
        <v>0</v>
      </c>
      <c r="E872" t="n">
        <v>3</v>
      </c>
      <c r="F872">
        <f>HYPERLINK("https://www.reddit.com/r/GERD/comments/b9rchw/gerd_and_gallbladder/")</f>
        <v/>
      </c>
      <c r="G872" t="inlineStr">
        <is>
          <t>2019-04-05 06:40:53</t>
        </is>
      </c>
      <c r="H872" t="inlineStr"/>
    </row>
    <row r="873">
      <c r="A873" t="inlineStr">
        <is>
          <t>b9rdp6</t>
        </is>
      </c>
      <c r="B873" t="inlineStr">
        <is>
          <t>I take Zantac twice daily and would really like to be able to drink normally at a wedding....</t>
        </is>
      </c>
      <c r="C873" t="inlineStr">
        <is>
          <t>Can you drink on Zantac!? I have not had a drop since going on it (150 in morning, 150 at night). I know drinking can make GERD flare but my fear is a drug interaction. Buzzfeed (yes, buzzfeed) ran an article about medications you should never ever EVER mix with alcohol, and Zantac was on  it, which seems very random. I cannot believe that the thousands  of people who take this OTC drug don't drink. But, well, do you? Tell me! FWIW my doctor said it's fine. But my doctor isn't inside my body!</t>
        </is>
      </c>
      <c r="D873" t="n">
        <v>1</v>
      </c>
      <c r="E873" t="n">
        <v>2</v>
      </c>
      <c r="F873">
        <f>HYPERLINK("https://www.reddit.com/r/GERD/comments/b9rdp6/i_take_zantac_twice_daily_and_would_really_like/")</f>
        <v/>
      </c>
      <c r="G873" t="inlineStr">
        <is>
          <t>2019-04-05 06:44:08</t>
        </is>
      </c>
      <c r="H873" t="inlineStr"/>
    </row>
    <row r="874">
      <c r="A874" t="inlineStr">
        <is>
          <t>b9rwei</t>
        </is>
      </c>
      <c r="B874" t="inlineStr">
        <is>
          <t>Paired PPIs with Melatonin for a couple of days</t>
        </is>
      </c>
      <c r="C874" t="inlineStr">
        <is>
          <t>Got diagnosed with gastritis a little over week ago. I already had IBS.
Got prescribed PPIs for a month (Nexium, 1 per day).
Decided to pair it with melatonin, but not not right away.
Took PPIs and had awful bloating in my colons, burns and a shitty mood overall.
Started taking melatonin (3mg before sleep) for 4 days and the after effects gradually improved, from both the PPIs and the gastritis. The tightness in my throat and chest was light, the sore throat effect was light and my nose was not clogging anymore during night.
Stopped melatonin for a day  to test if it was the PPI alone or the melatonin and woke up with a clogged nose and sore throat. Took 1.5 mg of melatonin the next day and woke up with the same effects, but worse, like I did before starting the treatment, feeling like the acid reached my nose or something. After I was blowing my nose, my face started to get red and swollen and hot and my left eye very red, like something was clogged in there. Additionally, I got a very nasty tightness sensation my both my throat like my chest, like I couldn't breath and even though I could perfectly do that. It was like my LES didn't close during the night and the acid dripped into my sinuses.   
The study I refered to when I chose the dosage was [this one](https://www.ncbi.nlm.nih.gov/pmc/articles/PMC2821302/#B24), even though most of the studies recommedn between 2 and 6 mg per day (so not a single administration, that's not specified). 
&amp;amp;#x200B;
I'm going to resume taking melatonin tonight to see if I get the same 3-4 day steady relief of symptoms as before.
&amp;amp;#x200B;
The reason I do not like taking melatonin is because it sends me to sleep too fast, like I'm in a carousel. It's not a dizziness sensation, but close it. I get a small choking sensation before going to sleep, similar to the tightness episodes I get during the day. But I wake up very good and have no side-effects the next day, except a kind of hang-over effect which I don't know if it's truly a hang-over effect or a general stress-free sensation. I've taken in consideration it may be the suplement's composition, since every company chooses to mix melatonin with other suplements.  
Did you try it? how was your experience?
&amp;amp;#x200B;</t>
        </is>
      </c>
      <c r="D874" t="n">
        <v>2</v>
      </c>
      <c r="E874" t="n">
        <v>7</v>
      </c>
      <c r="F874">
        <f>HYPERLINK("https://www.reddit.com/r/GERD/comments/b9rwei/paired_ppis_with_melatonin_for_a_couple_of_days/")</f>
        <v/>
      </c>
      <c r="G874" t="inlineStr">
        <is>
          <t>2019-04-05 07:31:02</t>
        </is>
      </c>
      <c r="H874" t="inlineStr"/>
    </row>
    <row r="875">
      <c r="A875" t="inlineStr">
        <is>
          <t>b9smi5</t>
        </is>
      </c>
      <c r="B875" t="inlineStr">
        <is>
          <t>Can I get off of pantoprazole sodium (40mg) without tapering?</t>
        </is>
      </c>
      <c r="C875" t="inlineStr">
        <is>
          <t>I've been taking 40mg of pantoprazole sodium once a day for 6 months. Do I have to taper off, or can I get off it cold turkey?</t>
        </is>
      </c>
      <c r="D875" t="n">
        <v>1</v>
      </c>
      <c r="E875" t="n">
        <v>6</v>
      </c>
      <c r="F875">
        <f>HYPERLINK("https://www.reddit.com/r/GERD/comments/b9smi5/can_i_get_off_of_pantoprazole_sodium_40mg_without/")</f>
        <v/>
      </c>
      <c r="G875" t="inlineStr">
        <is>
          <t>2019-04-05 08:31:36</t>
        </is>
      </c>
      <c r="H875" t="inlineStr"/>
    </row>
    <row r="876">
      <c r="A876" t="inlineStr">
        <is>
          <t>b9spwm</t>
        </is>
      </c>
      <c r="B876" t="inlineStr">
        <is>
          <t>So, uh, anyone else getting green stool?</t>
        </is>
      </c>
      <c r="C876" t="inlineStr">
        <is>
          <t xml:space="preserve">Started more than a month ago, when I started trying to quit PPIS. Forgot to tell this to my doc.. Next apointment is in a month. At first I thought it's because I eat a lot of veggies, but I haven't eaten anything green in two weeks basically, still green. </t>
        </is>
      </c>
      <c r="D876" t="n">
        <v>7</v>
      </c>
      <c r="E876" t="n">
        <v>11</v>
      </c>
      <c r="F876">
        <f>HYPERLINK("https://www.reddit.com/r/GERD/comments/b9spwm/so_uh_anyone_else_getting_green_stool/")</f>
        <v/>
      </c>
      <c r="G876" t="inlineStr">
        <is>
          <t>2019-04-05 08:39:18</t>
        </is>
      </c>
      <c r="H876" t="inlineStr"/>
    </row>
    <row r="877">
      <c r="A877" t="inlineStr">
        <is>
          <t>b9va5w</t>
        </is>
      </c>
      <c r="B877" t="inlineStr">
        <is>
          <t>Gerd med</t>
        </is>
      </c>
      <c r="C877" t="inlineStr">
        <is>
          <t xml:space="preserve">I’m currently taking Zantac </t>
        </is>
      </c>
      <c r="D877" t="n">
        <v>3</v>
      </c>
      <c r="E877" t="n">
        <v>5</v>
      </c>
      <c r="F877">
        <f>HYPERLINK("https://www.reddit.com/r/GERD/comments/b9va5w/gerd_med/")</f>
        <v/>
      </c>
      <c r="G877" t="inlineStr">
        <is>
          <t>2019-04-05 12:07:51</t>
        </is>
      </c>
      <c r="H877" t="inlineStr"/>
    </row>
    <row r="878">
      <c r="A878" t="inlineStr">
        <is>
          <t>b9x1py</t>
        </is>
      </c>
      <c r="B878" t="inlineStr">
        <is>
          <t>I went to the Gastro today for a check up</t>
        </is>
      </c>
      <c r="C878" t="inlineStr">
        <is>
          <t xml:space="preserve">Like the title says, I went there for a check up on my new medication since they had to change it because that PI wasn’t making it go away. For some reason it was a different specialist thankfully because she probably wouldn’t of done anything different, like the other checks ups I had. He is perplexed on why I’m still having heartburn and trouble swallowing after a year talking Zantac twice a day and PIs twice as well. He wonders if there is something else going on with me than just Gerd, because I shouldn’t have too much acid in my stomach, especially since I take Gaviston when needed. 
In June it will be a year since I’ve had symptoms of Gerd, and July will be a year for knowing what I have and getting medication for it. A month or so ago I had to change PIs since I was still having problems. The acid sour taste has been gone for quite awhile, but the heartburn, trouble swallowing, and burning throat, is still around, but not as severe as it used too. 
But anyway, he is making me have a esophagus Gram or whatever done to see if it’s something else like a twitching esophagus, which I will take Thursday. I stay for food and drinks that triggered the acid reflux and all the other crap I am forced to do. Does anyone know what’s going on with me? Anyone else has the same experience? </t>
        </is>
      </c>
      <c r="D878" t="n">
        <v>2</v>
      </c>
      <c r="E878" t="n">
        <v>0</v>
      </c>
      <c r="F878">
        <f>HYPERLINK("https://www.reddit.com/r/GERD/comments/b9x1py/i_went_to_the_gastro_today_for_a_check_up/")</f>
        <v/>
      </c>
      <c r="G878" t="inlineStr">
        <is>
          <t>2019-04-05 14:40:38</t>
        </is>
      </c>
      <c r="H878" t="inlineStr"/>
    </row>
    <row r="879">
      <c r="A879" t="inlineStr">
        <is>
          <t>b9xzaa</t>
        </is>
      </c>
      <c r="B879" t="inlineStr">
        <is>
          <t>how to deal with constant indigestion</t>
        </is>
      </c>
      <c r="C879" t="inlineStr">
        <is>
          <t xml:space="preserve">i’m 21 and i have been having indigestion(feeling of burning through my stomach right where the ribs separate) for about 4 years now. when the pain hits, it’s usually not that bad, and then it gradually gets worse to the point where i’m basically immobilized. if i’m lucky it’ll just last a day, but more often it persists for up to five days! i have a hiatal hernia, GERD and have been on meds also for about 4 years. started with zantac and then they put me on esomepraozle and now they’ve put me back on zantac bc of worries of the side effects. all of these at the highest dose, still don’t seem to work and i’m frequently getting the acid reflux(which never travels into my chest). i’ve tried changing my diet, eating smaller meals, avoiding triggers, everything that is recommended and there seems to be no end. it’s putting my anxiety through the roof, even being on anti anxiety meds. my quality of life is not where i want it to be and i feel like i’m a downer on everyone else because i can literally never do anything like go out with my friends. i guess i just came on here to complain and see if anyone has any advice on how to..cope? i wish there was a magic surgery to fix it:( </t>
        </is>
      </c>
      <c r="D879" t="n">
        <v>8</v>
      </c>
      <c r="E879" t="n">
        <v>9</v>
      </c>
      <c r="F879">
        <f>HYPERLINK("https://www.reddit.com/r/GERD/comments/b9xzaa/how_to_deal_with_constant_indigestion/")</f>
        <v/>
      </c>
      <c r="G879" t="inlineStr">
        <is>
          <t>2019-04-05 16:07:24</t>
        </is>
      </c>
      <c r="H879" t="inlineStr"/>
    </row>
    <row r="880">
      <c r="A880" t="inlineStr">
        <is>
          <t>ba1b3d</t>
        </is>
      </c>
      <c r="B880" t="inlineStr">
        <is>
          <t>Unsure if symptoms are GERD</t>
        </is>
      </c>
      <c r="C880" t="inlineStr">
        <is>
          <t>I generally get heartburn due to diet , not anything major normally, as of last week though i've had phlegm in the back of my throat, acid reflux when eating most things, and my throat has been very sensitive , if any activity causes me to breathe more than normal I start coughing. those are mainly the only symptoms i've noticed since then.
They seem very close to LPR or GERD, but it being only a week i'm not sure what kind of time frame most people give it before they determine it's an issue. I don't have any major problems sleeping aside from maybe settling down at first and having a little bit of reflux but generally thats because I ate pretty recently.
Thanks!</t>
        </is>
      </c>
      <c r="D880" t="n">
        <v>1</v>
      </c>
      <c r="E880" t="n">
        <v>1</v>
      </c>
      <c r="F880">
        <f>HYPERLINK("https://www.reddit.com/r/GERD/comments/ba1b3d/unsure_if_symptoms_are_gerd/")</f>
        <v/>
      </c>
      <c r="G880" t="inlineStr">
        <is>
          <t>2019-04-05 22:49:53</t>
        </is>
      </c>
      <c r="H880" t="inlineStr"/>
    </row>
    <row r="881">
      <c r="A881" t="inlineStr">
        <is>
          <t>ba4n0p</t>
        </is>
      </c>
      <c r="B881" t="inlineStr">
        <is>
          <t>How long should I taper for? Is 1 month long enough?</t>
        </is>
      </c>
      <c r="C881" t="inlineStr">
        <is>
          <t>I've been taking 1 pill of pantoprazole 40mg every morning for about 5 months. I plan to start tapering off since I've been having no symptoms for months. 
My tapering plan is:
Week 1: 20mg once a day
Week 2: 10mg once a day
Week 3: 10mg once every other day
Week 4: 10mg once every other day
Is this long enough? Or should I be tapering for longer?
Any suggestions on my tapering plan?</t>
        </is>
      </c>
      <c r="D881" t="n">
        <v>7</v>
      </c>
      <c r="E881" t="n">
        <v>23</v>
      </c>
      <c r="F881">
        <f>HYPERLINK("https://www.reddit.com/r/GERD/comments/ba4n0p/how_long_should_i_taper_for_is_1_month_long_enough/")</f>
        <v/>
      </c>
      <c r="G881" t="inlineStr">
        <is>
          <t>2019-04-06 07:07:48</t>
        </is>
      </c>
      <c r="H881" t="inlineStr"/>
    </row>
    <row r="882">
      <c r="A882" t="inlineStr">
        <is>
          <t>ba5xi8</t>
        </is>
      </c>
      <c r="B882" t="inlineStr">
        <is>
          <t>Endoscopy aftermath</t>
        </is>
      </c>
      <c r="C882" t="inlineStr">
        <is>
          <t>So I had this done 2 days ago.  Nothing abnormal just about a 2cm hiatal hernia.  I was just wondering to anyone who’s did this before if it’s normal to have worse heartburn or pains in stomach area a day or two after?</t>
        </is>
      </c>
      <c r="D882" t="n">
        <v>1</v>
      </c>
      <c r="E882" t="n">
        <v>2</v>
      </c>
      <c r="F882">
        <f>HYPERLINK("https://www.reddit.com/r/GERD/comments/ba5xi8/endoscopy_aftermath/")</f>
        <v/>
      </c>
      <c r="G882" t="inlineStr">
        <is>
          <t>2019-04-06 09:16:30</t>
        </is>
      </c>
      <c r="H882" t="inlineStr"/>
    </row>
    <row r="883">
      <c r="A883" t="inlineStr">
        <is>
          <t>ba8v2k</t>
        </is>
      </c>
      <c r="B883" t="inlineStr">
        <is>
          <t>Quick solution I found for indigestion and reflux after meal</t>
        </is>
      </c>
      <c r="C883" t="inlineStr">
        <is>
          <t xml:space="preserve">Whenever I eat and I feel super bloated and my digestive system start making these weird noises.. I just, go to the toilette, and I put my finger down my throat (yes, almost like when you want to vomit) and all the gas comes out. I don’t know how to burp so this helps me to feel A LOT better.. Anyone else with similar solutions? </t>
        </is>
      </c>
      <c r="D883" t="n">
        <v>1</v>
      </c>
      <c r="E883" t="n">
        <v>2</v>
      </c>
      <c r="F883">
        <f>HYPERLINK("https://www.reddit.com/r/GERD/comments/ba8v2k/quick_solution_i_found_for_indigestion_and_reflux/")</f>
        <v/>
      </c>
      <c r="G883" t="inlineStr">
        <is>
          <t>2019-04-06 13:57:42</t>
        </is>
      </c>
      <c r="H883" t="inlineStr"/>
    </row>
    <row r="884">
      <c r="A884" t="inlineStr">
        <is>
          <t>baa49s</t>
        </is>
      </c>
      <c r="B884" t="inlineStr">
        <is>
          <t>PVCs?</t>
        </is>
      </c>
      <c r="C884" t="inlineStr">
        <is>
          <t xml:space="preserve">So I don’t know if these are related, but I get really bad abdominal pain from acid reflux and burning in throat from belching. Usually about 10 hours after that happens I start getting PVCs. I never even knew about PVCs until I felt my heart and realized it wasn’t my stomach “hiccuping”. Anyone else experience these and know if they’re benign? </t>
        </is>
      </c>
      <c r="D884" t="n">
        <v>3</v>
      </c>
      <c r="E884" t="n">
        <v>9</v>
      </c>
      <c r="F884">
        <f>HYPERLINK("https://www.reddit.com/r/GERD/comments/baa49s/pvcs/")</f>
        <v/>
      </c>
      <c r="G884" t="inlineStr">
        <is>
          <t>2019-04-06 16:07:38</t>
        </is>
      </c>
      <c r="H884" t="inlineStr"/>
    </row>
    <row r="885">
      <c r="A885" t="inlineStr">
        <is>
          <t>babuad</t>
        </is>
      </c>
      <c r="B885" t="inlineStr">
        <is>
          <t>Gagging problems?</t>
        </is>
      </c>
      <c r="C885" t="inlineStr">
        <is>
          <t>My gag reflex has become way too sensitive since having GERD, and I gag all morning long and constantly throughout the day. I gag so hard sometimes that I have to throw up. It's ruining my life, and I'm starting to wonder if surgery is the answer? Anyone else dealing with this? :(</t>
        </is>
      </c>
      <c r="D885" t="n">
        <v>1</v>
      </c>
      <c r="E885" t="n">
        <v>5</v>
      </c>
      <c r="F885">
        <f>HYPERLINK("https://www.reddit.com/r/GERD/comments/babuad/gagging_problems/")</f>
        <v/>
      </c>
      <c r="G885" t="inlineStr">
        <is>
          <t>2019-04-06 19:26:02</t>
        </is>
      </c>
      <c r="H885" t="inlineStr"/>
    </row>
    <row r="886">
      <c r="A886" t="inlineStr">
        <is>
          <t>balqis</t>
        </is>
      </c>
      <c r="B886" t="inlineStr">
        <is>
          <t>First endoscopy Tuesday, what's the best result I can hope to receive?</t>
        </is>
      </c>
      <c r="C886" t="inlineStr">
        <is>
          <t xml:space="preserve">Very new to GERD. Mine is more silent and incredibly annoying. Was having terrible post nasal and throat clearing problems. 
Doctor ordered an Endoscopy. No idea what I'm hoping to hear other than everything's good - which seems highly unlikely. What can the test fully tell? Can it tell if LES is very weak? 
Thanks. </t>
        </is>
      </c>
      <c r="D886" t="n">
        <v>6</v>
      </c>
      <c r="E886" t="n">
        <v>3</v>
      </c>
      <c r="F886">
        <f>HYPERLINK("https://www.reddit.com/r/GERD/comments/balqis/first_endoscopy_tuesday_whats_the_best_result_i/")</f>
        <v/>
      </c>
      <c r="G886" t="inlineStr">
        <is>
          <t>2019-04-07 15:04:01</t>
        </is>
      </c>
      <c r="H886" t="inlineStr"/>
    </row>
    <row r="887">
      <c r="A887" t="inlineStr">
        <is>
          <t>balx1d</t>
        </is>
      </c>
      <c r="B887" t="inlineStr">
        <is>
          <t>Basmati Rice and Gerd</t>
        </is>
      </c>
      <c r="C887" t="inlineStr">
        <is>
          <t xml:space="preserve">Is Basmati Rice bad for Gerd? </t>
        </is>
      </c>
      <c r="D887" t="n">
        <v>1</v>
      </c>
      <c r="E887" t="n">
        <v>3</v>
      </c>
      <c r="F887">
        <f>HYPERLINK("https://www.reddit.com/r/GERD/comments/balx1d/basmati_rice_and_gerd/")</f>
        <v/>
      </c>
      <c r="G887" t="inlineStr">
        <is>
          <t>2019-04-07 15:20:37</t>
        </is>
      </c>
      <c r="H887" t="inlineStr"/>
    </row>
    <row r="888">
      <c r="A888" t="inlineStr">
        <is>
          <t>bami4j</t>
        </is>
      </c>
      <c r="B888" t="inlineStr">
        <is>
          <t>Nasal Issues &amp;amp; LPR?</t>
        </is>
      </c>
      <c r="C888" t="inlineStr">
        <is>
          <t>Hi guys,
&amp;amp;#x200B;
In Feb, I just all of a sudden couldn't breathe, was getting heavy chest, shortness of breath after eating dinner one night.  I've always thought I had some kind of reflux because every few months or so i'd get crazy back pain after eating big meals or if i laid down too soon, but never traditional heartburn. 
&amp;amp;#x200B;
So this shortness of breath lasted into the next day, into the next week - I would be fine upon waking, then around afternoon time, i'd start to get the shortness of breath again and tight chest.  I went to the hosp to see if it was my heart or lungs and all tests were fine.  
&amp;amp;#x200B;
It wasn't until my husband brought home some nasal strips that I just for fun put one on and BAM i could breathe and the chest tightness seemed to disappear almost immediately!  I thought I was cured, and it wasn't related to reflux at all
&amp;amp;#x200B;
As the weeks went on, I really wasn't finding out why my nose was blocked, not sick, no mucus, no sinus issues, no allergies, i did try antihistamines and nasal sprays but nothing  helped (except afrin but that isn't a long term solution).
&amp;amp;#x200B;
When I would have a heavy meal, I'd notice the heavy chest would come back though, and I also started to develop a sore throat.. so I'm like.. omg this sounds like LPR.  Lump in throat, want to cough, same sore throat every nite after dinner.
&amp;amp;#x200B;
Went to the allergist/ENT and they did a scope and put me on Omeprazole 40mg once per day to take in the morning.  I've been doing that for almost a week now and also changed my diet drastically - eating only veggies, healthy grains, fat-free yogurt, ginger tea, no more large meals, only small things thruout the day, Sleep on a slant, take walks after meals, etc.
&amp;amp;#x200B;
My symptoms are still:  
&amp;amp;#x200B;
1.) stuffy nose to where if i don't wear a nasal strip i will start to have alot of chest pressure, and breathing feels irregular (even if i just breathe out of my mouth)
2.) sore throat that comes on as soon as I get hungry OR around 6pm every night no matter what I eat, until bedtime.
3.) mild back pain after I eat or bend over
&amp;amp;#x200B;
My worst symmptom by far is the nose I can't breathe out of normally - I can't find too many things that correlate this with LPR. 
&amp;amp;#x200B;
Anyone have nasal congestion due to GERD/LPR?  
If not, i'll use this to post my progress and hoepfully help someone in the future.
&amp;amp;#x200B;
&amp;amp;#x200B;</t>
        </is>
      </c>
      <c r="D888" t="n">
        <v>1</v>
      </c>
      <c r="E888" t="n">
        <v>7</v>
      </c>
      <c r="F888">
        <f>HYPERLINK("https://www.reddit.com/r/GERD/comments/bami4j/nasal_issues_lpr/")</f>
        <v/>
      </c>
      <c r="G888" t="inlineStr">
        <is>
          <t>2019-04-07 16:17:36</t>
        </is>
      </c>
      <c r="H888" t="inlineStr"/>
    </row>
    <row r="889">
      <c r="A889" t="inlineStr">
        <is>
          <t>bamou8</t>
        </is>
      </c>
      <c r="B889" t="inlineStr">
        <is>
          <t>Macadamia nuts + heartburn = BFF</t>
        </is>
      </c>
      <c r="C889" t="inlineStr">
        <is>
          <t xml:space="preserve">One time I popped 4-5 macadamia nuts before I headed to bed and woke up 2-3 hours later with the most fucked up heartburn. 
Tried it again for kicks a few days later and the same thing happened. 
So do macadamia nuts do the same to you guys? </t>
        </is>
      </c>
      <c r="D889" t="n">
        <v>1</v>
      </c>
      <c r="E889" t="n">
        <v>4</v>
      </c>
      <c r="F889">
        <f>HYPERLINK("https://www.reddit.com/r/GERD/comments/bamou8/macadamia_nuts_heartburn_bff/")</f>
        <v/>
      </c>
      <c r="G889" t="inlineStr">
        <is>
          <t>2019-04-07 16:36:34</t>
        </is>
      </c>
      <c r="H889" t="inlineStr"/>
    </row>
    <row r="890">
      <c r="A890" t="inlineStr">
        <is>
          <t>banfau</t>
        </is>
      </c>
      <c r="B890" t="inlineStr">
        <is>
          <t>Best book for LPR?</t>
        </is>
      </c>
      <c r="C890" t="inlineStr">
        <is>
          <t xml:space="preserve"> *The Acid Watcher Diet*  by  Dr. Jonathan E. Aviv  or   Fast Tract Digestion Heartburn by  **Norman Robillard, Ph.D** or Dropping acid by   Dr. Jamie Koufman? I have LPR and started developing mild GERD as well. My symptoms are feeling like something in throat/throat tightness, dry throat, bloating in lower belly button area,hot feeling in throat,mild burping, ache in upper chest,back and right between where ribs split,burning feeling in stomach when empty,drippy nose that comes and goes. I'm wanting to get one of these books to see if it helps but not sure which is best for me. 
# </t>
        </is>
      </c>
      <c r="D890" t="n">
        <v>2</v>
      </c>
      <c r="E890" t="n">
        <v>9</v>
      </c>
      <c r="F890">
        <f>HYPERLINK("https://www.reddit.com/r/GERD/comments/banfau/best_book_for_lpr/")</f>
        <v/>
      </c>
      <c r="G890" t="inlineStr">
        <is>
          <t>2019-04-07 17:53:53</t>
        </is>
      </c>
      <c r="H890" t="inlineStr"/>
    </row>
    <row r="891">
      <c r="A891" t="inlineStr">
        <is>
          <t>banrvr</t>
        </is>
      </c>
      <c r="B891" t="inlineStr">
        <is>
          <t>Getting over gastritis, and the acid reflux at night is ruining my throat.</t>
        </is>
      </c>
      <c r="C891" t="inlineStr">
        <is>
          <t xml:space="preserve">Fortunately, my awful stomach symptoms pertaining to gastritis have subsided, but every night I get awful reflux in my throat, and it's totally messed me up. It got pretty swollen, so I went to the doctor who said it was pretty red, so she gave me some zantac. I ended up having a bad reaction to the zantac, so I don't know what to do now.
Basically, my throat has gotten so sore that I have frequent dry mouth. It makes me nervous to go out because if I don't have water on me and let it go too long I'll start wretching. The urge to cough is always very subtly there, actually to the point where it's so faint that it gives me nausea. I'm just always coughing, clearing my throat, or swallowing twice because food gets stuck. 
What should I do? I have a wedge pillow for sleeping, and I bought some mylanta that I'm hoping will help tonight. Otherwise, is there anything that I can do to help? Can this go away naturally? Its been about a week now. Thanks for any replies, I really do appreciate it. </t>
        </is>
      </c>
      <c r="D891" t="n">
        <v>5</v>
      </c>
      <c r="E891" t="n">
        <v>9</v>
      </c>
      <c r="F891">
        <f>HYPERLINK("https://www.reddit.com/r/GERD/comments/banrvr/getting_over_gastritis_and_the_acid_reflux_at/")</f>
        <v/>
      </c>
      <c r="G891" t="inlineStr">
        <is>
          <t>2019-04-07 18:31:44</t>
        </is>
      </c>
      <c r="H891" t="inlineStr"/>
    </row>
    <row r="892">
      <c r="A892" t="inlineStr">
        <is>
          <t>bapkp9</t>
        </is>
      </c>
      <c r="B892" t="inlineStr">
        <is>
          <t>Does anyone have a hard time breathing normally?</t>
        </is>
      </c>
      <c r="C892" t="inlineStr">
        <is>
          <t>I feel like I can’t breath normally and am having a hard time understanding if it’s from being anxious about troubled breathing or the actual GERD.</t>
        </is>
      </c>
      <c r="D892" t="n">
        <v>1</v>
      </c>
      <c r="E892" t="n">
        <v>1</v>
      </c>
      <c r="F892">
        <f>HYPERLINK("https://www.reddit.com/r/GERD/comments/bapkp9/does_anyone_have_a_hard_time_breathing_normally/")</f>
        <v/>
      </c>
      <c r="G892" t="inlineStr">
        <is>
          <t>2019-04-07 21:53:23</t>
        </is>
      </c>
      <c r="H892" t="inlineStr"/>
    </row>
    <row r="893">
      <c r="A893" t="inlineStr">
        <is>
          <t>baqqoz</t>
        </is>
      </c>
      <c r="B893" t="inlineStr">
        <is>
          <t>Best H2 blocker?</t>
        </is>
      </c>
      <c r="C893" t="inlineStr">
        <is>
          <t xml:space="preserve">I’m curious to hear what everyone’s experiences have been with H2 blockers and what has been most effective. I was put in Nexium for a long time and have been working to get off of it. So far, I’ve been off of it for three weeks by taking  10mg of Pepcid AC, but that wasn’t cutting it. I recently started 20 mg of Maximum Pepcid AC twice a day and still get heartburn about 6 hours after taking it. Has anyone tried both Pepcid and Zantac? Has anything else worked, as well? I’m really hoping there are some better options and this isn’t my new normal because Nexium did work really well. </t>
        </is>
      </c>
      <c r="D893" t="n">
        <v>2</v>
      </c>
      <c r="E893" t="n">
        <v>6</v>
      </c>
      <c r="F893">
        <f>HYPERLINK("https://www.reddit.com/r/GERD/comments/baqqoz/best_h2_blocker/")</f>
        <v/>
      </c>
      <c r="G893" t="inlineStr">
        <is>
          <t>2019-04-08 00:19:00</t>
        </is>
      </c>
      <c r="H893" t="inlineStr"/>
    </row>
    <row r="894">
      <c r="A894" t="inlineStr">
        <is>
          <t>bard2g</t>
        </is>
      </c>
      <c r="B894" t="inlineStr">
        <is>
          <t>Easiest solution to GERD ever!</t>
        </is>
      </c>
      <c r="C894" t="inlineStr">
        <is>
          <t xml:space="preserve">Hi, I struggled with acid reflux for a couple of years. 
Had heartburn in high school, constant bad breath, feeling like mucus was always in my throat, it was horrible.
I tried apple cider vinegar which worked temporarily and then stopped, a lot of the tips, and nothing worked.
One day I came across food combining.
I tried it and it’s the simplest solution and it was a miracle.
THE SOLUTION:
EAT CARBS AND PROTEINS AT SEPARATE MEALS.
That’s all it is.
Example:
BREAKFAST: Fruit alone (apples, oranges, berries)
(There’s more info if you look up food combining on what digests well together if you google it)
LUNCH: pasta with vegetables or even just sweet foods like donuts
(I can eat so much sugar as long as it’s on it’s own without causing GERD now)
DINNER: steak and veggies
It’s a miracle and I wanted to share this with you guys! 
I’ve never felt better off a simple switch or just not eating protein and carbs at the same time.
I eat a lot, just not together, and I don’t fart anymore either :) </t>
        </is>
      </c>
      <c r="D894" t="n">
        <v>2</v>
      </c>
      <c r="E894" t="n">
        <v>14</v>
      </c>
      <c r="F894">
        <f>HYPERLINK("https://www.reddit.com/r/GERD/comments/bard2g/easiest_solution_to_gerd_ever/")</f>
        <v/>
      </c>
      <c r="G894" t="inlineStr">
        <is>
          <t>2019-04-08 01:41:45</t>
        </is>
      </c>
      <c r="H894" t="inlineStr"/>
    </row>
    <row r="895">
      <c r="A895" t="inlineStr">
        <is>
          <t>bavcms</t>
        </is>
      </c>
      <c r="B895" t="inlineStr">
        <is>
          <t>Any experience with severe migraines when coming off of PPI?</t>
        </is>
      </c>
      <c r="C895" t="inlineStr">
        <is>
          <t xml:space="preserve">Im a generally healthy person but I have a bad stomach (IBS and chronic inactive gastritis) and anxiety. I’ve been treating my stomach with PPIs and slowly tapering off from 40mg to 20mg to now 10mg every other day. A few weeks ago I noticed this really strange tingling sensation at the top of my head with a bit of tension and light sensitivity, this mostly occurred in the afternoon and was happening during each dose of the PPIs. I also had some tinnitus in my right ear.
This weekend however, since I began going 1 day off, 1 day on (with the PPIs) I’ve had the most painful headache in one part of my head. It feels like a tension head ache throughout, however it’s predominately on my right side in my temple/ear/eye brow bone/eye and there is a specific spot in my head that feels like it’s being drilled and is the source of the radiating pain. When I move the skin on my head around that specific spot hurts but the pain feels like it’s inside.... it’s on day 2 and getting worse....
I’ve been sleeping, staying hydrated and taking NSAIDs. I did a virtual doctors visit because i was getting very concerned about the acute and persistent nature of this migraine and she prescribed migraine meds that I haven’t been able to pick up yet... Triptan.
Anyway... I’m not sure if it’s the PPIs or if it’s something more serious. I’m having a nauseous feeling, getting really cold then hot. But no fever or vomiting. I see fine, speak fine, can move around but generally get exhausted very fast and need to lay back down.
Any experience with something similar or a word of advice?
</t>
        </is>
      </c>
      <c r="D895" t="n">
        <v>3</v>
      </c>
      <c r="E895" t="n">
        <v>5</v>
      </c>
      <c r="F895">
        <f>HYPERLINK("https://www.reddit.com/r/GERD/comments/bavcms/any_experience_with_severe_migraines_when_coming/")</f>
        <v/>
      </c>
      <c r="G895" t="inlineStr">
        <is>
          <t>2019-04-08 08:44:30</t>
        </is>
      </c>
      <c r="H895" t="inlineStr"/>
    </row>
    <row r="896">
      <c r="A896" t="inlineStr">
        <is>
          <t>bavykl</t>
        </is>
      </c>
      <c r="B896" t="inlineStr">
        <is>
          <t>GERD is ruining my life....</t>
        </is>
      </c>
      <c r="C896" t="inlineStr">
        <is>
          <t>I’ve had GERD for over 3 years but diagnosed with it just a year ago. When I first experienced this pain was when I was taking an assessment in a quiet auditorium full of students. For the first time ever my stomach went off making these growling and gurgling noises  extremely loud and it was embarrassing because everybody could here it and I was just red faced nervous. Since then throughout high school and even now in college it is ruining my life. The pain even though it hurts is something I’ve somewhat gotten used too (I’m typing this in burning pain) but the noise it makes is something that doesn’t allow me to live a normal life. My stomach makes these loud gurgling noises and this hunger pain comes a long with it even though I just ate some food a couple hours before class. Drinking water muffles the noises and easies the pain sometimes but the noises keep happening if I don’t drink water every few mins until I eat another meal is when the noise and pain goes away. In highschool I would be extremely embarrassed because it was a daily thing with my stomach going off but now in college I have failed a class and dropped in one due to my stomach. For now I mainly take online classes and one in person so I don’t have to deal with my stomach acting up and growling.
I remember this one specific time last semester in this small lecture class that is designed to for noise to echo off each wall so any little noise you would make like opening your backpack, grabbing and drinking a bottle of water, and moving around in your chair makes a loud noise. Well one day specifically my stomach started flaring up and kinda making the noises, I was just drinking water drinking water and extremely nervous because of even of the small tiny noises my stomach was making so I got up and left the class and felt relieved instantly (I’m pretty sure I was having an anxiety attack). 
Right now in my current condition I don’t know what to do anymore. I’m strongly considering dropping out of college if I can’t take online classes because of my stomach. It sounds really dumb but I can’t imagine myself sitting in a classroom and focusing on the lesson instead of focusing on my stomach. The whole time being in class I’m more focused on containing my loud stomach gurgling noises than actually focusing on the lesson. During exams it’s even worst because the class is extremely quiet. It’s overall affecting my performance. I recall another time back when I was taking the S.A.T. (an extremely important test that colleges look at your score and won’t pick you if it’s low) and I just started guessing on it to get out of the silent class because my stomach was flaring up with the same old gurgling noises. 
Anyways I know I left a ton of stuff out, I typed this up once and left the app for a second and it deleted it all. I just want my life to be normal again before this pain where I can sit somewhere without having to worry about my stomach making noises. I am 100% hoping to hear if there’s somebody else like me because I completely feel alone in the dark with my condition, thank you all!</t>
        </is>
      </c>
      <c r="D896" t="n">
        <v>10</v>
      </c>
      <c r="E896" t="n">
        <v>7</v>
      </c>
      <c r="F896">
        <f>HYPERLINK("https://www.reddit.com/r/GERD/comments/bavykl/gerd_is_ruining_my_life/")</f>
        <v/>
      </c>
      <c r="G896" t="inlineStr">
        <is>
          <t>2019-04-08 09:35:03</t>
        </is>
      </c>
      <c r="H896" t="inlineStr"/>
    </row>
    <row r="897">
      <c r="A897" t="inlineStr">
        <is>
          <t>bazncw</t>
        </is>
      </c>
      <c r="B897" t="inlineStr">
        <is>
          <t>I WANT TO DIE...</t>
        </is>
      </c>
      <c r="C897" t="inlineStr">
        <is>
          <t>I am a nineteen year old guy, and I've been suffering from mysterious chest pains for over a year now. My CNP prescribed ranitidine, which didn't work, and Omeprazole, which did work. After quite a few months of Omeprazole, I stopped taking it, and the symptoms came back around Christmas time. I've tried Ranitidine, Omeprazole, Lansoprazole, Nexium, Slippery Elm, and DGL. None of the medications are working. I sleep with my bed tilted slightly, but that doesn't work. I don't eat three hours before bedtime. I don't eat particularly spicy or acidic foods. 
My CNP FINALLY sent me to a GI doctor. The GI doctor ordered a bunch of tests and told me to go on the Low Fodmap diet. I've been attempting to follow the diet, but I'm finding it nearly impossible and I don't think I'm getting the proper nutrients, so I thought up a better idea: eliminate one kind of foods at a time rather than a bunch all at once, but nothing has changed. The GI doctor thinks its Esophageal Hypersensitivity, and my Psychiatrist recently prescribed me an SSRI which, I've read, helps EH, so I started taking that a couple days ago, but I'm not noticing any changes. She also suggested Barrett's Esophagus and Esophageal Spasms. 
I have a Barium swallow next week and an Endoscopy in June, but I have been contemplating suicide on a daily basis. I know you've got people like Jordan Peterson who view suffering as ennobling, but I don't find it ennobling at all. I would honestly rather be dead than in almost constant pains. The only times I don't feel it is early in the morning and around bedtime.  I'M ONLY NINETEEN FRICKEN' YEARS OLD, AND I AM LIVE IN NEAR CONSTANT PHYSICAL AND EMOTIONAL PAIN. It won't get any better from here; in fact, the older I get the more pain I will feel until I am dead. I'd rather nip it in the bud and end it all. 
Thank you for your time. Good day!</t>
        </is>
      </c>
      <c r="D897" t="n">
        <v>3</v>
      </c>
      <c r="E897" t="n">
        <v>15</v>
      </c>
      <c r="F897">
        <f>HYPERLINK("https://www.reddit.com/r/GERD/comments/bazncw/i_want_to_die/")</f>
        <v/>
      </c>
      <c r="G897" t="inlineStr">
        <is>
          <t>2019-04-08 14:49:40</t>
        </is>
      </c>
      <c r="H897" t="inlineStr"/>
    </row>
    <row r="898">
      <c r="A898" t="inlineStr">
        <is>
          <t>bb02cw</t>
        </is>
      </c>
      <c r="B898" t="inlineStr">
        <is>
          <t>Norvasc for Dysphagia (?)</t>
        </is>
      </c>
      <c r="C898" t="inlineStr">
        <is>
          <t>Hey all,
I seem to post quite a bit so my apologies.  I saw my GI for a follow up after my endoscopy with BRAVO today and at the time he took my BP and pulse.  My pulse was high which lead him to say he wanted to put me on a calcium blocker (note: I have very bad anxiety).  I am going for my manometry test on Friday so he wants to see those results first as he said Norvasc (a calcium blocker most normally prescribed for high blood pressure) can also help with the dysphagia.  Has anyone else ever been prescribed this?
&amp;amp;#x200B;
Moreover I do not trust him as I have said previously.  He put me on amtriptiline to try and help me sleep / thought it would help with dysphagia and I started to have the fun side effect of suicidal thoughts.  I am getting a second opinion from another GI tomorrow.</t>
        </is>
      </c>
      <c r="D898" t="n">
        <v>1</v>
      </c>
      <c r="E898" t="n">
        <v>2</v>
      </c>
      <c r="F898">
        <f>HYPERLINK("https://www.reddit.com/r/GERD/comments/bb02cw/norvasc_for_dysphagia/")</f>
        <v/>
      </c>
      <c r="G898" t="inlineStr">
        <is>
          <t>2019-04-08 15:26:33</t>
        </is>
      </c>
      <c r="H898" t="inlineStr"/>
    </row>
    <row r="899">
      <c r="A899" t="inlineStr">
        <is>
          <t>bb0jdi</t>
        </is>
      </c>
      <c r="B899" t="inlineStr">
        <is>
          <t>Back of throat is red and it hurts pretty bad to swallow. Common cold or GERD?</t>
        </is>
      </c>
      <c r="C899" t="inlineStr">
        <is>
          <t>I believe a sore throat is going around my family. I also am new to GERD. With all the issues GERD can cause on the throat, I've never been more confused what I'm experiencing. 
In the past whenever I had a sore throat that feels like this I would take NyQuil and it would eventually clear. 
Have you ever had GERD cause the back of your throat (when you open your mouth and say aghh) to be red and it to be very sore to swallow? I'm very confused.</t>
        </is>
      </c>
      <c r="D899" t="n">
        <v>2</v>
      </c>
      <c r="E899" t="n">
        <v>10</v>
      </c>
      <c r="F899">
        <f>HYPERLINK("https://www.reddit.com/r/GERD/comments/bb0jdi/back_of_throat_is_red_and_it_hurts_pretty_bad_to/")</f>
        <v/>
      </c>
      <c r="G899" t="inlineStr">
        <is>
          <t>2019-04-08 16:09:54</t>
        </is>
      </c>
      <c r="H899" t="inlineStr"/>
    </row>
    <row r="900">
      <c r="A900" t="inlineStr">
        <is>
          <t>bb0vor</t>
        </is>
      </c>
      <c r="B900" t="inlineStr">
        <is>
          <t>Happy hour with friends and acid reflux</t>
        </is>
      </c>
      <c r="C900" t="inlineStr">
        <is>
          <t>I have hyperparathyroidism which causes acid reflux as a symptom. I'm 28 and I love going out with my friends and a bunch of us were going to happy hour this weekend for one of my friend's birthday. Alcohol is a trigger for me recently but I love having a gin and tonic every now and then. What can I do in advance that will help me handle a drink better and still have a good time?</t>
        </is>
      </c>
      <c r="D900" t="n">
        <v>5</v>
      </c>
      <c r="E900" t="n">
        <v>25</v>
      </c>
      <c r="F900">
        <f>HYPERLINK("https://www.reddit.com/r/GERD/comments/bb0vor/happy_hour_with_friends_and_acid_reflux/")</f>
        <v/>
      </c>
      <c r="G900" t="inlineStr">
        <is>
          <t>2019-04-08 16:42:15</t>
        </is>
      </c>
      <c r="H900" t="inlineStr"/>
    </row>
    <row r="901">
      <c r="A901" t="inlineStr">
        <is>
          <t>bb38et</t>
        </is>
      </c>
      <c r="B901" t="inlineStr">
        <is>
          <t>Has anyone tried orange peel tea?</t>
        </is>
      </c>
      <c r="C901" t="inlineStr">
        <is>
          <t>has anyone here tried orange peel tea to help with GERD?
just heard about this and looking to give it a try. Curious to see if anyone has used this before?</t>
        </is>
      </c>
      <c r="D901" t="n">
        <v>4</v>
      </c>
      <c r="E901" t="n">
        <v>3</v>
      </c>
      <c r="F901">
        <f>HYPERLINK("https://www.reddit.com/r/GERD/comments/bb38et/has_anyone_tried_orange_peel_tea/")</f>
        <v/>
      </c>
      <c r="G901" t="inlineStr">
        <is>
          <t>2019-04-08 20:42:52</t>
        </is>
      </c>
      <c r="H901" t="inlineStr"/>
    </row>
    <row r="902">
      <c r="A902" t="inlineStr">
        <is>
          <t>bb3rf0</t>
        </is>
      </c>
      <c r="B902" t="inlineStr">
        <is>
          <t>What do you like to eat during a flare up?</t>
        </is>
      </c>
      <c r="C902" t="inlineStr">
        <is>
          <t>So my GERD is pretty well maintained these days (yay!!) but every few months I do get a flare up lasting a few days to a week. Often I'll forego eating entirely but that's really not the healthy thing to do so, what kind of things do you eat when experiencing a flare up? Are there any foods that subside the reflux in your experience even if just for a little bit?</t>
        </is>
      </c>
      <c r="D902" t="n">
        <v>2</v>
      </c>
      <c r="E902" t="n">
        <v>5</v>
      </c>
      <c r="F902">
        <f>HYPERLINK("https://www.reddit.com/r/GERD/comments/bb3rf0/what_do_you_like_to_eat_during_a_flare_up/")</f>
        <v/>
      </c>
      <c r="G902" t="inlineStr">
        <is>
          <t>2019-04-08 21:44:17</t>
        </is>
      </c>
      <c r="H902" t="inlineStr"/>
    </row>
    <row r="903">
      <c r="A903" t="inlineStr">
        <is>
          <t>bb82se</t>
        </is>
      </c>
      <c r="B903" t="inlineStr">
        <is>
          <t>Endoscopy Update: Back to Square One</t>
        </is>
      </c>
      <c r="C903" t="inlineStr">
        <is>
          <t>I just woke up from the most expensive nap I've ever taken to hear some good/bad news.
No hiatal hernia. No sign of cancer, ulcers, or Barrett's esophagus. 
So why have I been coughing and refluxing for a year with chest tightness?
I'll hear back in two weeks about the biopsy. I've never wished for a food allergy before, but I'm eager to learn what my problem is.
Doctor prescribed Pepsid to go with my Protonix. Maybe that will help :( I'm so sick of this.
They also took a sample of my stomach acid to test for H. Pylori, I guess?</t>
        </is>
      </c>
      <c r="D903" t="n">
        <v>1</v>
      </c>
      <c r="E903" t="n">
        <v>9</v>
      </c>
      <c r="F903">
        <f>HYPERLINK("https://www.reddit.com/r/GERD/comments/bb82se/endoscopy_update_back_to_square_one/")</f>
        <v/>
      </c>
      <c r="G903" t="inlineStr">
        <is>
          <t>2019-04-09 06:41:14</t>
        </is>
      </c>
      <c r="H903" t="inlineStr"/>
    </row>
    <row r="904">
      <c r="A904" t="inlineStr">
        <is>
          <t>bb8tez</t>
        </is>
      </c>
      <c r="B904" t="inlineStr">
        <is>
          <t>Nexium bowel issues</t>
        </is>
      </c>
      <c r="C904" t="inlineStr">
        <is>
          <t>Does anyone have problems with gas and loose stools while taking nexium? I have been using nexium for 3 weeks, everything was fine the first two weeks, no reflux and no stomach issues, but something has happened in the last week.. my farts smell like death and i poop very soft/mushy poops(sorry for the details) i also had some dark brown slime in my poop, on the outside when they had normal consistency
I take 20mg each morning, never used any kind of medication before</t>
        </is>
      </c>
      <c r="D904" t="n">
        <v>2</v>
      </c>
      <c r="E904" t="n">
        <v>13</v>
      </c>
      <c r="F904">
        <f>HYPERLINK("https://www.reddit.com/r/GERD/comments/bb8tez/nexium_bowel_issues/")</f>
        <v/>
      </c>
      <c r="G904" t="inlineStr">
        <is>
          <t>2019-04-09 07:48:28</t>
        </is>
      </c>
      <c r="H904" t="inlineStr"/>
    </row>
    <row r="905">
      <c r="A905" t="inlineStr">
        <is>
          <t>bb8u8s</t>
        </is>
      </c>
      <c r="B905" t="inlineStr">
        <is>
          <t>Melatonin?</t>
        </is>
      </c>
      <c r="C905" t="inlineStr">
        <is>
          <t>Just wondering if anyone has tried Melatonin for Gerd/Reflux issues. I stumbled across a few articles regarding it's success in removing and alleviating symptoms for some people and decided to try it myself. I came off omeprazole almost two weeks ago, 20mg a day for 2.5 years, and I 've been taking 3mg of melatonin each night for the last week and, being cautiously optimistic, my symptoms are definitely not as bad, manageable even. 
Just an FYI, I have not been formally diagnosed with GERD or anything, still waiting for an endoscopy/biopsy after 2 plus years of waiting, groan...
Anyway, like I said just wondering.
Thanks for reading.</t>
        </is>
      </c>
      <c r="D905" t="n">
        <v>2</v>
      </c>
      <c r="E905" t="n">
        <v>4</v>
      </c>
      <c r="F905">
        <f>HYPERLINK("https://www.reddit.com/r/GERD/comments/bb8u8s/melatonin/")</f>
        <v/>
      </c>
      <c r="G905" t="inlineStr">
        <is>
          <t>2019-04-09 07:50:27</t>
        </is>
      </c>
      <c r="H905" t="inlineStr"/>
    </row>
    <row r="906">
      <c r="A906" t="inlineStr">
        <is>
          <t>bb9oft</t>
        </is>
      </c>
      <c r="B906" t="inlineStr">
        <is>
          <t>Remedies for acid burning the back of my throat that has been going on for 3 hours.</t>
        </is>
      </c>
      <c r="C906" t="inlineStr">
        <is>
          <t>I have the feeling of a liquid coming up the back of my throat and it’s burning, it comes and goes every few minutes and this has been going on for 3 hours. I’ve had this exact thing before but it doesn’t last as long and usually goes away on its own. I have been laying elevated on my bed waiting for it to pass but it’s not showing any signs of stopping. 
What can I use to help/stop this? Any food/drink? Over the counter meds? Anything???
I don’t need anything for the throat pain, I just need to stop the acid from going up and down my throat.</t>
        </is>
      </c>
      <c r="D906" t="n">
        <v>1</v>
      </c>
      <c r="E906" t="n">
        <v>5</v>
      </c>
      <c r="F906">
        <f>HYPERLINK("https://www.reddit.com/r/GERD/comments/bb9oft/remedies_for_acid_burning_the_back_of_my_throat/")</f>
        <v/>
      </c>
      <c r="G906" t="inlineStr">
        <is>
          <t>2019-04-09 09:02:06</t>
        </is>
      </c>
      <c r="H906" t="inlineStr"/>
    </row>
    <row r="907">
      <c r="A907" t="inlineStr">
        <is>
          <t>bbbyqn</t>
        </is>
      </c>
      <c r="B907" t="inlineStr">
        <is>
          <t>I think I might have GERD.</t>
        </is>
      </c>
      <c r="C907" t="inlineStr">
        <is>
          <t>So I've been to my GP and she didn't say what she thought was wrong, just that she wanted to put me on proton pump inhibitors and wants me to go get a camera down my throat soon. From asking around GERD was the most common response to my issues. I have shortness of breath especially after eating, constantly regurgitate my food with acid and belch all the time, as well as occasionally getting stuck swallowing my breaths. Heart and lungs got the all clear. What do you guys think?</t>
        </is>
      </c>
      <c r="D907" t="n">
        <v>10</v>
      </c>
      <c r="E907" t="n">
        <v>10</v>
      </c>
      <c r="F907">
        <f>HYPERLINK("https://www.reddit.com/r/GERD/comments/bbbyqn/i_think_i_might_have_gerd/")</f>
        <v/>
      </c>
      <c r="G907" t="inlineStr">
        <is>
          <t>2019-04-09 12:09:45</t>
        </is>
      </c>
      <c r="H907" t="inlineStr"/>
    </row>
    <row r="908">
      <c r="A908" t="inlineStr">
        <is>
          <t>bbcat4</t>
        </is>
      </c>
      <c r="B908" t="inlineStr">
        <is>
          <t>Am I allergic to the PPI or?</t>
        </is>
      </c>
      <c r="C908" t="inlineStr">
        <is>
          <t>I've been taking pantoprazole for at least 5 days now,and Everytime I eat my nose starts itching.My eye would randomly itch in the corner too but not lately.It also feels like my lymph nodes in my throat are swelled up abit.I used to have itchy ears sometimes after eating without a PPI,so idk.Also keep in mind,this didn't happen earlier,and it happened right after I started to lay down after eating (Dumb,I know).It happens after I eat,not after the pill.</t>
        </is>
      </c>
      <c r="D908" t="n">
        <v>2</v>
      </c>
      <c r="E908" t="n">
        <v>1</v>
      </c>
      <c r="F908">
        <f>HYPERLINK("https://www.reddit.com/r/GERD/comments/bbcat4/am_i_allergic_to_the_ppi_or/")</f>
        <v/>
      </c>
      <c r="G908" t="inlineStr">
        <is>
          <t>2019-04-09 12:37:19</t>
        </is>
      </c>
      <c r="H908" t="inlineStr"/>
    </row>
    <row r="909">
      <c r="A909" t="inlineStr">
        <is>
          <t>bbe9hr</t>
        </is>
      </c>
      <c r="B909" t="inlineStr">
        <is>
          <t>Post Nissen Fundoplication mishaps</t>
        </is>
      </c>
      <c r="C909" t="inlineStr">
        <is>
          <t>So I had a Nissen Fundoplication almost two years ago after a decade of severe GERD and daily vomiting. I had the surgery right after my 21st birthday and did not listen to the doctor as closely as I should have. I did not do a liquid diet for a month after surgery, I only lasted a week on that diet before I switched to eating whatever I want. That definitely affected the healing process and has screwed me over in the long run. I am a habitual marijuana smoker and my doctor told me that this is making my GERD worse, but I ignored him and continued to smoke daily. Now that so much time has passed and I am dealing with side effects I want to know if there is anything I can do to undo the major fuck ups I did. I think I was too immature for such a big surgery and that is why I did not take the post-op seriously. My main side effects are mainly constant chest pain caused by air/gas being stuck inside, it is very hard for me to burp. I also recently began throwing up again. I am unable to throw up food but I throw up stomach acid and bile a few days a week now. It is extremely painful and uncomfortable but it keeps happening more and more. The doctor told me it would be impossible for me to throw up so i am getting concerned that I fucked up my body in an irreversible way. Any advice on how I should move forward and treat my GERD from now on would be greatly appreciated! Any tips would also be helpful! I am desperate for relief</t>
        </is>
      </c>
      <c r="D909" t="n">
        <v>3</v>
      </c>
      <c r="E909" t="n">
        <v>5</v>
      </c>
      <c r="F909">
        <f>HYPERLINK("https://www.reddit.com/r/GERD/comments/bbe9hr/post_nissen_fundoplication_mishaps/")</f>
        <v/>
      </c>
      <c r="G909" t="inlineStr">
        <is>
          <t>2019-04-09 15:22:49</t>
        </is>
      </c>
      <c r="H909" t="inlineStr"/>
    </row>
    <row r="910">
      <c r="A910" t="inlineStr">
        <is>
          <t>bbfnol</t>
        </is>
      </c>
      <c r="B910" t="inlineStr">
        <is>
          <t>Reflux killed my throat? Help me identify this please.</t>
        </is>
      </c>
      <c r="C910" t="inlineStr">
        <is>
          <t xml:space="preserve"> I could really use some help identifying exactly what is going on as right now it seems like it could be 4-5 different things or maybe multiple problems. Very confused. 
So here’s the short history for context: 
\_\_\_\_\_\_\_\_\_\_\_\_\_\_\_\_\_\_\_\_\_\_\_\_\_\_\_\_\_\_\_\_\_\_\_\_\_\_\_\_\_\_\_\_\_\_\_\_\_\_\_\_\_\_
&amp;amp;#x200B;
**March 26th**: That evening I had your normal heartburn sometime after dinner. Nothing extraordinary and nothing intense. Took some pepto. Done.
**March 27th**: Same thing as the 26th. Again nothing super crazy or really noteworthy about it.
**March 28th**: Heartburn again. At this point I realized something was off and took note of the previous days. Bought some Knockoff Zantac 150.
**March 29th**: Heartburn again. At this point im taking a zantac every 12 hours and pepto is used when needed. Still seems to be happening in the evenings after eating.
**March 30th**: I am woken up at 7am by some of the worst heartburn ive ever had in my life. Like gripping your chest with pain. Felt like I had a coal in my lower throat. Stumbled into the kitchen and took a swig of pepto and a zantac (all I had). Went back to bed propped up. Woke back up a few hours later. At this point I was panicked as something was wrong. Went to an urgent care center and was given a GI cocktail, a months worth of 40mg omeprazole, and two weeks worth of carafate. 
**March 31-April 3rd**: I’m eating pretty lite. Taking my omeprazole once a day, Usually taking a carafate 1 hour before eating and one at bed. Heartburn is present but not like the incident on the 30th. Felt like a low flame with both an empty and full stomach. Started to have this intense “crawling” sensation in my throat. Like from my adams apple down into my chest. I think carafate was helping my throat but it didn’t seem consistent. 
**April 4-5th**: At this point I didn’t eat anything for 48 hours except water. Despite that I was still having this terrible unpleasant sensation in my throat and this is with nothing in my gut. Saw a general physician late on the 5th. Was switched to 40mg esomeprazole. That evening I regretfully ate a rather larger than normal meal due to the previous fast. It took something like 5-6 hours to digest it (due to what I can only presume is the PPIs?). Also that evening I had a panic attack during this episode. This was roughly 7 hours after taking my first esomeprazole. 
**April 6th**: For the first time in a week I didn’t really wake up with any issues. Had a real lite sensation in my throat but significantly less than I had up until then. Bought some foods that are known to be safe for reflux/GERD.
**April 7th**: Was woken up by that crawling thing in my throat. Again it would get worse and better at various points of the day. Couldnt really tie it to eating or not eating. Seemed to be rough in the mornings and evenings.
**April 8th**: Woken up with that throat thing again. Same situation as the 7th.
**April 9th** (today): Woken up again by my throat. At this point I’m not necessarily noticing heartburn and I havent really had an episode of having anything regurgitated in my throat for prob 5 days or so. But again this thing where it feels like I have swelling in my throat. To be clear im not really having trouble swallowing anything. If anything swallowing seems to give me relief. Chewing gum also helps a bit. 
\_\_\_\_\_\_\_\_\_\_\_\_\_\_\_\_\_\_\_\_\_\_\_\_\_\_\_\_\_\_\_\_\_\_\_\_\_\_\_\_\_\_\_\_\_\_\_\_\_\_\_\_\_\_
&amp;amp;#x200B;
So that’s my timeline. I’m in my late 20s (male) with zero history of this. Like this just came out of nowhere and I have zero things I can point at. I am scheduled to see a gastroenterologist late next week so i need to somehow survive (mentally and physically) the next week and a half. 
It seems pretty clear that something is wrong with my esophagus. I’m just confused because reflux/GERD (I still havent been diagnosed yet) typically are the triggers of things like esophagitis and half a dozen other complications.
I guess the reason im posting this (besides attempting to retain my sanity) is because I’m looking for help pinpointing this throat feeling. I’m aware of the ‘globus sensation’ and there are many times in the last few days where I’ve seriously thought that was what this is (might be). I just can’t seem to find any source that conveys the specific feeling of “crawling” that I am having. Like it’s a feeling of having something stuck or moving anywhere from the area where my esophagus connects to my stomach up to around where my adams apple is. 
If something was damaged due to those reflux incidents do I just need to continue taking this medication and be patient with healing? I realize based on my timeline above it hasn’t been terrible long since this all started but this particular throat issue just doesnt really seem to be improving even the slightest. 
I’m also tossing around the idea of ceasing/weaning off my medication. The side effects are really bugging me and at the moment it seems like the acid is much more under control than it was a week ago. Should I stick to it until I hear otherwise? I just hate that these PPIs seem to make digesting a meal take forever to accomplish. 
I really appreciate anyone who can jump in and offer me some advice or even just lets me know if they have had the same feelings I'm having. This is all new to me and it's incredibly easy to get panicked. This has been the longest 10 days i've had in a very long time.</t>
        </is>
      </c>
      <c r="D910" t="n">
        <v>4</v>
      </c>
      <c r="E910" t="n">
        <v>18</v>
      </c>
      <c r="F910">
        <f>HYPERLINK("https://www.reddit.com/r/GERD/comments/bbfnol/reflux_killed_my_throat_help_me_identify_this/")</f>
        <v/>
      </c>
      <c r="G910" t="inlineStr">
        <is>
          <t>2019-04-09 17:36:48</t>
        </is>
      </c>
      <c r="H910" t="inlineStr"/>
    </row>
    <row r="911">
      <c r="A911" t="inlineStr">
        <is>
          <t>bbftvi</t>
        </is>
      </c>
      <c r="B911" t="inlineStr">
        <is>
          <t>My (still undiagnosed) LPR story - please help</t>
        </is>
      </c>
      <c r="C911" t="inlineStr">
        <is>
          <t>Hello everyone! 
Im 24/m. My first symptoms started some quite time ago. Not sure exactly, but I would say it is more than 6 months ago. I started burping a lot, and I would burp food and liquid back to the throat. I meant it is normal because I ate huge meal, and it didnt made any pain or similar problems... until last week! 
I started having sore throat. I am finding mucus stuck in throat (even its not very concentrated. It is just some mucus mixed with saliva. I also feel some earache sometimes. 
And now the worst symtoms ever: swollen glands and globus sensation. I have feeling that glands are more swollen when globus sensation is harder. This is very annoying symtom which lasts nearly whole day. In the morning it is easiest, and develops harder through the day. It is also funny how globus sensation goes away only when I eat. After eating it comes back.
My questions:
-Are these symptoms same to you guys who have LPR? 
-How did you stopped swollen glands and globus sensation?
-Do you have heartburn? I do not have heartburn, but im sure I am getting food and liquid back to throat when burping.
-How to stop burping so much? I didn't count, but im sure that I burped at least 25 times in last 24 hours.</t>
        </is>
      </c>
      <c r="D911" t="n">
        <v>4</v>
      </c>
      <c r="E911" t="n">
        <v>3</v>
      </c>
      <c r="F911">
        <f>HYPERLINK("https://www.reddit.com/r/GERD/comments/bbftvi/my_still_undiagnosed_lpr_story_please_help/")</f>
        <v/>
      </c>
      <c r="G911" t="inlineStr">
        <is>
          <t>2019-04-09 17:54:21</t>
        </is>
      </c>
      <c r="H911" t="inlineStr"/>
    </row>
    <row r="912">
      <c r="A912" t="inlineStr">
        <is>
          <t>bbjwm7</t>
        </is>
      </c>
      <c r="B912" t="inlineStr">
        <is>
          <t>Sharing the Journey - Esophagitis, reflux (GERD), gastritis, gastroparesis, functional dyspepsia.</t>
        </is>
      </c>
      <c r="C912" t="inlineStr">
        <is>
          <t>[https://greendetour.com/esophagitis-reflux-gerd-gastritis-gastroparesis-functional-dyspepsia/](https://greendetour.com/esophagitis-reflux-gerd-gastritis-gastroparesis-functional-dyspepsia/)</t>
        </is>
      </c>
      <c r="D912" t="n">
        <v>3</v>
      </c>
      <c r="E912" t="n">
        <v>2</v>
      </c>
      <c r="F912">
        <f>HYPERLINK("https://www.reddit.com/r/GERD/comments/bbjwm7/sharing_the_journey_esophagitis_reflux_gerd/")</f>
        <v/>
      </c>
      <c r="G912" t="inlineStr">
        <is>
          <t>2019-04-10 02:18:07</t>
        </is>
      </c>
      <c r="H912" t="inlineStr"/>
    </row>
    <row r="913">
      <c r="A913" t="inlineStr">
        <is>
          <t>bbmly6</t>
        </is>
      </c>
      <c r="B913" t="inlineStr">
        <is>
          <t>Update on IQoro – major progress!</t>
        </is>
      </c>
      <c r="C913" t="inlineStr">
        <is>
          <t>This is a follow up to my previous threads ([1](https://www.reddit.com/r/GERD/comments/a7mddj/iqoro_any_experiences/), [2](https://www.reddit.com/r/GERD/comments/aoskhg/update_on_iqoro/)) about my use of the esophagus trainer IQoro. I’m a 30 y/o male with hiatal hernia and silent reflux (both diagnosed through endoscopy).
TL;DR: Periods of big improvements followed by bad periods. Was super confused at first, but the researcher behind the device told me it’s normal to have ups and downs during the training. Feeling super optimistic about the whole thing!
So, coming up on a little over 3 months of usage, and the training has begun to show clear results! I’ve started writing this update several times during periods when I was feeling noticeably better, but then I’d get a pretty bad crash without understanding why and I’d start to question whether I was actually getting any better or if I was just imagining things. But then I was able to get ahold of the researcher behind the device, who was really nice and understanding and way more helpful than any other doctor I’ve spoken to about my condition. She told me it’s normal to have ups and downs during training, but that over time, the good periods should become more and more pronounced.
Well, that fits my experience to a tee, and for the last few weeks I’ve had about 50 % good (at times almost completely symptom-free) days and 50 % bad days. Huge improvement compared to a few months back when every day was terrible even if I only had tiny servings of rice and chicken and absolutely nothing else (lost about 10 kg during that dark period of my life, and I was rather scrawny to begin with). 6-8 months is the estimated full training duration, so I’m super stoked to see continued progress (fingers crossed).
Oh yeah, I also had some more issues with mouth ulcers, but I finally figured out that I’ve been deficient in vitamin C for some time, probably due to avoiding all citrus fruits. Was getting bleeding from my gums while using the IQoro that went away quickly once I started eating more blueberries and such.
Honestly, if you are considering surgery or long-term medication, I think the IQoro is seriously worth looking into, to the point where I feel bad for putting off this update as long as I did (wanted to make sure the improvements were due to the IQoro, though). Apparently everyone in their studies showed significant improvements, and it seems to be a very mild intervention compared to most alternatives. Only problem was getting the usage technique right for me, but I think I’m kinda atypically dumb in that respect.
Since I received a handful of inquiries before, I’m sorry to say I can’t help with getting your hands on the device, but I really hope they get this thing cleared in the US and other non-EU territories soon.
Happy to answer any questions.</t>
        </is>
      </c>
      <c r="D913" t="n">
        <v>12</v>
      </c>
      <c r="E913" t="n">
        <v>42</v>
      </c>
      <c r="F913">
        <f>HYPERLINK("https://www.reddit.com/r/GERD/comments/bbmly6/update_on_iqoro_major_progress/")</f>
        <v/>
      </c>
      <c r="G913" t="inlineStr">
        <is>
          <t>2019-04-10 07:22:37</t>
        </is>
      </c>
      <c r="H913" t="inlineStr"/>
    </row>
    <row r="914">
      <c r="A914" t="inlineStr">
        <is>
          <t>bbqiq4</t>
        </is>
      </c>
      <c r="B914" t="inlineStr">
        <is>
          <t>Hi all im new here and had an inquiry</t>
        </is>
      </c>
      <c r="C914" t="inlineStr">
        <is>
          <t>I have no been diagnosed with gerd but I eat one big meal a day and i get heardtburn and indigestion. After i get these i sometimes get this feeling on my throat that makes me want to keep my head down like chin pressed against my chest it is weird just wondering if anyone else gets similar. It seems to happen more if i burp up acid too.</t>
        </is>
      </c>
      <c r="D914" t="n">
        <v>2</v>
      </c>
      <c r="E914" t="n">
        <v>2</v>
      </c>
      <c r="F914">
        <f>HYPERLINK("https://www.reddit.com/r/GERD/comments/bbqiq4/hi_all_im_new_here_and_had_an_inquiry/")</f>
        <v/>
      </c>
      <c r="G914" t="inlineStr">
        <is>
          <t>2019-04-10 12:52:34</t>
        </is>
      </c>
      <c r="H914" t="inlineStr"/>
    </row>
    <row r="915">
      <c r="A915" t="inlineStr">
        <is>
          <t>bbv3ju</t>
        </is>
      </c>
      <c r="B915" t="inlineStr">
        <is>
          <t>Submandibular glands feel swollen</t>
        </is>
      </c>
      <c r="C915" t="inlineStr">
        <is>
          <t>Has anyone else experienced this with LPR (or GERD?) - I also have ear fullness, and am getting over a sinus infection so trying to tell if it’s from that or the LPR. Thanks!</t>
        </is>
      </c>
      <c r="D915" t="n">
        <v>3</v>
      </c>
      <c r="E915" t="n">
        <v>11</v>
      </c>
      <c r="F915">
        <f>HYPERLINK("https://www.reddit.com/r/GERD/comments/bbv3ju/submandibular_glands_feel_swollen/")</f>
        <v/>
      </c>
      <c r="G915" t="inlineStr">
        <is>
          <t>2019-04-10 20:00:17</t>
        </is>
      </c>
      <c r="H915" t="inlineStr"/>
    </row>
    <row r="916">
      <c r="A916" t="inlineStr">
        <is>
          <t>bbxdfo</t>
        </is>
      </c>
      <c r="B916" t="inlineStr">
        <is>
          <t>I deal with pulmonary aspiration from GERD</t>
        </is>
      </c>
      <c r="C916" t="inlineStr">
        <is>
          <t>What is the fastest way to clear it from my esophogus besides just coughing and clearing my throat because its gross, hurts and takes forever?</t>
        </is>
      </c>
      <c r="D916" t="n">
        <v>1</v>
      </c>
      <c r="E916" t="n">
        <v>1</v>
      </c>
      <c r="F916">
        <f>HYPERLINK("https://www.reddit.com/r/GERD/comments/bbxdfo/i_deal_with_pulmonary_aspiration_from_gerd/")</f>
        <v/>
      </c>
      <c r="G916" t="inlineStr">
        <is>
          <t>2019-04-11 01:23:42</t>
        </is>
      </c>
      <c r="H916" t="inlineStr"/>
    </row>
    <row r="917">
      <c r="A917" t="inlineStr">
        <is>
          <t>bbycfy</t>
        </is>
      </c>
      <c r="B917" t="inlineStr">
        <is>
          <t>Tapering off PPI - new to me</t>
        </is>
      </c>
      <c r="C917" t="inlineStr">
        <is>
          <t>I was prescribed Nexium 40mg (one per day, in the morning, before breakfast) for a month to treat my antral gastritis.   
I kept reading here that people have PPI tapering off plans, which I never thought about and my doctor never mentioned.  
From your experience, should I make a tapering off plan too? Like H2 Blockers or smaller dosage PPIs?  
I'm confused af</t>
        </is>
      </c>
      <c r="D917" t="n">
        <v>2</v>
      </c>
      <c r="E917" t="n">
        <v>4</v>
      </c>
      <c r="F917">
        <f>HYPERLINK("https://www.reddit.com/r/GERD/comments/bbycfy/tapering_off_ppi_new_to_me/")</f>
        <v/>
      </c>
      <c r="G917" t="inlineStr">
        <is>
          <t>2019-04-11 03:41:14</t>
        </is>
      </c>
      <c r="H917" t="inlineStr"/>
    </row>
    <row r="918">
      <c r="A918" t="inlineStr">
        <is>
          <t>bbzsj0</t>
        </is>
      </c>
      <c r="B918" t="inlineStr">
        <is>
          <t>Diagnosed with GERD a week ago. Have a couple of questions.</t>
        </is>
      </c>
      <c r="C918" t="inlineStr">
        <is>
          <t>Hi I am 30 years old and my life has flipped from somewhat worrying about my health to worrying about it completely.
Last September I had a panic attack caused by a coffee induced dehydration that placed me with a fast heartbeat that I thought it was a heart attack. ER Doctors besides seeing I was dehydrated found a high random glucose test of 212 and prescribed me Metformin for my Pre-Diabetes (Dr stopped my metformin after I lowered my A1C to 5.9). For panic attacks my regular doc prescribed me Lorazepam. My cholesterol has been high for two years and my doctor prescribed me lipitor 40mg for life since my family both suffer from heart disease. 
Since September, I have suffered many panic attacks many of which were related after eating high calorie foods. I would have the fast heartbeat, nausea, throwing up. difficulty breathing and disorientation. At first I thought this was due to high blood sugars and I drank a heck load of water to lower them down. It worked on New Years when I ate at Shake Shack in Atlanta and felt a panic attack on my 5 hour plane back to Los Angeles (probably the worst plane ride but the Delta flight attendants were ultra nice and allowed me to stay in the restroom for a while until I felt better). 
Since New Years I had not suffered anything until two weeks ago. I started having trouble sleeping. I had somewhat of chest pain, difficulty breathing, somewhat chills when I layed down on my bed but it would get better if I sat up or if I stacked pillows. Then one night, I started feeling this burning sensation on my chest and my heart beat accelerated. Again this was after eating. My girlfriend told me it was heartburn but I didn’t know what was going on since I had never experienced heartburn. I go to the ER just in case. They do the EKG, nothing. I had to wait 5 hours to be seen. I go back home defeated. I go to my new Kaiser Doc the next day, she sees it as GERD and does a Pyroli blood test (6 parts which is less than 20 parts to diagnose). She prescribes Prilosec 20mg to take before breakfast. 
So far it works. No heartburn. First days I could not eat anything since I felt anything could inflame my heartburn. I have seen that smaller portions is the way to go. However, I have been cautious with trigger foods. I have lost a lot of weight since January from 210 to 184. I quit soda for LaCroix and diet non caffeine. I quit coffee since it messes me up due to sugars, dehydration, anxiety and now GERD. I quit fries since New Years, thanks Shake Shack! 
Anyway here are my GERD questions.
Is it normal to have difficulty breathing when laying down before sleep? If so, are there any remedies for this since Dr Google is a no? 
Besides High Blood Sugars, could GERD also have caused all my panic attacks? 
Can I take Lipitor along with Prilosec? 
Does taking Prilosec require a lot of hydration? 
What other foods should I give up?</t>
        </is>
      </c>
      <c r="D918" t="n">
        <v>5</v>
      </c>
      <c r="E918" t="n">
        <v>7</v>
      </c>
      <c r="F918">
        <f>HYPERLINK("https://www.reddit.com/r/GERD/comments/bbzsj0/diagnosed_with_gerd_a_week_ago_have_a_couple_of/")</f>
        <v/>
      </c>
      <c r="G918" t="inlineStr">
        <is>
          <t>2019-04-11 06:20:19</t>
        </is>
      </c>
      <c r="H918" t="inlineStr"/>
    </row>
    <row r="919">
      <c r="A919" t="inlineStr">
        <is>
          <t>bc1ts5</t>
        </is>
      </c>
      <c r="B919" t="inlineStr">
        <is>
          <t>Does anyone experience insanely horrible breath because of GERD?</t>
        </is>
      </c>
      <c r="C919" t="inlineStr">
        <is>
          <t>Thread name. Is my absolutely reeking (people one-two meters away from me smell it and it's effing horrible) breath the effect of GERD or is it something worse?</t>
        </is>
      </c>
      <c r="D919" t="n">
        <v>3</v>
      </c>
      <c r="E919" t="n">
        <v>5</v>
      </c>
      <c r="F919">
        <f>HYPERLINK("https://www.reddit.com/r/GERD/comments/bc1ts5/does_anyone_experience_insanely_horrible_breath/")</f>
        <v/>
      </c>
      <c r="G919" t="inlineStr">
        <is>
          <t>2019-04-11 09:20:49</t>
        </is>
      </c>
      <c r="H919" t="inlineStr"/>
    </row>
    <row r="920">
      <c r="A920" t="inlineStr">
        <is>
          <t>bc4s91</t>
        </is>
      </c>
      <c r="B920" t="inlineStr">
        <is>
          <t>Excessive belching from GERD?</t>
        </is>
      </c>
      <c r="C920" t="inlineStr">
        <is>
          <t>Hi, after years of suffering with SIBO and post-infectious IBS, and finally moderately successful treatment with Xifaxan.. I have developed upper GI problems in recent months.
I had an upper endoscopy a few weeks ago. Biopsy showed moderate chronic gastritis, and no h pylori. I have a small hiatal hernia.
I have some stomach burning, occasional sensation of acid reflux, but my main symptom is excessive belching. It occurs on and off ALL DAY long.
My doctor is so vague... i am so tired of her saying “I don’t know”, and “everyone is different” it is maddening.
Can anyone tell me ... do you experience excessive unexplainable belching due to GERD/gastritis? Is that normal?
I don’t even know what is causing it. SIBO can cause belching , but not like this.
I have been taking Zantac twice a day per doctor recommendation for two weeks, and it has barely helped.
Any info on this symptom would be a big help!</t>
        </is>
      </c>
      <c r="D920" t="n">
        <v>6</v>
      </c>
      <c r="E920" t="n">
        <v>27</v>
      </c>
      <c r="F920">
        <f>HYPERLINK("https://www.reddit.com/r/GERD/comments/bc4s91/excessive_belching_from_gerd/")</f>
        <v/>
      </c>
      <c r="G920" t="inlineStr">
        <is>
          <t>2019-04-11 13:31:47</t>
        </is>
      </c>
      <c r="H920" t="inlineStr"/>
    </row>
    <row r="921">
      <c r="A921" t="inlineStr">
        <is>
          <t>bc57sf</t>
        </is>
      </c>
      <c r="B921" t="inlineStr">
        <is>
          <t>Is This GERD?</t>
        </is>
      </c>
      <c r="C921" t="inlineStr">
        <is>
          <t>So over the last year or so I’ve been to the hospital a few times with what I thought was some kind of heart issue. Searing pain through my chest, back and left side, quick heart beat, etc. Been diagnosed with everything from anxiety to costochondritis.   I sleep very badly but it didn’t seem to be brought on by anything in particular. Each episode could last from a few hours to a few days. I get arm pain, pain in the centre of my chest or on my left side, sometimes shooting pains. My ecg and blood tests all came back clear. I was sent to a musco skeletal specialist about the chostrocondritis but they said they weren’t sure because it didn’t hurt when I breath. It’s been maddening. I noticed recently that when I burp more often than not it’s what I call a wet burp, when a little bit of whatever from my stomach comes up too. I drink a lot of coffee, I’ve never been able to tie the pain in with meal times but possibly with my coffee intake??  I just want to know what it is so I can start to fix myself, I feel like crying all the time because of the pain. Painkillers don’t help it</t>
        </is>
      </c>
      <c r="D921" t="n">
        <v>6</v>
      </c>
      <c r="E921" t="n">
        <v>5</v>
      </c>
      <c r="F921">
        <f>HYPERLINK("https://www.reddit.com/r/GERD/comments/bc57sf/is_this_gerd/")</f>
        <v/>
      </c>
      <c r="G921" t="inlineStr">
        <is>
          <t>2019-04-11 14:10:07</t>
        </is>
      </c>
      <c r="H921" t="inlineStr"/>
    </row>
    <row r="922">
      <c r="A922" t="inlineStr">
        <is>
          <t>bc7bgg</t>
        </is>
      </c>
      <c r="B922" t="inlineStr">
        <is>
          <t>Overdid it on vacation, how to get immediate relief?</t>
        </is>
      </c>
      <c r="C922" t="inlineStr">
        <is>
          <t>I had a perfect storm and now am having my first real flair in year.
I'm on vacation and have been walking miles and miles a day, eating horrible food, and am about to get my period. I have endometriosis and am horribly bloated. Possibly adding to the bloat, I've been constipated. All things considered, there isn't a lot of room in my stomach and there's plenty of acid in my throat.
I took a Zantac and a stool softener, I think the acid won't go past my esophagus anymore. My throat is still burning. Warm salt gargle isn't working as well as it has in the past.
Does anyone have other suggestions? I have another few days before going home.</t>
        </is>
      </c>
      <c r="D922" t="n">
        <v>5</v>
      </c>
      <c r="E922" t="n">
        <v>18</v>
      </c>
      <c r="F922">
        <f>HYPERLINK("https://www.reddit.com/r/GERD/comments/bc7bgg/overdid_it_on_vacation_how_to_get_immediate_relief/")</f>
        <v/>
      </c>
      <c r="G922" t="inlineStr">
        <is>
          <t>2019-04-11 17:30:27</t>
        </is>
      </c>
      <c r="H922" t="inlineStr"/>
    </row>
    <row r="923">
      <c r="A923" t="inlineStr">
        <is>
          <t>bc7r67</t>
        </is>
      </c>
      <c r="B923" t="inlineStr">
        <is>
          <t>pantoprazole/omep lightheadedness</t>
        </is>
      </c>
      <c r="C923" t="inlineStr">
        <is>
          <t>I was wondering if anyone else has lightheadedness from these meds? The Omep was so bad I couldn't even walk for more than 10 minutes without feeling sick and the pantoprazole makes me feel kind of zombie like and if I stop moving after walking for a bit it trips me out.
&amp;amp;#x200B;
I'll be seeing my doc in a few weeks and without the meds the pain becomes unbearable as it is constant. Just wondering if anyone else has these issues!</t>
        </is>
      </c>
      <c r="D923" t="n">
        <v>3</v>
      </c>
      <c r="E923" t="n">
        <v>12</v>
      </c>
      <c r="F923">
        <f>HYPERLINK("https://www.reddit.com/r/GERD/comments/bc7r67/pantoprazoleomep_lightheadedness/")</f>
        <v/>
      </c>
      <c r="G923" t="inlineStr">
        <is>
          <t>2019-04-11 18:15:31</t>
        </is>
      </c>
      <c r="H923" t="inlineStr"/>
    </row>
    <row r="924">
      <c r="A924" t="inlineStr">
        <is>
          <t>bca5j8</t>
        </is>
      </c>
      <c r="B924" t="inlineStr">
        <is>
          <t>constant choking sensation</t>
        </is>
      </c>
      <c r="C924" t="inlineStr">
        <is>
          <t>Hi everyone I'm not sure if anyone has had the same problem as me so I'm writing it here.
Last sunday (5 days ago) I had two slices of bread with a tonne of melted cheese on both of them. Immediately after eating, I felt like I had something stuck in my throat and this feeling has continued all week. I've never reacted badly to cheese before and I've never ever had this problem. I've gone to the doctors and they've just sent me off saying "We dont know, give it time or go to the emergency department" but im like super scared. I still feel like there's something stuck in my throat all the time and coughing doesn't seem to help at all. Has anyone had something like this and had the sensation go away with time?</t>
        </is>
      </c>
      <c r="D924" t="n">
        <v>5</v>
      </c>
      <c r="E924" t="n">
        <v>20</v>
      </c>
      <c r="F924">
        <f>HYPERLINK("https://www.reddit.com/r/GERD/comments/bca5j8/constant_choking_sensation/")</f>
        <v/>
      </c>
      <c r="G924" t="inlineStr">
        <is>
          <t>2019-04-11 22:56:59</t>
        </is>
      </c>
      <c r="H924" t="inlineStr"/>
    </row>
    <row r="925">
      <c r="A925" t="inlineStr">
        <is>
          <t>bcaf31</t>
        </is>
      </c>
      <c r="B925" t="inlineStr">
        <is>
          <t>How is it that Magnesium and Vitamin supplements are helping my silent reflux? Does this mean my reflux is linked to anxiety?</t>
        </is>
      </c>
      <c r="C925" t="inlineStr">
        <is>
          <t>I started taking Magnesium and Vitamin D/B, fish oil. So I can’t pinpoint what exactly helped my symptoms, or if my lpr is going away. I can feel improvement but I’d like to know, how is supplementing helping my reflux?</t>
        </is>
      </c>
      <c r="D925" t="n">
        <v>1</v>
      </c>
      <c r="E925" t="n">
        <v>0</v>
      </c>
      <c r="F925">
        <f>HYPERLINK("https://www.reddit.com/r/GERD/comments/bcaf31/how_is_it_that_magnesium_and_vitamin_supplements/")</f>
        <v/>
      </c>
      <c r="G925" t="inlineStr">
        <is>
          <t>2019-04-11 23:34:20</t>
        </is>
      </c>
      <c r="H925" t="inlineStr"/>
    </row>
    <row r="926">
      <c r="A926" t="inlineStr">
        <is>
          <t>bcklit</t>
        </is>
      </c>
      <c r="B926" t="inlineStr">
        <is>
          <t>Elimination diet help</t>
        </is>
      </c>
      <c r="C926" t="inlineStr">
        <is>
          <t>Sorry if this has been answered before. I tried searching but couldn't quite find an answer. I recently went to the doctor and found out the symptoms I've been ignoring for a long time are probably Gerd. Now I'm trying to figure out how to deal. I'm taking Zantac twice a day, but also have a terrible diet so it's not working really.  I'm looking to make the change and lose the weight I gained that probably caused this.
I see a lot of people suggesting to do an elimination diet. Does anyone have any suggestions on a specific plan for doing that? I'm afraid to Google it because it might be a black hole of too many options. Hoping someone might have a good link just sitting around. 
Thanks in advance!</t>
        </is>
      </c>
      <c r="D926" t="n">
        <v>4</v>
      </c>
      <c r="E926" t="n">
        <v>21</v>
      </c>
      <c r="F926">
        <f>HYPERLINK("https://www.reddit.com/r/GERD/comments/bcklit/elimination_diet_help/")</f>
        <v/>
      </c>
      <c r="G926" t="inlineStr">
        <is>
          <t>2019-04-12 16:57:01</t>
        </is>
      </c>
      <c r="H926" t="inlineStr"/>
    </row>
    <row r="927">
      <c r="A927" t="inlineStr">
        <is>
          <t>bclyn5</t>
        </is>
      </c>
      <c r="B927" t="inlineStr">
        <is>
          <t>Hunger feeling in chest?</t>
        </is>
      </c>
      <c r="C927" t="inlineStr">
        <is>
          <t>Anybody get a hunger feeling in their chest? I feel like my stomach is in my chest. I’m pretty sure I have an HH.</t>
        </is>
      </c>
      <c r="D927" t="n">
        <v>3</v>
      </c>
      <c r="E927" t="n">
        <v>2</v>
      </c>
      <c r="F927">
        <f>HYPERLINK("https://www.reddit.com/r/GERD/comments/bclyn5/hunger_feeling_in_chest/")</f>
        <v/>
      </c>
      <c r="G927" t="inlineStr">
        <is>
          <t>2019-04-12 19:28:45</t>
        </is>
      </c>
      <c r="H927" t="inlineStr"/>
    </row>
    <row r="928">
      <c r="A928" t="inlineStr">
        <is>
          <t>bcn3p0</t>
        </is>
      </c>
      <c r="B928" t="inlineStr">
        <is>
          <t>Dry cough started AFTER taking PPI - is this common?</t>
        </is>
      </c>
      <c r="C928" t="inlineStr">
        <is>
          <t>Hi all, 
I was recently diagnosed with what my GP guessed was GERD after I developed trouble swallowing foods about a week and a half ago. My only other symptom was minor heartburn maybe twice a week, so this problem with my throat was really unexpected.
She put me on 20mg of Prilosec about 5 days ago, and it does seem to be working, as I can almost swallow normally, and with only minor pain. (YAY)
However, earlier today I developed a dry, tickly kind of cough in my throat, and hard coughing causes sharp pain behind my sternum. I feel the need to constantly clear my throat, as well. 
I know these are all GERD symptoms, but is it unusual to develop them this long AFTER I’ve started taking a PPI to help with the problem? Curious to see if anyone else has experienced something similar. Thanks!</t>
        </is>
      </c>
      <c r="D928" t="n">
        <v>3</v>
      </c>
      <c r="E928" t="n">
        <v>3</v>
      </c>
      <c r="F928">
        <f>HYPERLINK("https://www.reddit.com/r/GERD/comments/bcn3p0/dry_cough_started_after_taking_ppi_is_this_common/")</f>
        <v/>
      </c>
      <c r="G928" t="inlineStr">
        <is>
          <t>2019-04-12 21:53:37</t>
        </is>
      </c>
      <c r="H928" t="inlineStr"/>
    </row>
    <row r="929">
      <c r="A929" t="inlineStr">
        <is>
          <t>bco351</t>
        </is>
      </c>
      <c r="B929" t="inlineStr">
        <is>
          <t>Work Hours Affecting Belching?</t>
        </is>
      </c>
      <c r="C929" t="inlineStr">
        <is>
          <t>I used to work early mornings to early afternoons. Now I work early afternoons to almost midnight.
&amp;amp;#x200B;
I read a lot about how shifts ending late at night negatively affect your health, etc. I started having louder burps over the years and can't say I had the best diet going on. When I started my new work hours, I was burping at a normal rate every day. A few months later, I'm finding myself burping multiple times in a row, often and at random times during the day.
&amp;amp;#x200B;
Instead of breakfast before 7AM, it's now between 8-10AM.
&amp;amp;#x200B;
I sometimes have a mini lunch around 11 if I eat at 8 and then eat again a little bit before leaving for work a few hours later. If I have a late breakfast, then I'll just have one moderate sized lunch before I leave.
&amp;amp;#x200B;
Dinner is around the same time I normally ate before but then I try not to eat anything for the rest of the night. I keep working for about 4 more hours after dinner and I usually go to sleep immediately after work.
&amp;amp;#x200B;
Is being active for so long after dinner the issue or maybe just a weakened LES over the years finally starting to take its toll? I was negative for h. pylori and I'm not sure what else to test for. I tried tums once but it made me feel worse after taking them. I guess it just made me more bloated since I wasn't burping anything out.
&amp;amp;#x200B;
I had low vitamin d levels before and I haven't been keeping up with supplements. I would suspect my levels are low again and might be related to this but I'm not having issues with energy levels and my bowel movements have been normal.
&amp;amp;#x200B;
I'm not even sure if I have GERD but I thought I'd try posting here since I saw a lot of belching related discussions and just hoping to find any kind of information or answers. Thanks.</t>
        </is>
      </c>
      <c r="D929" t="n">
        <v>1</v>
      </c>
      <c r="E929" t="n">
        <v>0</v>
      </c>
      <c r="F929">
        <f>HYPERLINK("https://www.reddit.com/r/GERD/comments/bco351/work_hours_affecting_belching/")</f>
        <v/>
      </c>
      <c r="G929" t="inlineStr">
        <is>
          <t>2019-04-13 00:20:49</t>
        </is>
      </c>
      <c r="H929" t="inlineStr"/>
    </row>
    <row r="930">
      <c r="A930" t="inlineStr">
        <is>
          <t>bcqblq</t>
        </is>
      </c>
      <c r="B930" t="inlineStr">
        <is>
          <t>CoEnzyme Q10 caused my GERD</t>
        </is>
      </c>
      <c r="C930" t="inlineStr">
        <is>
          <t>Well that’s pretty much it. Last year I had dull, throbbing headaches in my temples all the time for about 6 months. I also get migraines sometimes so I saw a neurologist who recommended a few supplements that might help. The most readily available was CoEnzyme Q10, which I read was easily “accepted” by the body - in other words, not a lot of side effects. I started taking it in September or October. In November I was in the ER because I felt like I was choking when I would lay on my back. It felt like something was stuck or growing on the left side of my throat, it was sore and tight all the time. That’s the only symptom I had, too, aside from sometimes tasting sour at the back of my throat  when I drank tea or had chocolate.
The ENT told me my throat was swollen and irritated around my vocal cords, commonly seen with acid reflux. This floored me, as I had never felt anything that I thought resembled heartburn. I started taking a PPI in December, and really focused on my diet starting in January. While the feeling of having something stuck or growing my throat went away, the tightness only got worse. My follow up with the ENT revealed that the swelling and irritation had gone down, but because of the tightness, he recommended I keep taking the PPI. That’s when the timeline clicked for me, and I found out that CoEnzyme Q10 can cause acid reflux and throat issues (confirmed by my neurologist). I stopped taking both the supplement and the PPI about two weeks ago, and my throat feels almost back to normal! I can drink tea and eat chocolate again!
Anyway, I hope this might help others who might be dealing with sudden acid reflux they’ve never experienced in their lives.</t>
        </is>
      </c>
      <c r="D930" t="n">
        <v>5</v>
      </c>
      <c r="E930" t="n">
        <v>6</v>
      </c>
      <c r="F930">
        <f>HYPERLINK("https://www.reddit.com/r/GERD/comments/bcqblq/coenzyme_q10_caused_my_gerd/")</f>
        <v/>
      </c>
      <c r="G930" t="inlineStr">
        <is>
          <t>2019-04-13 06:10:30</t>
        </is>
      </c>
      <c r="H930" t="inlineStr"/>
    </row>
    <row r="931">
      <c r="A931" t="inlineStr">
        <is>
          <t>bcrigi</t>
        </is>
      </c>
      <c r="B931" t="inlineStr">
        <is>
          <t>Dexilant - has anyone found that one of the PPIs other than omeprazole is similarly effective to it for them?</t>
        </is>
      </c>
      <c r="C931" t="inlineStr">
        <is>
          <t>I tried omeprazole multiple times and although it helps GERD, which is not my worst problem, it was only mediocre in helping LPR and it also started to make me really depressed. 
So my GI gave me samples of Dexilant, said to try it and if it helped she would call in a prescription. Gave me some savings cards as well. It is helping more than omeprazole, although I do occasionally also have to take ranitidine as well. 
My doctor called in the rX, but now it turns out my insurance won't approve it even with prior authorization. The savings cards said on them "as little as $20" but it turns out that in small print it also says the maximum of the cost they will cover is $55. The cost without insurance is over $300, so it is still $239 with the savings card. 
I am really surprised, because we have really good insurance and in 18 years they have occasionally required prior authorization from a doctor explaining why we need a certain med, but have never refused to cover any prescription before unless it was something that you could get over the counter. I looked it up and Dexilant 60 mg was approved as a generic in June 2017 but it's not on the market yet. 
Since I'm only supposed to take it for 2-3 months, and I did get 2 weeks of free samples from the doctor, we might be able to swing the $239 but it will be tough. But since it is helping more than anything else I've tried I'm tempted to do it. I am going to call the GI on Monday to see if there is another med I should try, and I am going to call my insurance on Monday just to make sure there's nothing else I can do to get them to approve it.</t>
        </is>
      </c>
      <c r="D931" t="n">
        <v>2</v>
      </c>
      <c r="E931" t="n">
        <v>12</v>
      </c>
      <c r="F931">
        <f>HYPERLINK("https://www.reddit.com/r/GERD/comments/bcrigi/dexilant_has_anyone_found_that_one_of_the_ppis/")</f>
        <v/>
      </c>
      <c r="G931" t="inlineStr">
        <is>
          <t>2019-04-13 08:15:58</t>
        </is>
      </c>
      <c r="H931" t="inlineStr"/>
    </row>
    <row r="932">
      <c r="A932" t="inlineStr">
        <is>
          <t>bcsdo9</t>
        </is>
      </c>
      <c r="B932" t="inlineStr">
        <is>
          <t>Quitting meds after 1 day</t>
        </is>
      </c>
      <c r="C932" t="inlineStr">
        <is>
          <t>Hi guys, I was prescribed Pantoprazole 40 mg but my symptoms had recovered before I took the pill yesterday but after I took the pill after 8 hours or so I had a really bad burning acidic feeling in my stomach which had never occurred to me before and I feel physically weaker and lighter. I have only taken the pill for one day and think about quitting it cold turkey. Should I use this approach?</t>
        </is>
      </c>
      <c r="D932" t="n">
        <v>3</v>
      </c>
      <c r="E932" t="n">
        <v>7</v>
      </c>
      <c r="F932">
        <f>HYPERLINK("https://www.reddit.com/r/GERD/comments/bcsdo9/quitting_meds_after_1_day/")</f>
        <v/>
      </c>
      <c r="G932" t="inlineStr">
        <is>
          <t>2019-04-13 09:39:18</t>
        </is>
      </c>
      <c r="H932" t="inlineStr"/>
    </row>
    <row r="933">
      <c r="A933" t="inlineStr">
        <is>
          <t>bcsugr</t>
        </is>
      </c>
      <c r="B933" t="inlineStr">
        <is>
          <t>GERD safe salad dressing and dipping sauces?</t>
        </is>
      </c>
      <c r="C933" t="inlineStr">
        <is>
          <t>Everything I've been eating is plain. Which is probably good but doesn't taste good. Does anybody have recommendations for dressings and dipping sauces that won't cause a flare?</t>
        </is>
      </c>
      <c r="D933" t="n">
        <v>2</v>
      </c>
      <c r="E933" t="n">
        <v>5</v>
      </c>
      <c r="F933">
        <f>HYPERLINK("https://www.reddit.com/r/GERD/comments/bcsugr/gerd_safe_salad_dressing_and_dipping_sauces/")</f>
        <v/>
      </c>
      <c r="G933" t="inlineStr">
        <is>
          <t>2019-04-13 10:23:05</t>
        </is>
      </c>
      <c r="H933" t="inlineStr"/>
    </row>
    <row r="934">
      <c r="A934" t="inlineStr">
        <is>
          <t>bcx9bd</t>
        </is>
      </c>
      <c r="B934" t="inlineStr">
        <is>
          <t>I made a big mistake</t>
        </is>
      </c>
      <c r="C934" t="inlineStr">
        <is>
          <t>I ate a whole spicy chicken and salsa pizza for dinner, knowing full well the consequences I would have later.
Let’s just say no amount of gaviscon or lansoprazole can save me now</t>
        </is>
      </c>
      <c r="D934" t="n">
        <v>15</v>
      </c>
      <c r="E934" t="n">
        <v>14</v>
      </c>
      <c r="F934">
        <f>HYPERLINK("https://www.reddit.com/r/GERD/comments/bcx9bd/i_made_a_big_mistake/")</f>
        <v/>
      </c>
      <c r="G934" t="inlineStr">
        <is>
          <t>2019-04-13 17:30:50</t>
        </is>
      </c>
      <c r="H934" t="inlineStr"/>
    </row>
    <row r="935">
      <c r="A935" t="inlineStr">
        <is>
          <t>bcxrms</t>
        </is>
      </c>
      <c r="B935" t="inlineStr">
        <is>
          <t>Breathing Trouble</t>
        </is>
      </c>
      <c r="C935" t="inlineStr">
        <is>
          <t>I have GERD and a Gallbladder that has to be removed next week. I was wondering if anyone else feels like they can’t get a full breath with either of these and how they have helped it. Doctor said it could be either causing it, and I have had lungs looked at and oxygen levels are normal. When its really bad it has set off panic attacks which just makes it way worse. Thanks</t>
        </is>
      </c>
      <c r="D935" t="n">
        <v>1</v>
      </c>
      <c r="E935" t="n">
        <v>7</v>
      </c>
      <c r="F935">
        <f>HYPERLINK("https://www.reddit.com/r/GERD/comments/bcxrms/breathing_trouble/")</f>
        <v/>
      </c>
      <c r="G935" t="inlineStr">
        <is>
          <t>2019-04-13 18:28:42</t>
        </is>
      </c>
      <c r="H935" t="inlineStr"/>
    </row>
    <row r="936">
      <c r="A936" t="inlineStr">
        <is>
          <t>bd2luw</t>
        </is>
      </c>
      <c r="B936" t="inlineStr">
        <is>
          <t>GERD or something else?</t>
        </is>
      </c>
      <c r="C936" t="inlineStr">
        <is>
          <t>I seem to experience some symptoms of GERD, but only the more “mild” (and embarrassing) ones:
-	Sour taste in mouth
-	Bad breath
-	lots of burping throughout the day
-	occasionally regurgitating acid if I eat/drink too fast
However I don’t seem to get heartburn or feel any related pain. Does anyone else get like this, or does the fact I don’t have heartburn mean that it’s not GERD? 
I’m in the process of making an appointment with my doctor, but the more I read the more confused I am.</t>
        </is>
      </c>
      <c r="D936" t="n">
        <v>2</v>
      </c>
      <c r="E936" t="n">
        <v>3</v>
      </c>
      <c r="F936">
        <f>HYPERLINK("https://www.reddit.com/r/GERD/comments/bd2luw/gerd_or_something_else/")</f>
        <v/>
      </c>
      <c r="G936" t="inlineStr">
        <is>
          <t>2019-04-14 06:12:36</t>
        </is>
      </c>
      <c r="H936" t="inlineStr"/>
    </row>
    <row r="937">
      <c r="A937" t="inlineStr">
        <is>
          <t>bd3skz</t>
        </is>
      </c>
      <c r="B937" t="inlineStr">
        <is>
          <t>Scared to be on PPI</t>
        </is>
      </c>
      <c r="C937" t="inlineStr">
        <is>
          <t>I've had GERD most of my adult life, but it got aggravated exponentially when I tried to do intermittent fasting (which included binge eating when I broke the fast). I then had an endoscopy and was diagnosed with GERD, with no other complications. 
I have noticed that certain meds and supplements seem to make it worse, like Wellbutrin, Ritalin, and fish oil. But, I really need to be on one of those for my ADHD. 
I've changed my diet and found that this only fixes the GERD if I'm not on any of the above mentioned meds. 
However, 40 mg of protonix helps a lot with the GERD symptoms, but LPR symptoms started at the same time I started taking it. I can't be sure of this, because I tried an Alpha Agonist medication called Guanfacine, and apparently that wreaks havoc for LPR. I quit that med but still haven't recovered from it, which makes me suspect the PPI.
I'm scared for the long term side effects of PPI and that it could make the LPR worse. 
Any advice?
TLDR; I have GERD, PPI helps a lot but seems to make LPR symptoms worse. Looking for advice.</t>
        </is>
      </c>
      <c r="D937" t="n">
        <v>5</v>
      </c>
      <c r="E937" t="n">
        <v>6</v>
      </c>
      <c r="F937">
        <f>HYPERLINK("https://www.reddit.com/r/GERD/comments/bd3skz/scared_to_be_on_ppi/")</f>
        <v/>
      </c>
      <c r="G937" t="inlineStr">
        <is>
          <t>2019-04-14 08:20:38</t>
        </is>
      </c>
      <c r="H937" t="inlineStr"/>
    </row>
    <row r="938">
      <c r="A938" t="inlineStr">
        <is>
          <t>bd5aa1</t>
        </is>
      </c>
      <c r="B938" t="inlineStr">
        <is>
          <t>Zantac and Imodium interaction?</t>
        </is>
      </c>
      <c r="C938" t="inlineStr">
        <is>
          <t>Can anyone tell me if I can take one (just one) Imodium if I am on Zantac twice daily?
I have a corporate meeting in the morning and have IBS-D. I get diarrhea often when I have public performance anxiety and usually take an Imodium before events like this.
I was just put on Ranitidine a few weeks ago (Zantac).
It never occurred to me there could be a drug interaction but decided to check.
I don’t have enough time for my doctor to respond to an inquiry before the meeting.
The internet is swamped with info there is a MAJOR drug interaction including cardiac complications due to opioid addicts combining the two to manage withdrawal. 
I am a regular person - all I need to know is if I take a Zantac tonight, none the in the morning, and take one Imodium in the morning- am I going to go into cardiac arrest during my meeting?????
I’m frustrated because there are so many warnings to opioid addicts on the internet I can’t find any info for a regular person like me.
If anyone on here has been told it is safe or not safe to take the two drugs within a 12 hour timeframe of one another by their doctor, please let me know! Thanks! 
Also I wondered if pepto Bismol would be a better alternative.</t>
        </is>
      </c>
      <c r="D938" t="n">
        <v>1</v>
      </c>
      <c r="E938" t="n">
        <v>3</v>
      </c>
      <c r="F938">
        <f>HYPERLINK("https://www.reddit.com/r/GERD/comments/bd5aa1/zantac_and_imodium_interaction/")</f>
        <v/>
      </c>
      <c r="G938" t="inlineStr">
        <is>
          <t>2019-04-14 10:41:40</t>
        </is>
      </c>
      <c r="H938" t="inlineStr"/>
    </row>
    <row r="939">
      <c r="A939" t="inlineStr">
        <is>
          <t>bd6ujm</t>
        </is>
      </c>
      <c r="B939" t="inlineStr">
        <is>
          <t>Prilosec itching?</t>
        </is>
      </c>
      <c r="C939" t="inlineStr">
        <is>
          <t>This is the third time I've taken the 14 day regimen of Prilosec. It works good but every time, beginning a few days after I \*stop\* taking it, I develop this severe itch between the middle of my thighs and my ankles. Itching offers no relief. It lasts a long time too, between 2 weeks and a month with varying degrees of severity and then completely goes away not to come back until I make the mistake of taking Prilosec again.
&amp;amp;#x200B;
Has anyone experienced this? How would I even treat this? It doesn't look or feel like a skin issue so I'm not sure if Benadryl or other itch creams would work. I tried aloe vera cream and A+D ointment to no avail.</t>
        </is>
      </c>
      <c r="D939" t="n">
        <v>2</v>
      </c>
      <c r="E939" t="n">
        <v>15</v>
      </c>
      <c r="F939">
        <f>HYPERLINK("https://www.reddit.com/r/GERD/comments/bd6ujm/prilosec_itching/")</f>
        <v/>
      </c>
      <c r="G939" t="inlineStr">
        <is>
          <t>2019-04-14 12:58:06</t>
        </is>
      </c>
      <c r="H939" t="inlineStr"/>
    </row>
    <row r="940">
      <c r="A940" t="inlineStr">
        <is>
          <t>bd7vwc</t>
        </is>
      </c>
      <c r="B940" t="inlineStr">
        <is>
          <t>Heartburn without... heartburn?(Plz read!)</t>
        </is>
      </c>
      <c r="C940" t="inlineStr">
        <is>
          <t>Okay so I've had heartburn and bad acid reflux for nearly 10 years, I'm 30, and for the past two years I've had a dry cough. However, over the past two months, I have been off and on protonix. Protonix makes a world of difference for me, it stops my acid reflux in it's tracks! In these past two months or so, I get this inflammation sensation but throat and neck isn't red. I also now have this constant SENSATION of having bad heartburn right in the base of my throat, but have had no regurgitations or acid reflux to answer for the sensation. You know when you have that occasional bout of reflux that burns so much you can't lay down? That's what this sensation feels like but no heartburn or reflux. Also to note here is that this isn't painful or unbearable, it's just very bothersome. I don't know how else to pinpoint the description for this sensation other than heartburn-like without heartburn, a dryish and a hoarseness sensation but not hoarse, a wheezing sensation without wheezing, all of that wrapped into one. Also to pinpoint the location of this sensation, it's right at the base of my neck about an inch up from the U-shape of where the collar bones meet at the center of the tip top of the torso. The sensation is nearly constant but definitely spikes after I swallow just about anything, even mashed potatoes. I don't have trouble swallowing or pain from swallowing at all even if I swallow a huge chunk of Banana. There's no pain whatsoever, just the sensation I described above. Something else to note is that inhalation doesn't bother or trigger it, but holding my breath and exhaling seems to induce it. 
Please double check the description of this sensation I outlined below because it's very distinct and is JUST a nearly constant sensation, no pain whatsoever. Also, it's nothing like a sore throat or anything like that. 
Sensation feels like:
-dryish but not dry
-hoarse-ish but not hoarse
-feels wheezy but not wheezing
-heartburn-ish but no heartburn
-warmish and inflamed</t>
        </is>
      </c>
      <c r="D940" t="n">
        <v>2</v>
      </c>
      <c r="E940" t="n">
        <v>6</v>
      </c>
      <c r="F940">
        <f>HYPERLINK("https://www.reddit.com/r/GERD/comments/bd7vwc/heartburn_without_heartburnplz_read/")</f>
        <v/>
      </c>
      <c r="G940" t="inlineStr">
        <is>
          <t>2019-04-14 14:31:51</t>
        </is>
      </c>
      <c r="H940" t="inlineStr"/>
    </row>
    <row r="941">
      <c r="A941" t="inlineStr">
        <is>
          <t>bdinp6</t>
        </is>
      </c>
      <c r="B941" t="inlineStr">
        <is>
          <t>Quick question: nausea but little to no heartburn...</t>
        </is>
      </c>
      <c r="C941" t="inlineStr">
        <is>
          <t>Hey fellow GERD-having people! I was just wondering if any of you were diagnosed but have very little heartburn (except with major trigger foods/drinks) and just mostly experience nausea. TIA :)</t>
        </is>
      </c>
      <c r="D941" t="n">
        <v>2</v>
      </c>
      <c r="E941" t="n">
        <v>12</v>
      </c>
      <c r="F941">
        <f>HYPERLINK("https://www.reddit.com/r/GERD/comments/bdinp6/quick_question_nausea_but_little_to_no_heartburn/")</f>
        <v/>
      </c>
      <c r="G941" t="inlineStr">
        <is>
          <t>2019-04-15 10:18:13</t>
        </is>
      </c>
      <c r="H941" t="inlineStr"/>
    </row>
    <row r="942">
      <c r="A942" t="inlineStr">
        <is>
          <t>bdjnvs</t>
        </is>
      </c>
      <c r="B942" t="inlineStr">
        <is>
          <t>Acid reflux ceased now I'm vegetarian?</t>
        </is>
      </c>
      <c r="C942" t="inlineStr">
        <is>
          <t>I'm not trying to persuade anyone here to go vegetarian. My acid reflux was getting really bad, so I was on a course of PPIs. I decided to stop eating meat a month back, due to monetary and ethical issues. I noticed that my reflux eased up, even when I discontinued PPIs. Anyway, I ate meat again and it came back very bad, so I decided to continue with my vegetarian diet and now it's virtually non existent. I still take ranitidine, but it is so much more manageable. Anyone have an explanation why meat makes it worse?</t>
        </is>
      </c>
      <c r="D942" t="n">
        <v>15</v>
      </c>
      <c r="E942" t="n">
        <v>13</v>
      </c>
      <c r="F942">
        <f>HYPERLINK("https://www.reddit.com/r/GERD/comments/bdjnvs/acid_reflux_ceased_now_im_vegetarian/")</f>
        <v/>
      </c>
      <c r="G942" t="inlineStr">
        <is>
          <t>2019-04-15 11:38:26</t>
        </is>
      </c>
      <c r="H942" t="inlineStr"/>
    </row>
    <row r="943">
      <c r="A943" t="inlineStr">
        <is>
          <t>bdjxiv</t>
        </is>
      </c>
      <c r="B943" t="inlineStr">
        <is>
          <t>Quitting coffee, sort of</t>
        </is>
      </c>
      <c r="C943" t="inlineStr">
        <is>
          <t>For the last 5 months, my "silent reflux" has made my life extremely difficult. Let's just say, I've already reached my medical insurance deductible for the year with all of the tests I've done to figure out it's a combination of silent reflux and  enlarged turbinates in my nose making it impossible to breathe through my nose or my mouth. 
Anyway, I have a very restrictive diet, to the point where, if I wanted to do a strict silent reflux diet, there would be nothing for me to eat (I am vegan and gluten free). I went vegan 2 years ago because of the reflux, which helped immensely, and I recently quit gluten and it has helped my stomach from being upset. I also don't drink alcohol or smoke, and I drink one soda a month (no carbonated waters). 
Basically, I'm living a very strict life. I also gave up spicy foods (I'm so sad about that one...) and hot sauces.
So basically, my dinner consists of rice, plain vegetables and plain tofu (woo exciting! not.) 
Anyway, now that I'm done complaining (and I seriously don't mind super plain food--My moto is: I eat to live, I don't live to eat), one thing that I drink EVERYDAY I have not considered may be triggering the reflux: coffee!
So, I've decided to cut coffee cold turkey, even if that means I'll have headaches and have to take headache medication for the week. Also, I have the perfect alternative, which doesn't have caffeine, but I love it so much. It tastes just like a cup of coffee, in my opinion. 
I don't know if you guys have ever had dandelion blend... it's dandelion root crushed into a powder that you add hot water to. Anyway, it's super delicious. I've been drinking it for years before bed, but never considered drinking it with creamer and treating it like a coffee replacement in the morning. 
So basically what I'm saying is that I'm going to give this quitting coffee a try! Because I'm honestly desperate, I'm already on a bunch of medications and see an ENT and a gastro doc. All they really do is give me medications (bless them), but it doesn't help me when I'm having an attack in the middle of the day at work. Dandy blend helps IMMEDIATELY. 
If anyone needs an alternative... dandy blend is the way to go!</t>
        </is>
      </c>
      <c r="D943" t="n">
        <v>6</v>
      </c>
      <c r="E943" t="n">
        <v>6</v>
      </c>
      <c r="F943">
        <f>HYPERLINK("https://www.reddit.com/r/GERD/comments/bdjxiv/quitting_coffee_sort_of/")</f>
        <v/>
      </c>
      <c r="G943" t="inlineStr">
        <is>
          <t>2019-04-15 11:59:25</t>
        </is>
      </c>
      <c r="H943" t="inlineStr"/>
    </row>
    <row r="944">
      <c r="A944" t="inlineStr">
        <is>
          <t>bdkeaz</t>
        </is>
      </c>
      <c r="B944" t="inlineStr">
        <is>
          <t>Gaviscon tablets every day?</t>
        </is>
      </c>
      <c r="C944" t="inlineStr">
        <is>
          <t>I’m eating 4 extra strength gaviscon tabs after every meal (3x a day). The meals are small and GERD friendly but I still get heartburn from my Hiatal Hernia. Do you guys know if taking all those tabs are bad for me? I’m trying to do what I can to control my heartburn without having to take PPIs. I took an H2 blocker but I started developing a tolerance to it so they are losing its effectiveness. I plan on taking a break from the H2 blocker then maybe they’ll work better later. I feel PPIs are in my future though. Sigh.</t>
        </is>
      </c>
      <c r="D944" t="n">
        <v>5</v>
      </c>
      <c r="E944" t="n">
        <v>3</v>
      </c>
      <c r="F944">
        <f>HYPERLINK("https://www.reddit.com/r/GERD/comments/bdkeaz/gaviscon_tablets_every_day/")</f>
        <v/>
      </c>
      <c r="G944" t="inlineStr">
        <is>
          <t>2019-04-15 12:36:19</t>
        </is>
      </c>
      <c r="H944" t="inlineStr"/>
    </row>
    <row r="945">
      <c r="A945" t="inlineStr">
        <is>
          <t>bdlza6</t>
        </is>
      </c>
      <c r="B945" t="inlineStr">
        <is>
          <t>Can gastritis be caused by GERD?</t>
        </is>
      </c>
      <c r="C945" t="inlineStr">
        <is>
          <t>If an endo showed grade A reflux esophogitis and also gastritis, is that typical for GERD?  The inflamed esoph would make sense, but why the stomach, too?</t>
        </is>
      </c>
      <c r="D945" t="n">
        <v>1</v>
      </c>
      <c r="E945" t="n">
        <v>4</v>
      </c>
      <c r="F945">
        <f>HYPERLINK("https://www.reddit.com/r/GERD/comments/bdlza6/can_gastritis_be_caused_by_gerd/")</f>
        <v/>
      </c>
      <c r="G945" t="inlineStr">
        <is>
          <t>2019-04-15 15:09:43</t>
        </is>
      </c>
      <c r="H945" t="inlineStr"/>
    </row>
    <row r="946">
      <c r="A946" t="inlineStr">
        <is>
          <t>bdm6pf</t>
        </is>
      </c>
      <c r="B946" t="inlineStr">
        <is>
          <t>What is an endoscopy like?</t>
        </is>
      </c>
      <c r="C946" t="inlineStr">
        <is>
          <t>Hey guys. So I'm an 18 year old female and I have to have an endoscopy done on Friday. I'm in college and my dad is coming down for the procedure. I've never had anesthesia before and I'm honestly terrified. I have really bad anxiety in general, especially when it comes to being knocked out. Apparently they're giving me twilight sedation. Has anyone had it and what is it like? I'm afraid I'll have a panic attack in the doctor's office or something. 
&amp;amp;#x200B;
Thanks for any advice!</t>
        </is>
      </c>
      <c r="D946" t="n">
        <v>5</v>
      </c>
      <c r="E946" t="n">
        <v>20</v>
      </c>
      <c r="F946">
        <f>HYPERLINK("https://www.reddit.com/r/GERD/comments/bdm6pf/what_is_an_endoscopy_like/")</f>
        <v/>
      </c>
      <c r="G946" t="inlineStr">
        <is>
          <t>2019-04-15 15:27:17</t>
        </is>
      </c>
      <c r="H946" t="inlineStr"/>
    </row>
    <row r="947">
      <c r="A947" t="inlineStr">
        <is>
          <t>bdn0aq</t>
        </is>
      </c>
      <c r="B947" t="inlineStr">
        <is>
          <t>How long did it take to get diagnosed?</t>
        </is>
      </c>
      <c r="C947" t="inlineStr">
        <is>
          <t>I was immediately diagnosed at my regular doctor but ive had an endoscopy (all clear) and various blood tests done but my gastro still hasn't diagnosed me with anything. 
Am i missing something here or should it be rather easy to diagnose? 
Anyways wanted to hear how long it took and maybe any advice on how to live with it. (If possible can i still enjoy a beer on occasion)</t>
        </is>
      </c>
      <c r="D947" t="n">
        <v>2</v>
      </c>
      <c r="E947" t="n">
        <v>1</v>
      </c>
      <c r="F947">
        <f>HYPERLINK("https://www.reddit.com/r/GERD/comments/bdn0aq/how_long_did_it_take_to_get_diagnosed/")</f>
        <v/>
      </c>
      <c r="G947" t="inlineStr">
        <is>
          <t>2019-04-15 16:43:21</t>
        </is>
      </c>
      <c r="H947" t="inlineStr"/>
    </row>
    <row r="948">
      <c r="A948" t="inlineStr">
        <is>
          <t>bdn845</t>
        </is>
      </c>
      <c r="B948" t="inlineStr">
        <is>
          <t>For those of you that successfully did it, how long did it take you to wean yourself off of PPIs?</t>
        </is>
      </c>
      <c r="C948" t="inlineStr">
        <is>
          <t>I recently switched to a WFPB diet, and that allowed me to successfully quit pantoprazole after 15 years of daily use, but not totally without consequence.  I've had some acid rebound issues that are manageable, but no fun.  They are gradually getting better, but I want to know how long before I (more of less) normalize?</t>
        </is>
      </c>
      <c r="D948" t="n">
        <v>3</v>
      </c>
      <c r="E948" t="n">
        <v>1</v>
      </c>
      <c r="F948">
        <f>HYPERLINK("https://www.reddit.com/r/GERD/comments/bdn845/for_those_of_you_that_successfully_did_it_how/")</f>
        <v/>
      </c>
      <c r="G948" t="inlineStr">
        <is>
          <t>2019-04-15 17:04:13</t>
        </is>
      </c>
      <c r="H948" t="inlineStr"/>
    </row>
    <row r="949">
      <c r="A949" t="inlineStr">
        <is>
          <t>bdo2rs</t>
        </is>
      </c>
      <c r="B949" t="inlineStr">
        <is>
          <t>Do Ritalin or other stimulants relax the LES?</t>
        </is>
      </c>
      <c r="C949" t="inlineStr">
        <is>
          <t>I assume because caffeine does that maybe other stimulants do too?</t>
        </is>
      </c>
      <c r="D949" t="n">
        <v>1</v>
      </c>
      <c r="E949" t="n">
        <v>0</v>
      </c>
      <c r="F949">
        <f>HYPERLINK("https://www.reddit.com/r/GERD/comments/bdo2rs/do_ritalin_or_other_stimulants_relax_the_les/")</f>
        <v/>
      </c>
      <c r="G949" t="inlineStr">
        <is>
          <t>2019-04-15 18:30:02</t>
        </is>
      </c>
      <c r="H949" t="inlineStr"/>
    </row>
    <row r="950">
      <c r="A950" t="inlineStr">
        <is>
          <t>bdouec</t>
        </is>
      </c>
      <c r="B950" t="inlineStr">
        <is>
          <t>Benefits of Nissen: Weight Loss? Pain Meds? Other Goodies Afterward?</t>
        </is>
      </c>
      <c r="C950" t="inlineStr">
        <is>
          <t>I've posted here about being terrified to get this procedure but am just looking for more tidbits of positivity to nudge me toward it.  I've got a certified therapist to help with my surgical anxiety (yes, it's THAT bad) after putting it off for nearly 3 years but am still not sure I can go through everything required to actually do it:  possible endoscopy, probable manometry, surgery stuff, etc.
Did you lose any weight on the liquid diet afterward?  That'd be a great bonus for me.  I thought I read somewhere that the stomach is slightly smaller after the surgery so that'd be cool.  I'm not overweight but would like to drop a few more lbs to get to my goal weight.  
And what about pain meds?  How many &amp;amp; what kind did you get?  Were you able to ingest pills after surgery?  Or did they give you something liquid?  Pain &amp;amp; nausea relief are absolutely VITAL for me post-surgery.  I will take zero chances on either front.  But I do enjoy opioids for their euphoric effects in the rare instances I am able to obtain them--never been an "addict" but having a few pills would be another motivator to get this dreadful shit done.  
Any other benefits not mentioned here?  Being able to eat food again &amp;amp; not have to sleep only on my right side would be GREAT...don't get me wrong.  I'm practically eating only rice, crackers &amp;amp; bread at this point.  Ugh.  
Thank you so much for any feedback from those who have gotten the procedure.</t>
        </is>
      </c>
      <c r="D950" t="n">
        <v>3</v>
      </c>
      <c r="E950" t="n">
        <v>16</v>
      </c>
      <c r="F950">
        <f>HYPERLINK("https://www.reddit.com/r/GERD/comments/bdouec/benefits_of_nissen_weight_loss_pain_meds_other/")</f>
        <v/>
      </c>
      <c r="G950" t="inlineStr">
        <is>
          <t>2019-04-15 19:49:19</t>
        </is>
      </c>
      <c r="H950" t="inlineStr"/>
    </row>
    <row r="951">
      <c r="A951" t="inlineStr">
        <is>
          <t>bdoxsv</t>
        </is>
      </c>
      <c r="B951" t="inlineStr">
        <is>
          <t>Morning Breakfast</t>
        </is>
      </c>
      <c r="C951" t="inlineStr">
        <is>
          <t>I had oats + almond milk + honey for breakfast. I've been avoiding coffee. Yet, this morning, I had a minimal usual gag. I was just wondering if you guys had any similar experience of a GERD attack on any of these foods? Also, been experiencing a tight throat like something stuck that makes it uncomfortable to breath. Have any of you guys experienced this?</t>
        </is>
      </c>
      <c r="D951" t="n">
        <v>3</v>
      </c>
      <c r="E951" t="n">
        <v>9</v>
      </c>
      <c r="F951">
        <f>HYPERLINK("https://www.reddit.com/r/GERD/comments/bdoxsv/morning_breakfast/")</f>
        <v/>
      </c>
      <c r="G951" t="inlineStr">
        <is>
          <t>2019-04-15 19:59:32</t>
        </is>
      </c>
      <c r="H951" t="inlineStr"/>
    </row>
    <row r="952">
      <c r="A952" t="inlineStr">
        <is>
          <t>bdpcqf</t>
        </is>
      </c>
      <c r="B952" t="inlineStr">
        <is>
          <t>Quitting Tecta and coffee on the same day...</t>
        </is>
      </c>
      <c r="C952" t="inlineStr">
        <is>
          <t>Doc told me to take Tecta every other day instead of daily. I got scared and ended up not drink any coffee or take Tecta/PPI for the last 2 days. I felt the acid reflux only after I ate meals. Every meal. Even Raisin Bran at breakfast. I guess I'll eat smaller meals. Any other advice?</t>
        </is>
      </c>
      <c r="D952" t="n">
        <v>1</v>
      </c>
      <c r="E952" t="n">
        <v>2</v>
      </c>
      <c r="F952">
        <f>HYPERLINK("https://www.reddit.com/r/GERD/comments/bdpcqf/quitting_tecta_and_coffee_on_the_same_day/")</f>
        <v/>
      </c>
      <c r="G952" t="inlineStr">
        <is>
          <t>2019-04-15 20:46:21</t>
        </is>
      </c>
      <c r="H952" t="inlineStr"/>
    </row>
    <row r="953">
      <c r="A953" t="inlineStr">
        <is>
          <t>bdph9n</t>
        </is>
      </c>
      <c r="B953" t="inlineStr">
        <is>
          <t>I need some safe foods</t>
        </is>
      </c>
      <c r="C953" t="inlineStr">
        <is>
          <t>What are some safe things to eat like I've heard that just bland chicken works. I kind of want some vegetables but i'm worried too much carbs is gonna make me bloated. Help please</t>
        </is>
      </c>
      <c r="D953" t="n">
        <v>4</v>
      </c>
      <c r="E953" t="n">
        <v>8</v>
      </c>
      <c r="F953">
        <f>HYPERLINK("https://www.reddit.com/r/GERD/comments/bdph9n/i_need_some_safe_foods/")</f>
        <v/>
      </c>
      <c r="G953" t="inlineStr">
        <is>
          <t>2019-04-15 21:01:16</t>
        </is>
      </c>
      <c r="H953" t="inlineStr"/>
    </row>
    <row r="954">
      <c r="A954" t="inlineStr">
        <is>
          <t>bdqgfv</t>
        </is>
      </c>
      <c r="B954" t="inlineStr">
        <is>
          <t>Could this be gerd or something more serious?</t>
        </is>
      </c>
      <c r="C954" t="inlineStr">
        <is>
          <t>For months now I have been having problems with swallowing and the feeling of something in my throat like a mass or something really tight. The concerning thing is that this is constant it doesn't ever go away like most symptoms its 24/7. I also experience extremely thick saliva, dry mouth and constant throat clearing aswell as burping all the time. When I research these symptoms they almost always come back to esophageal cancer which is extremely scary. Other possible things could be GERD, hiatul hernia or LPS. I wanna believe its something other than cancer but the fact that its constant really worries me. Anybody else have any of these symptoms nonstop?</t>
        </is>
      </c>
      <c r="D954" t="n">
        <v>1</v>
      </c>
      <c r="E954" t="n">
        <v>7</v>
      </c>
      <c r="F954">
        <f>HYPERLINK("https://www.reddit.com/r/GERD/comments/bdqgfv/could_this_be_gerd_or_something_more_serious/")</f>
        <v/>
      </c>
      <c r="G954" t="inlineStr">
        <is>
          <t>2019-04-15 23:06:26</t>
        </is>
      </c>
      <c r="H954" t="inlineStr"/>
    </row>
    <row r="955">
      <c r="A955" t="inlineStr">
        <is>
          <t>bdsfiq</t>
        </is>
      </c>
      <c r="B955" t="inlineStr">
        <is>
          <t>Coming off PPI's - looking for advice.</t>
        </is>
      </c>
      <c r="C955" t="inlineStr">
        <is>
          <t>Hi all - I've been on Omeprazole 40mg for a month now.  Feeling much better, not perfect, but hopefully getting there.  However, I dont know if it was the PPI's or my diet, perhaps a combination of both.  But i'd like to begin slowly coming off the PPI's.  I have no interest in returning to my old diet at all.  The lifestyles changes i underwent were fairly dramatic, but were long overdue, and in some ways, im grateful for the wakeup call.  Since, i've only been on the PPI's a month - does anyone have any experience with this?  I spoke with my doctor, and he said if i wanted to do that, i could alternate every other day of taking the omeprazole, and perhaps using zantac on the other day.  Perhaps do this for two or three weeks, and then take it every third day.  I picked up the zantac 150mg, after i asked the pharmacist if this was a good amount to substitute with, but i'd like to hear directly from anyone who has done this successfully.  I've heard conflicting things, with some saying after only a month it shouldn't be a big deal, and some saying you should still do it slowly even if you took it for only a month.  If i need more time on them, i can always go back to using them everyday.</t>
        </is>
      </c>
      <c r="D955" t="n">
        <v>3</v>
      </c>
      <c r="E955" t="n">
        <v>3</v>
      </c>
      <c r="F955">
        <f>HYPERLINK("https://www.reddit.com/r/GERD/comments/bdsfiq/coming_off_ppis_looking_for_advice/")</f>
        <v/>
      </c>
      <c r="G955" t="inlineStr">
        <is>
          <t>2019-04-16 03:43:06</t>
        </is>
      </c>
      <c r="H955" t="inlineStr"/>
    </row>
    <row r="956">
      <c r="A956" t="inlineStr">
        <is>
          <t>bdw7sp</t>
        </is>
      </c>
      <c r="B956" t="inlineStr">
        <is>
          <t>Ditching Bupropion and re-starting my allergy meds</t>
        </is>
      </c>
      <c r="C956" t="inlineStr">
        <is>
          <t>For the past year, I’ve struggled with GERD, but for about the first 6 months it was much more under control and manageable. In January, I had a huge flare up that just wouldn’t quit and I felt horrible for months. Extreme nausea the entire day, every day, intense stomach pain, feeling of burning in the stomach, etc. Nothing seemed to work - I already eat pretty healthy, am vegetarian, cut out dairy and it seemed like no matter what I ate or did I felt horrible. My doctor upgraded me to Nexium and that didn’t seem to do much either - although I’m still taking it and trying to figure out a way to taper off with no rebound. After all this I was/am pretty underweight and deficient enough in B12 from the PPI affecting absorption that I’m now doing injections.
I was taking an anti-depressant during this whole time (Bupropion aka Wellbutrin) that I had started taking back in August. I never connected my symptoms to it since the onset didn’t coincide exactly, but I recently stopped taking it to see if it was having an effect. It was also giving me a few other non related side effects, I don’t know if I would have stopped it if it wasn’t for the GERD issues because it was helping me otherwise. 
I feel so much better now! I’m not 100% but I feel like I’m back in the manageable range where I can generally eat what I want again and don’t wake up feeling horribly sick every morning. I’ve been feeling better and better as it’s gotten out of my system. Talk to your doctor before doing this as obviously coming off of an anti-depressant should be managed. When I looked at some of the less common side effects they matched what I was experiencing.
I can’t say it was entirely just the Wellbutrin - at the same time I tried one other thing - for years and years, I’ve been taking cetirizine HCl 10 mg (reactive or Zyrtec) every day for allergies. Over the winter I got lazy with taking it and stopped because I didn’t really need it. Winter was when my GERD symptoms became really severe. Then recently I was going to stay with someone who has dogs and started taking it daily again, and started to feel better (note, this was a week or two before I came off the Bupropion, and at the time I was also dosing myself with Pepto every night before bed). I did have a few days of sickness doing this, so I don’t know if it was really helpful in some way or just coincidence, but either way I’m going to continue taking it for a while.
My stomach isn’t 100% and I still need to work with my doctor on next steps, but stopping this medication has really helped me so wanted to share!</t>
        </is>
      </c>
      <c r="D956" t="n">
        <v>2</v>
      </c>
      <c r="E956" t="n">
        <v>6</v>
      </c>
      <c r="F956">
        <f>HYPERLINK("https://www.reddit.com/r/GERD/comments/bdw7sp/ditching_bupropion_and_restarting_my_allergy_meds/")</f>
        <v/>
      </c>
      <c r="G956" t="inlineStr">
        <is>
          <t>2019-04-16 09:50:09</t>
        </is>
      </c>
      <c r="H956" t="inlineStr"/>
    </row>
    <row r="957">
      <c r="A957" t="inlineStr">
        <is>
          <t>bdwwam</t>
        </is>
      </c>
      <c r="B957" t="inlineStr">
        <is>
          <t>Omeprazole not working</t>
        </is>
      </c>
      <c r="C957" t="inlineStr">
        <is>
          <t>I've been taking  Omeprazole once a day for at least two weeks now, and there has been a slight improvement in the fact that I can sleep at night without choking, but during the day it feels like I am drowning. I can't sit down because I can hardly breathe, so I stand up and work at a tall table in the work lounge, and it's still hard to breathe. It just feels like I constantly can't breathe. I'm getting a barium swallow x-ray and seeing the doctor again in two weeks. :( I just hate being this miserable, and it all came on very suddenly after getting sick in December. My body has never been the same. Also, I've never really had a problem with acid reflux until December.</t>
        </is>
      </c>
      <c r="D957" t="n">
        <v>11</v>
      </c>
      <c r="E957" t="n">
        <v>27</v>
      </c>
      <c r="F957">
        <f>HYPERLINK("https://www.reddit.com/r/GERD/comments/bdwwam/omeprazole_not_working/")</f>
        <v/>
      </c>
      <c r="G957" t="inlineStr">
        <is>
          <t>2019-04-16 10:47:55</t>
        </is>
      </c>
      <c r="H957" t="inlineStr"/>
    </row>
    <row r="958">
      <c r="A958" t="inlineStr">
        <is>
          <t>bdx40t</t>
        </is>
      </c>
      <c r="B958" t="inlineStr">
        <is>
          <t>Dry mouth in morning</t>
        </is>
      </c>
      <c r="C958" t="inlineStr">
        <is>
          <t>I wake up every morning with a dry crackly voice. It gets better shortly after I get up and start moving around. But the fact that it's every morning is concerning. Does anyone have any remedies to fix this issue?</t>
        </is>
      </c>
      <c r="D958" t="n">
        <v>5</v>
      </c>
      <c r="E958" t="n">
        <v>4</v>
      </c>
      <c r="F958">
        <f>HYPERLINK("https://www.reddit.com/r/GERD/comments/bdx40t/dry_mouth_in_morning/")</f>
        <v/>
      </c>
      <c r="G958" t="inlineStr">
        <is>
          <t>2019-04-16 11:06:11</t>
        </is>
      </c>
      <c r="H958" t="inlineStr"/>
    </row>
    <row r="959">
      <c r="A959" t="inlineStr">
        <is>
          <t>bdxamh</t>
        </is>
      </c>
      <c r="B959" t="inlineStr">
        <is>
          <t>Breathing problems and reflux</t>
        </is>
      </c>
      <c r="C959" t="inlineStr">
        <is>
          <t>Hi suffered reflux for years taking 30mg lansrapazole twice a day which deals with heartburn quite good but my worst symptom is like I’m breathless or heavy breathing. I’m relatively fit so it’s not that is this connected to reflux/gerd/lpr and would surgery fix this problem as I’m due to see a surgeon about possible fundoplication soon?  My father has suffered reflux a long time aswell and has pulmonary fibrosis now so this adds to my worry, they say it’s not from reflux but I have my doubts.</t>
        </is>
      </c>
      <c r="D959" t="n">
        <v>7</v>
      </c>
      <c r="E959" t="n">
        <v>3</v>
      </c>
      <c r="F959">
        <f>HYPERLINK("https://www.reddit.com/r/GERD/comments/bdxamh/breathing_problems_and_reflux/")</f>
        <v/>
      </c>
      <c r="G959" t="inlineStr">
        <is>
          <t>2019-04-16 11:22:04</t>
        </is>
      </c>
      <c r="H959" t="inlineStr"/>
    </row>
    <row r="960">
      <c r="A960" t="inlineStr">
        <is>
          <t>bdxtly</t>
        </is>
      </c>
      <c r="B960" t="inlineStr">
        <is>
          <t>Anyone tried iQoro?</t>
        </is>
      </c>
      <c r="C960" t="inlineStr">
        <is>
          <t>I’ve been suffering with Gerd for the past two and a half years, and tried what feels like every possible combination of medicine to try and combat the effects to the point where I’ve given up and come off everything due to side effects and not seeing any improvements.
I’ve been reading a lot about iQoro over the last few days and love that not only would it stop me having to pump myself full of drugs every day, but it also seems to have an incredible success rate from the studies I’ve read (96% or participants experiencing a reduction of symptoms)
Has anyone else tried it (or something similar)?
I’m scared it might be too good to be true so keen to get as many first hand accounts as possible before forking out for one only to find it doesn’t work.</t>
        </is>
      </c>
      <c r="D960" t="n">
        <v>1</v>
      </c>
      <c r="E960" t="n">
        <v>0</v>
      </c>
      <c r="F960">
        <f>HYPERLINK("https://www.reddit.com/r/GERD/comments/bdxtly/anyone_tried_iqoro/")</f>
        <v/>
      </c>
      <c r="G960" t="inlineStr">
        <is>
          <t>2019-04-16 12:06:36</t>
        </is>
      </c>
      <c r="H960" t="inlineStr"/>
    </row>
    <row r="961">
      <c r="A961" t="inlineStr">
        <is>
          <t>bdxzex</t>
        </is>
      </c>
      <c r="B961" t="inlineStr">
        <is>
          <t>Nighttime treatment?</t>
        </is>
      </c>
      <c r="C961" t="inlineStr">
        <is>
          <t>Any advice for sleeping better with gerd? My here doesn't bother me much during the day, but at night it I'd very bad....has limited me sleep by a few hours s night for months....
Anh special tricks/medication I can tak just for night? (Im not using anything right now.)</t>
        </is>
      </c>
      <c r="D961" t="n">
        <v>3</v>
      </c>
      <c r="E961" t="n">
        <v>6</v>
      </c>
      <c r="F961">
        <f>HYPERLINK("https://www.reddit.com/r/GERD/comments/bdxzex/nighttime_treatment/")</f>
        <v/>
      </c>
      <c r="G961" t="inlineStr">
        <is>
          <t>2019-04-16 12:20:15</t>
        </is>
      </c>
      <c r="H961" t="inlineStr"/>
    </row>
    <row r="962">
      <c r="A962" t="inlineStr">
        <is>
          <t>be06ql</t>
        </is>
      </c>
      <c r="B962" t="inlineStr">
        <is>
          <t>H. pylori eradication and heartburn resumed during and until after treatment</t>
        </is>
      </c>
      <c r="C962" t="inlineStr">
        <is>
          <t>After a way to long time until doctors finally diagnosed me with a h. pylori infection, I started treatment with antibiotics (Pylera). Before the treatment my heartburn was under control with 20 or 40mgs of Omeprazole. At the start of the treatment I had a lot of side effects but no heartburn. On the 8th day of treatment out of ten, the heartburn started again, despite taking omeprazole. I thought it was a side effect too of the antibiotics, but it persisted until after the treatment was finished. Now I have strong heartburn despite taking 40mg. Today was the last day of the 40mg supply, and I only have 20mg pills left for a few days. 
I am extremely scared that the infection came back, stronger, and resistant to antibiotics. I'll only have certainty in more than a month when they test for treatment success. Until then I have to phase out my PPI consumption and I feel like my esophagus is gonna evaporate if it burns that strong even with the pills.
I just want this to end. Bacteria babies please kill me.</t>
        </is>
      </c>
      <c r="D962" t="n">
        <v>4</v>
      </c>
      <c r="E962" t="n">
        <v>15</v>
      </c>
      <c r="F962">
        <f>HYPERLINK("https://www.reddit.com/r/GERD/comments/be06ql/h_pylori_eradication_and_heartburn_resumed_during/")</f>
        <v/>
      </c>
      <c r="G962" t="inlineStr">
        <is>
          <t>2019-04-16 15:33:32</t>
        </is>
      </c>
      <c r="H962" t="inlineStr"/>
    </row>
    <row r="963">
      <c r="A963" t="inlineStr">
        <is>
          <t>be0xzv</t>
        </is>
      </c>
      <c r="B963" t="inlineStr">
        <is>
          <t>LPR: How much time passes until your symptoms vanished</t>
        </is>
      </c>
      <c r="C963" t="inlineStr">
        <is>
          <t>If you have LPR and PPI helped you, how much time passed until your symptoms vanished?</t>
        </is>
      </c>
      <c r="D963" t="n">
        <v>2</v>
      </c>
      <c r="E963" t="n">
        <v>21</v>
      </c>
      <c r="F963">
        <f>HYPERLINK("https://www.reddit.com/r/GERD/comments/be0xzv/lpr_how_much_time_passes_until_your_symptoms/")</f>
        <v/>
      </c>
      <c r="G963" t="inlineStr">
        <is>
          <t>2019-04-16 16:46:30</t>
        </is>
      </c>
      <c r="H963" t="inlineStr"/>
    </row>
    <row r="964">
      <c r="A964" t="inlineStr">
        <is>
          <t>be1alz</t>
        </is>
      </c>
      <c r="B964" t="inlineStr">
        <is>
          <t>Conflicting Info to Heal GERD</t>
        </is>
      </c>
      <c r="C964" t="inlineStr">
        <is>
          <t>I've been doing a lot of research the last few days and I'm trying to pick a plan of action for how I want to heal my body. Some interesting articles I've read from Chris Kresser show studies where participants were on a very low carb diet for a week and their GERD symptoms completely vanished. They didn't even cut out typical "bad" foods for GERD, such as tomatoes, garlic, etc. He seems to believe that once your gut is healed you can go back to eating whatever you want with seemingly no issues.
 I've also been reading about Dr. Aviv's The Acid Watcher Diet and his approach is very different. It doesn't seem to be a low carb diet, mostly just low acid. And he claims that symptoms will clear up within a month, but you have to maintain that restrictive diet for life in order to keep the GERD away.
So I guess my question is, does anyone know if once your gut has healed, can you slowly reintroduce trigger foods into your diet, or do you have to avoid them forever? Has anyone here had success with a low carb diet or the acid watcher diet?</t>
        </is>
      </c>
      <c r="D964" t="n">
        <v>9</v>
      </c>
      <c r="E964" t="n">
        <v>19</v>
      </c>
      <c r="F964">
        <f>HYPERLINK("https://www.reddit.com/r/GERD/comments/be1alz/conflicting_info_to_heal_gerd/")</f>
        <v/>
      </c>
      <c r="G964" t="inlineStr">
        <is>
          <t>2019-04-16 17:20:45</t>
        </is>
      </c>
      <c r="H964" t="inlineStr"/>
    </row>
    <row r="965">
      <c r="A965" t="inlineStr">
        <is>
          <t>be1h9x</t>
        </is>
      </c>
      <c r="B965" t="inlineStr">
        <is>
          <t>Any comments about this article? Has different advice than what I typically hear from doctors.</t>
        </is>
      </c>
      <c r="C965" t="inlineStr">
        <is>
          <t xml:space="preserve">
https://chriskresser.com/what-everybody-ought-to-know-but-doesnt-about-heartburn-gerd/</t>
        </is>
      </c>
      <c r="D965" t="n">
        <v>1</v>
      </c>
      <c r="E965" t="n">
        <v>0</v>
      </c>
      <c r="F965">
        <f>HYPERLINK("https://www.reddit.com/r/GERD/comments/be1h9x/any_comments_about_this_article_has_different/")</f>
        <v/>
      </c>
      <c r="G965" t="inlineStr">
        <is>
          <t>2019-04-16 17:39:31</t>
        </is>
      </c>
      <c r="H965" t="inlineStr"/>
    </row>
    <row r="966">
      <c r="A966" t="inlineStr">
        <is>
          <t>be1unx</t>
        </is>
      </c>
      <c r="B966" t="inlineStr">
        <is>
          <t>Speed eating</t>
        </is>
      </c>
      <c r="C966" t="inlineStr">
        <is>
          <t>I'm a speed eater. I'm always done first in my family and whenever I eat out with colleagues. 
I just started doing something called "mindful eating" as part of a mindfulness training for ADHD and noticed that when I eat slowly my GERD is remarkably more tame. 
Does anyone know why speed eating makes GERD worse?</t>
        </is>
      </c>
      <c r="D966" t="n">
        <v>3</v>
      </c>
      <c r="E966" t="n">
        <v>2</v>
      </c>
      <c r="F966">
        <f>HYPERLINK("https://www.reddit.com/r/GERD/comments/be1unx/speed_eating/")</f>
        <v/>
      </c>
      <c r="G966" t="inlineStr">
        <is>
          <t>2019-04-16 18:16:48</t>
        </is>
      </c>
      <c r="H966" t="inlineStr"/>
    </row>
    <row r="967">
      <c r="A967" t="inlineStr">
        <is>
          <t>be1xxv</t>
        </is>
      </c>
      <c r="B967" t="inlineStr">
        <is>
          <t>Anyone have really bad chest pain with GERD?</t>
        </is>
      </c>
      <c r="C967" t="inlineStr">
        <is>
          <t>My GI put me on omeprazole 40mg bc she thought I have LPR
it’s six months later and I feel no difference ... I have this horrible chest pain and it’s pretty much constant 24-7.
Other symptoms: regurgitation, lots of burping, mucusy cough 
Does anyone have any experience with this?
(I got a cardiac workup and everything was fine, asthma treatment didn’t help, I’m going in soon for an endoscopy and a scope)</t>
        </is>
      </c>
      <c r="D967" t="n">
        <v>4</v>
      </c>
      <c r="E967" t="n">
        <v>16</v>
      </c>
      <c r="F967">
        <f>HYPERLINK("https://www.reddit.com/r/GERD/comments/be1xxv/anyone_have_really_bad_chest_pain_with_gerd/")</f>
        <v/>
      </c>
      <c r="G967" t="inlineStr">
        <is>
          <t>2019-04-16 18:26:13</t>
        </is>
      </c>
      <c r="H967" t="inlineStr"/>
    </row>
    <row r="968">
      <c r="A968" t="inlineStr">
        <is>
          <t>be399e</t>
        </is>
      </c>
      <c r="B968" t="inlineStr">
        <is>
          <t>GERD/IBS/Whoknowswhatelse Journey -- seeking feedback</t>
        </is>
      </c>
      <c r="C968" t="inlineStr">
        <is>
          <t>Hi y'all. I know this is a lifetime battle, but I'm 10 years in and honestly at a breaking point. I need help, advice, and support.
**Background**
10 or so years ago I fell ill with diagnosed salmonella (it was in my bloodstream). through this half year of suffering, I was left with a ravaged GI system. I developed GERD, IBS, and probably other issues that have go undiagnosed (you can really see how much I believe in doctors). I went from GI to GI across the East Coast -- and the only answer I ever really got was to take PPIs and hope for the best. As I got fit and ate right in High school things got somewhat better. Fast forward to recently -- I am in my final year of college -- my symptoms aren't amazing, but I've definitely improved some. Out of nowhere I fall super ill intense GI discomfort which somehow leads in elevated bilirubin levels/jaundice. I am admitted to the ER. They find nothing - and essentially throw my GI issues to the side while they poke and prod to figure out the bilirubin situation. I am admitted to the hospital. An endoscopy is done. Nothing is found besides "mild irritation." Great, right? Wrong. I am still in intense GI discomfort, and essentially have to rebuild my diet up from crackers and apple sauce -- a miserable final semester of college. 
&amp;amp;#x200B;
My GI believes a virus came through and woke my IBS and such back-up, as essentially tells me to take my PPI (hmmm), slow work diet back, and live my life. Fast forward another 6 or so months. I'm back to eating "regular" stuff, but just as I think I'm making improvements I had constant GERD attacks -- like some seriously anxiety inducing shit (I have a fear of vomiting so i can't help but laugh at my situation a bit) -- so I decide to take some serious action. Including with this are belching, a weird sense of fullness, taking 5-6+ hours to get hungry again off of small meals, rarely, but still happening, colored stools that aren't that good brown (from veggies, etc probably).
&amp;amp;#x200B;
**3 weeks ago**
I start on LOWFODMAPS diet. A co-worker of mine turns out to be a herbalist/specialist of natural medicine. Up until this point the only thing I've ever been told to take is PPI -- so I'm willing to try pretty much fucking anything. And when she mentions that low acid could actually be the problem, I wake up a bit -- especially given that PPI has been my go to for so long. She graciously takes time out of her life to set me up with a plan to try to see if it's low acid/upper GI or lower GI. I gain hope that there might be some help, and mind is blown by how much is out there besides PPI.
&amp;amp;#x200B;
This month is for upper GI. I started by trying NOW Betaine HCL to test acid levels. First few attempts it quells some of my reflux (but it's honestly hard to tell since it's been around so long), belching ceases almost completely, fullness has changed and i get hungrier quicker. BUT by the 2nd or 3rd time, I definitely have some burning in my stomach so I decide to try the alternate route she recommended. I begin taking ACV, Bitters, and Enzymes with his meal. I see good progress at first, but symptoms come back a bit. Mainly the belching. Stools a bit of a brighter brown sometimes, but that may be my consumption of peanut butter (cutting back on this dw). Still on LOWFODMAPS. I add bone broth, aloe vera juice, and DGL to soothe and try to heal the years of damage. I decide to try another dose of the 650mg Betaine HCL. Belching gone, fullness gone, not much reflux, but burning/discomfort still there. I'll either avoid this going forward or perhaps try a small dose (350mg). 
&amp;amp;#x200B;
Sorry this is so long, but I feel like it's really hard to understand stomach stuff with minimal info. I meet with my GI in 2 weeks (I couldn't wait a month and a half to maybe get his permission to try this stuff) and may ask him further advice and to possibly test my stomach acid levels. I have plenty of ACV, DGL, HCL (avoiding most likely) left, but am running out of enzymes, bitters, AVJ, bone broth and would love to hear what people think I should do next -- re up for another month or so -- or try something else. Diet wise, I'm either going to start reinstating FODMAP foods in a week or may try the AIP or SCD diet to dig even deeper.
&amp;amp;#x200B;
 I'm sick and tired of being sick and tired. Please help.</t>
        </is>
      </c>
      <c r="D968" t="n">
        <v>7</v>
      </c>
      <c r="E968" t="n">
        <v>4</v>
      </c>
      <c r="F968">
        <f>HYPERLINK("https://www.reddit.com/r/GERD/comments/be399e/gerdibswhoknowswhatelse_journey_seeking_feedback/")</f>
        <v/>
      </c>
      <c r="G968" t="inlineStr">
        <is>
          <t>2019-04-16 20:43:52</t>
        </is>
      </c>
      <c r="H968" t="inlineStr"/>
    </row>
    <row r="969">
      <c r="A969" t="inlineStr">
        <is>
          <t>be4iwy</t>
        </is>
      </c>
      <c r="B969" t="inlineStr">
        <is>
          <t>Water triggers acid reflux</t>
        </is>
      </c>
      <c r="C969" t="inlineStr">
        <is>
          <t>Has anyone ever had plain water as a trigger for their acid reflux? The only other liquids that routinely trigger me are coffee and dairy milk, every other liquid is fine. It’s especially bad on an empty stomach and I hate being that person who cannot drink plain water without getting an upset stomach.</t>
        </is>
      </c>
      <c r="D969" t="n">
        <v>12</v>
      </c>
      <c r="E969" t="n">
        <v>14</v>
      </c>
      <c r="F969">
        <f>HYPERLINK("https://www.reddit.com/r/GERD/comments/be4iwy/water_triggers_acid_reflux/")</f>
        <v/>
      </c>
      <c r="G969" t="inlineStr">
        <is>
          <t>2019-04-16 23:23:29</t>
        </is>
      </c>
      <c r="H969" t="inlineStr"/>
    </row>
    <row r="970">
      <c r="A970" t="inlineStr">
        <is>
          <t>be6gye</t>
        </is>
      </c>
      <c r="B970" t="inlineStr">
        <is>
          <t>HELP! Achlorhydria</t>
        </is>
      </c>
      <c r="C970" t="inlineStr">
        <is>
          <t>I was recently diagnosed with Achlorhydria and my doctor recommended me use betaine HCL pills to bring my stomach acid levels back up, but I also have gastritis so I can't really use Betaine HCL because it burns. Is there any other ways or remedies that I can use to raise my stomach acid levels?</t>
        </is>
      </c>
      <c r="D970" t="n">
        <v>0</v>
      </c>
      <c r="E970" t="n">
        <v>0</v>
      </c>
      <c r="F970">
        <f>HYPERLINK("https://www.reddit.com/r/GERD/comments/be6gye/help_achlorhydria/")</f>
        <v/>
      </c>
      <c r="G970" t="inlineStr">
        <is>
          <t>2019-04-17 04:07:09</t>
        </is>
      </c>
      <c r="H970" t="inlineStr"/>
    </row>
    <row r="971">
      <c r="A971" t="inlineStr">
        <is>
          <t>be84bw</t>
        </is>
      </c>
      <c r="B971" t="inlineStr">
        <is>
          <t>Just wondering if I have Gerd.</t>
        </is>
      </c>
      <c r="C971" t="inlineStr">
        <is>
          <t>A lot of nights, i drink a lot of water. It’s just something I do. I usually drink around 2L. I don’t drink a lot during the day, so it’s basically kinda like catching up on hydration. After drinking the water, I get a burning sensation on my throat. It can last for maybe 10 minutes. Sometimes it is not a continuous pain, it comes, and then goes away and then does it again. I usually don’t have pain on my chest, and when I do, it’s usually very little and not very noticeable. When may thrust burns, I also seem to produce a lot of saliva in my mouth for some reason. That Silva can taste salty. 
I have woken up with acid reflux twice last year. My throat burned worse than it does now, and I felt heavily nauseous. The difference is now I’m fully awake and my throat doesn’t burn as much, doesn’t go last as long, and I don’t have nausea. 
I have no idea how long this has been lasting for, as I didn’t take notice to it. I only recently read up on it and became worried, as I saw that it could progress into throat cancer.
Because it is almost Easter, I have also been eating a lot of chocolate. This could be a possible trigger.
If I do have gerd, how serious is it? Is it something I should tell my parents about and see a doctor for? Or is it something that will pass?
I’m a 14 year old male that weighs 67 kg, if that helps in any way.</t>
        </is>
      </c>
      <c r="D971" t="n">
        <v>1</v>
      </c>
      <c r="E971" t="n">
        <v>4</v>
      </c>
      <c r="F971">
        <f>HYPERLINK("https://www.reddit.com/r/GERD/comments/be84bw/just_wondering_if_i_have_gerd/")</f>
        <v/>
      </c>
      <c r="G971" t="inlineStr">
        <is>
          <t>2019-04-17 06:58:13</t>
        </is>
      </c>
      <c r="H971" t="inlineStr"/>
    </row>
    <row r="972">
      <c r="A972" t="inlineStr">
        <is>
          <t>be8d7q</t>
        </is>
      </c>
      <c r="B972" t="inlineStr">
        <is>
          <t>Chewing Gum</t>
        </is>
      </c>
      <c r="C972" t="inlineStr">
        <is>
          <t>I’ve read on multiple websites that chewing bicarbonate gum can sometimes help alleviate GERD symptoms like bad breath, as long as it isn’t peppermint or spearmint flavored.
Does anyone know what chewing gums contain bicarbonate? I can’t find it through google searches, or listed on any ingredients. Any help would be much appreciated.
Thanks!</t>
        </is>
      </c>
      <c r="D972" t="n">
        <v>6</v>
      </c>
      <c r="E972" t="n">
        <v>13</v>
      </c>
      <c r="F972">
        <f>HYPERLINK("https://www.reddit.com/r/GERD/comments/be8d7q/chewing_gum/")</f>
        <v/>
      </c>
      <c r="G972" t="inlineStr">
        <is>
          <t>2019-04-17 07:20:17</t>
        </is>
      </c>
      <c r="H972" t="inlineStr"/>
    </row>
    <row r="973">
      <c r="A973" t="inlineStr">
        <is>
          <t>bectpd</t>
        </is>
      </c>
      <c r="B973" t="inlineStr">
        <is>
          <t>Thumbs lock up and tingling from acid reflux?</t>
        </is>
      </c>
      <c r="C973" t="inlineStr">
        <is>
          <t>Hi everyone, 
A few months ago I went to urgent care for extreme pain in my upper stomach and my thumbs locked up like they can when you vomit. Also the tip of my tongue was tingling. They gave me a GI cocktail and that worked so it was determined that it was acid reflux. It happened again yesterday but I'm really worried about the tingling tongue and locked up thumbs. Is this a sign of something else? Also, I took ranitidine but that doesn't make it go away completely.</t>
        </is>
      </c>
      <c r="D973" t="n">
        <v>2</v>
      </c>
      <c r="E973" t="n">
        <v>1</v>
      </c>
      <c r="F973">
        <f>HYPERLINK("https://www.reddit.com/r/GERD/comments/bectpd/thumbs_lock_up_and_tingling_from_acid_reflux/")</f>
        <v/>
      </c>
      <c r="G973" t="inlineStr">
        <is>
          <t>2019-04-17 13:46:05</t>
        </is>
      </c>
      <c r="H973" t="inlineStr"/>
    </row>
    <row r="974">
      <c r="A974" t="inlineStr">
        <is>
          <t>becuzb</t>
        </is>
      </c>
      <c r="B974" t="inlineStr">
        <is>
          <t>Upper endoscopy freak out!</t>
        </is>
      </c>
      <c r="C974" t="inlineStr">
        <is>
          <t>This is moving along too fast! I just made my appointment for tomorrow. I thought I would have to wait at least a week but nope I have less than 24 hours. 
I'm going super crazy right now. I know they're going to knock me out but I am still so nervous!</t>
        </is>
      </c>
      <c r="D974" t="n">
        <v>5</v>
      </c>
      <c r="E974" t="n">
        <v>23</v>
      </c>
      <c r="F974">
        <f>HYPERLINK("https://www.reddit.com/r/GERD/comments/becuzb/upper_endoscopy_freak_out/")</f>
        <v/>
      </c>
      <c r="G974" t="inlineStr">
        <is>
          <t>2019-04-17 13:49:15</t>
        </is>
      </c>
      <c r="H974" t="inlineStr"/>
    </row>
    <row r="975">
      <c r="A975" t="inlineStr">
        <is>
          <t>bedqgw</t>
        </is>
      </c>
      <c r="B975" t="inlineStr">
        <is>
          <t>Acid reflux vs heart/panic attack ?</t>
        </is>
      </c>
      <c r="C975" t="inlineStr">
        <is>
          <t>I’m 21 years old suffering from GERD 
At times AR gets so out of hand it feels like I’m about to die any moment.
How do you train your brain so that you can distinguish between AR / MI / panic attack?</t>
        </is>
      </c>
      <c r="D975" t="n">
        <v>1</v>
      </c>
      <c r="E975" t="n">
        <v>5</v>
      </c>
      <c r="F975">
        <f>HYPERLINK("https://www.reddit.com/r/GERD/comments/bedqgw/acid_reflux_vs_heartpanic_attack/")</f>
        <v/>
      </c>
      <c r="G975" t="inlineStr">
        <is>
          <t>2019-04-17 15:07:24</t>
        </is>
      </c>
      <c r="H975" t="inlineStr"/>
    </row>
    <row r="976">
      <c r="A976" t="inlineStr">
        <is>
          <t>bee8u6</t>
        </is>
      </c>
      <c r="B976" t="inlineStr">
        <is>
          <t>Anyone Taken Carafate? Also Needing Endoscopy Reassurance :}</t>
        </is>
      </c>
      <c r="C976" t="inlineStr">
        <is>
          <t>My doctor prescribed Carafate (sucralfate) &amp;amp; said it sounds like my pain might be coming from my duodenum instead of my actual stomach since I have to eat constantly to keep the pain away.  Just wondering if anyone's tried this med, had any side effects or positives to share?  It's literally the ONLY stomach med I haven't tried for GERD/ulcer/stomach pain so I'm hoping it helps.  He also bumped me up to 80 mg Prilosec which just sounds excessive.  
He is sending me to get an endoscopy, which terrifies me.  But he said they're "fun" because you get propofol &amp;amp; he actually looks forward to them, lol.  Any encouragement on that front would be appreciated too.  I'm a nervous wreck when it comes to medical crap.  My fear of waking up with something in my throat/stomach is nightmarish.  
Sorry for posting so much but damn this stuff is scary &amp;amp; foreign to me.</t>
        </is>
      </c>
      <c r="D976" t="n">
        <v>5</v>
      </c>
      <c r="E976" t="n">
        <v>28</v>
      </c>
      <c r="F976">
        <f>HYPERLINK("https://www.reddit.com/r/GERD/comments/bee8u6/anyone_taken_carafate_also_needing_endoscopy/")</f>
        <v/>
      </c>
      <c r="G976" t="inlineStr">
        <is>
          <t>2019-04-17 15:55:15</t>
        </is>
      </c>
      <c r="H976" t="inlineStr"/>
    </row>
    <row r="977">
      <c r="A977" t="inlineStr">
        <is>
          <t>beei96</t>
        </is>
      </c>
      <c r="B977" t="inlineStr">
        <is>
          <t>Barium swallow test no water for 12 hours?</t>
        </is>
      </c>
      <c r="C977" t="inlineStr">
        <is>
          <t>I’m taking the barium swallow test on Friday at 8 am and the receptionist said no food or water 12 hours before the test. My throat and mouth get extremely dry at night when I’m sleeping. Do you think it’s ok to take a little sip just to coat my mouth and throat a few times during the night up until about 5am?</t>
        </is>
      </c>
      <c r="D977" t="n">
        <v>1</v>
      </c>
      <c r="E977" t="n">
        <v>2</v>
      </c>
      <c r="F977">
        <f>HYPERLINK("https://www.reddit.com/r/GERD/comments/beei96/barium_swallow_test_no_water_for_12_hours/")</f>
        <v/>
      </c>
      <c r="G977" t="inlineStr">
        <is>
          <t>2019-04-17 16:21:05</t>
        </is>
      </c>
      <c r="H977" t="inlineStr"/>
    </row>
    <row r="978">
      <c r="A978" t="inlineStr">
        <is>
          <t>begdeh</t>
        </is>
      </c>
      <c r="B978" t="inlineStr">
        <is>
          <t>Is there anything I can do to treat a cough flair up?</t>
        </is>
      </c>
      <c r="C978" t="inlineStr">
        <is>
          <t>Like any good GERD haver, I take my omeprazole daily, eat smaller meals, don’t lay down after eating, sleep on my elevated wedge at night. But every now and again I slip up and have something a little to spicy or chocolatey or garlic covered. I really do try to avoid what I can, but sometimes I crack and go for it. This will sometimes lead to the dreaded cough attack. 
Is there anything I can do or take to prevent these occasional flair ups once they start? Once it starts, I can’t seem to get it to stop unless I go to sleep (which is quite hard to do when you’re reflux coughing every 30 seconds). Does anyone have advice on how to stop my slip up reflux cough in a pinch?</t>
        </is>
      </c>
      <c r="D978" t="n">
        <v>2</v>
      </c>
      <c r="E978" t="n">
        <v>2</v>
      </c>
      <c r="F978">
        <f>HYPERLINK("https://www.reddit.com/r/GERD/comments/begdeh/is_there_anything_i_can_do_to_treat_a_cough_flair/")</f>
        <v/>
      </c>
      <c r="G978" t="inlineStr">
        <is>
          <t>2019-04-17 19:32:04</t>
        </is>
      </c>
      <c r="H978" t="inlineStr"/>
    </row>
    <row r="979">
      <c r="A979" t="inlineStr">
        <is>
          <t>begiad</t>
        </is>
      </c>
      <c r="B979" t="inlineStr">
        <is>
          <t>Empty stomach</t>
        </is>
      </c>
      <c r="C979" t="inlineStr">
        <is>
          <t>Anyone else sometimes get a empty stomach feeling even if they just ate ? I think it may be acid mimicking hunger but idk am i alone here ?</t>
        </is>
      </c>
      <c r="D979" t="n">
        <v>6</v>
      </c>
      <c r="E979" t="n">
        <v>4</v>
      </c>
      <c r="F979">
        <f>HYPERLINK("https://www.reddit.com/r/GERD/comments/begiad/empty_stomach/")</f>
        <v/>
      </c>
      <c r="G979" t="inlineStr">
        <is>
          <t>2019-04-17 19:46:32</t>
        </is>
      </c>
      <c r="H979" t="inlineStr"/>
    </row>
    <row r="980">
      <c r="A980" t="inlineStr">
        <is>
          <t>beibdm</t>
        </is>
      </c>
      <c r="B980" t="inlineStr">
        <is>
          <t>Not drinking water with meals. OMG</t>
        </is>
      </c>
      <c r="C980" t="inlineStr">
        <is>
          <t>Little context 34 year old male in great shape, weighlifting, competitive jui jitsu athlete. Ive been suffering GERD since my early teens and have pretty much been on nexium 20mg a day since. Had numerous scopes and the doc has always proposed testing for a lazy osephageal sphincter but i really wanted to exhaust all avenues first. 
After reading a few articles on r/carnivore (no i dont follow that diet), someone mentioned not drinking any water 1 hour before and after a meal. Something to do with messing with the pH in the stomach. Sceptical but keen to give it a try i can say ive been reflux free for a week with zero meds. Unbelievable. Is this actually a thing people have experienced?</t>
        </is>
      </c>
      <c r="D980" t="n">
        <v>12</v>
      </c>
      <c r="E980" t="n">
        <v>7</v>
      </c>
      <c r="F980">
        <f>HYPERLINK("https://www.reddit.com/r/GERD/comments/beibdm/not_drinking_water_with_meals_omg/")</f>
        <v/>
      </c>
      <c r="G980" t="inlineStr">
        <is>
          <t>2019-04-17 23:30:04</t>
        </is>
      </c>
      <c r="H980" t="inlineStr"/>
    </row>
    <row r="981">
      <c r="A981" t="inlineStr">
        <is>
          <t>bek0jz</t>
        </is>
      </c>
      <c r="B981" t="inlineStr">
        <is>
          <t>Surgery For Gerd/LPR</t>
        </is>
      </c>
      <c r="C981" t="inlineStr">
        <is>
          <t>Am Considering on Getting surgery for my condition. I've been trying all types of Diets I went Vegan for a few Months and tried 
Supplements and nothing Changed. I wanted to hear your experience.
Am Considering Either Nissan or maybe Stretta Iam not sure About Linx.</t>
        </is>
      </c>
      <c r="D981" t="n">
        <v>1</v>
      </c>
      <c r="E981" t="n">
        <v>7</v>
      </c>
      <c r="F981">
        <f>HYPERLINK("https://www.reddit.com/r/GERD/comments/bek0jz/surgery_for_gerdlpr/")</f>
        <v/>
      </c>
      <c r="G981" t="inlineStr">
        <is>
          <t>2019-04-18 03:39:13</t>
        </is>
      </c>
      <c r="H981" t="inlineStr"/>
    </row>
    <row r="982">
      <c r="A982" t="inlineStr">
        <is>
          <t>ben6ln</t>
        </is>
      </c>
      <c r="B982" t="inlineStr">
        <is>
          <t>Don't want to try acid reflux meds without confirmation this is reflux... dr. insists. Is this normal?</t>
        </is>
      </c>
      <c r="C982" t="inlineStr">
        <is>
          <t>TL:DR - I've had a lot of health issues this year that have overlapping symptoms, and my doctor wants me to start taking prescription acid reflux meds to "see if they work" even though I do not experience heartburn and do not think most of the symptoms are necessarily from reflux. She refused to refer me for an endoscopy to make sure this is the problem (and to see if the NSAIDS I am taking are what is causing recent stomach irritation. She says insurance won't cover and endoscopy until I have tried the meds first. I don't want to reduce stomach acid if I don't need to, as this could cause me more illness and side effects and I've already dealing with chronic pain. 
&amp;amp;#x200B;
I've been through the ringer this year health-wise. Main issue seems to be TMJ (finally diagnosed and just saw a specialist) and untreated migraines that doctors brushed off for years because I don't get auras with them (will see neurologist soon). Over the past 3 years I've become convinced I probably have endometriosis, based on what a friend and relative who have it have told me. Old gynecologist never even suggested it even though I have many signs of it. They did an ultrasound when I complained enough about pain, and said it was clear, but you can only diagnose endometriosis with a laparoscopy. Switched doctors and hopefully will know more soon. 
&amp;amp;#x200B;
Between the chronic headaches, neck and jaw pain, and increasing abdominal/menstrual pain that crops up more and more outside of my period, I've been taking a lot of NSAIDS. For at least 4 days of each month I take Aleve 1 - 2x daily for period pain, but I've been having to take it also a few days leading up to my period as well recently. If I don't do this, I will not be able to function and work. 
&amp;amp;#x200B;
 I was prescribed muscle relaxants to try to help me take less of them, but NSAIDS are the only thing that really works (and even then only takes the edge off sometimes). I also think the muscle relaxants have caused some of my recent indigestion issues (the past nine months is when I noticed it). 
&amp;amp;#x200B;
I don't get heartburn, but I do have increasing issues eating certain foods - spicy things, coffee (which I LOVE, and first cut way back, now have stopped drinking all caffeine), and chocolate. I also have been getting nausea sometimes in the mornings, and some days between meals. Sometimes between meals I get extreme pangs that are sort of like hunger, but I think are actually stomach irritation. I tried no dairy, but that did not help, and dairy doesn't seem to affect me one way or the other. I got tested for gluten sensitivity and it came back negative. 
&amp;amp;#x200B;
Saw an allergist because I've been having what appeared to be sinus issues related to allergies (mostly post-nasal drip and fluid in ears). However, the allergist insisted that I must have acid reflux/GERD and that is what is making my allergy symptoms worse. I have some difficulty swallowing (but I think this is TMJ related), occasional morning hoarseness/need to clear throat from post-nasal drip, and occasional mild throat irritation (that I attributed to allergies and tonsil stones). The issues with my ears not draining and feeling pressure/blocked all the time was explained as a typical issue for TMJ sufferers by the other specialist. 
&amp;amp;#x200B;
While I don't get the burning feeling, in the past few months I have noticed a frequent slightly sour taste in my mouth, especially in the morning and after eating. It doesn't seem to give me bad breath, though. I have dry mouth sometimes. I've had a very noticeable increase in my stomach and intestines gurgling, often loud enough to be heard across a room, especially in the morning and very late at night. I can sometimes feeling a bubbly or gurgling sensation in the upper part of my stomach, possibly in the bottom of my esophagus? It is not accompanied by any pain or regurgitation. I have been burping more frequently, though. 
&amp;amp;#x200B;
I've started to have seemingly IBS symptoms in the past year as well, but they do not seem connected to certain foods for me. While no doctor so far has seemed to believe my theory, I think this could be related to the possible endometriosis. I only get about a week now between each period where I don't feel bloated, then it slowly increases until I'm so bloated right before my period and as it starts that even my "fat" clothes from 5-10 pounds ago are way too tight and uncomfortable to wear. 
&amp;amp;#x200B;
I am waiting on the result of a H. Pylori breath test. Doctor has told me it "won't hurt" to start taking the acid reflux meds to see if it helps. I think I have enough problems without taking medicine I don't need right now, and want an endoscopy to diagnose it first. She refused, and said insurance won't cover it anyway (if a doctor insisted, they probably would, as has happened with other procedures I've had recently - automatic denial until the doctor calls them in person). 
&amp;amp;#x200B;
I had pyloric stenosis and surgery for it as a baby. I am wondering if the problem might be related to that - a surgery to loosen the muscle leading out of the stomach. Nobody has mentioned this even when I tell them I had pyloric stenosis and the surgery ( I have a giant scar from it and sometimes get stomach pain right underneath it ).</t>
        </is>
      </c>
      <c r="D982" t="n">
        <v>3</v>
      </c>
      <c r="E982" t="n">
        <v>12</v>
      </c>
      <c r="F982">
        <f>HYPERLINK("https://www.reddit.com/r/GERD/comments/ben6ln/dont_want_to_try_acid_reflux_meds_without/")</f>
        <v/>
      </c>
      <c r="G982" t="inlineStr">
        <is>
          <t>2019-04-18 08:53:52</t>
        </is>
      </c>
      <c r="H982" t="inlineStr"/>
    </row>
    <row r="983">
      <c r="A983" t="inlineStr">
        <is>
          <t>benf4a</t>
        </is>
      </c>
      <c r="B983" t="inlineStr">
        <is>
          <t>Can mold cause GERD?</t>
        </is>
      </c>
      <c r="C983" t="inlineStr">
        <is>
          <t>So in late September I had my first hospital visit because I thought I was having a heart attack and they told me it was GERD. I’m put on 20mg omeprazole, in late February it comes back with a vengeance and I had to go to the hospital twice due to it feeling like my throat literally closed. I get a egd and I’m diagnosed with esophagusitis,gastritis, and a moderate hiatal hernia. He dilates my esophagus and I feel better. Then last week it feels like my throat is closed again and something is stuck in my throat (also I should mention my left tonsil has been swollen since late February). So this Saturday I’m cleaning my room and go in my closet and there is black mold all over the wall. It’s probably been in there for 6 months at least as I just use my closet for storage. 
So my question is do I really have GERD or is it the mold causing all my symptoms?</t>
        </is>
      </c>
      <c r="D983" t="n">
        <v>5</v>
      </c>
      <c r="E983" t="n">
        <v>23</v>
      </c>
      <c r="F983">
        <f>HYPERLINK("https://www.reddit.com/r/GERD/comments/benf4a/can_mold_cause_gerd/")</f>
        <v/>
      </c>
      <c r="G983" t="inlineStr">
        <is>
          <t>2019-04-18 09:13:57</t>
        </is>
      </c>
      <c r="H983" t="inlineStr"/>
    </row>
    <row r="984">
      <c r="A984" t="inlineStr">
        <is>
          <t>beovzs</t>
        </is>
      </c>
      <c r="B984" t="inlineStr">
        <is>
          <t>Heartburn Pain That Isn’t Heartburn?</t>
        </is>
      </c>
      <c r="C984" t="inlineStr">
        <is>
          <t>Hi, I’ve never posted before..
So here we go.
(I hope this is the right spot to post, if it’s not just lead me in the right direction and I will copy/paste. Lol.
Just a quick-not so-quick backstory on me: 
(Sorry, this is long)
I’ve had 2 anal surgeries (I will tie this in to my story)
I’m a 29 year old female.
I got a Hysterectomy (still have my ovaries) in October of 2018.
My life went down hill in December of 2018.
My first anal surgery was for painful Hemorrhoids back in July of 2018.
My Bowel Movements were fine before and after the surgery. I always took fiber to make sure things always moved as they should. 
Fast forward to October 2018, I had to have my uterus out because it was poisoning me. While the surgeon was down there, he fixed my anus (I had major excess skin around my anus from having kids)
No problem.
Fast forward more to December of 2018..
I noticed my poops were getting very skinny and very hard to push out mixed with bouts of diarrhea.. This was very odd for me..
Long story short: I was so impacted with poop it was clear up under my ribs! (I went to urgent care because my ribs hurt and I could barely breathe)
I didn’t realize I was impacted because of the diarrhea.. (fun fact: you can poop around your poop!)
Told me to drink some mag citrate and that was it.
I ended up going to the ER because I was so dizzy sick so they could just clear me out.
They ended up keeping me for a few days.
Went home, no problem.
Few days had passed and my poops were still skinny and the pain under my ribs was back along with the dizzy sick.
I was back in the ER, impacted as all eff still.
A GI doctor came, looked at my anus, and told me it was closing shut but no “obstruction”
THE DOCTOR THAT DID MY HYSTERECTOMY NEVER TOLD ME THAT WAS A RISK!
Anyway.
The GI told me to dilate myself because doing another surgery would just further complicate things.
K. Done.
Fast forward a few more days after that.
December 20ish
Around 6 at night I started getting this uncomfortable pain around my Heart.. A pain I have never felt before.. I went to my local Walgreens and picked up some Tums. Ate them. The pain just kept intensifying.. I’ve never had heartburn in my life.
I went to the ER, they gave me a “GI Cocktail” and it BURNED SO BAD. I was bawling at this point.
I didn’t eat anything out of the ordinary to trigger some weird episode.
I didn’t eat gluten or dairy. - sugar on occasion, but rarely at the time.
It started slow and then got SO intense so fast. Doctors threw PPI’s at me, Carafate, H2’s, you name it. Nothing helped.  The pain in my chest and throat were so bad I couldn’t even drink water. I couldn’t eat, I couldn’t sleep. I was literally contemplating suicide it was so so bad. I didn’t think it was ever going to end. I already get thrown into Mania over the smallest things, so no sleep is bad for me.
Anyway, one day it just finally stopped out of nowhere after 2 weeks of just straight suffering.
“Finally! Jesus Lord!” I thought to myself.
I ended up getting an EDG and Colonoscopy (polyps run in my family) a week after it stopped and everything was normal. No redness or irritation, nothing. I still dealt with some “burning” sensation around my heart, but nothing crazy. After a bit that finally stopped too.
February 12th of this year rolls around, the “burning” sensation around my heart comes back. I was like “FUUUUUU! NO! NOT THIS AGAIN! *sad face sad face sad face*” this time around it didn’t come on so intense as it did last time. At this time I was eating anything because I just stopped caring. After my hysterectomy I’ve been going batty (but that’s another story) 
I went on a PPI for 2 weeks around February 15th, but could still feel that “burning sensation” around my heart? It never stopped? It just wasn’t so intense it kept me awake at night. Then decided to go off of it. No problem, a little bit of intense burning that first day going off it it, but it subsided. 2 weeks goes by and the “burning” came back. I took the PPI for another 2 weeks. The “burning” was still there though, just not so intense. I decided to go off of it and get some DGL. I had wicked burning for about a week after stopping PPI. (Rebound acid) I have been doing DGL since March 25th. I stared apple cider vinegar 30 minutes before meals about 2 weeks ago, but yesterday I notice my throat was hurting so I didn’t do any yesterday, just the DGL... 
but the “burning” is still there. All day everyday...
I am not entirely convinced it’s anything to do with my stomach acid or anything gut related as per my EDG in January was fine..
What causes a burning sensation around your heart that isn’t heartburn?
Has anyone ever dealt with what I’m describing?
I’m at a loss...
I’ve never had heartburn in my life, now I have a constant “burning” sensation around my heart all of the time? It’s not intense, but it’s there..
Help? Input?
Doctor/Specialist suggestions?
:(!</t>
        </is>
      </c>
      <c r="D984" t="n">
        <v>1</v>
      </c>
      <c r="E984" t="n">
        <v>0</v>
      </c>
      <c r="F984">
        <f>HYPERLINK("https://www.reddit.com/r/GERD/comments/beovzs/heartburn_pain_that_isnt_heartburn/")</f>
        <v/>
      </c>
      <c r="G984" t="inlineStr">
        <is>
          <t>2019-04-18 11:20:42</t>
        </is>
      </c>
      <c r="H984" t="inlineStr"/>
    </row>
    <row r="985">
      <c r="A985" t="inlineStr">
        <is>
          <t>beow78</t>
        </is>
      </c>
      <c r="B985" t="inlineStr">
        <is>
          <t>GERD triggers after brushing teeth</t>
        </is>
      </c>
      <c r="C985" t="inlineStr">
        <is>
          <t>Is there any specific tooth paste I can use because every time I brush my teeth a few mins later my stomach becomes extremely acidic (and no I don’t swallow the toothpaste)</t>
        </is>
      </c>
      <c r="D985" t="n">
        <v>3</v>
      </c>
      <c r="E985" t="n">
        <v>6</v>
      </c>
      <c r="F985">
        <f>HYPERLINK("https://www.reddit.com/r/GERD/comments/beow78/gerd_triggers_after_brushing_teeth/")</f>
        <v/>
      </c>
      <c r="G985" t="inlineStr">
        <is>
          <t>2019-04-18 11:21:12</t>
        </is>
      </c>
      <c r="H985" t="inlineStr"/>
    </row>
    <row r="986">
      <c r="A986" t="inlineStr">
        <is>
          <t>bepaf7</t>
        </is>
      </c>
      <c r="B986" t="inlineStr">
        <is>
          <t>Excess saliva production?</t>
        </is>
      </c>
      <c r="C986" t="inlineStr">
        <is>
          <t>Does anyone else have problems with excess saliva production? I have to constantly swallow to clear my throat. On some days it’s better than on others. 
Is this GERD related or something else?
I am taking 40mg pantoprazole per day and I don’t have classic heartburn at all so that’s why I hope it’s not related but I’m curious if anyone else has similar issues with  saliva overproduction?</t>
        </is>
      </c>
      <c r="D986" t="n">
        <v>2</v>
      </c>
      <c r="E986" t="n">
        <v>3</v>
      </c>
      <c r="F986">
        <f>HYPERLINK("https://www.reddit.com/r/GERD/comments/bepaf7/excess_saliva_production/")</f>
        <v/>
      </c>
      <c r="G986" t="inlineStr">
        <is>
          <t>2019-04-18 11:56:02</t>
        </is>
      </c>
      <c r="H986" t="inlineStr"/>
    </row>
    <row r="987">
      <c r="A987" t="inlineStr">
        <is>
          <t>beqgzj</t>
        </is>
      </c>
      <c r="B987" t="inlineStr">
        <is>
          <t>Fast Food Tips and Tricks</t>
        </is>
      </c>
      <c r="C987" t="inlineStr">
        <is>
          <t>Hi GERD folks,
I travel a decent amount for work and end up having to eat out quite a bit. I recently discovered that you can get a steamed veggies side for their combo meals. What I typically get is steamed veggies for the side and then one of their mains that includes a lot of veggies ( broccoli beef, mushroom chicken, ect..). You can also get veggies for your main if you want just steamed veggies.
Anyone have other tips and tricks for eating GERD fri endly while travelling?</t>
        </is>
      </c>
      <c r="D987" t="n">
        <v>2</v>
      </c>
      <c r="E987" t="n">
        <v>1</v>
      </c>
      <c r="F987">
        <f>HYPERLINK("https://www.reddit.com/r/GERD/comments/beqgzj/fast_food_tips_and_tricks/")</f>
        <v/>
      </c>
      <c r="G987" t="inlineStr">
        <is>
          <t>2019-04-18 13:42:06</t>
        </is>
      </c>
      <c r="H987" t="inlineStr"/>
    </row>
    <row r="988">
      <c r="A988" t="inlineStr">
        <is>
          <t>beqklg</t>
        </is>
      </c>
      <c r="B988" t="inlineStr">
        <is>
          <t>17 burps in a row without stopping. Can you beat that?</t>
        </is>
      </c>
      <c r="C988" t="inlineStr">
        <is>
          <t>If so, that's probably not a good thing.</t>
        </is>
      </c>
      <c r="D988" t="n">
        <v>9</v>
      </c>
      <c r="E988" t="n">
        <v>4</v>
      </c>
      <c r="F988">
        <f>HYPERLINK("https://www.reddit.com/r/GERD/comments/beqklg/17_burps_in_a_row_without_stopping_can_you_beat/")</f>
        <v/>
      </c>
      <c r="G988" t="inlineStr">
        <is>
          <t>2019-04-18 13:51:22</t>
        </is>
      </c>
      <c r="H988" t="inlineStr"/>
    </row>
    <row r="989">
      <c r="A989" t="inlineStr">
        <is>
          <t>berkce</t>
        </is>
      </c>
      <c r="B989" t="inlineStr">
        <is>
          <t>Had a TNE today.</t>
        </is>
      </c>
      <c r="C989" t="inlineStr">
        <is>
          <t>Had a TNE procedure today. Doc said they didn't see anything particularly concerning other than a little bit of inflammation in my esophagus. No signs of Barretts. Definitely not the most pleasant experience in my life but was totally bearable. The worst part by far was the brush biopsy. Will have results back at my next appointment in 3 weeks.</t>
        </is>
      </c>
      <c r="D989" t="n">
        <v>3</v>
      </c>
      <c r="E989" t="n">
        <v>3</v>
      </c>
      <c r="F989">
        <f>HYPERLINK("https://www.reddit.com/r/GERD/comments/berkce/had_a_tne_today/")</f>
        <v/>
      </c>
      <c r="G989" t="inlineStr">
        <is>
          <t>2019-04-18 15:21:09</t>
        </is>
      </c>
      <c r="H989" t="inlineStr"/>
    </row>
    <row r="990">
      <c r="A990" t="inlineStr">
        <is>
          <t>berzj3</t>
        </is>
      </c>
      <c r="B990" t="inlineStr">
        <is>
          <t>Endoscopy complete and I have no idea where to go now</t>
        </is>
      </c>
      <c r="C990" t="inlineStr">
        <is>
          <t>Thanks for all the support! I was so nervous before going in, and I laugh hysterically when I'm nervous. I sucked it up and before I knew it I was in recovery. My friend was taking pictures of me which are so creepy. The only problem is they didn't find anything. My insides look just the way they should. 
I guess i'm going to start and elimination diet and switch to sensitive toothpaste. I'll talk to my doc about getting off PPI. I just can't believe I'm all clear.</t>
        </is>
      </c>
      <c r="D990" t="n">
        <v>6</v>
      </c>
      <c r="E990" t="n">
        <v>6</v>
      </c>
      <c r="F990">
        <f>HYPERLINK("https://www.reddit.com/r/GERD/comments/berzj3/endoscopy_complete_and_i_have_no_idea_where_to_go/")</f>
        <v/>
      </c>
      <c r="G990" t="inlineStr">
        <is>
          <t>2019-04-18 15:58:13</t>
        </is>
      </c>
      <c r="H990" t="inlineStr"/>
    </row>
    <row r="991">
      <c r="A991" t="inlineStr">
        <is>
          <t>besgdf</t>
        </is>
      </c>
      <c r="B991" t="inlineStr">
        <is>
          <t>Why does acid reflux make me burp so much?</t>
        </is>
      </c>
      <c r="C991" t="inlineStr">
        <is>
          <t>I burp so much throughout the day. Especially after a meal. Does anybody have an idea why acid reflux would cause excessive burping?</t>
        </is>
      </c>
      <c r="D991" t="n">
        <v>2</v>
      </c>
      <c r="E991" t="n">
        <v>7</v>
      </c>
      <c r="F991">
        <f>HYPERLINK("https://www.reddit.com/r/GERD/comments/besgdf/why_does_acid_reflux_make_me_burp_so_much/")</f>
        <v/>
      </c>
      <c r="G991" t="inlineStr">
        <is>
          <t>2019-04-18 16:41:12</t>
        </is>
      </c>
      <c r="H991" t="inlineStr"/>
    </row>
    <row r="992">
      <c r="A992" t="inlineStr">
        <is>
          <t>besu6g</t>
        </is>
      </c>
      <c r="B992" t="inlineStr">
        <is>
          <t>Walking made GERD better</t>
        </is>
      </c>
      <c r="C992" t="inlineStr">
        <is>
          <t>I was having pain in my chest from GERD and thought maybe walking my dog at the park would give some relief and it did! Try walking if you are suffering and drink a lot of water to soothe the esophagus. I took no meds today but I’m sure I’ll need them again.</t>
        </is>
      </c>
      <c r="D992" t="n">
        <v>8</v>
      </c>
      <c r="E992" t="n">
        <v>3</v>
      </c>
      <c r="F992">
        <f>HYPERLINK("https://www.reddit.com/r/GERD/comments/besu6g/walking_made_gerd_better/")</f>
        <v/>
      </c>
      <c r="G992" t="inlineStr">
        <is>
          <t>2019-04-18 17:19:18</t>
        </is>
      </c>
      <c r="H992" t="inlineStr"/>
    </row>
    <row r="993">
      <c r="A993" t="inlineStr">
        <is>
          <t>beszm4</t>
        </is>
      </c>
      <c r="B993" t="inlineStr">
        <is>
          <t>Breathing exercises</t>
        </is>
      </c>
      <c r="C993" t="inlineStr">
        <is>
          <t>I've had GERD for a couple of years, been on osemaprazole 20mg a day for idk how long now, too long. Really want to cut down on it but whenever I do I get reflux again - just burning in the bottom of my throat.
&amp;amp;#x200B;
 I've noticed over the past couple of days that deep, focused breathing seems to be able to stop the burn moving up my throat. I don't know if other people have that too - like you can feel when it's about to start burning and come up your throat? Anyway, my question is this:  has anyone had success with breathing exercises etc to control GERD? I always thought stuff like this was total BS but just noticing that it has had a minor impact on my symptoms makes me think it's worth considering.</t>
        </is>
      </c>
      <c r="D993" t="n">
        <v>10</v>
      </c>
      <c r="E993" t="n">
        <v>6</v>
      </c>
      <c r="F993">
        <f>HYPERLINK("https://www.reddit.com/r/GERD/comments/beszm4/breathing_exercises/")</f>
        <v/>
      </c>
      <c r="G993" t="inlineStr">
        <is>
          <t>2019-04-18 17:34:23</t>
        </is>
      </c>
      <c r="H993" t="inlineStr"/>
    </row>
    <row r="994">
      <c r="A994" t="inlineStr">
        <is>
          <t>bets8i</t>
        </is>
      </c>
      <c r="B994" t="inlineStr">
        <is>
          <t>Has anyone ever actually died from breathing problems caused by GERD?</t>
        </is>
      </c>
      <c r="C994" t="inlineStr">
        <is>
          <t>The feeling makes you think you’re going to die, hard to breathe feeling, feeling you can’t breathe enough, and it gets worse and worse.
Can you actually die from that? Lack of oxygen? Stopped breathing? Depression?</t>
        </is>
      </c>
      <c r="D994" t="n">
        <v>1</v>
      </c>
      <c r="E994" t="n">
        <v>12</v>
      </c>
      <c r="F994">
        <f>HYPERLINK("https://www.reddit.com/r/GERD/comments/bets8i/has_anyone_ever_actually_died_from_breathing/")</f>
        <v/>
      </c>
      <c r="G994" t="inlineStr">
        <is>
          <t>2019-04-18 18:57:12</t>
        </is>
      </c>
      <c r="H994" t="inlineStr"/>
    </row>
    <row r="995">
      <c r="A995" t="inlineStr">
        <is>
          <t>beu4j5</t>
        </is>
      </c>
      <c r="B995" t="inlineStr">
        <is>
          <t>Dr. wants me to take 20 mg Omeprazle daily going forward...what are the long term health effects going to be?</t>
        </is>
      </c>
      <c r="C995" t="inlineStr">
        <is>
          <t>Kind of scared as it sounds like I will be on this for a year at least</t>
        </is>
      </c>
      <c r="D995" t="n">
        <v>3</v>
      </c>
      <c r="E995" t="n">
        <v>14</v>
      </c>
      <c r="F995">
        <f>HYPERLINK("https://www.reddit.com/r/GERD/comments/beu4j5/dr_wants_me_to_take_20_mg_omeprazle_daily_going/")</f>
        <v/>
      </c>
      <c r="G995" t="inlineStr">
        <is>
          <t>2019-04-18 19:34:18</t>
        </is>
      </c>
      <c r="H995" t="inlineStr"/>
    </row>
    <row r="996">
      <c r="A996" t="inlineStr">
        <is>
          <t>bevfdc</t>
        </is>
      </c>
      <c r="B996" t="inlineStr">
        <is>
          <t>mucinex and pepto bismol</t>
        </is>
      </c>
      <c r="C996" t="inlineStr">
        <is>
          <t>mucinex and pepto bismol (separate or together) are they only things that have helped my shortness of breath and chest cough/ tightness from GERD.  not sure if this means these symptoms are also caused by allergy (possible) but I'm glad something cheap and otc has given tons of relief, wanted to pass it on!</t>
        </is>
      </c>
      <c r="D996" t="n">
        <v>0</v>
      </c>
      <c r="E996" t="n">
        <v>2</v>
      </c>
      <c r="F996">
        <f>HYPERLINK("https://www.reddit.com/r/GERD/comments/bevfdc/mucinex_and_pepto_bismol/")</f>
        <v/>
      </c>
      <c r="G996" t="inlineStr">
        <is>
          <t>2019-04-18 22:06:58</t>
        </is>
      </c>
      <c r="H996" t="inlineStr"/>
    </row>
    <row r="997">
      <c r="A997" t="inlineStr">
        <is>
          <t>bf06vb</t>
        </is>
      </c>
      <c r="B997" t="inlineStr">
        <is>
          <t>Help understanding H2s/PPIs</t>
        </is>
      </c>
      <c r="C997" t="inlineStr">
        <is>
          <t>So this post is to help collect my thoughts and hopefully get some advice on my GERD. 
I started showing symptoms back in January and immediately started on prilosec which alleviated my symptoms for the first 4 days. However, I hadn't changed my diet and on day 4 I caught the flu and developed a stomach ulcer at the same time, which left me sick for about 4 days where I could barely eat a thing. After that though my symptoms disappeared completely so life returned to normal for 2 months.
I had symptoms again around the beginning of spring and took nexium this time. I was more careful this time around and kept a good diet, but I still got sick 4 days into it. I kept with the nexium this time and went all 14 days, despite the terrible side effects, and its easy to say it did nothing as I still have it in mid april. 
I'm on pepcid right now and the effects of it have been wearing off between the past 2 days. However I've been taking in a bad diet recently with caffeine after being cautious the first few days, so I'm assuming that's the reason why. The spring allergies have been going away now, which has affected my condition, but I'm now worried about potential LPR given that my cough hasn't gone away.
So my main questions are these: what am I expecting to get out of a ppi? Should I keep myself restricted to my usual diet during this period? How long does it take for the stomach to heal? And given my case with the ppis, what should I be worried about when taking them? Thanks.</t>
        </is>
      </c>
      <c r="D997" t="n">
        <v>5</v>
      </c>
      <c r="E997" t="n">
        <v>1</v>
      </c>
      <c r="F997">
        <f>HYPERLINK("https://www.reddit.com/r/GERD/comments/bf06vb/help_understanding_h2sppis/")</f>
        <v/>
      </c>
      <c r="G997" t="inlineStr">
        <is>
          <t>2019-04-19 08:08:53</t>
        </is>
      </c>
      <c r="H997" t="inlineStr"/>
    </row>
    <row r="998">
      <c r="A998" t="inlineStr">
        <is>
          <t>bf2xj1</t>
        </is>
      </c>
      <c r="B998" t="inlineStr">
        <is>
          <t>A plea for help!</t>
        </is>
      </c>
      <c r="C998" t="inlineStr">
        <is>
          <t>I have been on PPIs for about eight years now. For most of that time I was on omeprazole. About five months ago it stopped working suddenly. Now I am on lansoprazole and it is working somewhat. Has anyone else ever experienced a ppi stop working after it worked for so long?</t>
        </is>
      </c>
      <c r="D998" t="n">
        <v>5</v>
      </c>
      <c r="E998" t="n">
        <v>6</v>
      </c>
      <c r="F998">
        <f>HYPERLINK("https://www.reddit.com/r/GERD/comments/bf2xj1/a_plea_for_help/")</f>
        <v/>
      </c>
      <c r="G998" t="inlineStr">
        <is>
          <t>2019-04-19 12:02:38</t>
        </is>
      </c>
      <c r="H998" t="inlineStr"/>
    </row>
    <row r="999">
      <c r="A999" t="inlineStr">
        <is>
          <t>bf5pjz</t>
        </is>
      </c>
      <c r="B999" t="inlineStr">
        <is>
          <t>I was right?</t>
        </is>
      </c>
      <c r="C999" t="inlineStr">
        <is>
          <t>So I have been back to a different  doctor and described all the pains etc I’ve Ben having for months. He made me take a poo sample, and asked me what I though should happen (???)I said I think acid reflux at least should be looked into and he prescribed me omeprozole. 4 days in. No pains at all. I’m touching wood but this could be the reason and the cure and I’m just so happy to be pain free for 4 days!!!!</t>
        </is>
      </c>
      <c r="D999" t="n">
        <v>3</v>
      </c>
      <c r="E999" t="n">
        <v>1</v>
      </c>
      <c r="F999">
        <f>HYPERLINK("https://www.reddit.com/r/GERD/comments/bf5pjz/i_was_right/")</f>
        <v/>
      </c>
      <c r="G999" t="inlineStr">
        <is>
          <t>2019-04-19 16:16:30</t>
        </is>
      </c>
      <c r="H999" t="inlineStr"/>
    </row>
    <row r="1000">
      <c r="A1000" t="inlineStr">
        <is>
          <t>bf6kd1</t>
        </is>
      </c>
      <c r="B1000" t="inlineStr">
        <is>
          <t>Constant nausea for almost 5 months</t>
        </is>
      </c>
      <c r="C1000" t="inlineStr">
        <is>
          <t>Basically I have had heartburn for years - never went to the doctor or anything until December when I slowly began to be nauseous every day. It was 100% constant for a few weeks in the middle of it - however, now I am almost not nauseous at all in the mornings then the nausea comes later in the day and stays there. 
The heartburn is gone after I started using Pantaprazole 40 mg a day, it has been fine for months now (I tried to stop taking these and I puked) (nausea and heartburn still there)
Yesterday I read about GERD and some of it sounded like my problems..? 
When I lay in bed directly on my back with my head up it feels slightly better
Chewing gum/sweets makes the nausea bareable and gets me through the day. If I don’t do this I think I would puke every day...
I have a gastroscopy appointment but it’s not until 3 weeks.. do you guys think it’s GERD?
 I was given Stemetil for the nausea and it did not help at all even when taking two 5 mg pills 3 times a day.. I stopped taking these.
I also have ulcerative colitis and the doctors thought it was related to it, however that is under control by the right meds now, so I believe it’s something else (like GERD)
Any help or thoughts appreiciated!</t>
        </is>
      </c>
      <c r="D1000" t="n">
        <v>5</v>
      </c>
      <c r="E1000" t="n">
        <v>8</v>
      </c>
      <c r="F1000">
        <f>HYPERLINK("https://www.reddit.com/r/GERD/comments/bf6kd1/constant_nausea_for_almost_5_months/")</f>
        <v/>
      </c>
      <c r="G1000" t="inlineStr">
        <is>
          <t>2019-04-19 17:47:01</t>
        </is>
      </c>
      <c r="H1000" t="inlineStr"/>
    </row>
    <row r="1001">
      <c r="A1001" t="inlineStr">
        <is>
          <t>bf77s6</t>
        </is>
      </c>
      <c r="B1001" t="inlineStr">
        <is>
          <t>is this acid reflux?</t>
        </is>
      </c>
      <c r="C1001" t="inlineStr">
        <is>
          <t>for a few months, I have been experiencing constant stomach pains and nausea so I went and got an upper endoscopy done and they told my parents that I am acidic.
I am a bit confused if acidic and acid reflux is the same thing and for the past few days, I felt constant nausea after eating or when I’m hungry but never any typical “burning” sensations in my chest, just nausea that gets relieved at times after a burp.
any advice on what this might be or if it is acid reflux?</t>
        </is>
      </c>
      <c r="D1001" t="n">
        <v>2</v>
      </c>
      <c r="E1001" t="n">
        <v>1</v>
      </c>
      <c r="F1001">
        <f>HYPERLINK("https://www.reddit.com/r/GERD/comments/bf77s6/is_this_acid_reflux/")</f>
        <v/>
      </c>
      <c r="G1001" t="inlineStr">
        <is>
          <t>2019-04-19 18:58:35</t>
        </is>
      </c>
      <c r="H1001" t="inlineStr"/>
    </row>
    <row r="1002">
      <c r="A1002" t="inlineStr">
        <is>
          <t>bf7aqx</t>
        </is>
      </c>
      <c r="B1002" t="inlineStr">
        <is>
          <t>I had a gerd attack, and it put me in a panic attack.</t>
        </is>
      </c>
      <c r="C1002" t="inlineStr">
        <is>
          <t>So today in the morning, I was going to the bathroom (diarrhea) Afterwards I was dehyrdated so I drank some water, but the reflux was so strong. I also then start to have this numbness feeling in the head which started scaring me, and irritation in the throat. I felt like i was going to faint. I complained to my doctors about this, and they check me out, did test, examinations. They say I'm healthy, and all I have is an stomach ulcer and gastroparesis. I know gerd is annoying, but this numbness in my head feeling I get in my head, is very scary. Someone on reddit said I had a condtion called occipital neuralgia.</t>
        </is>
      </c>
      <c r="D1002" t="n">
        <v>4</v>
      </c>
      <c r="E1002" t="n">
        <v>9</v>
      </c>
      <c r="F1002">
        <f>HYPERLINK("https://www.reddit.com/r/GERD/comments/bf7aqx/i_had_a_gerd_attack_and_it_put_me_in_a_panic/")</f>
        <v/>
      </c>
      <c r="G1002" t="inlineStr">
        <is>
          <t>2019-04-19 19:07:53</t>
        </is>
      </c>
      <c r="H1002" t="inlineStr"/>
    </row>
    <row r="1003">
      <c r="A1003" t="inlineStr">
        <is>
          <t>bf84b1</t>
        </is>
      </c>
      <c r="B1003" t="inlineStr">
        <is>
          <t>Zantac at night?</t>
        </is>
      </c>
      <c r="C1003" t="inlineStr">
        <is>
          <t>I know that some doctors recommend taking Zantac at night and I've done that before. 
However, I thought we weren't supposed to have water or anything within two or three hours at bedtime? Does that include Zantac or melatonin?</t>
        </is>
      </c>
      <c r="D1003" t="n">
        <v>2</v>
      </c>
      <c r="E1003" t="n">
        <v>4</v>
      </c>
      <c r="F1003">
        <f>HYPERLINK("https://www.reddit.com/r/GERD/comments/bf84b1/zantac_at_night/")</f>
        <v/>
      </c>
      <c r="G1003" t="inlineStr">
        <is>
          <t>2019-04-19 20:46:18</t>
        </is>
      </c>
      <c r="H1003" t="inlineStr"/>
    </row>
    <row r="1004">
      <c r="A1004" t="inlineStr">
        <is>
          <t>bf85xb</t>
        </is>
      </c>
      <c r="B1004" t="inlineStr">
        <is>
          <t>Heartburn causing wheezing and coughing.</t>
        </is>
      </c>
      <c r="C1004" t="inlineStr">
        <is>
          <t>After having bronchitis in February every time I get heartburn I have a coughing fest that causes me to wheeze for a while. I'm currently taking Zantac for it, but after seeing my doctor and letting her know about my symptoms she is starting me on Nexium/Omeprazole. Does anyone else experience wheezing after a flare up/reflux?</t>
        </is>
      </c>
      <c r="D1004" t="n">
        <v>6</v>
      </c>
      <c r="E1004" t="n">
        <v>1</v>
      </c>
      <c r="F1004">
        <f>HYPERLINK("https://www.reddit.com/r/GERD/comments/bf85xb/heartburn_causing_wheezing_and_coughing/")</f>
        <v/>
      </c>
      <c r="G1004" t="inlineStr">
        <is>
          <t>2019-04-19 20:51:57</t>
        </is>
      </c>
      <c r="H1004" t="inlineStr"/>
    </row>
    <row r="1005">
      <c r="A1005" t="inlineStr">
        <is>
          <t>bf8q59</t>
        </is>
      </c>
      <c r="B1005" t="inlineStr">
        <is>
          <t>Could antibiotics (amoxicillin) still be causing symptoms a week later? Anyone had long-term effects from these?</t>
        </is>
      </c>
      <c r="C1005" t="inlineStr">
        <is>
          <t>I stopped taking them last Saturday.  Today, nearly a week later, I had upset stomach all afternoon plus nausea in the evening (still feel it now).  Before taking the antibiotics I hadn't had any significant stomach symptoms in several weeks.  Could I really still be suffering the after-effects of these pills, or is it probably something else?</t>
        </is>
      </c>
      <c r="D1005" t="n">
        <v>1</v>
      </c>
      <c r="E1005" t="n">
        <v>3</v>
      </c>
      <c r="F1005">
        <f>HYPERLINK("https://www.reddit.com/r/GERD/comments/bf8q59/could_antibiotics_amoxicillin_still_be_causing/")</f>
        <v/>
      </c>
      <c r="G1005" t="inlineStr">
        <is>
          <t>2019-04-19 22:03:58</t>
        </is>
      </c>
      <c r="H1005" t="inlineStr"/>
    </row>
    <row r="1006">
      <c r="A1006" t="inlineStr">
        <is>
          <t>bf8qs2</t>
        </is>
      </c>
      <c r="B1006" t="inlineStr">
        <is>
          <t>rabeprazole SIDE EFFECTS</t>
        </is>
      </c>
      <c r="C1006" t="inlineStr">
        <is>
          <t>Can with anyone with GERD who has taken rabeprazole tel me about the side effects they dealt with (if any) and if rabeprazole was helpful at quelling nausea ????</t>
        </is>
      </c>
      <c r="D1006" t="n">
        <v>3</v>
      </c>
      <c r="E1006" t="n">
        <v>8</v>
      </c>
      <c r="F1006">
        <f>HYPERLINK("https://www.reddit.com/r/GERD/comments/bf8qs2/rabeprazole_side_effects/")</f>
        <v/>
      </c>
      <c r="G1006" t="inlineStr">
        <is>
          <t>2019-04-19 22:06:11</t>
        </is>
      </c>
      <c r="H1006" t="inlineStr"/>
    </row>
    <row r="1007">
      <c r="A1007" t="inlineStr">
        <is>
          <t>bfcwo4</t>
        </is>
      </c>
      <c r="B1007" t="inlineStr">
        <is>
          <t>I'm scared...hiatal hernia?</t>
        </is>
      </c>
      <c r="C1007" t="inlineStr">
        <is>
          <t>Since yesterday afternoon I have been dealing with not being able to take a deep breath, wheezing, coughing, and a general feeling of fullness. I have taken Protonix and Carafate this morning. Last night I took a Zantac, Gas X and Pepto. Nothing has really helped. My husband just tried to massage my stomach back into place and it helped a bit but I'm still struggling to get a deep breath. We just moved and I have lots of things to do on top of the fact that I start a new job on Monday! Any suggestions are welcome. I can't stand when this happens! It doesn't happen often but when it does it is worse than the last time.</t>
        </is>
      </c>
      <c r="D1007" t="n">
        <v>6</v>
      </c>
      <c r="E1007" t="n">
        <v>12</v>
      </c>
      <c r="F1007">
        <f>HYPERLINK("https://www.reddit.com/r/GERD/comments/bfcwo4/im_scaredhiatal_hernia/")</f>
        <v/>
      </c>
      <c r="G1007" t="inlineStr">
        <is>
          <t>2019-04-20 07:44:19</t>
        </is>
      </c>
      <c r="H1007" t="inlineStr"/>
    </row>
    <row r="1008">
      <c r="A1008" t="inlineStr">
        <is>
          <t>bfgiht</t>
        </is>
      </c>
      <c r="B1008" t="inlineStr">
        <is>
          <t>Need help</t>
        </is>
      </c>
      <c r="C1008" t="inlineStr">
        <is>
          <t>So for the last 3 months if not more, I've  been suffering  from stomach pain, shortness of breath, heart palpitation, some acid coming out of my stomach and pain in my chest ( heart area )  
I'm 18 yo and I've been trying to better my lifestyle, I didn't have fast food or sugary drinks for almost 1-2 years now.  
but that seems to be useless as i'm suffering more than people who eat junk food daily.   
One day I thought I was having a heart attack as my shortness of breath was getting too much, I went to the hospital and I had ECG scan and ECHO scan for my heart  and they said everything is fine. I went home and symptoms are still the same, so I went again and had a lung function test and x ray for my chest, again they said everything is fine. I still called bs and went to a general doctor who told me I had H.pylori and GERD. I had no other choice but to believe him as he was the only person  to give me a reason for my symptoms. So he gave me some medicine like antibiotics and acid reducing type of medicine.  
I  took them for 2 weeks  and I felt better, I used to  go to the bathroom only once every 3 days my entire life, but now it's daily which is new to me, but my shortness of breath presists. So I waited  for a week waiting to see if the medicine  will help with my shortness  of breath and one night I had a panic attack as I thought I was having a heart attack because of heart palpitation raising my anxiety and chest pain with a lot of shortness of breath.  
I went back to the same docotor and he just told me I had GERD and told me to take some medicine he prescribed to me.  
So here I am here confused and lost in thoughts as I don't know whether to believe him or not.   
I would go to a gastroenterologist but they're mad expensive.  So what do you guys think? Could GERD actually do all of  this? what should I do, should I listen to the doctor? Could he be wrong?  
Also, I had kidney stones and I had them treated, this happened after my symptoms suddenly flared up after I ate pastery at night before bed. idk if this matters, but might as well include it.  
Thank you all in advance.</t>
        </is>
      </c>
      <c r="D1008" t="n">
        <v>2</v>
      </c>
      <c r="E1008" t="n">
        <v>2</v>
      </c>
      <c r="F1008">
        <f>HYPERLINK("https://www.reddit.com/r/GERD/comments/bfgiht/need_help/")</f>
        <v/>
      </c>
      <c r="G1008" t="inlineStr">
        <is>
          <t>2019-04-20 13:10:58</t>
        </is>
      </c>
      <c r="H1008" t="inlineStr"/>
    </row>
    <row r="1009">
      <c r="A1009" t="inlineStr">
        <is>
          <t>bfh3ju</t>
        </is>
      </c>
      <c r="B1009" t="inlineStr">
        <is>
          <t>help for hiatal hernia and ulcers</t>
        </is>
      </c>
      <c r="C1009" t="inlineStr">
        <is>
          <t>Had an endoscopy/colonoscopy yesterday after months of bad gastro issues (abdominal and chest pain, vomiting, diarrhea, etc) and found out I have a hiatal hernia and 2 ulcers and gastritis. I’m glad that I can finally put a name to what I’ve been feeling but am a little overwhelmed about where to go from here.
I’ve been looking into the GERD diet and more on how to heal the ulcers. My GI doctor prescribed me Pantoprazole to help which I picked up today.
I would love any recommendations for resources/books/cookbooks, etc to help me figure out how to finally start feeling better! Thanks :)</t>
        </is>
      </c>
      <c r="D1009" t="n">
        <v>2</v>
      </c>
      <c r="E1009" t="n">
        <v>3</v>
      </c>
      <c r="F1009">
        <f>HYPERLINK("https://www.reddit.com/r/GERD/comments/bfh3ju/help_for_hiatal_hernia_and_ulcers/")</f>
        <v/>
      </c>
      <c r="G1009" t="inlineStr">
        <is>
          <t>2019-04-20 14:07:11</t>
        </is>
      </c>
      <c r="H1009" t="inlineStr"/>
    </row>
    <row r="1010">
      <c r="A1010" t="inlineStr">
        <is>
          <t>bfhpn6</t>
        </is>
      </c>
      <c r="B1010" t="inlineStr">
        <is>
          <t>Does smoking marijuana help cause GERD?</t>
        </is>
      </c>
      <c r="C1010" t="inlineStr">
        <is>
          <t>I know refraining from smoking cigarettes is typical advice for folks trying to get rid of GERD. I do not consume tobacco, but regularly smoke marijuana. Could this potentially be causing or maintaining my GERD symptoms ? Or is it more a function of tobacco or nicotine as to why it's always said to refrain from smoking ?</t>
        </is>
      </c>
      <c r="D1010" t="n">
        <v>0</v>
      </c>
      <c r="E1010" t="n">
        <v>9</v>
      </c>
      <c r="F1010">
        <f>HYPERLINK("https://www.reddit.com/r/GERD/comments/bfhpn6/does_smoking_marijuana_help_cause_gerd/")</f>
        <v/>
      </c>
      <c r="G1010" t="inlineStr">
        <is>
          <t>2019-04-20 15:07:08</t>
        </is>
      </c>
      <c r="H1010" t="inlineStr"/>
    </row>
    <row r="1011">
      <c r="A1011" t="inlineStr">
        <is>
          <t>bfiajo</t>
        </is>
      </c>
      <c r="B1011" t="inlineStr">
        <is>
          <t>Anything that can cure me?</t>
        </is>
      </c>
      <c r="C1011" t="inlineStr">
        <is>
          <t>I’m 18 years old and 10 months ago I started puking every morning, I went to my doctor but my mom kinda made the doctor think it was just anxiety so I started taking anti-anxiety medication.
Fast forward to last week and I drove myself to the ER because I thought I was having a heart attack, after a few tests the doctors told me I most likely have GERD. 
I really don’t wanna live with this my entire life, is there anything that can completely cure my symptoms or is it already set in stone?</t>
        </is>
      </c>
      <c r="D1011" t="n">
        <v>0</v>
      </c>
      <c r="E1011" t="n">
        <v>17</v>
      </c>
      <c r="F1011">
        <f>HYPERLINK("https://www.reddit.com/r/GERD/comments/bfiajo/anything_that_can_cure_me/")</f>
        <v/>
      </c>
      <c r="G1011" t="inlineStr">
        <is>
          <t>2019-04-20 16:07:20</t>
        </is>
      </c>
      <c r="H1011" t="inlineStr"/>
    </row>
    <row r="1012">
      <c r="A1012" t="inlineStr">
        <is>
          <t>bfiid8</t>
        </is>
      </c>
      <c r="B1012" t="inlineStr">
        <is>
          <t>Bone and joints pain from Pantoprazole?</t>
        </is>
      </c>
      <c r="C1012" t="inlineStr">
        <is>
          <t>I thought it was all in my head, but I felt discomfort in my legs going up the stairs, now my chest hurts, the pain feels like my muscle or ribcage or something, and now I’m feeling back pain in certain areas if I’m arched awkwardly.
Anyone who’s taking Pantoprazole, have you experienced bone/joints pain?</t>
        </is>
      </c>
      <c r="D1012" t="n">
        <v>2</v>
      </c>
      <c r="E1012" t="n">
        <v>6</v>
      </c>
      <c r="F1012">
        <f>HYPERLINK("https://www.reddit.com/r/GERD/comments/bfiid8/bone_and_joints_pain_from_pantoprazole/")</f>
        <v/>
      </c>
      <c r="G1012" t="inlineStr">
        <is>
          <t>2019-04-20 16:30:30</t>
        </is>
      </c>
      <c r="H1012" t="inlineStr"/>
    </row>
    <row r="1013">
      <c r="A1013" t="inlineStr">
        <is>
          <t>bfiodh</t>
        </is>
      </c>
      <c r="B1013" t="inlineStr">
        <is>
          <t>Is it okay to take prevacid daily?</t>
        </is>
      </c>
      <c r="C1013" t="inlineStr">
        <is>
          <t>So I was diagnosed with GERD ever since I was little, and I am now 21.  I had been taking prevacid just about daily up until last summer when they made it prescription-only.  I switched to generic lansoprazole, which gave me with symptoms like dizziness and whatnot, and I now want to switch back.  Is it normal for people with GERD to take prevacid daily even though the label says to only take it for 14 days at a time?
Bonus question: WHY THE HELL IS ANXIETY DIRECTLY CORRELATED WITH GERD? I've been struggling with anxiety hardcore recently and I have many of the symptoms that a lot of other people post on here as well, but I REALLY don't want to hop on any SSRI's (which have already been precribed to me)</t>
        </is>
      </c>
      <c r="D1013" t="n">
        <v>2</v>
      </c>
      <c r="E1013" t="n">
        <v>1</v>
      </c>
      <c r="F1013">
        <f>HYPERLINK("https://www.reddit.com/r/GERD/comments/bfiodh/is_it_okay_to_take_prevacid_daily/")</f>
        <v/>
      </c>
      <c r="G1013" t="inlineStr">
        <is>
          <t>2019-04-20 16:47:35</t>
        </is>
      </c>
      <c r="H1013" t="inlineStr"/>
    </row>
    <row r="1014">
      <c r="A1014" t="inlineStr">
        <is>
          <t>bfjkdx</t>
        </is>
      </c>
      <c r="B1014" t="inlineStr">
        <is>
          <t>Casual conversation: anyone feels like their cough taste like iron/wound..?</t>
        </is>
      </c>
      <c r="C1014" t="inlineStr">
        <is>
          <t>I threw up from GERD (as per usual) last week. I've been coughing up weird blood taste since. Anyone else has this happened before?</t>
        </is>
      </c>
      <c r="D1014" t="n">
        <v>7</v>
      </c>
      <c r="E1014" t="n">
        <v>4</v>
      </c>
      <c r="F1014">
        <f>HYPERLINK("https://www.reddit.com/r/GERD/comments/bfjkdx/casual_conversation_anyone_feels_like_their_cough/")</f>
        <v/>
      </c>
      <c r="G1014" t="inlineStr">
        <is>
          <t>2019-04-20 18:23:22</t>
        </is>
      </c>
      <c r="H1014" t="inlineStr"/>
    </row>
    <row r="1015">
      <c r="A1015" t="inlineStr">
        <is>
          <t>bfon3i</t>
        </is>
      </c>
      <c r="B1015" t="inlineStr">
        <is>
          <t>Stomach Acid Test to determine low/high acid?</t>
        </is>
      </c>
      <c r="C1015" t="inlineStr">
        <is>
          <t>I recently starting seeing an amazing NP who was trained by a famous Lyme Specialist, Richard Horowitz, who wrote a few books on Lyme disease. She wants to treat my GERD so I can take and absorb my treatments better and she told me to do the Baking Soda Stomach Acid Test:
1/4 tsp Baking Soda mixed with 4-6 oz cold water, taken first thing in the morning before eating or drinking anything. Wait to see how long before you burp.
- Under 3 min: Good amount of stomach acid
- 3-5 min: Low stomach acid
- Over 5 minutes (or not at all): very low stomach acid
This test works by creating a unique chemical reaction within your stomach that occurs when you mix the OH- ions of the baking soda with the hydrogen (H+) ions within the bodies stomach acid (HCL).  The natural results should be a carbon dioxide gas production which will cause a burping effect.
The test needs to be done on 3 consecutive days to determine an average result. Has anyone tried this? My significant other and I, did this this morning and both of us took about 10+ minutes to burp. If it's determined that I have low stomach acid, she recommended I start taking Betaine HCL.
Has anyone ever tried this test? Any comments would be appreciated.</t>
        </is>
      </c>
      <c r="D1015" t="n">
        <v>2</v>
      </c>
      <c r="E1015" t="n">
        <v>10</v>
      </c>
      <c r="F1015">
        <f>HYPERLINK("https://www.reddit.com/r/GERD/comments/bfon3i/stomach_acid_test_to_determine_lowhigh_acid/")</f>
        <v/>
      </c>
      <c r="G1015" t="inlineStr">
        <is>
          <t>2019-04-21 06:10:26</t>
        </is>
      </c>
      <c r="H1015" t="inlineStr"/>
    </row>
    <row r="1016">
      <c r="A1016" t="inlineStr">
        <is>
          <t>bfpskt</t>
        </is>
      </c>
      <c r="B1016" t="inlineStr">
        <is>
          <t>Acupuncture for LPR</t>
        </is>
      </c>
      <c r="C1016" t="inlineStr">
        <is>
          <t>Hello, my fellow GERD-sufferers. I tried acupuncture for LPR last Wednesday and was **not** expecting to have great results but it's Sunday today and I'm still feeling better than I have in a long time. 
&amp;amp;#x200B;
I was diagnosed with LRP 8 years ago and my main symptoms have consistently been sore throat, lots of mucus, cough, ear discomfort, sinus pressure, and the symptom that finally got me to want to try something new: breathing difficulties, shortness of breath (I'm a runner and it's been starting to affect my ability to exercise). 
&amp;amp;#x200B;
Honestly, the acupuncturist didn't even know what LPR was so I was expecting to be disappointed. After she was done, I asked her what she focused on and she explained that in Traditional Chinese Medicine (TCM), they believe the body has energetic meridians that work either in balance or out of balance. So as opposed to Western Medicine that thinks of the overproduction of acid as the root cause of GERD, TCM principles specify that reflux esophagitis is often due to dysfunction of the stomach, liver, and spleen so she targeted those areas to rectify balance to the whole system. (Read more [here](https://www.healthcmi.com/Acupuncture-Continuing-Education-News/1776-acupuncture-plus-herbs-beats-acid-reflux-drug)). 
&amp;amp;#x200B;
TBH, I have no idea what any of it means or what she was talking about, but I will say that I went on a run on Friday and then again yesterday and my breathing was completely restored. I also ate BBQ chicken on Wednesday after my treatment (bbq sauce is usually a trigger for me) and woke up feeling totally fine. I'm going back on Wednesday for a second treatment and it feels promising. 
&amp;amp;#x200B;
For more background, the only other treatments I have used (with some relief) are Zantac (as needed), probiotics, and I drink about a bottle of Apple Cider Vinegar a month lol. 
&amp;amp;#x200B;
TL;DR Acupuncture seems to have helped with my LPR (mainly, it cleared up breathing difficulties and I have had barely any symptoms for four days now). Will keep everyone updated!</t>
        </is>
      </c>
      <c r="D1016" t="n">
        <v>1</v>
      </c>
      <c r="E1016" t="n">
        <v>0</v>
      </c>
      <c r="F1016">
        <f>HYPERLINK("https://www.reddit.com/r/GERD/comments/bfpskt/acupuncture_for_lpr/")</f>
        <v/>
      </c>
      <c r="G1016" t="inlineStr">
        <is>
          <t>2019-04-21 08:11:50</t>
        </is>
      </c>
      <c r="H1016" t="inlineStr"/>
    </row>
    <row r="1017">
      <c r="A1017" t="inlineStr">
        <is>
          <t>bfszis</t>
        </is>
      </c>
      <c r="B1017" t="inlineStr">
        <is>
          <t>Anyone here have reflux triggered by a cold/flu?</t>
        </is>
      </c>
      <c r="C1017" t="inlineStr">
        <is>
          <t>Hey everyone. I recently had an awful, awful two-week cold. I had to get tested for the flu (negative), and had horrible post-nasal drip for two weeks straight. I had a fever and probably took too much Advil so I could work. I took Mucinex daily as well.
After my cold subsided, I started having reflux problems. Burning sensation in my esophagus, sore throat when I wake up, heartburn whenever I lay down. Certain foods have started to trigger me as well.
I am seeing a GI doc and am scheduled for an endoscopy next Saturday. I was wondering if anyone else had experienced reflux after a cold and if the reflux was temporary.</t>
        </is>
      </c>
      <c r="D1017" t="n">
        <v>3</v>
      </c>
      <c r="E1017" t="n">
        <v>18</v>
      </c>
      <c r="F1017">
        <f>HYPERLINK("https://www.reddit.com/r/GERD/comments/bfszis/anyone_here_have_reflux_triggered_by_a_coldflu/")</f>
        <v/>
      </c>
      <c r="G1017" t="inlineStr">
        <is>
          <t>2019-04-21 13:06:01</t>
        </is>
      </c>
      <c r="H1017" t="inlineStr"/>
    </row>
    <row r="1018">
      <c r="A1018" t="inlineStr">
        <is>
          <t>bg48d1</t>
        </is>
      </c>
      <c r="B1018" t="inlineStr">
        <is>
          <t>Where can I get omeprazole in 10 mg form?</t>
        </is>
      </c>
      <c r="C1018" t="inlineStr">
        <is>
          <t>I'm taking 20 mg, but would like to reduce and ween myself off, but can't find anything under 20 mg over the counter?</t>
        </is>
      </c>
      <c r="D1018" t="n">
        <v>2</v>
      </c>
      <c r="E1018" t="n">
        <v>9</v>
      </c>
      <c r="F1018">
        <f>HYPERLINK("https://www.reddit.com/r/GERD/comments/bg48d1/where_can_i_get_omeprazole_in_10_mg_form/")</f>
        <v/>
      </c>
      <c r="G1018" t="inlineStr">
        <is>
          <t>2019-04-22 09:39:01</t>
        </is>
      </c>
      <c r="H1018" t="inlineStr"/>
    </row>
    <row r="1019">
      <c r="A1019" t="inlineStr">
        <is>
          <t>bg4x89</t>
        </is>
      </c>
      <c r="B1019" t="inlineStr">
        <is>
          <t>Is it GERD? Mild heartburn feeling for 1 week or so.</t>
        </is>
      </c>
      <c r="C1019" t="inlineStr">
        <is>
          <t>Seeing a doctor if it doesn't go away, but current symptoms:  
36/f  
Have been suffering with on-going health related anxiety, started two years ago.  
A month or so ago, was noticing little 'catches' in my throat every so often. Almost like a palpitation but not quite. At first I thought it was my heart, but it always seemed relatively steady when I took my pulse. It also seemed like I couldn't take in a full breath of air if I was sitting sometimes, etc. No pain when swallowing.  
Started to really become fixated on it. Started to notice some mild chest discomfort behind my breastbone. About a week ago, had bad heartburn one night. But since then, have had this mild, dull burning feeling in my chest that just won't go away. I cut out coffee, peppermint tea, alcohol (realized that I probably made reflux worse if this is what it was). Also worked on some anxiety exercises. This seemed to help, a bit. I don't know if that's because I'm just trying to not focus on it so much. This morning, woke up and the pain seemed to be almost gone, but slowly seems to be working it's way back as the day wears on. Sometimes some twingey feelings in my upper back, but my muscles seem to be pretty tense, so I think that's from tightness.  
Definitely wearing on me a bit. Trying not to worry. I've never had heartburn go on and on like this (have tried Tums and Zantac the last couple of days too, and a bland diet). How long could a bad flare up last?  
Of course, Googling heartburn you get "is it esophageal cancer?" Thanks a lot Google!</t>
        </is>
      </c>
      <c r="D1019" t="n">
        <v>2</v>
      </c>
      <c r="E1019" t="n">
        <v>2</v>
      </c>
      <c r="F1019">
        <f>HYPERLINK("https://www.reddit.com/r/GERD/comments/bg4x89/is_it_gerd_mild_heartburn_feeling_for_1_week_or_so/")</f>
        <v/>
      </c>
      <c r="G1019" t="inlineStr">
        <is>
          <t>2019-04-22 10:36:45</t>
        </is>
      </c>
      <c r="H1019" t="inlineStr"/>
    </row>
    <row r="1020">
      <c r="A1020" t="inlineStr">
        <is>
          <t>bg5kzk</t>
        </is>
      </c>
      <c r="B1020" t="inlineStr">
        <is>
          <t>Does anyone here use H2 blockers long term and experience benefit?</t>
        </is>
      </c>
      <c r="C1020" t="inlineStr">
        <is>
          <t>I'm very much into avoiding PPIs unless absolutely necessary, especially because they tend to aggravate my other IBS symptoms. Lately I have felt the need to start taking something daily for my reflux. (been on and off PPIs in the past)
It's known that the efficacy of H2 blockers can decrease with long term use, but it's not clear to me how common this is, or what the degree of reduced efficacy is. I'm just looking for some anecdotes here to see if anyone has successfully started a regimen of H2 blockers daily, and maintained some level of benefit throughout the whole course of taking them. Is it worth a try? Or is it kind of a losing battle?</t>
        </is>
      </c>
      <c r="D1020" t="n">
        <v>7</v>
      </c>
      <c r="E1020" t="n">
        <v>5</v>
      </c>
      <c r="F1020">
        <f>HYPERLINK("https://www.reddit.com/r/GERD/comments/bg5kzk/does_anyone_here_use_h2_blockers_long_term_and/")</f>
        <v/>
      </c>
      <c r="G1020" t="inlineStr">
        <is>
          <t>2019-04-22 11:32:17</t>
        </is>
      </c>
      <c r="H1020" t="inlineStr"/>
    </row>
    <row r="1021">
      <c r="A1021" t="inlineStr">
        <is>
          <t>bg67rd</t>
        </is>
      </c>
      <c r="B1021" t="inlineStr">
        <is>
          <t>Random stomach pains out of nowhere. Help.</t>
        </is>
      </c>
      <c r="C1021" t="inlineStr">
        <is>
          <t>29. Male.  I went for a 10 day long vacation at the end of march to the southwest US and about a week after I got back I started having the most random stomach pains.
It usually happens about 2 hours after I eat a meal.  Out of nowhere i'll just feel these cramps/pains in the upper/center part of my abdomen.  it's always in the same spot. It's not like a bend-over collapsing on the floor pain, but it's more of an annoyance.  During this time i'm like burping up giant bubbles of nothing where i can taste my last meal.   It'll last for a few hours on average, usually goes away if i take a poop, or if I eat something with bread in it.  When it first starts I get all sweaty and always end up in the bathroom.  Bowels look normal though.  
Only certain things seem to trigger it and its very random. Tomatoes, chocolate, lettuce, spinach, avocado are all things i've noticed so far as things that have triggered it.  Some things effect it more than others.
Two weeks ago it happened after like every meal, last week it didn't happen at all except this past weekend after i ate an entire bag of cheddar sour creme chips, and after I had a salad today at work.
I took prilosec the first week for a few days and didn't experience any pains, but I didn't like the side effects it was giving me.
I have no idea why this is randomly happening and before i got to the doc i wanted to check here. thanks.</t>
        </is>
      </c>
      <c r="D1021" t="n">
        <v>1</v>
      </c>
      <c r="E1021" t="n">
        <v>2</v>
      </c>
      <c r="F1021">
        <f>HYPERLINK("https://www.reddit.com/r/GERD/comments/bg67rd/random_stomach_pains_out_of_nowhere_help/")</f>
        <v/>
      </c>
      <c r="G1021" t="inlineStr">
        <is>
          <t>2019-04-22 12:25:35</t>
        </is>
      </c>
      <c r="H1021" t="inlineStr"/>
    </row>
    <row r="1022">
      <c r="A1022" t="inlineStr">
        <is>
          <t>bg84bd</t>
        </is>
      </c>
      <c r="B1022" t="inlineStr">
        <is>
          <t>25(F) GERD since childhood, nothing seems to help.</t>
        </is>
      </c>
      <c r="C1022" t="inlineStr">
        <is>
          <t>Pantoprazol and an anti spasmodic used to be a life changer for me in the best way. I was off of it for a few years and now I’m back on just Pantoprazol, but now it makes me foggy and nauseated. I’m not positive if I still have stomach spasms, my GP hasn’t referred me back to a gastro in a few years. H2 blockers seem to help very temporarily. 
I’m lucky, after this long my esophagus (at least as of maybe 3 years ago) isn’t really damaged. The biggest discomfort is often feeling like puking. Does anyone else have tough to manage GERD and what are your secrets? 
As a side question, it came up in convo recently with my SO who also has GERD that the way I feel hunger isn’t normal? According to a friend as well hunger isn’t supposed to feel like my stomach is burning. Is that something I should actually worry about? I didn’t know that wasn’t normal.</t>
        </is>
      </c>
      <c r="D1022" t="n">
        <v>4</v>
      </c>
      <c r="E1022" t="n">
        <v>7</v>
      </c>
      <c r="F1022">
        <f>HYPERLINK("https://www.reddit.com/r/GERD/comments/bg84bd/25f_gerd_since_childhood_nothing_seems_to_help/")</f>
        <v/>
      </c>
      <c r="G1022" t="inlineStr">
        <is>
          <t>2019-04-22 15:08:18</t>
        </is>
      </c>
      <c r="H1022" t="inlineStr"/>
    </row>
    <row r="1023">
      <c r="A1023" t="inlineStr">
        <is>
          <t>bgaf70</t>
        </is>
      </c>
      <c r="B1023" t="inlineStr">
        <is>
          <t>Does anyone else get a constant tightness on the right side of the neck/collarbone?</t>
        </is>
      </c>
      <c r="C1023" t="inlineStr">
        <is>
          <t>I was diagnosed with GERD recently. I have had a distinctive tightness on the right side of my neck, which has become worse, over the last few months.
Taking 40mg of Esmoeprazole. I have an endoscopy scheduled for next month.
I'm worried because it seems like I only feel this tightness on the right side, and I'm not sure it's a normal symptom..</t>
        </is>
      </c>
      <c r="D1023" t="n">
        <v>1</v>
      </c>
      <c r="E1023" t="n">
        <v>4</v>
      </c>
      <c r="F1023">
        <f>HYPERLINK("https://www.reddit.com/r/GERD/comments/bgaf70/does_anyone_else_get_a_constant_tightness_on_the/")</f>
        <v/>
      </c>
      <c r="G1023" t="inlineStr">
        <is>
          <t>2019-04-22 18:44:40</t>
        </is>
      </c>
      <c r="H1023" t="inlineStr"/>
    </row>
    <row r="1024">
      <c r="A1024" t="inlineStr">
        <is>
          <t>bgb3jt</t>
        </is>
      </c>
      <c r="B1024" t="inlineStr">
        <is>
          <t>How to distinguish acid rebound from “normal heartburn”?</t>
        </is>
      </c>
      <c r="C1024" t="inlineStr">
        <is>
          <t>Maybe confusing question,  but as most of you know, after stopping PPI after a long time you will experience increased acid production and therefore heartburn. Thats called acid rebound. 
Does that mean that even though my stomach healed while being on PPI-s, I will feel this side effect for quite some time before it settles down? After it does, IF it healed, I am free??!
Can we know if after we quite PPI-s what we’re experiencing is acid rebound or our GERD coming back?</t>
        </is>
      </c>
      <c r="D1024" t="n">
        <v>3</v>
      </c>
      <c r="E1024" t="n">
        <v>5</v>
      </c>
      <c r="F1024">
        <f>HYPERLINK("https://www.reddit.com/r/GERD/comments/bgb3jt/how_to_distinguish_acid_rebound_from_normal/")</f>
        <v/>
      </c>
      <c r="G1024" t="inlineStr">
        <is>
          <t>2019-04-22 19:51:10</t>
        </is>
      </c>
      <c r="H1024" t="inlineStr"/>
    </row>
    <row r="1025">
      <c r="A1025" t="inlineStr">
        <is>
          <t>bgew2v</t>
        </is>
      </c>
      <c r="B1025" t="inlineStr">
        <is>
          <t>Gift idea for GERD sufferer</t>
        </is>
      </c>
      <c r="C1025" t="inlineStr">
        <is>
          <t>Hi there, my neighbour did me a massive favour this morning - he removed two dead animals from my garden while I went to work (a fox had done its worst).
I'd like to get him a little 'thank you' gift, usually I'd buy chocolates or a bottle of wine, but I am aware he suffers from GERD.  
Do you have any suggestions for a consumable thank you gift?  
Thanks in advance.</t>
        </is>
      </c>
      <c r="D1025" t="n">
        <v>2</v>
      </c>
      <c r="E1025" t="n">
        <v>6</v>
      </c>
      <c r="F1025">
        <f>HYPERLINK("https://www.reddit.com/r/GERD/comments/bgew2v/gift_idea_for_gerd_sufferer/")</f>
        <v/>
      </c>
      <c r="G1025" t="inlineStr">
        <is>
          <t>2019-04-23 03:44:04</t>
        </is>
      </c>
      <c r="H1025" t="inlineStr"/>
    </row>
    <row r="1026">
      <c r="A1026" t="inlineStr">
        <is>
          <t>bgewx5</t>
        </is>
      </c>
      <c r="B1026" t="inlineStr">
        <is>
          <t>Constant urge to swallow</t>
        </is>
      </c>
      <c r="C1026" t="inlineStr">
        <is>
          <t>I have been diagnosed with GERD/LPR since August. My symptoms are usually at bay but sometimes flare up. Recently though my LPR suddenly got worse. I started to feel the taste of food in burps which I ate 4-5 hours ago and was bloated. I started taking Nexium again and the burping passed. But now I have a new symptom. I have the urge to swallow A LOT. I would describe it almost as "swallowing sadness". In addition, sometimes it feels like my throat is very "tight" and hurts. But this is usually for a day or two.
&amp;amp;#x200B;
Does anyone know what might be the case? Did my LPR get worse?</t>
        </is>
      </c>
      <c r="D1026" t="n">
        <v>1</v>
      </c>
      <c r="E1026" t="n">
        <v>1</v>
      </c>
      <c r="F1026">
        <f>HYPERLINK("https://www.reddit.com/r/GERD/comments/bgewx5/constant_urge_to_swallow/")</f>
        <v/>
      </c>
      <c r="G1026" t="inlineStr">
        <is>
          <t>2019-04-23 03:46:55</t>
        </is>
      </c>
      <c r="H1026" t="inlineStr"/>
    </row>
    <row r="1027">
      <c r="A1027" t="inlineStr">
        <is>
          <t>bgg7i3</t>
        </is>
      </c>
      <c r="B1027" t="inlineStr">
        <is>
          <t>Bad Breath Help?</t>
        </is>
      </c>
      <c r="C1027" t="inlineStr">
        <is>
          <t>I’m wondering what everyone’s routines are for helping minimize their GERD-related bad breath. 
Good oral hygiene, obviously (brush teeth 2x per day, floss daily, use tongue scraper daily). But what about for social situations? 
Any favorite chewing gums? I know gum can cause reflux for some people. Or mouthwashes? Some sound interesting and helpful but I worry if they’re too harsh on the natural bacteria in my mouth. 
Or anything else! Perhaps a swig of pepto-bismol before you head out the door? Thanks!</t>
        </is>
      </c>
      <c r="D1027" t="n">
        <v>5</v>
      </c>
      <c r="E1027" t="n">
        <v>13</v>
      </c>
      <c r="F1027">
        <f>HYPERLINK("https://www.reddit.com/r/GERD/comments/bgg7i3/bad_breath_help/")</f>
        <v/>
      </c>
      <c r="G1027" t="inlineStr">
        <is>
          <t>2019-04-23 06:11:29</t>
        </is>
      </c>
      <c r="H1027" t="inlineStr"/>
    </row>
    <row r="1028">
      <c r="A1028" t="inlineStr">
        <is>
          <t>bgjled</t>
        </is>
      </c>
      <c r="B1028" t="inlineStr">
        <is>
          <t>Tetracyclic Antidepressants and GERD</t>
        </is>
      </c>
      <c r="C1028" t="inlineStr">
        <is>
          <t>Hi everyone,
I have been in the throes of a really bad GERD flare-up since last October. I have been taking 40mg pantoprazole (20mg 2x/day) without relief from my symptoms. My symptoms range from heartburn and sore stomach to LPR type symptoms such as hoarseness, constant throat clearing, occasional throat burning, throat gurgling, and a persistent cough. My flare-ups tend to be stress-related. I started renovating the house I was living in, in October, which no doubt kicked off these hellacious six months. Unfortunately, my symptoms did not dissipate after the renovation was complete.
I have been losing weight due to GERD symptoms (10 lbs so far) and so my new GI doctor ordered another endoscopy for me along with a pH and manometry test in June to determine if I am a good candidate for the Nissen surgery (I haven't been scoped in 2.5 years). I have been slowly tapering off my PPIs and replacing them with H2 blockers so I don't suffer from reflux rebound. I started tapering off my evening PPI dosage about two and a half weeks ago, and at this point I am replacing that dose fully with 150mg Zantac. Next week I will start taking Zantac every other day in the mornings instead of my PPI, and will continue to reduce the dose every week until I am completely off all meds a week before my procedure in early June.
Out of desperation, I decided to try therapy to see if my symptoms could be relieved by reducing my stress and anxiety. and improving my mental health  Like many people, I had a very traumatic childhood rife with abuse which puts me at increased risk of diseases such as GERD, cancer, heart disease, etc. I felt that if I could put all my demons to rest, I might feel some relief. So, I hired a therapist and a psychiatrist (thank god for my excellent healthcare plan, I realize how difficult this is for many people) and started on a tetracyclic antidepressant called Mirtazapine just this last week. It is often prescribed for anxiety as off-label use.
For the first time in six months, I am completely symptom-free. I haven't even been taking this stuff for a week. Perhaps it's because Zantac is working better for me than Pantoprazole, but I think it's the antidepressant because I started feeling relief pretty much immediately. Mirtazapine doesn't take weeks to build up and be effective like SSRIs and so I am really feeling like that might be what is helping. I no longer have: heartburn, throat gurgles, sore stomach, sore throat, persistent cough, and my throat clearing while present is very much reduced. My favorite foods aren't triggering my GERD either. Last night I had grilled chicken tacos with lime, onion, salsa and hot sauce. And 7 layer dip.
I will continue to monitor my improvement while I am on this medication. I am supposed to come off of it after my endoscopy and tests, but if this medication works better than PPIs, I might just try to stay off PPIs and stick with Mirtazapine. As far as I can find, there is very little risk with using it long term, which can't be said for PPIs.
Anyway, I am interested to hear if other people have gone down this path for relief. Please let me know your experience.</t>
        </is>
      </c>
      <c r="D1028" t="n">
        <v>5</v>
      </c>
      <c r="E1028" t="n">
        <v>21</v>
      </c>
      <c r="F1028">
        <f>HYPERLINK("https://www.reddit.com/r/GERD/comments/bgjled/tetracyclic_antidepressants_and_gerd/")</f>
        <v/>
      </c>
      <c r="G1028" t="inlineStr">
        <is>
          <t>2019-04-23 11:05:07</t>
        </is>
      </c>
      <c r="H1028" t="inlineStr"/>
    </row>
    <row r="1029">
      <c r="A1029" t="inlineStr">
        <is>
          <t>bgme40</t>
        </is>
      </c>
      <c r="B1029" t="inlineStr">
        <is>
          <t>Beyond frustrated</t>
        </is>
      </c>
      <c r="C1029" t="inlineStr">
        <is>
          <t>I’ve been dealing with some sort of acid reflux problem since last fall. I went to a gastroenterologist and he wasn’t much help. I told him my symptoms and he just wrote me a prescription. He didn’t do any kind of tests or anything. He seemed to be rushing me because it was almost closing time. The medication helped a little, but I found the most relief by taking some over the counter stuff in addition to my prescription. 
I made some changes to my diet too, but I was bad and ate some things that I shouldn’t. What triggered this most recent episode was some spicy tacos. I felt really bad after that. I’ve had problems swallowing, my throat is occasionally sore, my stomach is unsettled at times, I have so much mucus in my throat, and my breathing has even been affected. I have asthma, so that doesn’t help matters lol. 
The reason I’m frustrated is I’ve been dealing with this problem all month and I have to wait a month to even get seen by a gastroenterologist again. I tried other places, but their wait times were longer yet. I even went to the ER because I had problems breathing, but they told me I’d be fine to wait until next month. 
I just want some relief. It’s taking a toll on my daily life too. I can’t even exercise because of the shortness of breath. I’m overweight and have been trying to lose weight. I’ve lost a little over 20 lbs since I had these problems last fall, but I want to lose more. 
I just needed a place to rant and maybe get some support from people who are also experiencing the same/similar problems. I am not a very patient person, so it is very annoying that I can’t get help right away lol.</t>
        </is>
      </c>
      <c r="D1029" t="n">
        <v>6</v>
      </c>
      <c r="E1029" t="n">
        <v>14</v>
      </c>
      <c r="F1029">
        <f>HYPERLINK("https://www.reddit.com/r/GERD/comments/bgme40/beyond_frustrated/")</f>
        <v/>
      </c>
      <c r="G1029" t="inlineStr">
        <is>
          <t>2019-04-23 15:04:29</t>
        </is>
      </c>
      <c r="H1029" t="inlineStr"/>
    </row>
    <row r="1030">
      <c r="A1030" t="inlineStr">
        <is>
          <t>bgnpv3</t>
        </is>
      </c>
      <c r="B1030" t="inlineStr">
        <is>
          <t>Day 9 on Omeprazole - sour taste in mouth?</t>
        </is>
      </c>
      <c r="C1030" t="inlineStr">
        <is>
          <t>Hi, I have been having issues with GERD the last month.  I had an upper edoscopy done and my lower esophagus is inflammed.  Doctor put me on 40mg of omeprazole.  It's been 9 days and I'm not seeing any improvement and I believe I developed a sour taste in my mouth from reflux.  Should I stop taking it or does it take time to work?  I've done a little bit of research, which on the internet doesn't always mean much, and I've read that PPI's work for only about 1/3 of people who take them.  Not sure what to do.  Thank you</t>
        </is>
      </c>
      <c r="D1030" t="n">
        <v>2</v>
      </c>
      <c r="E1030" t="n">
        <v>9</v>
      </c>
      <c r="F1030">
        <f>HYPERLINK("https://www.reddit.com/r/GERD/comments/bgnpv3/day_9_on_omeprazole_sour_taste_in_mouth/")</f>
        <v/>
      </c>
      <c r="G1030" t="inlineStr">
        <is>
          <t>2019-04-23 17:08:25</t>
        </is>
      </c>
      <c r="H1030" t="inlineStr"/>
    </row>
    <row r="1031">
      <c r="A1031" t="inlineStr">
        <is>
          <t>bgsd4r</t>
        </is>
      </c>
      <c r="B1031" t="inlineStr">
        <is>
          <t>Symptoms and future</t>
        </is>
      </c>
      <c r="C1031" t="inlineStr">
        <is>
          <t>I have posted a few times about questions etc.  After 3 months since the start of my symptoms, I have a few more questions.
My symptoms started out of nowhere with waking up in the morning with regurgitation of food in my food pipe (never in mouth).  This then turned into burning in stomach, bloating and near constant sour taste at back of throat (waterbrash i think its called).  Started taking PPI 7 weeks ago (lansoperazole 30mg + 300mg ranitidine).  Symptoms improved but not completely - stomach burning went away but sour taste in mouth still present and more annoying my sleep is being disturbed by waking up with heart palpitations and acid in throat (rather then just sour taste) in the middle of the night.  This happens quite frequently.
My GP told me to reduce the dose by half as its quite high, symptoms haven't gone away completely and a recent endoscopy showed nothing at all (not even a hernia which is what I had suspected).  I now have a bit more acid which i guess is due to rebound + my sleep problems have worsened a lot.
I'm due to go to a GI specialist and will ask for a upper GI /barium swallow.  I have taken all this very badly as i suffer from depression/anxiety/insomnia for a whilst now (i am 36) - the last few months have been by far the worse period of my life so far.  I've never had any trouble swallowing, no vomiting and no severe pains except maybe a bit of chest and back pain (which feel more nerve related) that goes away and is never severe.  My main issues are the sleep problem which is really awful and also whether i am able to go back to a more normal life (gym, not being scared to go on holiday etc).  I know i need to keep a strict diet (although i found i can cheat quite a bit and does not have an effect on the reflux), raise bed by 6 inches, not eat too late etc which i have now accepted.  I am also undergoing CBT for my anxiety and sleep issues.
My questions are:
\- Should symptoms go away completely when on medicine, is that the aim or is it to reduce to symptoms to a level one is comfortable living with?  Do you think in my situation surgery is the only solution long term?
\- Does any of this get any better with time, or at least not worse?  The specialist who did my endoscopy suggested i may have functional dyspepsia - it looks like a life thing?
\- Any suggestions on the sleep problem?  This is probably the only issue i have right now.  If I was getting decent sleep i think i would be a lot happier despite the symptoms - although still anxious about my health problem but at least it can be managed with CBT.
\- I have never had any other major health issues until now - can i live a relatively normal and healthy long life with this?
Sorry for the long post and thanks for your time.</t>
        </is>
      </c>
      <c r="D1031" t="n">
        <v>2</v>
      </c>
      <c r="E1031" t="n">
        <v>0</v>
      </c>
      <c r="F1031">
        <f>HYPERLINK("https://www.reddit.com/r/GERD/comments/bgsd4r/symptoms_and_future/")</f>
        <v/>
      </c>
      <c r="G1031" t="inlineStr">
        <is>
          <t>2019-04-24 02:04:25</t>
        </is>
      </c>
      <c r="H1031" t="inlineStr"/>
    </row>
    <row r="1032">
      <c r="A1032" t="inlineStr">
        <is>
          <t>bguu4r</t>
        </is>
      </c>
      <c r="B1032" t="inlineStr">
        <is>
          <t>Zantac or Ranitidine</t>
        </is>
      </c>
      <c r="C1032" t="inlineStr">
        <is>
          <t>I know they're the same but does Ranitidine work better than Zantac? I remember two years ago I was having some chest pressure that I went to the doctor for and he prescribed me Ranitidine which instantly cleared it up in a day. I'm having chest pressure again and I was thinking should I purchase Zantac or Ranitidine? Zantac is a bit cheaper but will it have the same effectiveness? 
Thanks!</t>
        </is>
      </c>
      <c r="D1032" t="n">
        <v>2</v>
      </c>
      <c r="E1032" t="n">
        <v>3</v>
      </c>
      <c r="F1032">
        <f>HYPERLINK("https://www.reddit.com/r/GERD/comments/bguu4r/zantac_or_ranitidine/")</f>
        <v/>
      </c>
      <c r="G1032" t="inlineStr">
        <is>
          <t>2019-04-24 06:49:09</t>
        </is>
      </c>
      <c r="H1032" t="inlineStr"/>
    </row>
    <row r="1033">
      <c r="A1033" t="inlineStr">
        <is>
          <t>bgv073</t>
        </is>
      </c>
      <c r="B1033" t="inlineStr">
        <is>
          <t>Maybe low stomach acid and insomnia?</t>
        </is>
      </c>
      <c r="C1033" t="inlineStr">
        <is>
          <t>Aside from eating less before bed any thing to take to prevent 12-4 am multiple wakings. Not sure if it’s mostly GERD, low stomach acid, or general stress/anxiety but insomnia sucks. 
Thanks!</t>
        </is>
      </c>
      <c r="D1033" t="n">
        <v>2</v>
      </c>
      <c r="E1033" t="n">
        <v>6</v>
      </c>
      <c r="F1033">
        <f>HYPERLINK("https://www.reddit.com/r/GERD/comments/bgv073/maybe_low_stomach_acid_and_insomnia/")</f>
        <v/>
      </c>
      <c r="G1033" t="inlineStr">
        <is>
          <t>2019-04-24 07:04:19</t>
        </is>
      </c>
      <c r="H1033" t="inlineStr"/>
    </row>
    <row r="1034">
      <c r="A1034" t="inlineStr">
        <is>
          <t>bgvl3d</t>
        </is>
      </c>
      <c r="B1034" t="inlineStr">
        <is>
          <t>Drinking???</t>
        </is>
      </c>
      <c r="C1034" t="inlineStr">
        <is>
          <t>So about a year ago is when I started having more extreme reactions to things, this also accompanied some life changes and extra stress. Most times I drank alcohol, I threw up. It didn't matter if it was a few beers, a single glass of wine or a G&amp;amp;T. Alcohol = throwing up about 5hrs later. In November, I cut it out, then tried drinking 1 beer one afternoon recently and stayed upright for hours. I drank water and ate too, but by the time I was getting ready for bed I was sure I'd throw up if I laid down. I took a leftover anti-nausea pill from when I had food poisoning once and was fine.
**I'd really love to be able to drink a little in social situations again, like once every couple of months.** I made it through college without any extreme issues, but here we are. Are there really no other answers than "just don't drink, sorry"? 
*\*In November I also started taking 150mg Ranitidine once a day, but didn't the day I drank cause you're not supposed to mix. I also took .25mg Xanax for a couple months until I figured out how to better control my anxiety without meds.\**</t>
        </is>
      </c>
      <c r="D1034" t="n">
        <v>6</v>
      </c>
      <c r="E1034" t="n">
        <v>10</v>
      </c>
      <c r="F1034">
        <f>HYPERLINK("https://www.reddit.com/r/GERD/comments/bgvl3d/drinking/")</f>
        <v/>
      </c>
      <c r="G1034" t="inlineStr">
        <is>
          <t>2019-04-24 07:55:16</t>
        </is>
      </c>
      <c r="H1034" t="inlineStr"/>
    </row>
    <row r="1035">
      <c r="A1035" t="inlineStr">
        <is>
          <t>bgxmvb</t>
        </is>
      </c>
      <c r="B1035" t="inlineStr">
        <is>
          <t>Question about LPR</t>
        </is>
      </c>
      <c r="C1035" t="inlineStr">
        <is>
          <t>Hey guys, my doctor's think I have some reflux going on and that it might be LPR (laryngopharyngeal reflux). LPR is commonly called "silent reflux" because it goes unnoticed or hidden as symptoms from other issues. 
This is where I'm having an issue. I have always had allergies, and been a sniffly, mucousy person my entire life. LPR shows itself in similar ways it seems. Increased mucous, excessive post-nasal drip, the need to clear your throat all the time, etc. 
Soooo.... How do I know if my lifestyle changes are working? I see people talking about how this or that is a "no no" but if LPR causes issues that I am so used to that it's just second nature, how do I learn to spot the red flags? 
I've been taking Omeprazole, sleeping on my left, not eating fried or acidic foods, avoiding caffeine.... All the acid reflux things. I honestly have no idea if it's helping or not, and it worries me. 
Has anyone else gone through this?</t>
        </is>
      </c>
      <c r="D1035" t="n">
        <v>2</v>
      </c>
      <c r="E1035" t="n">
        <v>6</v>
      </c>
      <c r="F1035">
        <f>HYPERLINK("https://www.reddit.com/r/GERD/comments/bgxmvb/question_about_lpr/")</f>
        <v/>
      </c>
      <c r="G1035" t="inlineStr">
        <is>
          <t>2019-04-24 10:45:28</t>
        </is>
      </c>
      <c r="H1035" t="inlineStr"/>
    </row>
    <row r="1036">
      <c r="A1036" t="inlineStr">
        <is>
          <t>bgy9lf</t>
        </is>
      </c>
      <c r="B1036" t="inlineStr">
        <is>
          <t>DO you have these symptoms?</t>
        </is>
      </c>
      <c r="C1036" t="inlineStr">
        <is>
          <t>Hello gents/ladies,
&amp;amp;#x200B;
I have been diagnosed with chronic gastritis but I am not sure if all my symptoms are caused by it or do I have any other problem. Could you please comment if you have these symptoms and if they are related to gastritis?
&amp;amp;#x200B;
\- Excessive body  /muscle ache (In arms and legs)  especially after eating
\- Blurry vision (mostly after eating)
\- Weak and painful arm and leg muscles
\- Concentration problems
\- Dizzyness standing up (10 minutes and I am tired)
\- Constant ear ringing.
&amp;amp;#x200B;
Thanks so much in advance.</t>
        </is>
      </c>
      <c r="D1036" t="n">
        <v>3</v>
      </c>
      <c r="E1036" t="n">
        <v>10</v>
      </c>
      <c r="F1036">
        <f>HYPERLINK("https://www.reddit.com/r/GERD/comments/bgy9lf/do_you_have_these_symptoms/")</f>
        <v/>
      </c>
      <c r="G1036" t="inlineStr">
        <is>
          <t>2019-04-24 11:38:30</t>
        </is>
      </c>
      <c r="H1036" t="inlineStr"/>
    </row>
    <row r="1037">
      <c r="A1037" t="inlineStr">
        <is>
          <t>bh1ei7</t>
        </is>
      </c>
      <c r="B1037" t="inlineStr">
        <is>
          <t>Omeprazole, Ranitidine and THC interactions?</t>
        </is>
      </c>
      <c r="C1037" t="inlineStr">
        <is>
          <t>Have an acute gastric ulcer found in my endoscopy today. My GI told me to stop smoking weed because it increases stomach acid and gave me omeprazole and ranitidine to take. Are there complications to smoking weed and taking these medications?</t>
        </is>
      </c>
      <c r="D1037" t="n">
        <v>2</v>
      </c>
      <c r="E1037" t="n">
        <v>12</v>
      </c>
      <c r="F1037">
        <f>HYPERLINK("https://www.reddit.com/r/GERD/comments/bh1ei7/omeprazole_ranitidine_and_thc_interactions/")</f>
        <v/>
      </c>
      <c r="G1037" t="inlineStr">
        <is>
          <t>2019-04-24 16:12:21</t>
        </is>
      </c>
      <c r="H1037" t="inlineStr"/>
    </row>
    <row r="1038">
      <c r="A1038" t="inlineStr">
        <is>
          <t>bh2owc</t>
        </is>
      </c>
      <c r="B1038" t="inlineStr">
        <is>
          <t>PPIs for rest of life</t>
        </is>
      </c>
      <c r="C1038" t="inlineStr">
        <is>
          <t>I have a Hiatal hernia and will have GERD for the rest of my life (I’m 40). Anybody plan on taking PPIs for the rest of their life? Is it relatively safe to take a low dose for the rest of my life? My GERD so far isn’t that bad. I just get the burning feeling in my chest no matter what I eat. I think I need to address it because it is probably damaging my esophagus and then eventually lead to Barrett’s esophagus then possibly throat cancer. So far I take an H2 blocker but I read people build up a tolerance to it eventually. I don’t want the surgery because the GERD isn’t that bad and there could be problems after surgery worse than what I’m dealing with now.</t>
        </is>
      </c>
      <c r="D1038" t="n">
        <v>8</v>
      </c>
      <c r="E1038" t="n">
        <v>21</v>
      </c>
      <c r="F1038">
        <f>HYPERLINK("https://www.reddit.com/r/GERD/comments/bh2owc/ppis_for_rest_of_life/")</f>
        <v/>
      </c>
      <c r="G1038" t="inlineStr">
        <is>
          <t>2019-04-24 18:21:24</t>
        </is>
      </c>
      <c r="H1038" t="inlineStr"/>
    </row>
    <row r="1039">
      <c r="A1039" t="inlineStr">
        <is>
          <t>bh3mhs</t>
        </is>
      </c>
      <c r="B1039" t="inlineStr">
        <is>
          <t>Did Protonix cause muscle cramps?</t>
        </is>
      </c>
      <c r="C1039" t="inlineStr">
        <is>
          <t>It seems like my legs are cramping, been on Protonix 20mg 2x daily for 7-10 days now
Anyone else experience this? Quads hams and calves just feel tight and kinda strained. 
I’m on Protonix for Esophagitis</t>
        </is>
      </c>
      <c r="D1039" t="n">
        <v>3</v>
      </c>
      <c r="E1039" t="n">
        <v>10</v>
      </c>
      <c r="F1039">
        <f>HYPERLINK("https://www.reddit.com/r/GERD/comments/bh3mhs/did_protonix_cause_muscle_cramps/")</f>
        <v/>
      </c>
      <c r="G1039" t="inlineStr">
        <is>
          <t>2019-04-24 19:55:26</t>
        </is>
      </c>
      <c r="H1039" t="inlineStr"/>
    </row>
    <row r="1040">
      <c r="A1040" t="inlineStr">
        <is>
          <t>bh3uoh</t>
        </is>
      </c>
      <c r="B1040" t="inlineStr">
        <is>
          <t>what do y'all take for excessive burping?</t>
        </is>
      </c>
      <c r="C1040" t="inlineStr">
        <is>
          <t>I was diagnosed with EOE last year and I take Pantoprazole and Hyoscyamine Sulf prescribed by the doc. Doesn't do anything for my burping which has been an hourly and daily occurrence for pretty much the last decade at least (i'm 31 now). thoughts?</t>
        </is>
      </c>
      <c r="D1040" t="n">
        <v>1</v>
      </c>
      <c r="E1040" t="n">
        <v>4</v>
      </c>
      <c r="F1040">
        <f>HYPERLINK("https://www.reddit.com/r/GERD/comments/bh3uoh/what_do_yall_take_for_excessive_burping/")</f>
        <v/>
      </c>
      <c r="G1040" t="inlineStr">
        <is>
          <t>2019-04-24 20:19:31</t>
        </is>
      </c>
      <c r="H1040" t="inlineStr"/>
    </row>
    <row r="1041">
      <c r="A1041" t="inlineStr">
        <is>
          <t>bh7b0n</t>
        </is>
      </c>
      <c r="B1041" t="inlineStr">
        <is>
          <t>Sore throat?</t>
        </is>
      </c>
      <c r="C1041" t="inlineStr">
        <is>
          <t>Hi all - Most of my symptoms have become manageable and seem to be on the wane.  I had that globus feeling, constant burping (when i could burp), and constant sore throat.  Most of this has gone away after 2 months of omeprazole, dietary changes, lost 20-25 lbs, etc.  However, what remains is this.  When i wake up in the morning, i dont have any issues like i used to.  But if i speak too much (honestly not much at all) my throat begins to feel swollen and sore for the rest of the day.  Then when i sleep again, presumably because it has hours to rest, i wake up fine again.  Has anyone else experienced this?  Perhaps contact ulcers from the initial reflux burning?  If so, how long did it last until you felt normal again with speaking without irritation?</t>
        </is>
      </c>
      <c r="D1041" t="n">
        <v>6</v>
      </c>
      <c r="E1041" t="n">
        <v>5</v>
      </c>
      <c r="F1041">
        <f>HYPERLINK("https://www.reddit.com/r/GERD/comments/bh7b0n/sore_throat/")</f>
        <v/>
      </c>
      <c r="G1041" t="inlineStr">
        <is>
          <t>2019-04-25 04:06:26</t>
        </is>
      </c>
      <c r="H1041" t="inlineStr"/>
    </row>
    <row r="1042">
      <c r="A1042" t="inlineStr">
        <is>
          <t>bhcywc</t>
        </is>
      </c>
      <c r="B1042" t="inlineStr">
        <is>
          <t>IQoro training starts tomorrow!</t>
        </is>
      </c>
      <c r="C1042" t="inlineStr">
        <is>
          <t>I’m so excited, my IQoro got delivered today so after a couple of attempts at how best to hold etc I officially start my training tomorrow.
After three years of living with sever dysphasia, I am at the point of trying anything that might have any chance of helping so here’s hoping this could be three golden ticket!
If anyone is interested, I can post some updates as I go through the training? (I’ve been quietly stalking some of the other users for months before deciding to take the plunge)</t>
        </is>
      </c>
      <c r="D1042" t="n">
        <v>11</v>
      </c>
      <c r="E1042" t="n">
        <v>8</v>
      </c>
      <c r="F1042">
        <f>HYPERLINK("https://www.reddit.com/r/GERD/comments/bhcywc/iqoro_training_starts_tomorrow/")</f>
        <v/>
      </c>
      <c r="G1042" t="inlineStr">
        <is>
          <t>2019-04-25 12:46:34</t>
        </is>
      </c>
      <c r="H1042" t="inlineStr"/>
    </row>
    <row r="1043">
      <c r="A1043" t="inlineStr">
        <is>
          <t>bhdhpb</t>
        </is>
      </c>
      <c r="B1043" t="inlineStr">
        <is>
          <t>My GERD story - Post Operation</t>
        </is>
      </c>
      <c r="C1043" t="inlineStr">
        <is>
          <t>Let me start off with some facts. Many posts I see here are complaining about having heart burn for a couple of days / weeks. This post isn't going to help you. It is mainly for those people who have been suffering from GERD for years. IMHO no fancy diet, cutting out certain food or drinking the blood from a new born lamb is going to help you. This is my story with GERD.
It all started 9 years ago. I was 19 at the time with no previous issues of reflux or heart burn. One day, out of nowhere I started to get all the reflux symptoms. Anything I ate would give me heartburn (HB), anything I drank would also give me it. I firstly started off with OTC medication, which soothed the symptoms (as in the reflux didn't burn anymore) but I was still experiencing reflux. 
Over the next 9 years I visited to doctors around 7 times with the issue. I was given almost every drug for it. Again, it would stop the burning but not fix the underlying problem. Eventually the drugs stopped working and I was getting reflux with burning.
I got tested for bacteria (H2 Poli or something), tested for gluten and everything came back negative. 
Every diet I tried gave me very little relief, even drinking water would cause reflux.
The strange thing was, I could sometimes go months with zero issues. Then out of the blue have HB come back and last weeks or even months. There seemed to be no reason behind this.
My mindset then changed, rather than chasing "lets neutralise this acid" (which most advice here is all about) I read an article saying that it shouldn't matter how acidic your stomach acid is, it shouldn't be able to leak up anyway! Another Doctors visit was booked and they tried to up the dose of the drugs. After explaining to them that regardless of the PH level of my stomach, it shouldn't be able to come back up, they booked me in for an endoscopy. This is where the fun started...
It took a month for my appointment to come through - During this month I had almost zero reflux and was on the cusp of cancelling it.
So, having an endoscopy didn't turn out to be too much fun. They push a camera down your throat (kinda gently), pump air in your stomach and generally poke around inside you. It wasn't painful, just uncomfortable.
At this point they found a 5cm hiatus hernia, which wasn't agitated or inflamed. This apparently coincided with me not having any issues for the past month
A couple of weeks later I had to go back, this time for a swallow test and a 24h PH level test.
The swallow test involved almost the same as the endoscopy but the tube the inserted was a little smaller. Once inserted I had to drink water and swallow bread. Again, wasn't the most fun experience of my life but it was all over in about 10 minutes. Next, they put a small wire through my nose and into the top of my stomach. This protruded my face by about 10 inches and was connected to a device that was worn around my neck. The tube tickled going in and then felt like a had a wire in the back of my throat (strange, I know!) for the 24 hours I had to wear it. Each time I ate or drank, I had to press a button. Same again for when I had HB or any reflux. These 24 hours I spent eating pizza and drinking coke - Mainly for comfort food and to increase my chances of getting HB.
Tests came back I was a candidate for surgery (nissen fundoplication). 
On the day of the surgery I was nervous. It was scheduled for 0730hrs. After asking the anaesthetics guy questions about "what happens if I wake up mid surgery" and all the other things that was racing through my mind I was laid down with a needle in my arm. Everyone was lovely, I was scared. Last thing I remember was talking to a lady who had never tried avocado... 
I woke up. Dazed but in my cheerful, joking self. No pain. Nothing. I fell asleep a couple of times. When all the drugs wore off, I had incredible pain in my shoulder blades. It felt as though I had been rowing miles and pulled all the muscles. Apparently, this was normal as they pump air into you to give them more room. All I knew was it hurt. This pain lasted about 4 days. 
I was dying for a drink; I was given some OJ. That was interesting. Caused me to hiccup uncontrollably, which in turn hurt my shoulders even more. The IV was removed and I was left with the needle in my hand. Ensuring this needle was 100% bandaged I could now look at my hand! I was happily walking around and talking to all the nurses and doctors on the ward. The Dr who performed my surgery popped in to say everything went well and it was much easier than expected. Only took them 1h and 15 minutes. 
After 3 hours of waking up, I wanted to go home. Before they would release me, I had to pass urine. Usually I can urinate on demand but the stream was slow! Apparently, this is normal after anaesthetic? I couldn't push because I was too scared of popping my stitches. The nurse then changed my oversized plasters, there were 5 of them as I was too scared to look. I was then allowed to go home with codeine and paracetamol for the pain. Just to be clear, I was home within 4 hours of waking up from surgery!
**Days 1 - 5**
Damn. These days were rough. I lived off very little. Barely in taking 500 cals a day. Drinking anything hurt and I could only manage small sips of smoothies. Everything caused me to hiccup which caused my shoulders to hurt and I felt as though I was going to vomit. My mouth filled full of saliva and I would have to rush to the bathroom. No gagging or actual vomit followed. I didn't do too much for these days. The stomach was very tender, and painful. Laying down made everything worse so I spend many a night sat up in bed. 
Strange thing is I never felt hungry.
**Days 6 - 10**
I could now start to eat things. Plenty of chewing and very slowly. Most things would get stuck which caused hiccups but would work down eventually. I was eating about 700 cals of food a day. After most meals my chest would hurt, I suspect it was down to my stomach being much smaller than usual. I was now happy enough to drive short distances and sit at a desk playing games. 
Showering was now starting. I was too worried to get the plasters wet so just washed my hair and lower half!
**Day 11  - 20 **
Eating was getting much easier. Drinking things wasn’t an issue (as long as I didn’t gulp it down) but food was still getting stuck. Towards to 2 weeks mark I could just about manage a piece of chicken if it was eaten slowly. It would still get stuck often but was manageable. I got full very quickly, as my stomach was still half the normal size. I was still eating less than a childs size portion and was feeling full afterwards. No sickness was present and my life was getting easier between meals.  Still experiencing chest pains after meals. 
Full showers were happening though! Turns out the oversized plasters were waterproof all this time!
**3 – 4 weeks**
Everything starting to get easier, eating become less of an issue. Some food would still get suck (happened a few times a meal) which caused hiccups. Portion size of food was still roughly a childs amount and one meal a day was still adequate. Eating still takes much longer than normal. I also had my first beer during this time. Due to the lack of burping, it took around 2 hours to drink a 330ml can. After I was incredibly bloated with chest pains and had to go home to lie down. I passed a lot of gas that night!
**4 – 6 weeks**
Diet still same as previous, I can handle a little more now and if I pushed myself, I could eat a regular portion. Eating too much causes chest pains and feeling bloated. Meals are still eaten slowly and things get occasionally stuck. Managed to have a pint of beer over Easter, still causes bloatedness due to not being able to burp. Consuming ~1400 cals a day – I could easily manage more but wanting to lose some more puppy fat! 
The wounds have pretty much healed up, the remainder of the dissolvable stitches were pulled out today (6 weeks) and I have been advised I can start cardio workout, but not to lift too much.
I have had zero heart burn since the operation. Not once. There are times where I can feel my diaphragm try to push up whatever is in my stomach and then it is stopped – This would where I would normally get heartburn. It feels like a dry hiccup really. 
Since the op I have lost about 14lbs – I wasn’t fat to start with, just had a little extra puppy fat! Clothes are fitting much nicer on me now, so much so an additional hole had to cut in my belt!
For everyone thinking about whether surgery is right for you… You have two options, carry on taking the drugs which IMHO can’t be good for long term health, or get the physical defect in your body fixed!
Tldr: Had heartburn for 9 years, had some tubes down my throat, fell asleep, got cut open, woke up, pain, more pain, lots of discomfort, more pain, got better, no heart burn, look much sexier.</t>
        </is>
      </c>
      <c r="D1043" t="n">
        <v>22</v>
      </c>
      <c r="E1043" t="n">
        <v>33</v>
      </c>
      <c r="F1043">
        <f>HYPERLINK("https://www.reddit.com/r/GERD/comments/bhdhpb/my_gerd_story_post_operation/")</f>
        <v/>
      </c>
      <c r="G1043" t="inlineStr">
        <is>
          <t>2019-04-25 13:31:57</t>
        </is>
      </c>
      <c r="H1043" t="inlineStr"/>
    </row>
    <row r="1044">
      <c r="A1044" t="inlineStr">
        <is>
          <t>bhez8h</t>
        </is>
      </c>
      <c r="B1044" t="inlineStr">
        <is>
          <t>Empty stomach and small meals flare things up.</t>
        </is>
      </c>
      <c r="C1044" t="inlineStr">
        <is>
          <t>Anyone else like this? I almost feel like my stomach needs something substantial to work on or else the acid will run rampant. Big-ish meals 3 or 4 times a day is ideal. Like a big potato and a bunch of chicken. If I have a small snack and then just go about my business, that’s when things start acting up. I had a couple handfuls of peanuts the other day and wound up feeling like dogshit.
They always give the opposite advice. Smaller meals throughout the day. This is the worst advice for me. Just seeing if anyone else has a similar experience.</t>
        </is>
      </c>
      <c r="D1044" t="n">
        <v>3</v>
      </c>
      <c r="E1044" t="n">
        <v>5</v>
      </c>
      <c r="F1044">
        <f>HYPERLINK("https://www.reddit.com/r/GERD/comments/bhez8h/empty_stomach_and_small_meals_flare_things_up/")</f>
        <v/>
      </c>
      <c r="G1044" t="inlineStr">
        <is>
          <t>2019-04-25 15:44:53</t>
        </is>
      </c>
      <c r="H1044" t="inlineStr"/>
    </row>
    <row r="1045">
      <c r="A1045" t="inlineStr">
        <is>
          <t>bhi1cr</t>
        </is>
      </c>
      <c r="B1045" t="inlineStr">
        <is>
          <t>Can somebody please help me? I'm desperate</t>
        </is>
      </c>
      <c r="C1045" t="inlineStr">
        <is>
          <t>For 2 months, my main complaint has been a heavy chest to which I attributed to asthma which I do have. Before I went to the doctor, I began a 14 day Nexium course and it wasn't really helping, so after 4 days, I went to my PCP and got antihistamines which made me feel better but not completely. I still had this feeling of an elephant sitting on my chest.
Went back to him and told him I still have chest pressure to which he prescribed another allergy med that didn't work. At this point, I'm desperate and going mad. Since my asthma/allergy meds aren't working, is this GERD? I do have a bad gut history of constipation and acid reflux, but I was never formally diagnosed with GERD though I take acid reflux meds whenever I have a flare up. My mom also has bad GERD too. Two years ago, I had a similar pressure in my chest and was prescribed 
Ranitidine which immediately solved the problem. Today, I started Ranitidine 150 effervescent tablets. I took two and I still have the heavy chest! How long is this supposed to go on? Did I mess myself up by treating this as asthma in the beginning? Did I let myself suffer with these symptoms for too long that I won't get immediate relief anymore? Oh, does anybody else's GERD present itself more like a chest pressure rather than a chest pain?
Other symptoms include: 
A sore throat. Sometimes feels like it's burning or scratchy
Post nasal drip
Burping like insane</t>
        </is>
      </c>
      <c r="D1045" t="n">
        <v>4</v>
      </c>
      <c r="E1045" t="n">
        <v>7</v>
      </c>
      <c r="F1045">
        <f>HYPERLINK("https://www.reddit.com/r/GERD/comments/bhi1cr/can_somebody_please_help_me_im_desperate/")</f>
        <v/>
      </c>
      <c r="G1045" t="inlineStr">
        <is>
          <t>2019-04-25 21:07:53</t>
        </is>
      </c>
      <c r="H1045" t="inlineStr"/>
    </row>
    <row r="1046">
      <c r="A1046" t="inlineStr">
        <is>
          <t>bho02s</t>
        </is>
      </c>
      <c r="B1046" t="inlineStr">
        <is>
          <t>Pain in left side?</t>
        </is>
      </c>
      <c r="C1046" t="inlineStr">
        <is>
          <t>Does anyone get pin radiating down their left side? Especially after eating bad, horrible stabbing pains, and tense like a knot under the left rib cage?</t>
        </is>
      </c>
      <c r="D1046" t="n">
        <v>2</v>
      </c>
      <c r="E1046" t="n">
        <v>12</v>
      </c>
      <c r="F1046">
        <f>HYPERLINK("https://www.reddit.com/r/GERD/comments/bho02s/pain_in_left_side/")</f>
        <v/>
      </c>
      <c r="G1046" t="inlineStr">
        <is>
          <t>2019-04-26 09:03:17</t>
        </is>
      </c>
      <c r="H1046" t="inlineStr"/>
    </row>
    <row r="1047">
      <c r="A1047" t="inlineStr">
        <is>
          <t>bhpeit</t>
        </is>
      </c>
      <c r="B1047" t="inlineStr">
        <is>
          <t>What flavor gum do you chew?</t>
        </is>
      </c>
      <c r="C1047" t="inlineStr">
        <is>
          <t>I’ve been using methods on here to help alleviate some of my symptoms and saw a post about chewing gum to push the acid back down. If anybody does this and has a specific gym they buy info would be appreciated, thanks!</t>
        </is>
      </c>
      <c r="D1047" t="n">
        <v>6</v>
      </c>
      <c r="E1047" t="n">
        <v>20</v>
      </c>
      <c r="F1047">
        <f>HYPERLINK("https://www.reddit.com/r/GERD/comments/bhpeit/what_flavor_gum_do_you_chew/")</f>
        <v/>
      </c>
      <c r="G1047" t="inlineStr">
        <is>
          <t>2019-04-26 11:02:18</t>
        </is>
      </c>
      <c r="H1047" t="inlineStr"/>
    </row>
    <row r="1048">
      <c r="A1048" t="inlineStr">
        <is>
          <t>bhpu2y</t>
        </is>
      </c>
      <c r="B1048" t="inlineStr">
        <is>
          <t>Genetic testing for gluten sensitivity?</t>
        </is>
      </c>
      <c r="C1048" t="inlineStr">
        <is>
          <t>I've read that gluten can be one cause for GERD.  Do docs usually test for this?  I've also read the tests aren't very accurate, and came across a site that advertises genetic testing?  Anyone try this?  Seems pricey, and not sure it's legit.
https://www.glutenfreesociety.org/shop/memberships-products/gluten-sensitivity-genetic-test-kit/</t>
        </is>
      </c>
      <c r="D1048" t="n">
        <v>1</v>
      </c>
      <c r="E1048" t="n">
        <v>8</v>
      </c>
      <c r="F1048">
        <f>HYPERLINK("https://www.reddit.com/r/GERD/comments/bhpu2y/genetic_testing_for_gluten_sensitivity/")</f>
        <v/>
      </c>
      <c r="G1048" t="inlineStr">
        <is>
          <t>2019-04-26 11:39:42</t>
        </is>
      </c>
      <c r="H1048" t="inlineStr"/>
    </row>
    <row r="1049">
      <c r="A1049" t="inlineStr">
        <is>
          <t>bhqh6a</t>
        </is>
      </c>
      <c r="B1049" t="inlineStr">
        <is>
          <t>Do high fiber veggies like celery or asparagus trigger reflux?</t>
        </is>
      </c>
      <c r="C1049" t="inlineStr">
        <is>
          <t>I mean it takes a lot of time to chew and digest these high fiber vegetables. Wouldn't this stimulate more acid in the stomach. I love these in my diet because they are wonderful for regularity.</t>
        </is>
      </c>
      <c r="D1049" t="n">
        <v>1</v>
      </c>
      <c r="E1049" t="n">
        <v>3</v>
      </c>
      <c r="F1049">
        <f>HYPERLINK("https://www.reddit.com/r/GERD/comments/bhqh6a/do_high_fiber_veggies_like_celery_or_asparagus/")</f>
        <v/>
      </c>
      <c r="G1049" t="inlineStr">
        <is>
          <t>2019-04-26 12:36:31</t>
        </is>
      </c>
      <c r="H1049" t="inlineStr"/>
    </row>
    <row r="1050">
      <c r="A1050" t="inlineStr">
        <is>
          <t>bhvi0i</t>
        </is>
      </c>
      <c r="B1050" t="inlineStr">
        <is>
          <t>Air Fryer for GERDS?</t>
        </is>
      </c>
      <c r="C1050" t="inlineStr">
        <is>
          <t>Fried foods are bad due too high fat content. An air fryer only uses a table spoon of oil? Is this GERD safe?</t>
        </is>
      </c>
      <c r="D1050" t="n">
        <v>1</v>
      </c>
      <c r="E1050" t="n">
        <v>2</v>
      </c>
      <c r="F1050">
        <f>HYPERLINK("https://www.reddit.com/r/GERD/comments/bhvi0i/air_fryer_for_gerds/")</f>
        <v/>
      </c>
      <c r="G1050" t="inlineStr">
        <is>
          <t>2019-04-26 21:24:30</t>
        </is>
      </c>
      <c r="H1050" t="inlineStr"/>
    </row>
    <row r="1051">
      <c r="A1051" t="inlineStr">
        <is>
          <t>bhvnfe</t>
        </is>
      </c>
      <c r="B1051" t="inlineStr">
        <is>
          <t>Nausea?</t>
        </is>
      </c>
      <c r="C1051" t="inlineStr">
        <is>
          <t>Anybody know how to cure nausea before bed? I have GERD and feel nauseous 5 hours after eating ice cream and cookies. I took my famotidine pill and pepto bismol but I still feel nauseous. Should I take some more pepto bismol or eat something like crackers? I’m drinking water but I still feel nauseous.</t>
        </is>
      </c>
      <c r="D1051" t="n">
        <v>1</v>
      </c>
      <c r="E1051" t="n">
        <v>1</v>
      </c>
      <c r="F1051">
        <f>HYPERLINK("https://www.reddit.com/r/GERD/comments/bhvnfe/nausea/")</f>
        <v/>
      </c>
      <c r="G1051" t="inlineStr">
        <is>
          <t>2019-04-26 21:44:59</t>
        </is>
      </c>
      <c r="H1051" t="inlineStr"/>
    </row>
    <row r="1052">
      <c r="A1052" t="inlineStr">
        <is>
          <t>bhvro2</t>
        </is>
      </c>
      <c r="B1052" t="inlineStr">
        <is>
          <t>GERD and smoking</t>
        </is>
      </c>
      <c r="C1052" t="inlineStr">
        <is>
          <t>Apologies for the wall of text.
So I am a healthy 19 year old male with no prior reflux or heartburn pretty much throughout my entire life.
However, ever since about the time March began, I have had a cigarette once every other day or so because this semester has been pretty stressful. One day, though, after having some spicy Thai food, I had reflux so bad that I thought I was going to die; just the day before, I had smoked a few cigarettes and felt like it was rather hard to breathe. This was all about 2.5 weeks ago.
This obviously scared me, so I went to the doctor a few days later and they prescribed me 20mg of omeprazole per day for 30 days, and told me to stop smoking, which I very promptly did. I've been taking the omeprazole for about 10 days now and while I definitely feel better after eating than I did a week ago, I still sometimes get a feeling of a lump in my throat and shortness of breath, coupled with burping around 10-15 times per day.
To be honest, I am mostly just concerned about whether or not the damage I've done, likely by my smoking, as I've never had reflux problems before, could be healed by the omeprazole and if I can technically be "cured". Since I'm only 19, I am hoping that this will not be a lifelong problem, and I definitely do not want to walk around the rest of my life being fearful of the foods I eat or drink.
In essence, I was just wondering if anyone knew about whether or not (1) my GERD could potentially be caused by my short-term cigarette use, where they've weakened my esophageal sphincter, and (2) whether or not this potential weakening could be "cured" by the omeprazole, letting me live a normal life.
Thanks for everyone reading this, it's been causing me a lot of stress and anxiety these past weeks, and it's getting to the point where I think about how much I'm going to miss out on the rest of my life if I have to constantly deal with GERD.</t>
        </is>
      </c>
      <c r="D1052" t="n">
        <v>2</v>
      </c>
      <c r="E1052" t="n">
        <v>5</v>
      </c>
      <c r="F1052">
        <f>HYPERLINK("https://www.reddit.com/r/GERD/comments/bhvro2/gerd_and_smoking/")</f>
        <v/>
      </c>
      <c r="G1052" t="inlineStr">
        <is>
          <t>2019-04-26 22:01:39</t>
        </is>
      </c>
      <c r="H1052" t="inlineStr"/>
    </row>
    <row r="1053">
      <c r="A1053" t="inlineStr">
        <is>
          <t>bhwauy</t>
        </is>
      </c>
      <c r="B1053" t="inlineStr">
        <is>
          <t>LPR vs GERD?</t>
        </is>
      </c>
      <c r="C1053" t="inlineStr">
        <is>
          <t>What defines each? Do they occur together? I always get that horrible lump in my throat just above the clavicles, and I thought it was GERD but now I'm not sure? Reflux always happens when I'm sitting up or lying down.</t>
        </is>
      </c>
      <c r="D1053" t="n">
        <v>4</v>
      </c>
      <c r="E1053" t="n">
        <v>16</v>
      </c>
      <c r="F1053">
        <f>HYPERLINK("https://www.reddit.com/r/GERD/comments/bhwauy/lpr_vs_gerd/")</f>
        <v/>
      </c>
      <c r="G1053" t="inlineStr">
        <is>
          <t>2019-04-26 23:20:25</t>
        </is>
      </c>
      <c r="H1053" t="inlineStr"/>
    </row>
    <row r="1054">
      <c r="A1054" t="inlineStr">
        <is>
          <t>bi08h1</t>
        </is>
      </c>
      <c r="B1054" t="inlineStr">
        <is>
          <t>Are all the diets a bunch of B.S.</t>
        </is>
      </c>
      <c r="C1054" t="inlineStr">
        <is>
          <t>So I am reading up on all these diets (fast tract, acid watcher, etc) and they all seem suspect to me.  If everyone has individual triggers, how can a diet be one size fits all?
&amp;amp;#x200B;
I even downloaded AWD, and while I cannot claim I followed it 100%, I feel like I set myself back on my healing, opposed to when I was doing just very plain eating.  I just got so tired of eating so bland and truly was looking for a cure-all.  Sadly I don't think that exists.  What is everyone's thoughts on these diets?</t>
        </is>
      </c>
      <c r="D1054" t="n">
        <v>3</v>
      </c>
      <c r="E1054" t="n">
        <v>10</v>
      </c>
      <c r="F1054">
        <f>HYPERLINK("https://www.reddit.com/r/GERD/comments/bi08h1/are_all_the_diets_a_bunch_of_bs/")</f>
        <v/>
      </c>
      <c r="G1054" t="inlineStr">
        <is>
          <t>2019-04-27 08:34:33</t>
        </is>
      </c>
      <c r="H1054" t="inlineStr"/>
    </row>
    <row r="1055">
      <c r="A1055" t="inlineStr">
        <is>
          <t>bi18dd</t>
        </is>
      </c>
      <c r="B1055" t="inlineStr">
        <is>
          <t>Just launched: Daily updates of GERD clinical trials &amp;amp; top research articles</t>
        </is>
      </c>
      <c r="C1055" t="inlineStr">
        <is>
          <t>Hey /r/GERD,
As someone who suffered from a chronic health condition, I wanted a way to keep up to date with the latest treatments, research, and clinical trials. It was really hard to do this manually so I built a web app to help.
I'm hoping it can help GERD patients as well.
[https://medtally.com/condition/acid-reflux](https://medtally.com/condition/acid-reflux)
Please feel free to PM me if you have any feedback on how I can make it better. I will also answer any questions in the comments about how this works.
**Mods:** I don't make any money from this. There are no ads and no affiliate products. It's just something I built to help people with health issues, especially those with chronic conditions.</t>
        </is>
      </c>
      <c r="D1055" t="n">
        <v>14</v>
      </c>
      <c r="E1055" t="n">
        <v>2</v>
      </c>
      <c r="F1055">
        <f>HYPERLINK("https://www.reddit.com/r/GERD/comments/bi18dd/just_launched_daily_updates_of_gerd_clinical/")</f>
        <v/>
      </c>
      <c r="G1055" t="inlineStr">
        <is>
          <t>2019-04-27 10:12:38</t>
        </is>
      </c>
      <c r="H1055" t="inlineStr"/>
    </row>
    <row r="1056">
      <c r="A1056" t="inlineStr">
        <is>
          <t>bi18fa</t>
        </is>
      </c>
      <c r="B1056" t="inlineStr">
        <is>
          <t>Tempering off Ppis</t>
        </is>
      </c>
      <c r="C1056" t="inlineStr">
        <is>
          <t>I recently developed silent reflux/lpr, i had heartburn and gastritis before and was taking ppis for months, i think it did more bad than good and now im in constant pain after eating, sore throat, post nasal drip, right ear hurting, hell.Im trying to do this by taking esomeprazole everyother day now and then move on to h2 blockers like ranitidne, am i doing right? I want to try healing by taking glutamine and digestive enzymes</t>
        </is>
      </c>
      <c r="D1056" t="n">
        <v>2</v>
      </c>
      <c r="E1056" t="n">
        <v>3</v>
      </c>
      <c r="F1056">
        <f>HYPERLINK("https://www.reddit.com/r/GERD/comments/bi18fa/tempering_off_ppis/")</f>
        <v/>
      </c>
      <c r="G1056" t="inlineStr">
        <is>
          <t>2019-04-27 10:12:46</t>
        </is>
      </c>
      <c r="H1056" t="inlineStr"/>
    </row>
    <row r="1057">
      <c r="A1057" t="inlineStr">
        <is>
          <t>bi2xv8</t>
        </is>
      </c>
      <c r="B1057" t="inlineStr">
        <is>
          <t>i may have GERD, been having symptoms for months</t>
        </is>
      </c>
      <c r="C1057" t="inlineStr">
        <is>
          <t>19 year old male here, acid reflux runs on both sides of my family. The last few weeks my symptoms have been flaring up, such as stomach discomfort, feeling a need to burp, feeling a lump in my throat, some chest pain, regurgitation, etc. I occasionally take tagamet to help manage it but it doesnt work that well for me anymore. Any advice on what to do about it? Im an occasional smoker. Also getting a crackling sound from my throat every so often.</t>
        </is>
      </c>
      <c r="D1057" t="n">
        <v>0</v>
      </c>
      <c r="E1057" t="n">
        <v>2</v>
      </c>
      <c r="F1057">
        <f>HYPERLINK("https://www.reddit.com/r/GERD/comments/bi2xv8/i_may_have_gerd_been_having_symptoms_for_months/")</f>
        <v/>
      </c>
      <c r="G1057" t="inlineStr">
        <is>
          <t>2019-04-27 12:59:03</t>
        </is>
      </c>
      <c r="H1057" t="inlineStr"/>
    </row>
    <row r="1058">
      <c r="A1058" t="inlineStr">
        <is>
          <t>bi30zn</t>
        </is>
      </c>
      <c r="B1058" t="inlineStr">
        <is>
          <t>Low stomach acid, rosacea and hashimotos. Is there a link?</t>
        </is>
      </c>
      <c r="C1058" t="inlineStr">
        <is>
          <t>So I’m a 23/f and I’ve been doing research about my sudden rosacea. It appeared last September along with 15 pounds and a dip in my thyroid hormones. I’ve had hashimotos since I was around 18 and hypothyroidism since 15. 
I’ve been experiencing burning, bloating, and acid reflux for months now and my face isn’t getting any better. I looked up symptoms of low stomach acid and it’s a lot like what I have going on. I don’t really know how to go about using hcl pepsin, so I’m doing the baking soda experiment for the next three days. 
Any advice for stomach issues would be great! I’d love to have at least one thing fixed.</t>
        </is>
      </c>
      <c r="D1058" t="n">
        <v>2</v>
      </c>
      <c r="E1058" t="n">
        <v>3</v>
      </c>
      <c r="F1058">
        <f>HYPERLINK("https://www.reddit.com/r/GERD/comments/bi30zn/low_stomach_acid_rosacea_and_hashimotos_is_there/")</f>
        <v/>
      </c>
      <c r="G1058" t="inlineStr">
        <is>
          <t>2019-04-27 13:07:28</t>
        </is>
      </c>
      <c r="H1058" t="inlineStr"/>
    </row>
    <row r="1059">
      <c r="A1059" t="inlineStr">
        <is>
          <t>bi3tcb</t>
        </is>
      </c>
      <c r="B1059" t="inlineStr">
        <is>
          <t>Unable to eat &amp;amp; excruciating chest pain</t>
        </is>
      </c>
      <c r="C1059" t="inlineStr">
        <is>
          <t>I’ve recently had a camera down my throat, and was told my oesophagus is inflamed as well as stomach. This is the third attack I’ve had- when I am left unable to eat / drink and am in constant pain. Even breathing hurts. Does anyone else have any experience with these kind of symptoms? Currently taking lanzaporole.</t>
        </is>
      </c>
      <c r="D1059" t="n">
        <v>2</v>
      </c>
      <c r="E1059" t="n">
        <v>4</v>
      </c>
      <c r="F1059">
        <f>HYPERLINK("https://www.reddit.com/r/GERD/comments/bi3tcb/unable_to_eat_excruciating_chest_pain/")</f>
        <v/>
      </c>
      <c r="G1059" t="inlineStr">
        <is>
          <t>2019-04-27 14:26:21</t>
        </is>
      </c>
      <c r="H1059" t="inlineStr"/>
    </row>
    <row r="1060">
      <c r="A1060" t="inlineStr">
        <is>
          <t>bi5umi</t>
        </is>
      </c>
      <c r="B1060" t="inlineStr">
        <is>
          <t>GERD? Or Not?</t>
        </is>
      </c>
      <c r="C1060" t="inlineStr">
        <is>
          <t>Hey all, thought I’d crowdsource some advice from GERD veterans. About 3 weeks ago, randomly, I had dull pain in my chest when swallowing food. Next few days were a dull chest pain upon waking up and throughout the day at random times. Tried Zantac, didn’t work. Went to urgent care and got a cardio work up but it came back 100% healthy. Doctor told me to start Prilosec for 2 weeks said maybe I have Esophagitis. Have now been on Prilosec for a little over 2 weeks and the chest pain is 90% gone, but now the major problem is no matter what I eat I regurgitate and burp like crazy (this started about a week after starting Prilosec). It doesn’t burn or hurt, just super annoying and feels weird. Small or big meal it just feels like crap to basically have wet burps for an hour or more after eating. Is this GERD? Will this go away by staying in Prilosec? I have been on prednisone for a while, is this the reason? Anyone with something similar out there? I’ve cut out all the “bad” foods like caffeine, onions, garlic, spicy stuff etc. 
Other things to note: I’m 26, and have been on Prednisone for the last year or so (doses between 10-40mg a day) for myasthenia gravis.</t>
        </is>
      </c>
      <c r="D1060" t="n">
        <v>3</v>
      </c>
      <c r="E1060" t="n">
        <v>7</v>
      </c>
      <c r="F1060">
        <f>HYPERLINK("https://www.reddit.com/r/GERD/comments/bi5umi/gerd_or_not/")</f>
        <v/>
      </c>
      <c r="G1060" t="inlineStr">
        <is>
          <t>2019-04-27 18:00:21</t>
        </is>
      </c>
      <c r="H1060" t="inlineStr"/>
    </row>
    <row r="1061">
      <c r="A1061" t="inlineStr">
        <is>
          <t>bi67vt</t>
        </is>
      </c>
      <c r="B1061" t="inlineStr">
        <is>
          <t>I suffered since July 2018 and had a breakthrough three weeks ago that I want to share</t>
        </is>
      </c>
      <c r="C1061" t="inlineStr">
        <is>
          <t>I came across this subreddit during one of many late night sessions of googling my symptoms to find out what the hell was wrong with me. It wasn't until I had my second visit here did I begin to suspect I had GERD. There was a strong case made when I read a post about someone who went to the ER multiple times trying to find out what was going on with them. My heart broke. I'd gone to the ER twice before I'd read that post, both times scared and exhausted because I could no longer engage in a basic biological need without some chance of pain and frustration. They mentioned the same types of symptoms that brought them to the hospital. I felt an immediate sadness and some relief from a sense of belonging. 
I would go weeks waking up every other night in a hazy state of consciousness I called "The Squirm" - thoughts racing and filled with nonsense followed by nausea and panic. I had to be alone when it happened, and would always leave the bedroom I shared with my fiancee to writhe in solitude.
Symptoms would happen during the day, too. I used to drink a lot of coffee. After the first ER visit I stopped cold turkey. After that, it was fried chicken, hamburgers, chocolate, and tomato sauce. With symptoms coming on, I would first become embarrassed, then frustrated, then irascible. Normal light and sound became unbearable. If I was in really bad shape, I would have a panic attack. At this point, I still had no idea what was happening to me, and these episodes were a daily occurrence. 
As I began to spend more time on this subreddit, I began to realize that the panic I felt is related to GERD, and GERD related to panic. They orbit each other in a cruel waltz. I was seeing a therapist at the time and, after describing the symptoms, she suggested I had Panic Disorder. In my case, eating the wrong foods would trigger pain and nausea, and the pain and nausea would cause me immense concern to the point of panic. 
Prior to this first bit of insight, I'd had an endoscopy in January 2019 which returned no sign of ulcers or anything other than mild inflammation throughout the entire upper GI tract. This was after my two ER visits. Later I would have a gastric emptying test which came back unremarkable. The GI doctor wanted to give me a colonoscopy, then called back later and said she wanted to scan my gallbladder. I was getting the impression that they were running tests for the sake of running tests. GERD was not suggested and was shrugged off when I mentioned it as a possibility.
The breakthrough came three weeks ago. I was complaining about my issues to a coworker after having to leave work early one day because of my symptoms. She told me that her stomach was messed up for 6 months after taking antibiotics. It killed all of her good bacteria, making it easy for bad bacteria to invade. One in particular was called clostridium difficile colitis. I did not have the symptoms to indicate I had that bacteria, but I had a new lead. 
The week before I went to the ER for the first time, I had taken two different kinds of antibiotics to try and treat what I thought was a sinus infection. For months prior to that, I was taking NSAIDs daily for inflammation. The combination of the months of NSAIDs plus the antibiotics diminished my stomach's ability to shield itself against acid. This, plus my habit of drinking almost 2 liters of coffee a day created a perfect storm for GERD + panic symptoms.
What has worked for me these last three weeks was taking a probiotic supplement daily with a dozen strains of good bacteria. I also take 20mg omeprazole just in case - I've had regular heartburn for over a decade so I know the acid isn't helping. Lastly, I drink a daily cup of bone broth that I make from a powder I found at the grocery store in the supplements section. I've come across suggestions online that there are compounds in it which can help fortify the stomach lining. Whether or not that's scientifically proven seems like is still up for debate, but I had to try anything I could find. I have returned to my previous diet with no issues, except I am a tea drinker now. I sleep through the night.
Think back on the previous months and try to recall if you've taken any antibiotics and you are suffering from GERD symptoms with no relief. It might be a microbiome issue that is compounding your existing GERD troubles. My doctors were never going to test for this, or know to suggest this could have been the issue. My hope is that this brings some relief to at least one of you. My heart breaks reading these posts, so I had to share my experience in the hope it will help bring someone some relief, or some feeling that they're not alone.</t>
        </is>
      </c>
      <c r="D1061" t="n">
        <v>12</v>
      </c>
      <c r="E1061" t="n">
        <v>12</v>
      </c>
      <c r="F1061">
        <f>HYPERLINK("https://www.reddit.com/r/GERD/comments/bi67vt/i_suffered_since_july_2018_and_had_a_breakthrough/")</f>
        <v/>
      </c>
      <c r="G1061" t="inlineStr">
        <is>
          <t>2019-04-27 18:43:31</t>
        </is>
      </c>
      <c r="H1061" t="inlineStr"/>
    </row>
    <row r="1062">
      <c r="A1062" t="inlineStr">
        <is>
          <t>bi8jt8</t>
        </is>
      </c>
      <c r="B1062" t="inlineStr">
        <is>
          <t>Non stop belching and can feel lots of flutter in my stomach , side effect of omeprazole?</t>
        </is>
      </c>
      <c r="C1062" t="inlineStr">
        <is>
          <t>I've taken omeprazole on and off for the last 6 months, retook them everyday for the last 1 month now since my nausea came back
Now I literally could belch hundred times a day, and also feel so much flutter and movement in my stomach
Will go to gp when I came back but I'm on holiday now so am a bit freaked out and am thinking to stop omeprazole
Anyone else having this?</t>
        </is>
      </c>
      <c r="D1062" t="n">
        <v>3</v>
      </c>
      <c r="E1062" t="n">
        <v>0</v>
      </c>
      <c r="F1062">
        <f>HYPERLINK("https://www.reddit.com/r/GERD/comments/bi8jt8/non_stop_belching_and_can_feel_lots_of_flutter_in/")</f>
        <v/>
      </c>
      <c r="G1062" t="inlineStr">
        <is>
          <t>2019-04-27 23:46:09</t>
        </is>
      </c>
      <c r="H1062" t="inlineStr"/>
    </row>
    <row r="1063">
      <c r="A1063" t="inlineStr">
        <is>
          <t>bial5d</t>
        </is>
      </c>
      <c r="B1063" t="inlineStr">
        <is>
          <t>One final hurdle for LINX magnetic sphincter augmentation</t>
        </is>
      </c>
      <c r="C1063" t="inlineStr">
        <is>
          <t>I wanted to post some info about the LINX that doesn’t seem to be popping up in any other posts about the device.  I realize Facebook has some better discussions on the LINX than here, but I don’t use Facebook so I thought this could be useful to others who also abstain.
My story is that I have been struggling with GERD LPR symptoms for several years: the last two have been very bad.  The last 12 months have been severe,  I lost 20 lb and though I was dying at times.  
This lead me to have the myriad of tests done that most gerd people endure.  Gastritis, esophagitis, and hiatal hernia Hill grade III are my diagnosis along with mildly delayed gastric emptying.  I am seeing a surgeon about having antireflux surgery;  either the LINX or Nissen/Toupet based on my manometry results,  which I will know about on Wednesday.  I can’t tolerate acid reducing meds unfortunately.
Anyway,  the point of this post is to shed light on the final hurdle the LINX device has to cross (in my mind) before it becomes as legit as the Nissen.  I have read the 5 yr study that proves it is as effective as Nissen:  there is no long term data yet.  To me 34y m, 5 year is not long term data.  I need 20-30 yr data to be certain and for LINX it’s just not there (FDA approval 2012).
Below I’ll link a study that talks about the Angelchik device, which was a popular antireflux procedure over 30 years ago.  
http://www.chena.org/wp-content/uploads/linx/studies/linx-safety-2017.pdf
I have read the disclosures of the study and appreciate the fact that some authors have received funding from Torax.  Regardless,  the 5 yr data was not funded by Torax and is very promising.
If LINX can manage not to migrate or erode as much as the Anglechik did,  then it will be better than Nissen IMO.  I am still going to have the LINX if I can and hope for the best.  Erosion or migration isn’t life threatening, but an enormous and expensive inconvenience.
Check out some of the other articles in the references, they’re pretty good too.  Use google scholar not google.  I also check the validity of the publication with 
https://www.scimagojr.com/
Let’s all just hope history doesn’t repeat itself regarding the Angelchik and it’s epic failure for reflux patients. Please post anything I have not mentioned that could help others.  We all have to get through this hell in our own ways: share your thoughts and experiences. 
Thanks so much!</t>
        </is>
      </c>
      <c r="D1063" t="n">
        <v>7</v>
      </c>
      <c r="E1063" t="n">
        <v>4</v>
      </c>
      <c r="F1063">
        <f>HYPERLINK("https://www.reddit.com/r/GERD/comments/bial5d/one_final_hurdle_for_linx_magnetic_sphincter/")</f>
        <v/>
      </c>
      <c r="G1063" t="inlineStr">
        <is>
          <t>2019-04-28 05:08:29</t>
        </is>
      </c>
      <c r="H1063" t="inlineStr"/>
    </row>
    <row r="1064">
      <c r="A1064" t="inlineStr">
        <is>
          <t>bibb2f</t>
        </is>
      </c>
      <c r="B1064" t="inlineStr">
        <is>
          <t>Are these symptoms of GERD?</t>
        </is>
      </c>
      <c r="C1064" t="inlineStr">
        <is>
          <t>27 Year Old Male.
The last few days I have had this persistent bur ing right behind my sternum. Towards the base of it. Constantly need to burp and have a sour taste in the back of my mouth. My symptoms are constant but definitely are worse when waking up in the morning.
I thought GERD symptoms only flare after meals and not on empty stomach?
Could this be ulcer or cancer?</t>
        </is>
      </c>
      <c r="D1064" t="n">
        <v>2</v>
      </c>
      <c r="E1064" t="n">
        <v>2</v>
      </c>
      <c r="F1064">
        <f>HYPERLINK("https://www.reddit.com/r/GERD/comments/bibb2f/are_these_symptoms_of_gerd/")</f>
        <v/>
      </c>
      <c r="G1064" t="inlineStr">
        <is>
          <t>2019-04-28 06:37:28</t>
        </is>
      </c>
      <c r="H1064" t="inlineStr"/>
    </row>
    <row r="1065">
      <c r="A1065" t="inlineStr">
        <is>
          <t>bibvv8</t>
        </is>
      </c>
      <c r="B1065" t="inlineStr">
        <is>
          <t>Strawberries vs Esophageal Cancer</t>
        </is>
      </c>
      <c r="C1065" t="inlineStr">
        <is>
          <t>For those worried about esophageal cancer, I found this video and related studies interesting: https://youtu.be/y0AX4K-33c8
TLDW: 60g a day of freeze dried strawberries reversed esophageal cancer lesions in 80% of patients.
Now, 60g of strawberries is a lot. You'd have to get strawberry powder and basically drink it in a shake every day. But if you're only mildly worried about cancer, it might be a reason to include more strawberries in your diet? Unless strawberries are a trigger food for you, it can't hurt.</t>
        </is>
      </c>
      <c r="D1065" t="n">
        <v>1</v>
      </c>
      <c r="E1065" t="n">
        <v>7</v>
      </c>
      <c r="F1065">
        <f>HYPERLINK("https://www.reddit.com/r/GERD/comments/bibvv8/strawberries_vs_esophageal_cancer/")</f>
        <v/>
      </c>
      <c r="G1065" t="inlineStr">
        <is>
          <t>2019-04-28 07:40:00</t>
        </is>
      </c>
      <c r="H1065" t="inlineStr"/>
    </row>
    <row r="1066">
      <c r="A1066" t="inlineStr">
        <is>
          <t>bifgt3</t>
        </is>
      </c>
      <c r="B1066" t="inlineStr">
        <is>
          <t>TOP 10 SOLUTIONS FOR GERD/LPR</t>
        </is>
      </c>
      <c r="C1066" t="inlineStr">
        <is>
          <t>Gastroesophageal reflux disease, or GERD, is a digestive disorder that affects the lower esophageal sphincter (LES), the ring of muscle between the esophagus and stomach. Many people, including pregnant women, suffer from heartburn or acid indigestion caused by GERD.   
Laryngopharyngeal reflux (LPR) is a condition in which acid that is made in the stomach travels up the esophagus (swallowing tube) and gets to the throat.  
1. Low acid diet
\-Dropping Acid book
\-The Acid Watcher Diet
&amp;amp;#x200B;
2. Weight Loss (if applicable)
[https://www.ncbi.nlm.nih.gov/pmc/articles/PMC3853378/](https://www.ncbi.nlm.nih.gov/pmc/articles/PMC3853378/)
&amp;amp;#x200B;
3. Alkaline water (pH 8.8 or higher) mixed with baking soda taken after meals will help neutralize pepsin in the esophagus 
[https://youtu.be/sSOyrGD48tg](https://youtu.be/sSOyrGD48tg)
&amp;amp;#x200B;
4. Supplements
\-Gaviscon Advance(UK) aniseed flavor
[https://www.ncbi.nlm.nih.gov/pubmed/26909885](https://www.ncbi.nlm.nih.gov/pubmed/26909885)
\-Life Extension Esophageal Guardian (works using alginic acid just like gaviscon)
\-D-Limonene
[https://www.ncbi.nlm.nih.gov/pubmed/18072821](https://www.ncbi.nlm.nih.gov/pubmed/18072821)
\-PPIs are not effective for LPR
[https://www.ncbi.nlm.nih.gov/pmc/articles/PMC2503658/](https://www.ncbi.nlm.nih.gov/pmc/articles/PMC2503658/)
&amp;amp;#x200B;
5. MedCline Acid Reflux Relief Bed Wedge and Body Pillow System
[https://www.ncbi.nlm.nih.gov/pubmed/28688630](https://www.ncbi.nlm.nih.gov/pubmed/28688630)
[https://www.ncbi.nlm.nih.gov/pubmed/27629558](https://www.ncbi.nlm.nih.gov/pubmed/27629558)
Product site: [https://www.medcline.com/products.php?product=MedCline-Reflux-Relief-System](https://www.medcline.com/products.php?product=MedCline-Reflux-Relief-System)
&amp;amp;#x200B;
6. IQoro device to treat hiatal hernia and increase LES pressure
[https://www.ncbi.nlm.nih.gov/pubmed/25963055](https://www.ncbi.nlm.nih.gov/pubmed/25963055)
Product site: [https://www.iqoro.com/](https://www.iqoro.com/)
Can be shipped to the US using shipping service: [https://www.parcl.com/all-shipping-requests/details/ship-iqoro-for-adults-from-sweden-to-united-states/](https://www.parcl.com/all-shipping-requests/details/ship-iqoro-for-adults-from-sweden-to-united-states/)
&amp;amp;#x200B;
7. Inspiratory Muscle Training to increase LES pressure
[https://www.ncbi.nlm.nih.gov/pubmed/23026445](https://www.ncbi.nlm.nih.gov/pubmed/23026445)
Product Site: [https://www.anactivelife.com/Respironics-Threshold-IMT-Inspiratory-Muscle-Train-p/Threshold-IMT.htm?gclid=EAIaIQobChMI2dbsqriu3QIVxJyzCh2QHgPmEAQYAyABEgI9-\_D\_BwE&amp;amp;fbclid=IwAR2Gntkh-4qXGviSwb8iEcK8RRDJck0y-1nACVL0THtTkZxDf26U1CibJVA](https://www.anactivelife.com/Respironics-Threshold-IMT-Inspiratory-Muscle-Train-p/Threshold-IMT.htm?gclid=EAIaIQobChMI2dbsqriu3QIVxJyzCh2QHgPmEAQYAyABEgI9-_D_BwE&amp;amp;fbclid=IwAR2Gntkh-4qXGviSwb8iEcK8RRDJck0y-1nACVL0THtTkZxDf26U1CibJVA)
&amp;amp;#x200B;
8. Chewing sugar free gum after meals
[https://www.ncbi.nlm.nih.gov/pubmed/16246942](https://www.ncbi.nlm.nih.gov/pubmed/16246942)  
9. GERD/LPR Diagnostic Tests (see a gastroenterologist for testing)
\-pH Study
\-Endoscopy
\-Manometry
\-Gastric Emptying Scan
\-Electrogastrogram
&amp;amp;#x200B;
10. Surgery (if unable to manage symptoms through lifestyle)
\-Stretta (if hiatal hernia 3cm or smaller)
10 year data: [https://www.ncbi.nlm.nih.gov/pubmed/24562599](https://www.ncbi.nlm.nih.gov/pubmed/24562599)
Meta-Analysis: [https://www.ncbi.nlm.nih.gov/pubmed/28233093](https://www.ncbi.nlm.nih.gov/pubmed/28233093) 
\-Nissen Fundoplication (if hiatal hernia larger than 3cm)
15 year data: [https://www.ncbi.nlm.nih.gov/pubmed/22098922](https://www.ncbi.nlm.nih.gov/pubmed/22098922)
Quality of life: [https://www.ncbi.nlm.nih.gov/pubmed/28928332](https://www.ncbi.nlm.nih.gov/pubmed/28928332)
&amp;amp;#x200B;
Credit to Dr. Mark David Noar  [https://strettadoc.com/](https://strettadoc.com/) 
Join 'Stretta procedure for GERD and LPR' facebook group  
[https://www.facebook.com/groups/Stretta/](https://www.facebook.com/groups/Stretta/)</t>
        </is>
      </c>
      <c r="D1066" t="n">
        <v>24</v>
      </c>
      <c r="E1066" t="n">
        <v>14</v>
      </c>
      <c r="F1066">
        <f>HYPERLINK("https://www.reddit.com/r/GERD/comments/bifgt3/top_10_solutions_for_gerdlpr/")</f>
        <v/>
      </c>
      <c r="G1066" t="inlineStr">
        <is>
          <t>2019-04-28 13:12:11</t>
        </is>
      </c>
      <c r="H1066" t="inlineStr"/>
    </row>
    <row r="1067">
      <c r="A1067" t="inlineStr">
        <is>
          <t>bigllk</t>
        </is>
      </c>
      <c r="B1067" t="inlineStr">
        <is>
          <t>pain behind breastbone for days</t>
        </is>
      </c>
      <c r="C1067" t="inlineStr">
        <is>
          <t>hi everyone 
i’ve been having problems swallowing for three weeks now because it feels like my throat is stuck on the left side and i’ve also noticed a really loud gurgling noise every time i swallow when i’m lying down on my right side. 
anyway on top of this, a few days ago i had some chinese fast food and felt fine, and then an hour later i had some bread and a hot cross bun which i ate super fast. about an hour later i started feeling a pain behind my breastbone, in the middle of my chest sort of where my esophagus  is? it doesn’t burn necessarily just feels super like sore all the time now, not just after eating. has anyone had this before and knows what it is, or what helped it go away???</t>
        </is>
      </c>
      <c r="D1067" t="n">
        <v>5</v>
      </c>
      <c r="E1067" t="n">
        <v>7</v>
      </c>
      <c r="F1067">
        <f>HYPERLINK("https://www.reddit.com/r/GERD/comments/bigllk/pain_behind_breastbone_for_days/")</f>
        <v/>
      </c>
      <c r="G1067" t="inlineStr">
        <is>
          <t>2019-04-28 14:56:11</t>
        </is>
      </c>
      <c r="H1067" t="inlineStr"/>
    </row>
    <row r="1068">
      <c r="A1068" t="inlineStr">
        <is>
          <t>bih7vi</t>
        </is>
      </c>
      <c r="B1068" t="inlineStr">
        <is>
          <t>Braised Broccoli is amazing, but sets off my acid/digestive issues</t>
        </is>
      </c>
      <c r="C1068" t="inlineStr">
        <is>
          <t>I love it so much, but it never fails to give me acid pains, I wish I could just eat something without hurting or having bathroom problems! UGH!</t>
        </is>
      </c>
      <c r="D1068" t="n">
        <v>1</v>
      </c>
      <c r="E1068" t="n">
        <v>0</v>
      </c>
      <c r="F1068">
        <f>HYPERLINK("https://www.reddit.com/r/GERD/comments/bih7vi/braised_broccoli_is_amazing_but_sets_off_my/")</f>
        <v/>
      </c>
      <c r="G1068" t="inlineStr">
        <is>
          <t>2019-04-28 15:58:59</t>
        </is>
      </c>
      <c r="H1068" t="inlineStr"/>
    </row>
    <row r="1069">
      <c r="A1069" t="inlineStr">
        <is>
          <t>bihcy8</t>
        </is>
      </c>
      <c r="B1069" t="inlineStr">
        <is>
          <t>Omeprezole giving me vision issues, anything else worked well for anybody?</t>
        </is>
      </c>
      <c r="C1069" t="inlineStr">
        <is>
          <t>Title says it all. Was having strange vision problems that stopped the second I went of the PPIs. Problem is they were reallly helping me, anyone have any suggestions for anything that's worked for them?</t>
        </is>
      </c>
      <c r="D1069" t="n">
        <v>2</v>
      </c>
      <c r="E1069" t="n">
        <v>7</v>
      </c>
      <c r="F1069">
        <f>HYPERLINK("https://www.reddit.com/r/GERD/comments/bihcy8/omeprezole_giving_me_vision_issues_anything_else/")</f>
        <v/>
      </c>
      <c r="G1069" t="inlineStr">
        <is>
          <t>2019-04-28 16:13:35</t>
        </is>
      </c>
      <c r="H1069" t="inlineStr"/>
    </row>
    <row r="1070">
      <c r="A1070" t="inlineStr">
        <is>
          <t>biiq7r</t>
        </is>
      </c>
      <c r="B1070" t="inlineStr">
        <is>
          <t>Thoughts on Ginger ale?</t>
        </is>
      </c>
      <c r="C1070" t="inlineStr">
        <is>
          <t>So ginger’s supposed to be good for GERD, but the sugar and carbonation in ginger ale make it a questionable beverage for easing GERD symptoms. What is everyone’s thoughts on it? Also ginger beer.</t>
        </is>
      </c>
      <c r="D1070" t="n">
        <v>6</v>
      </c>
      <c r="E1070" t="n">
        <v>11</v>
      </c>
      <c r="F1070">
        <f>HYPERLINK("https://www.reddit.com/r/GERD/comments/biiq7r/thoughts_on_ginger_ale/")</f>
        <v/>
      </c>
      <c r="G1070" t="inlineStr">
        <is>
          <t>2019-04-28 18:37:02</t>
        </is>
      </c>
      <c r="H1070" t="inlineStr"/>
    </row>
    <row r="1071">
      <c r="A1071" t="inlineStr">
        <is>
          <t>bilcv6</t>
        </is>
      </c>
      <c r="B1071" t="inlineStr">
        <is>
          <t>GERD or not?</t>
        </is>
      </c>
      <c r="C1071" t="inlineStr">
        <is>
          <t>Hi, so I already suffer from constipation and my GERD symptoms started around a week ago. I was on the toilet when after a large push I felt a slight chest pain/heart pain. This freaked me out a bit and I had an anxiety as I thought I was experiencing a heart attack or something. I finally managed to fall asleep a few hours later after calming myself down. This is where the nausea and light-headedness began although I thought that was due to the panic attack. The next few days I was experiencing some heartburn and nausea/light-headedness although these symptoms would only occur during the night (also has been keeping me up at night and affecting my sleep). The nausea and light-headedness was unbearable and it felt like my head was spinning all over the place. I also was not able to consume probably more than 800 calories per day and the thought of having a large meal and eating a lot made me feel sick. I had no apetite and it also took me a while to chew my food and consume it (3 pieces of bread took me around 30 minutes to eat). I can also feel my belly grumble a lot at night and there seems to be more action going on. So after 5 days of these symptoms I went to the A&amp;amp;E in the night as the heartburn, nausea and dizziness I was experiencing was very bad. The doctor ran an ecg on me and took my blood and said that everything came back clear. I’ve gone from around 88kg to 83kg in the past 7 days and I still have no apetite, does anyone know why I could still have no apetite. I’ve also found that forcing myself to eat relieves the nausea and dizziness symptoms a bit. I’m 18 years old and I exercise 5x a week and live a healthy lifestyle. Anyway, I’m going to see my GP tomorrow and I was wondering if there is anything I should specifically tell them other than what I’ve wrote down here. Also, does this sound like GERD to you or something else? Thank you.</t>
        </is>
      </c>
      <c r="D1071" t="n">
        <v>2</v>
      </c>
      <c r="E1071" t="n">
        <v>27</v>
      </c>
      <c r="F1071">
        <f>HYPERLINK("https://www.reddit.com/r/GERD/comments/bilcv6/gerd_or_not/")</f>
        <v/>
      </c>
      <c r="G1071" t="inlineStr">
        <is>
          <t>2019-04-28 22:03:39</t>
        </is>
      </c>
      <c r="H1071" t="inlineStr"/>
    </row>
    <row r="1072">
      <c r="A1072" t="inlineStr">
        <is>
          <t>bitoe1</t>
        </is>
      </c>
      <c r="B1072" t="inlineStr">
        <is>
          <t>Any help on my symptoms? Maybe Gerd?</t>
        </is>
      </c>
      <c r="C1072" t="inlineStr">
        <is>
          <t>I have been suffering from a small array of things and I have been to several doctors and no one can seem to find what's wrong. At this point I go into the clinic and I feel like they are not taking me seriously anymore because of how much I go there. I have been doing trial and error to try and alleviate my main symptom which is Post Nasal Drip. I am currently on a wait list to see an ENT and have been for about 8 months now. In the meantime I have been trying to figure out what is wrong. I took an allergy test and I have zero allergies. These are my symptoms. Post nasal drip, which started 2 years ago, it accumulates at night and I need to clear my throat every morning, or try swallowing it. I don't get the swallowing feeling as much during the day. Eating certian foods I get super phlemmy in my chest area and I have to cough it up and swallow. Random hiccups which have been happening more lately. Bad breath which started with the nasal drip. I have white tongue and need to scrape it daily or it smells really bad. It is to the point this is affecting my relationship with my husband and I don't want him near my mouth. I do not feel or get heart burn very often, maybe once every 2 months. I have not adjusted my diet yet. I am a 27 year old female, slightly underweight. Any questions, comments or feedback would be greatly appreciated. If I think of more symptoms I will comment. Thank you</t>
        </is>
      </c>
      <c r="D1072" t="n">
        <v>3</v>
      </c>
      <c r="E1072" t="n">
        <v>4</v>
      </c>
      <c r="F1072">
        <f>HYPERLINK("https://www.reddit.com/r/GERD/comments/bitoe1/any_help_on_my_symptoms_maybe_gerd/")</f>
        <v/>
      </c>
      <c r="G1072" t="inlineStr">
        <is>
          <t>2019-04-29 12:35:12</t>
        </is>
      </c>
      <c r="H1072" t="inlineStr"/>
    </row>
    <row r="1073">
      <c r="A1073" t="inlineStr">
        <is>
          <t>bivled</t>
        </is>
      </c>
      <c r="B1073" t="inlineStr">
        <is>
          <t>Does this sound like Gerd?</t>
        </is>
      </c>
      <c r="C1073" t="inlineStr">
        <is>
          <t>What's up guys 
I need a little insight here 
I'm a 25 year old Male, 170lbs, 5'11
I was on antibiotics for 1.5 years for lyme disease. I stopped taking them Sept of 2017. During that time I was on a gluten free, sugar free, no alcohol diet... fun stuff. By end of treatment I weighed 155lbs. 
In the time since I stopped taking antibiotics I started eating whatever I want, whenever I want. I been drinking good amounts of alcohol. Not everyday but sometimes 2-3 times a week. At one point a few months ago I got to 180lbs... yikes. I got freaked out. 
I got down to 170-174lbs as of about a month ago. 
2 weeks ago I started having some weird stomach issues. 
1st symptom- weird dull disconfort under right rib. Almost felt like something swollen. Especially while sitting and driving in the car. I started freaking out so I went to the Dr. 
I also developed weird symptom where whatever I ate I got super bloated and if I start moving around I am non stop burping. Probably around 100-150 times a day.
Had my first round of tests 
Had a blood test done. Normal 
Had a ultrasound done of the gallbladder normal.
Now I started to panic a little since everything is normal in the bloodwork and ultrasound. 
The dr told me to start taking nexium and go see a GI dr. 
I started nexium a week ago on Sunday night. By Tuesday I started having some weird chest pain burning sensations. Right where my sternum is. And I started getting very short breathed when walking with my dog. 
I just had a CT scan done on my abdomen and pelvis and it came back as okay. I just did a chest x ray today for the short breath so I will know tomorrow. 
But as of right now my symptoms are:
Irregular bowel movement 
The dull pain seems to be getting better under the rib 
My chest by my breast bone is burning and painful
Difficulty breathing almost as if my throat area is closing
Constant burping 
Intense bloating after eating a meal 
Constant clearing throat 
Anxiety and stress 
Waking up earlier than usual 
Overall feeling not well and tired. Probably from all the stress 
For a few days I completely lost my appetite but seems to be picking up now. 
Does this sound like gerd?</t>
        </is>
      </c>
      <c r="D1073" t="n">
        <v>1</v>
      </c>
      <c r="E1073" t="n">
        <v>18</v>
      </c>
      <c r="F1073">
        <f>HYPERLINK("https://www.reddit.com/r/GERD/comments/bivled/does_this_sound_like_gerd/")</f>
        <v/>
      </c>
      <c r="G1073" t="inlineStr">
        <is>
          <t>2019-04-29 15:20:48</t>
        </is>
      </c>
      <c r="H1073" t="inlineStr"/>
    </row>
    <row r="1074">
      <c r="A1074" t="inlineStr">
        <is>
          <t>biw4y7</t>
        </is>
      </c>
      <c r="B1074" t="inlineStr">
        <is>
          <t>Is this GERD or something else?</t>
        </is>
      </c>
      <c r="C1074" t="inlineStr">
        <is>
          <t>Sometimes after a meal or coffee I have a lot of excessive sailva and have to keep spitting out. It also has a really bitter taste in the mouth. The weird part is just foam and no food or blood mixed with it. So it’s not like the usual throw ups people have. The thing is I don’t have any constipation, nausea, abdominal pain. It’s just this annoying thing. The only part of me that will hurt is my throat.</t>
        </is>
      </c>
      <c r="D1074" t="n">
        <v>3</v>
      </c>
      <c r="E1074" t="n">
        <v>1</v>
      </c>
      <c r="F1074">
        <f>HYPERLINK("https://www.reddit.com/r/GERD/comments/biw4y7/is_this_gerd_or_something_else/")</f>
        <v/>
      </c>
      <c r="G1074" t="inlineStr">
        <is>
          <t>2019-04-29 16:12:13</t>
        </is>
      </c>
      <c r="H1074" t="inlineStr"/>
    </row>
    <row r="1075">
      <c r="A1075" t="inlineStr">
        <is>
          <t>bix1v5</t>
        </is>
      </c>
      <c r="B1075" t="inlineStr">
        <is>
          <t>Anyone else get a feeling of food just hanging out in your esophagus?</t>
        </is>
      </c>
      <c r="C1075" t="inlineStr">
        <is>
          <t>I often get the feeling that I ate too much and food is sitting in my esophagus waiting for space to go down. Was just curious if anyone else gets the sensation often or if it is just me? Any ideas?</t>
        </is>
      </c>
      <c r="D1075" t="n">
        <v>21</v>
      </c>
      <c r="E1075" t="n">
        <v>15</v>
      </c>
      <c r="F1075">
        <f>HYPERLINK("https://www.reddit.com/r/GERD/comments/bix1v5/anyone_else_get_a_feeling_of_food_just_hanging/")</f>
        <v/>
      </c>
      <c r="G1075" t="inlineStr">
        <is>
          <t>2019-04-29 17:44:27</t>
        </is>
      </c>
      <c r="H1075" t="inlineStr"/>
    </row>
    <row r="1076">
      <c r="A1076" t="inlineStr">
        <is>
          <t>bj1uwq</t>
        </is>
      </c>
      <c r="B1076" t="inlineStr">
        <is>
          <t>Endoscopy concerns (I need to be asleep!)</t>
        </is>
      </c>
      <c r="C1076" t="inlineStr">
        <is>
          <t>Hi, 
I had an appointment for an Endoscopy (for possible GERD, they honestly don’t know), and they sent me to a smaller hospital a bit further away from my regular hospital. When I got there, I chose sedation, but after sticking my in my arms, wrist (ouch), and foot (ouch again), they couldn’t get it in, and said they didn’t have the right equipment to get it in. 
Since I have panic attacks, it took a lot of psyching myself up to go, and since it was far away, I had several people come with me, and they had taken time off, so I felt like I had to try and have it without the sedation. 
Anyway, it was a horrible traumatic experience that I couldn’t tolerate (severe gag reflex + fear/phobia of vomiting), so she didn’t even get it down my throat before I had to stop the procedure because I just continuously gagged and it was awful and I couldn’t take it.
Now, I know because of all those things above, I absolutely cannot have this done without essentially being knocked out because: I don’t want to be aware of it because it’s traumatising, and I’m also worried that if I’m so out of it I can’t control anything/stop them again, then that will be doubly traumatising. 
I’m also deathly afraid of vomiting, and because of anxiety now think that I will definitely vomit, and am worried I’ll be so out of it, they won’t know (which I know isn’t rational). 
So... I talked to the nurse, and she said they will be giving me Midazolam. She said the usual dose is 2mg. 
The nurse from the previous place put on my notes that I need a heavier dose, and I also told the new nurse that. She said they will “give me a bit more.” 
I asked what the max dose is, she said 4mg.
My questions: Everything I’m reading tells me I won’t remember anything after, BUT will I be aware in the moment? 
And is 2-4mg enough to make me go to sleep? 
I don’t want to just be drowsy/relaxed. I cannot know what it happening. 
Any help would be greatly appreciated. 
- signed a very anxious worrier. 
Thank you! 
**TLDR:** *My questions: Everything I’m reading tells me I won’t remember anything after, BUT will I be aware in the moment? 
And is 2-4mg enough to make me go to sleep? 
I don’t want to just be drowsy/relaxed. I cannot know what it happening.*</t>
        </is>
      </c>
      <c r="D1076" t="n">
        <v>1</v>
      </c>
      <c r="E1076" t="n">
        <v>7</v>
      </c>
      <c r="F1076">
        <f>HYPERLINK("https://www.reddit.com/r/GERD/comments/bj1uwq/endoscopy_concerns_i_need_to_be_asleep/")</f>
        <v/>
      </c>
      <c r="G1076" t="inlineStr">
        <is>
          <t>2019-04-30 03:47:50</t>
        </is>
      </c>
      <c r="H1076" t="inlineStr"/>
    </row>
    <row r="1077">
      <c r="A1077" t="inlineStr">
        <is>
          <t>bj2tl1</t>
        </is>
      </c>
      <c r="B1077" t="inlineStr">
        <is>
          <t>Help with symptoms?</t>
        </is>
      </c>
      <c r="C1077" t="inlineStr">
        <is>
          <t>(already posted on r/askdocs but though you guys may be able to help me out)  
Continuously for the last three weeks I have felt extremely nauseated, I struggle to sleep and it is severely impacting how I function. I have suffered from nausea on and off for years and have always put it down to anxiety but it's got so bad these days that I'm ready to drop out of university.
Been to the doctor, was prescribed ondansteron and told to see a psychologist (I do). Both have not helped at all.
Friend told me to take an antacid today, which finally provided me with enough relief to get some sleep but stopped working a couple of hours later. It was double strength so I cannot take another for 24hrs.
But it has lead me to believe it may be acid reflux/ulcer related. I also have trouble swallowing and feel like there is something stuck in my throat (classic anxiety symptoms though) and get sore throats. Also have really bad 'hunger-like' pains at night that make me feel even more nauseous. My tongue swollen. I don’t often get full on reflux and because of my age (im 19)  never thought it could be related to a GERD like condition. Also chest pains have always just been put down as anxiety as well.  
Any ideas? im really stuggling atm.</t>
        </is>
      </c>
      <c r="D1077" t="n">
        <v>2</v>
      </c>
      <c r="E1077" t="n">
        <v>5</v>
      </c>
      <c r="F1077">
        <f>HYPERLINK("https://www.reddit.com/r/GERD/comments/bj2tl1/help_with_symptoms/")</f>
        <v/>
      </c>
      <c r="G1077" t="inlineStr">
        <is>
          <t>2019-04-30 05:40:22</t>
        </is>
      </c>
      <c r="H1077" t="inlineStr"/>
    </row>
    <row r="1078">
      <c r="A1078" t="inlineStr">
        <is>
          <t>bj4ao9</t>
        </is>
      </c>
      <c r="B1078" t="inlineStr">
        <is>
          <t>I made an extensive post of GERD some years back, specifically, on the things that have helped me. I was a severe sufferer. I've made dramatic improvements, it's practically gone for all intents and purposes. Updated info in this post.</t>
        </is>
      </c>
      <c r="C1078" t="inlineStr">
        <is>
          <t>I just shared this information i response to someone who PM'd me about my original post, but thought it would be best to share here:
I stopped using Melatonin, but continue to use the broccoli sprouts, which still helps. Part of what the sprouts do is protect your GI lining, so even absent the bacteria that can cause reflux which the sprouts kill naturally (as good as antibiotic in my opinion), the sprouts can still be helpful in protecting and healing your GI. I actually moved to Europe at one point (back in the US now), and was very concerned I wouldn't be able to get all the things i needed while I was living there to manage my GERD. Within a few weeks of living there, I noticed that my reflux had mostly subsided all on its own. I told a friend of mine over there about the whole thing and he indicated that the part of Sweden we lived in has some of the purest water in the world, and that it might have been the water causing me problems. It's interesting, because I immediately thought back on it and realized that when I had the worst of my reflux, it would sometimes be not too long after simply drinking a glass of ice water in the morning and nothing else. I would often skip breakfast to try and avoid getting reflux, and, as it turned out, it may have been the water itself. Specifically, the part of Florida that i was living in was known to dump loads of chlorine into the water supply. So another piece of advice I would give is to be weary of what's in your water. Use a very high quality water filter that's tested to remove contaminants from your water. Really, you just need to attack this issue from as many angles as you can, until you hone in on the factors that affect you. For me, the broccoli sprouts and drinking water were the two most important factors, which I consistently maintain. The sprouts, to a bit of a lesser extent these days. I used to eat a package a day, now it's more like a package or two a week. If i go very long periods without the sprouts, the reflux does seem to creep back in. I believe there's a battle between the healthy bacteria and bad bacteria in my stomach. I think the chlorine in water (and perhaps other chemicals) throw off the balance, plus, my understanding is the chlorine can also trigger your stomach to produce tons of acid via chemical processes. 
Hope this helps, happy to answer questions.</t>
        </is>
      </c>
      <c r="D1078" t="n">
        <v>27</v>
      </c>
      <c r="E1078" t="n">
        <v>33</v>
      </c>
      <c r="F1078">
        <f>HYPERLINK("https://www.reddit.com/r/GERD/comments/bj4ao9/i_made_an_extensive_post_of_gerd_some_years_back/")</f>
        <v/>
      </c>
      <c r="G1078" t="inlineStr">
        <is>
          <t>2019-04-30 07:59:22</t>
        </is>
      </c>
      <c r="H1078" t="inlineStr"/>
    </row>
    <row r="1079">
      <c r="A1079" t="inlineStr">
        <is>
          <t>bj5pml</t>
        </is>
      </c>
      <c r="B1079" t="inlineStr">
        <is>
          <t>Europeans with GERD</t>
        </is>
      </c>
      <c r="C1079" t="inlineStr">
        <is>
          <t>As title says, are there any Europeans who suffer from GERD? What’s your situation? What country are you in? Reason I ask: I would like to move from US to Europe one day, for a bit of time, but worry I won’t be able to find medication like Ranitidine or Zantac. Thanks!</t>
        </is>
      </c>
      <c r="D1079" t="n">
        <v>1</v>
      </c>
      <c r="E1079" t="n">
        <v>7</v>
      </c>
      <c r="F1079">
        <f>HYPERLINK("https://www.reddit.com/r/GERD/comments/bj5pml/europeans_with_gerd/")</f>
        <v/>
      </c>
      <c r="G1079" t="inlineStr">
        <is>
          <t>2019-04-30 10:00:29</t>
        </is>
      </c>
      <c r="H1079" t="inlineStr"/>
    </row>
    <row r="1080">
      <c r="A1080" t="inlineStr">
        <is>
          <t>bj60kn</t>
        </is>
      </c>
      <c r="B1080" t="inlineStr">
        <is>
          <t>Running with GERD</t>
        </is>
      </c>
      <c r="C1080" t="inlineStr">
        <is>
          <t>Running is my passion but my GERD is really affecting it. My G'P's advice was to just switch to walking but I can't live without running it's my favourite hobby. I get some of my worst reflux when I run though and the shortness of breath is impossible to deal with, anyone have any suggestions?</t>
        </is>
      </c>
      <c r="D1080" t="n">
        <v>3</v>
      </c>
      <c r="E1080" t="n">
        <v>2</v>
      </c>
      <c r="F1080">
        <f>HYPERLINK("https://www.reddit.com/r/GERD/comments/bj60kn/running_with_gerd/")</f>
        <v/>
      </c>
      <c r="G1080" t="inlineStr">
        <is>
          <t>2019-04-30 10:25:33</t>
        </is>
      </c>
      <c r="H1080" t="inlineStr"/>
    </row>
    <row r="1081">
      <c r="A1081" t="inlineStr">
        <is>
          <t>bj6h4z</t>
        </is>
      </c>
      <c r="B1081" t="inlineStr">
        <is>
          <t>Prilosec- weird question</t>
        </is>
      </c>
      <c r="C1081" t="inlineStr">
        <is>
          <t>So I’ve had stomach issues for 10+ years due to stress, anxiety, and eating disorders. I am now in recovery for my anxiety and it’s been a year since my restrictive ED but my stomach is suffering greatly. I developed GERD and have been in so much pain for months. Finally after having reflux so bad I could feel it in my ears I picked up generic Omeprazole magnesium and didn’t really take it as prescribed on the box. I took it around 5 pm an hour before dinner. It actually worked well, but some days I would skip a day or two or take at lunch. Basically all over the place. I asked my doctor to take for longer than 14 days and after a month I decided I needed to take it correctly if I wanted the best possible outcome. So today is the first day of taking brand name Prilosec OTC 30 min before breakfast. The thing is (tmi) I have my daily BM when I eat breakfast. Did I just completely eliminate the pill?? I’m worried since this happens at the same time everyday. Also, I suffer from emetophobia and has anyone had nausea side effects from Prilosec? Just my anxiety paranoia telling me taking it in the morning will cause it. 
Will be going to my Dr soon since living with GERD is horrific especially when it’s tied to anxiety. What are long term solutions? I don’t want this for the rest of my life :(</t>
        </is>
      </c>
      <c r="D1081" t="n">
        <v>2</v>
      </c>
      <c r="E1081" t="n">
        <v>1</v>
      </c>
      <c r="F1081">
        <f>HYPERLINK("https://www.reddit.com/r/GERD/comments/bj6h4z/prilosec_weird_question/")</f>
        <v/>
      </c>
      <c r="G1081" t="inlineStr">
        <is>
          <t>2019-04-30 11:04:23</t>
        </is>
      </c>
      <c r="H1081" t="inlineStr"/>
    </row>
    <row r="1082">
      <c r="A1082" t="inlineStr">
        <is>
          <t>bj6x29</t>
        </is>
      </c>
      <c r="B1082" t="inlineStr">
        <is>
          <t>Those Who Get Bloating: Instagram Fashion Account for Bloated Stomachs?</t>
        </is>
      </c>
      <c r="C1082" t="inlineStr">
        <is>
          <t>Anyone else here have terrible bloating? Reflux caused me to have severe bloating issues and after I got reflux surgery (LINX, 2 years ago) my bloating is actually worse, SOOO WORTH IT THOUGH!!!!!
I love following fashion bloggers on instagram and getting ideas for outfits but get frustrated by all the flat stomachs! So many tight midi dresses that would make me look 5 months pregnant on many days! I have been toying with the idea of making an account with outfits linked that are all bloated-belly friendly. Does anyone know if this already exists? If not, would people here be potentially interesting in following an account like this?</t>
        </is>
      </c>
      <c r="D1082" t="n">
        <v>2</v>
      </c>
      <c r="E1082" t="n">
        <v>0</v>
      </c>
      <c r="F1082">
        <f>HYPERLINK("https://www.reddit.com/r/GERD/comments/bj6x29/those_who_get_bloating_instagram_fashion_account/")</f>
        <v/>
      </c>
      <c r="G1082" t="inlineStr">
        <is>
          <t>2019-04-30 11:42:03</t>
        </is>
      </c>
      <c r="H1082" t="inlineStr"/>
    </row>
    <row r="1083">
      <c r="A1083" t="inlineStr">
        <is>
          <t>bj6x4n</t>
        </is>
      </c>
      <c r="B1083" t="inlineStr">
        <is>
          <t>Is there anyone here for whom Celery Juice makes their GERD symptoms worse, not better?</t>
        </is>
      </c>
      <c r="C1083" t="inlineStr">
        <is>
          <t>I've had an esophageal ulcer for the past 25+ years, and it flares up once in a while, sometimes for months on end. Extremely painful. When it did this time, celery juice helped with proximate symptoms. But it isn't going away, and sometimes I feel even worse after celery juice. (We press our own.) I'm wondering if taking it might be making things worse and somehow prolonging this episode -- I'd love to hear other poster's thoughts. Thank you!</t>
        </is>
      </c>
      <c r="D1083" t="n">
        <v>3</v>
      </c>
      <c r="E1083" t="n">
        <v>0</v>
      </c>
      <c r="F1083">
        <f>HYPERLINK("https://www.reddit.com/r/GERD/comments/bj6x4n/is_there_anyone_here_for_whom_celery_juice_makes/")</f>
        <v/>
      </c>
      <c r="G1083" t="inlineStr">
        <is>
          <t>2019-04-30 11:42:13</t>
        </is>
      </c>
      <c r="H1083" t="inlineStr"/>
    </row>
    <row r="1084">
      <c r="A1084" t="inlineStr">
        <is>
          <t>bj73nb</t>
        </is>
      </c>
      <c r="B1084" t="inlineStr">
        <is>
          <t>Has anyone seen results from coconut water?</t>
        </is>
      </c>
      <c r="C1084" t="inlineStr">
        <is>
          <t>So, has anyone seen any results regarding their acid reflux when drinking coconut water daily?
Recently, I got off my PPI and I'm having "PPI Withdrawal," where the acid reflux is like it was before I even started the PPI. I know it's just a reaction that will hopefully go away in a few weeks after going off the PPI, but I did read online that coconut water daily helps diminish acid reflux and symptoms.
I honestly hate the taste of coconut water, but I started drinking it the other day because I really want to look for a "natural" alternative.
Tomorrow I am starting the apple cider vinegar "treatment" as suggested by my doctor, but if I can do anything else to reduce the acid and heal my body, that would be amazing.
So, if anyone has used coconut water, please tell me your experience.
OR leave me any other suggestions. I already eat a very limited, bland diet (I am also vegan on top of that, so I am on a strict elimination diet), so I've already taken care of eliminating trigger foods as best as possible. Now it's just about healing my body and having a staple in my diet that will keep the acid at bay.
&amp;amp;#x200B;
Thanks</t>
        </is>
      </c>
      <c r="D1084" t="n">
        <v>1</v>
      </c>
      <c r="E1084" t="n">
        <v>1</v>
      </c>
      <c r="F1084">
        <f>HYPERLINK("https://www.reddit.com/r/GERD/comments/bj73nb/has_anyone_seen_results_from_coconut_water/")</f>
        <v/>
      </c>
      <c r="G1084" t="inlineStr">
        <is>
          <t>2019-04-30 11:57:33</t>
        </is>
      </c>
      <c r="H1084" t="inlineStr"/>
    </row>
    <row r="1085">
      <c r="A1085" t="inlineStr">
        <is>
          <t>bj7cur</t>
        </is>
      </c>
      <c r="B1085" t="inlineStr">
        <is>
          <t>Endoscopy with propofol experiences?</t>
        </is>
      </c>
      <c r="C1085" t="inlineStr">
        <is>
          <t>Scheduled for my first one soon. How did you feel afterwards?</t>
        </is>
      </c>
      <c r="D1085" t="n">
        <v>4</v>
      </c>
      <c r="E1085" t="n">
        <v>15</v>
      </c>
      <c r="F1085">
        <f>HYPERLINK("https://www.reddit.com/r/GERD/comments/bj7cur/endoscopy_with_propofol_experiences/")</f>
        <v/>
      </c>
      <c r="G1085" t="inlineStr">
        <is>
          <t>2019-04-30 12:19:28</t>
        </is>
      </c>
      <c r="H1085" t="inlineStr"/>
    </row>
    <row r="1086">
      <c r="A1086" t="inlineStr">
        <is>
          <t>bj95ku</t>
        </is>
      </c>
      <c r="B1086" t="inlineStr">
        <is>
          <t>Heart palpations or sudden "jolt" after or during eating?</t>
        </is>
      </c>
      <c r="C1086" t="inlineStr">
        <is>
          <t>I notice that I always feel terrible after eating. I just a sudden flutter or jolt in my chest/throat. Not burning. Could this be acid reflux? I also have IBS but these feelings are new to me. Occurs occasionally.
Ps. I have had my heart, gallbladder, etc. Checked out. Even an endoscopy and colonoscopy looked ok. 
Thanks!</t>
        </is>
      </c>
      <c r="D1086" t="n">
        <v>1</v>
      </c>
      <c r="E1086" t="n">
        <v>14</v>
      </c>
      <c r="F1086">
        <f>HYPERLINK("https://www.reddit.com/r/GERD/comments/bj95ku/heart_palpations_or_sudden_jolt_after_or_during/")</f>
        <v/>
      </c>
      <c r="G1086" t="inlineStr">
        <is>
          <t>2019-04-30 14:47:48</t>
        </is>
      </c>
      <c r="H1086" t="inlineStr"/>
    </row>
    <row r="1087">
      <c r="A1087" t="inlineStr">
        <is>
          <t>bjez6w</t>
        </is>
      </c>
      <c r="B1087" t="inlineStr">
        <is>
          <t>I think I have GERD</t>
        </is>
      </c>
      <c r="C1087" t="inlineStr">
        <is>
          <t>So I have IBS, irritable bowel syndrome. Usually I take medication , omeprazole , dicylomine and my antodepressnts/ anxiety medicine but recently I moved, so I need to find a new primary Dr to get those. Recently within the past week and a half I've been experiencing chest pains and a weird feeling in my throat. The chest pain starts from the center and gravitates mostly left. It was so bad yesterday I went to the Emergency room because I thought it was a heart attack. They drew blood, did an EKG , ran a chest xray and then drew blood again. They didn't find anything but since I have anxiety they prescribed 0.5mg klonopin. Im thinking this is GERD and wanted to see what I can do for the chest pains. I've been taking Tylenol and munching tums during and after eating. Also I took the klonopin today because I was having problems breathing. My chest begins to hurt and then I'll be doing something like playing chess on my phone and become short of breath, which makes me think I'm dying so I guess its good they gave me those. Any help would be appreciated. Thank you and I hope you all feel better in better in your fight .</t>
        </is>
      </c>
      <c r="D1087" t="n">
        <v>2</v>
      </c>
      <c r="E1087" t="n">
        <v>3</v>
      </c>
      <c r="F1087">
        <f>HYPERLINK("https://www.reddit.com/r/GERD/comments/bjez6w/i_think_i_have_gerd/")</f>
        <v/>
      </c>
      <c r="G1087" t="inlineStr">
        <is>
          <t>2019-05-01 02:06:24</t>
        </is>
      </c>
      <c r="H1087" t="inlineStr"/>
    </row>
    <row r="1088">
      <c r="A1088" t="inlineStr">
        <is>
          <t>bjg81v</t>
        </is>
      </c>
      <c r="B1088" t="inlineStr">
        <is>
          <t>Coming off PPI's</t>
        </is>
      </c>
      <c r="C1088" t="inlineStr">
        <is>
          <t>Hi all - Just wondering if anyone has had issues when coming off the PPI's?  I was only on them a short period of time (2 months) and began moving from 40mg, to 20mg, then taking the 20mg every other day for a week.  Stopped them completely about 4 days ago.  I feel mostly ok, but definitely feel bloated, and have a mildly upset stomach.  If i eat a meal, chicken or whatever, i can get indigestion for several hours.  Wondering if this is fairly normal and has been anyone else's experience as well.  I was recently ( 2 months ago)diagnosed with LPR - had globus, mucus, sore throat, gas pressure where i couldnt burp etc - still have voice issues if speaking for too long in a day.  Those are pretty much gone, knock on wood, but my stomach seems to be the issue now.  Have an appt with Gastro soon to try to get to the bottom of this.</t>
        </is>
      </c>
      <c r="D1088" t="n">
        <v>2</v>
      </c>
      <c r="E1088" t="n">
        <v>8</v>
      </c>
      <c r="F1088">
        <f>HYPERLINK("https://www.reddit.com/r/GERD/comments/bjg81v/coming_off_ppis/")</f>
        <v/>
      </c>
      <c r="G1088" t="inlineStr">
        <is>
          <t>2019-05-01 04:56:48</t>
        </is>
      </c>
      <c r="H1088" t="inlineStr"/>
    </row>
    <row r="1089">
      <c r="A1089" t="inlineStr">
        <is>
          <t>bjhc12</t>
        </is>
      </c>
      <c r="B1089" t="inlineStr">
        <is>
          <t>Persistent heartburn</t>
        </is>
      </c>
      <c r="C1089" t="inlineStr">
        <is>
          <t>Hi all, I was put on protonix for about 8 weeks after I had surgery on my stomach. 
I stopped taking it after the recommended 8 weeks and immediately started getting heartburn. I went back into it for another Month and have been trying to ween off but it doesn't seem to be working. 
It's been about 5 weeks and I get heartburn everyday. I was taking pepcid, but still having breakthrough symptoms. I eat Tums like candy. I switched to zantac which seems to be helping more but I have to take it twice a day and occasionally still need tums. I have learned to avoid certain foods but I still get heartburn even when I'm just drinking water. 
I don't want to be on a PPI long term it scares me. Have any of you had luck getting and staying off yours? How long did it take? 
I know my doctor will jsut tell me to start back on it but I'd like to avoid it if at all possible.</t>
        </is>
      </c>
      <c r="D1089" t="n">
        <v>1</v>
      </c>
      <c r="E1089" t="n">
        <v>0</v>
      </c>
      <c r="F1089">
        <f>HYPERLINK("https://www.reddit.com/r/GERD/comments/bjhc12/persistent_heartburn/")</f>
        <v/>
      </c>
      <c r="G1089" t="inlineStr">
        <is>
          <t>2019-05-01 06:54:41</t>
        </is>
      </c>
      <c r="H1089" t="inlineStr"/>
    </row>
    <row r="1090">
      <c r="A1090" t="inlineStr">
        <is>
          <t>bjirnu</t>
        </is>
      </c>
      <c r="B1090" t="inlineStr">
        <is>
          <t>Condiment, dip, sauce alternatives?</t>
        </is>
      </c>
      <c r="C1090" t="inlineStr">
        <is>
          <t>Let me start off by saying that I'm a vegan looking for an alternative to ketchup and hot sauce. 
I eliminated hot sauce almost 2 weeks ago and I miss it so much. I would put hot sauce on everything because it's zero calories and it's just delicious, but my reflux was so bad I had to let it go. My problem is that now I don't know what to put on my tacos and veggies because I was so used to using hot sauce. 
Additionally, giving up tomatoes and marinara was easy because I love butter pasta anyway, but ketchup is my FAVORITE food. I call it food because I sometimes dip my vegetables in it, I love ketchup and corn, and it's basically a staple in my diet, and sometimes I even put it on my popcorn (I know, I'm disgusting and it's totally unhealthy.) My doctor told me I obviously have to eliminate it because its tomato based and we're doing the elimination diet now that I'm off the PPI.
So, do you guys know of any vegan condiment alternatives that I can dip my breaded tofu in or put on my tacos?
I'm 100% a condiment person so this all feels like torture!</t>
        </is>
      </c>
      <c r="D1090" t="n">
        <v>3</v>
      </c>
      <c r="E1090" t="n">
        <v>11</v>
      </c>
      <c r="F1090">
        <f>HYPERLINK("https://www.reddit.com/r/GERD/comments/bjirnu/condiment_dip_sauce_alternatives/")</f>
        <v/>
      </c>
      <c r="G1090" t="inlineStr">
        <is>
          <t>2019-05-01 08:57:55</t>
        </is>
      </c>
      <c r="H1090" t="inlineStr"/>
    </row>
    <row r="1091">
      <c r="A1091" t="inlineStr">
        <is>
          <t>bjl1io</t>
        </is>
      </c>
      <c r="B1091" t="inlineStr">
        <is>
          <t>Do my symptoms match up with anyone's experience of LPR/GERD?</t>
        </is>
      </c>
      <c r="C1091" t="inlineStr">
        <is>
          <t>I'm a 25 year old male, with a BMI of 20.
For  the last 7 months I have been dealing with chronically red tonsils and mildly burning sore throat. I noticed  small lumps on the both of them. I have also have white mucus on the back of my throat and tonsils sometimes. Here's a pic: [https://i.imgur.com/mZEseCx.jpg](https://i.imgur.com/mZEseCx.jpg)
No allergies that I know of. Some days after eating my throat burns and I get this bubbling/rumbling feeling in my throat near the Adam's apple area. It's actually quite scary. I also get mild burping fits sometimes.
I DO NOT have any accompanying  fever, cough, bleeding, trouble swallowing or lumps on my neck. Just  chronically red.
I went to an ENT, was put on antibiotics but they didn't help my throat and tonsils. The ENT then took a throat swab and said he found two strains of bacteria in low amounts. He told me to use this antiseptic spray and take vitamin A drops. These drops soothe my throat occasionally but the inflammation remains. The ENT told me to come back if nothing improves but he seems to be taking a wait and see approach.
I don't smoke cigarettes, never tried recreational drugs. I drink very rarely. 
I'm very confused and worried by what this could be. Any informed opinions are welcomed.</t>
        </is>
      </c>
      <c r="D1091" t="n">
        <v>6</v>
      </c>
      <c r="E1091" t="n">
        <v>4</v>
      </c>
      <c r="F1091">
        <f>HYPERLINK("https://www.reddit.com/r/GERD/comments/bjl1io/do_my_symptoms_match_up_with_anyones_experience/")</f>
        <v/>
      </c>
      <c r="G1091" t="inlineStr">
        <is>
          <t>2019-05-01 12:01:59</t>
        </is>
      </c>
      <c r="H1091" t="inlineStr"/>
    </row>
    <row r="1092">
      <c r="A1092" t="inlineStr">
        <is>
          <t>bjml45</t>
        </is>
      </c>
      <c r="B1092" t="inlineStr">
        <is>
          <t>Why are Omeprazole capsules gastro-resistant?</t>
        </is>
      </c>
      <c r="C1092" t="inlineStr">
        <is>
          <t>I thought that capsules were usually gastro-resistant when the drug being delivered had to travel through the stomach to lower sections of the digestive tract, but Omeprazole acts on the parietal cells, and these are found in the cardia and the fundus (in the upper regions of the stomach). Why then, do the caps have a gastro-resistant coating?
I only thought about this when trying to reduce my dosage by splitting half of my 20mg doses into veggie caps, but am now curious as to whether the cellulose capsules would dissolve too fast an thus reduce efficacy.
Any info appreciated!</t>
        </is>
      </c>
      <c r="D1092" t="n">
        <v>3</v>
      </c>
      <c r="E1092" t="n">
        <v>5</v>
      </c>
      <c r="F1092">
        <f>HYPERLINK("https://www.reddit.com/r/GERD/comments/bjml45/why_are_omeprazole_capsules_gastroresistant/")</f>
        <v/>
      </c>
      <c r="G1092" t="inlineStr">
        <is>
          <t>2019-05-01 14:14:37</t>
        </is>
      </c>
      <c r="H1092" t="inlineStr"/>
    </row>
    <row r="1093">
      <c r="A1093" t="inlineStr">
        <is>
          <t>bjoyy5</t>
        </is>
      </c>
      <c r="B1093" t="inlineStr">
        <is>
          <t>Acid reducers causing hair loss?</t>
        </is>
      </c>
      <c r="C1093" t="inlineStr">
        <is>
          <t>I recently started a regimen of 40mg protonix and 300 mg Zantac at night per my gastro for gastritis and reflux. After a couple weeks on the meds I noticed significantly increased hair fall which is something I had been dealing with prior but it really noticeably ramped up. My gastro says there is no relation but it seemed so clearly related to me timing wise and severity wise, is this something anyone else has experienced?</t>
        </is>
      </c>
      <c r="D1093" t="n">
        <v>2</v>
      </c>
      <c r="E1093" t="n">
        <v>9</v>
      </c>
      <c r="F1093">
        <f>HYPERLINK("https://www.reddit.com/r/GERD/comments/bjoyy5/acid_reducers_causing_hair_loss/")</f>
        <v/>
      </c>
      <c r="G1093" t="inlineStr">
        <is>
          <t>2019-05-01 18:02:36</t>
        </is>
      </c>
      <c r="H1093" t="inlineStr"/>
    </row>
    <row r="1094">
      <c r="A1094" t="inlineStr">
        <is>
          <t>bjpdko</t>
        </is>
      </c>
      <c r="B1094" t="inlineStr">
        <is>
          <t>Experience with Rabeprazole 20mg?</t>
        </is>
      </c>
      <c r="C1094" t="inlineStr">
        <is>
          <t>Anybody have any insight/experience on this PPI? Is it a good PPI?</t>
        </is>
      </c>
      <c r="D1094" t="n">
        <v>2</v>
      </c>
      <c r="E1094" t="n">
        <v>2</v>
      </c>
      <c r="F1094">
        <f>HYPERLINK("https://www.reddit.com/r/GERD/comments/bjpdko/experience_with_rabeprazole_20mg/")</f>
        <v/>
      </c>
      <c r="G1094" t="inlineStr">
        <is>
          <t>2019-05-01 18:44:08</t>
        </is>
      </c>
      <c r="H1094" t="inlineStr"/>
    </row>
    <row r="1095">
      <c r="A1095" t="inlineStr">
        <is>
          <t>bjslin</t>
        </is>
      </c>
      <c r="B1095" t="inlineStr">
        <is>
          <t>Processed bread</t>
        </is>
      </c>
      <c r="C1095" t="inlineStr">
        <is>
          <t>Hi Everyone,
I've had LPR for over a year now and managed to understand it was because of bad digestion. Mostly any processed bread (don't know how to call it), like sandwich bread or any kind of bread that comes in a bag at the supermarket, also flour tortillas. I can eat bread from a bakery and it gives me no problem at all. The difference I see is that the one that doesn't give me issues is real bread that gets really hard after 1 or 2 days, the other can be stored for weeks and keep soft. The other thing is that one feels like it is not fully cooked (the one in the bag at the supermarket).
Does anyone have the same issues with that kind of food? I just want to know what is in there that could be causing this reflux, maybe some kind of specific food additives (I can eat other processed foods like doritos or whatever without problems, so it would be something specific to bread). 
Thanks for any input you can give me. And I also hope someone will realize that is causing them issues and stop eating it.</t>
        </is>
      </c>
      <c r="D1095" t="n">
        <v>1</v>
      </c>
      <c r="E1095" t="n">
        <v>1</v>
      </c>
      <c r="F1095">
        <f>HYPERLINK("https://www.reddit.com/r/GERD/comments/bjslin/processed_bread/")</f>
        <v/>
      </c>
      <c r="G1095" t="inlineStr">
        <is>
          <t>2019-05-02 01:41:36</t>
        </is>
      </c>
      <c r="H1095" t="inlineStr"/>
    </row>
    <row r="1096">
      <c r="A1096" t="inlineStr">
        <is>
          <t>bjumhd</t>
        </is>
      </c>
      <c r="B1096" t="inlineStr">
        <is>
          <t>How do I fix my eternal stomach discomfort?</t>
        </is>
      </c>
      <c r="C1096" t="inlineStr">
        <is>
          <t>No matter what I eat it's alway followed by heart burn, gas buildup and "belching" (also I never burp, I can only belch) and in extreme cases I feel nauseous and get to the point of throwing up.  
I just had a glass of coke and I wish I was dead... huge gas build up and I've been constantly belching for 30 minutes...  
Willing to try any sort of remedy since so far I haven't... only thing that can help is lying down on my left side</t>
        </is>
      </c>
      <c r="D1096" t="n">
        <v>4</v>
      </c>
      <c r="E1096" t="n">
        <v>16</v>
      </c>
      <c r="F1096">
        <f>HYPERLINK("https://www.reddit.com/r/GERD/comments/bjumhd/how_do_i_fix_my_eternal_stomach_discomfort/")</f>
        <v/>
      </c>
      <c r="G1096" t="inlineStr">
        <is>
          <t>2019-05-02 05:56:16</t>
        </is>
      </c>
      <c r="H1096" t="inlineStr"/>
    </row>
    <row r="1097">
      <c r="A1097" t="inlineStr">
        <is>
          <t>bjvkxk</t>
        </is>
      </c>
      <c r="B1097" t="inlineStr">
        <is>
          <t>Stanford Gastro Video Talking about GERD (Including PPI Risks)</t>
        </is>
      </c>
      <c r="C1097" t="inlineStr">
        <is>
          <t>https://www.youtube.com/watch?v=a72dRojkLQE
Side effects discussion starts around 10:45. Spoiler, she is fairly skeptical about the evidence and severity of the side effects. She seems to think they're quite safe.</t>
        </is>
      </c>
      <c r="D1097" t="n">
        <v>5</v>
      </c>
      <c r="E1097" t="n">
        <v>5</v>
      </c>
      <c r="F1097">
        <f>HYPERLINK("https://www.reddit.com/r/GERD/comments/bjvkxk/stanford_gastro_video_talking_about_gerd/")</f>
        <v/>
      </c>
      <c r="G1097" t="inlineStr">
        <is>
          <t>2019-05-02 07:28:24</t>
        </is>
      </c>
      <c r="H1097" t="inlineStr"/>
    </row>
    <row r="1098">
      <c r="A1098" t="inlineStr">
        <is>
          <t>bjw867</t>
        </is>
      </c>
      <c r="B1098" t="inlineStr">
        <is>
          <t>Dysphagia and GERD</t>
        </is>
      </c>
      <c r="C1098" t="inlineStr">
        <is>
          <t>Long story short. Starting around mid  November I started having mild difficulty swallowing food, I dont recall having GERD  symptoms at this point. By the end of December I was on a liquid diet due to not being able to swallow solid food. My doctor recommended ranitidine 150mg 2x daily. It mildly helped but did not completely get rid of my dysphagia and I started getting really bad reflux. 
I couldn't go back to my doctor since I had no insurance since I switched jobs. Went again at the beginning of April. I've been on omeprozale 20mg 2x daily. Its helped my reflux but has had a worse affect on my throat. I'm currently back on a liquid/soup diet. I visited a gastroenterologist and my endoscopy isnt until July. 
I've completely overhauled my diet. Only water. No tomatoes, anything citrus. No coffee, no alcahol. No spices. Basically anything that could be a trigger.
I'm still stuck here not being able to eat and wondering if I have stomach cancer or esophageal cancer. (I hate the internet and web md). My anxiety is through the roof. What are some foods alternatives for anybody who's had bad dysphagia. I'm currently on Boost and Ensure but I'm sure there's more options.</t>
        </is>
      </c>
      <c r="D1098" t="n">
        <v>1</v>
      </c>
      <c r="E1098" t="n">
        <v>8</v>
      </c>
      <c r="F1098">
        <f>HYPERLINK("https://www.reddit.com/r/GERD/comments/bjw867/dysphagia_and_gerd/")</f>
        <v/>
      </c>
      <c r="G1098" t="inlineStr">
        <is>
          <t>2019-05-02 08:25:00</t>
        </is>
      </c>
      <c r="H1098" t="inlineStr"/>
    </row>
    <row r="1099">
      <c r="A1099" t="inlineStr">
        <is>
          <t>bjwgix</t>
        </is>
      </c>
      <c r="B1099" t="inlineStr">
        <is>
          <t>How do I wean off 20mg Pantoprazole if i have 2 left?Lol</t>
        </is>
      </c>
      <c r="C1099" t="inlineStr">
        <is>
          <t>Ive been taking it for 28 days and i have 2 left.I was going to freak out and try to get more but I honestly dont think i should be on these any longer.I had reflux ever since i was 16 and im 19 now.
My acid reflux used to be pretty easy to tolerate.I just had to drink alot of water 24/7 for the burning in my throat,and id be okay.I could usually eat anything as long as i had water.If not,id be nauseous.
A month ago,I ate pizza and it got worse.I felt like i was going to actually throw up even with water.And after that,i couldnt eat anything with a burning sensation under my ribs that made me just want to throw it up to make it stop.I also had a new symptom of a weird dry feeling at the back of my tongue(probably from acid),that made me want to stick my finger back there(idk).
The reason I started PPIs is because of my fear of vomiting.If i didnt have that,i wouldve never touched it.
I really really dont wanna take these anymore but im afraid of the rebound.
Idk what to try except for Zantac.</t>
        </is>
      </c>
      <c r="D1099" t="n">
        <v>2</v>
      </c>
      <c r="E1099" t="n">
        <v>5</v>
      </c>
      <c r="F1099">
        <f>HYPERLINK("https://www.reddit.com/r/GERD/comments/bjwgix/how_do_i_wean_off_20mg_pantoprazole_if_i_have_2/")</f>
        <v/>
      </c>
      <c r="G1099" t="inlineStr">
        <is>
          <t>2019-05-02 08:45:05</t>
        </is>
      </c>
      <c r="H1099" t="inlineStr"/>
    </row>
    <row r="1100">
      <c r="A1100" t="inlineStr">
        <is>
          <t>bjwkp1</t>
        </is>
      </c>
      <c r="B1100" t="inlineStr">
        <is>
          <t>Nicorrette lozenges caused BAD GERD</t>
        </is>
      </c>
      <c r="C1100" t="inlineStr">
        <is>
          <t>I accidently chewed the nicotine lozenges several times and burnt my gullet bad. You are meant to suck them. Now I am on omeprazole and gaviscon. I Quit drinking and coffee and it's still bad. Beware of that stuff</t>
        </is>
      </c>
      <c r="D1100" t="n">
        <v>2</v>
      </c>
      <c r="E1100" t="n">
        <v>0</v>
      </c>
      <c r="F1100">
        <f>HYPERLINK("https://www.reddit.com/r/GERD/comments/bjwkp1/nicorrette_lozenges_caused_bad_gerd/")</f>
        <v/>
      </c>
      <c r="G1100" t="inlineStr">
        <is>
          <t>2019-05-02 08:55:18</t>
        </is>
      </c>
      <c r="H1100" t="inlineStr"/>
    </row>
    <row r="1101">
      <c r="A1101" t="inlineStr">
        <is>
          <t>bjx5cv</t>
        </is>
      </c>
      <c r="B1101" t="inlineStr">
        <is>
          <t>Anyone have experience with Zinc Carnosine?</t>
        </is>
      </c>
      <c r="C1101" t="inlineStr">
        <is>
          <t>My physician recently recommended Zinc Carnosine.  I haven't seen a lot of chat about it in this group, but I did find an excellent literature review with 53 official or peer-reviewed sources:
[https://www.lifeextension.com/Magazine/2018/10/Improve-Stomach-Health/Page-01](https://www.lifeextension.com/Magazine/2018/10/Improve-Stomach-Health/Page-01)
&amp;amp;#x200B;
Does anyone have experience using Zinc Carnosine?  If so, please share your experience.</t>
        </is>
      </c>
      <c r="D1101" t="n">
        <v>2</v>
      </c>
      <c r="E1101" t="n">
        <v>5</v>
      </c>
      <c r="F1101">
        <f>HYPERLINK("https://www.reddit.com/r/GERD/comments/bjx5cv/anyone_have_experience_with_zinc_carnosine/")</f>
        <v/>
      </c>
      <c r="G1101" t="inlineStr">
        <is>
          <t>2019-05-02 09:44:59</t>
        </is>
      </c>
      <c r="H1101" t="inlineStr"/>
    </row>
    <row r="1102">
      <c r="A1102" t="inlineStr">
        <is>
          <t>bjzgmj</t>
        </is>
      </c>
      <c r="B1102" t="inlineStr">
        <is>
          <t>Need advice on how to manage my GERD without medication</t>
        </is>
      </c>
      <c r="C1102" t="inlineStr">
        <is>
          <t>I'm at my breaking point so I thought I'd look for advice from this sub. To explain my current context, I'm a fit 24 year old guy and I've been dealing with GERD symptoms since I was a child which have only worsened as I've gotten older. I've progressed from Tums, to Nexium and other PPis, to, now, H2 antagonists, and I've had relief at some points but things always get back to bad. I feel like I'm putting a bandaid on the problem and not dealing with the problem directly which I'm afraid may even be making GERD symptoms worse and less manageable. I make regular visits to a GI but she's only encouraged me to switch from the PPis to H2  antagonists as well as limit my intake of certain acidic foods. I've given up red meat, caffeine, cut back on alcohol, cut back on high fructose corn syrup, eat limited fruits, cut out spicy foods (this was really hard), and I'm about to start cutting out carbs as well. After the news broke about big Pharma and the opioid crisis, I felt I needed to question my GI's advice, not that I don't trust my GI has my best interest in mind but rather those who trained her. So now that I've explained what I'm doing, does anyone have any advice for if I'm taking the right steps? Does anyone have any advice on products I should add to my plan or subtract. I'm at the point where I have trouble sleeping at night due to heartburn, I've been taking the H2 blockers twice a day, still experiencing GERD symptoms and treating them with Tums accordingly, but it's gotten to now my stomach hurts from eating too many of those things. I welcome all and any advise.</t>
        </is>
      </c>
      <c r="D1102" t="n">
        <v>7</v>
      </c>
      <c r="E1102" t="n">
        <v>25</v>
      </c>
      <c r="F1102">
        <f>HYPERLINK("https://www.reddit.com/r/GERD/comments/bjzgmj/need_advice_on_how_to_manage_my_gerd_without/")</f>
        <v/>
      </c>
      <c r="G1102" t="inlineStr">
        <is>
          <t>2019-05-02 13:07:05</t>
        </is>
      </c>
      <c r="H1102" t="inlineStr"/>
    </row>
    <row r="1103">
      <c r="A1103" t="inlineStr">
        <is>
          <t>bk290m</t>
        </is>
      </c>
      <c r="B1103" t="inlineStr">
        <is>
          <t>Esophageal Inflammation</t>
        </is>
      </c>
      <c r="C1103" t="inlineStr">
        <is>
          <t>Anyone had GERD induced inflammation in your esophagus? If so how long has it lasted? I feel I've been dealing with it since January and I'm ready for it to go the hell away.</t>
        </is>
      </c>
      <c r="D1103" t="n">
        <v>6</v>
      </c>
      <c r="E1103" t="n">
        <v>11</v>
      </c>
      <c r="F1103">
        <f>HYPERLINK("https://www.reddit.com/r/GERD/comments/bk290m/esophageal_inflammation/")</f>
        <v/>
      </c>
      <c r="G1103" t="inlineStr">
        <is>
          <t>2019-05-02 17:29:11</t>
        </is>
      </c>
      <c r="H1103" t="inlineStr"/>
    </row>
    <row r="1104">
      <c r="A1104" t="inlineStr">
        <is>
          <t>bk66y1</t>
        </is>
      </c>
      <c r="B1104" t="inlineStr">
        <is>
          <t>Some help or advice please!</t>
        </is>
      </c>
      <c r="C1104" t="inlineStr">
        <is>
          <t>Hey guys, I just found this sub reddit and I’d like some advice or opinions.
For a couple of years I’ve had bad indigestion/ reflux and a cough that has progressively gotten worse. I am always trying to clear my throat with no satisfaction, burping up acid, food getting caught etc However sometimes I can cough and feel like there’s mucous to cough up, or sometimes I feel as if something is there but it won’t go.
Around a month ago when the sensation that something was caught in my throat began, I decided to go and see an ENT. That was today.  He put a camera down my throat and saw inflammation towards the bottom and around my voice box. He suggested taking Nexium but I’ve read so many things about it and it doesn’t look good. 
I am going to try and change my diet, but are there any natural things you guys take that helps? Or any other tips?
I’m just worried because I’ve read things online (I hate the internet sometimes) and it states that GERD or LPR can increase your risks of esophagal cancer. 
I am sure I am not the only one who has asked this so I apologise in advance I am just worried because I’m over these symptoms and I want to do something that will eventually help my situation.
Thank you for your time!</t>
        </is>
      </c>
      <c r="D1104" t="n">
        <v>10</v>
      </c>
      <c r="E1104" t="n">
        <v>7</v>
      </c>
      <c r="F1104">
        <f>HYPERLINK("https://www.reddit.com/r/GERD/comments/bk66y1/some_help_or_advice_please/")</f>
        <v/>
      </c>
      <c r="G1104" t="inlineStr">
        <is>
          <t>2019-05-03 01:48:58</t>
        </is>
      </c>
      <c r="H1104" t="inlineStr"/>
    </row>
    <row r="1105">
      <c r="A1105" t="inlineStr">
        <is>
          <t>bk77s2</t>
        </is>
      </c>
      <c r="B1105" t="inlineStr">
        <is>
          <t>Heartburn waking me up every day</t>
        </is>
      </c>
      <c r="C1105" t="inlineStr">
        <is>
          <t>Hey guys. I am 27 male, I have being suffering from GERD and Gastritis since 15 years old. 
I have get rid of alcohol completely because of this, simply I can't handle the sick the next day. 
What most concern me is that heartburn is waking me up almost every single morning, usually cutting my hours of sleeping. 
I had a endoscopy 2 years ago, hernia hiatal and ulcerative ulcer was my diagnosis. I was prescribed a lot of medications like Omeprazol and Raniditine, nothing helping. 
The only things that has help me somehow are: 
**Sleeping on incline** (wich I am doing or things would be worse).
**Eating well like one hour before sleeping** (I know the main advice is not eating several hours before sleeping, but my heartburn/gastritis combination gets worse on an empty stomach, I don't know why, even in the day I have to eat several times for this, eating well 1 hour before sleeping is the only way I can get a little chance of a full night of sleep, I have to wait some time for the food to go down, digest some and burp several times to low the stomach pressure to be able to get sleep, but I can't wait a lot because I would start getting the heartburn right away or right away after getting sleep making me sleep very few hours, so it is kind of a balancing game for me).
**Sleeping on my right side**, I know the advice is on the left side, but just doesn't work for me like that, I guess the place of my hiatal hernia is such that on the right side I block it somehow and make the acids comming up more dificult. Both left side and face up makes the things worse for me, have tried several times. 
PPIs and Zantac not doing anything for me, have tried on diferent brands and ways to take it. 
I want to get better, I don't want to get cancer or something this young, I would like to enjoy a few drinks again.
Is surgery the only way for me? Could you give me some advice please?</t>
        </is>
      </c>
      <c r="D1105" t="n">
        <v>2</v>
      </c>
      <c r="E1105" t="n">
        <v>48</v>
      </c>
      <c r="F1105">
        <f>HYPERLINK("https://www.reddit.com/r/GERD/comments/bk77s2/heartburn_waking_me_up_every_day/")</f>
        <v/>
      </c>
      <c r="G1105" t="inlineStr">
        <is>
          <t>2019-05-03 04:11:32</t>
        </is>
      </c>
      <c r="H1105" t="inlineStr"/>
    </row>
    <row r="1106">
      <c r="A1106" t="inlineStr">
        <is>
          <t>bkcz3m</t>
        </is>
      </c>
      <c r="B1106" t="inlineStr">
        <is>
          <t>Nuvigil</t>
        </is>
      </c>
      <c r="C1106" t="inlineStr">
        <is>
          <t>Does anybody else here with GERD or other reflux related disorders take Nuvigil?  If so, do you notice that it increases your symptoms ?  I have Non-Erosive Reflux, and I just started taking Nuvigil again, and it seems to be making my heartburn worse.  I have also switched from Omeprazole, to Zantac so it could be that as well.</t>
        </is>
      </c>
      <c r="D1106" t="n">
        <v>0</v>
      </c>
      <c r="E1106" t="n">
        <v>6</v>
      </c>
      <c r="F1106">
        <f>HYPERLINK("https://www.reddit.com/r/GERD/comments/bkcz3m/nuvigil/")</f>
        <v/>
      </c>
      <c r="G1106" t="inlineStr">
        <is>
          <t>2019-05-03 13:18:21</t>
        </is>
      </c>
      <c r="H1106" t="inlineStr"/>
    </row>
    <row r="1107">
      <c r="A1107" t="inlineStr">
        <is>
          <t>bkd0rc</t>
        </is>
      </c>
      <c r="B1107" t="inlineStr">
        <is>
          <t>Can LPR present without hoarseness and cough/asthma?</t>
        </is>
      </c>
      <c r="C1107" t="inlineStr">
        <is>
          <t>I do not have a hoarse voice, cough nor asthma, but I do have the following symptoms:
&amp;amp;#x200B;
* Chronically inflamed and enlarged tonsils
* Chronically inflamed cobblestone throat
* Burning throat
* Postnasal drip/heavy mucus
* Burping/bloating
&amp;amp;#x200B;
Here's a picture: [https://i.imgur.com/mZEseCx.jpg](https://i.imgur.com/mZEseCx.jpg)
&amp;amp;#x200B;
Does anyone here diagnosed with LPR have the above symptoms WITHOUT any hoarseness, cough and asthma? Are these 3 symptoms necessary components of LPR? Any input is appreciated.</t>
        </is>
      </c>
      <c r="D1107" t="n">
        <v>3</v>
      </c>
      <c r="E1107" t="n">
        <v>14</v>
      </c>
      <c r="F1107">
        <f>HYPERLINK("https://www.reddit.com/r/GERD/comments/bkd0rc/can_lpr_present_without_hoarseness_and_coughasthma/")</f>
        <v/>
      </c>
      <c r="G1107" t="inlineStr">
        <is>
          <t>2019-05-03 13:22:31</t>
        </is>
      </c>
      <c r="H1107" t="inlineStr"/>
    </row>
    <row r="1108">
      <c r="A1108" t="inlineStr">
        <is>
          <t>bkkfo5</t>
        </is>
      </c>
      <c r="B1108" t="inlineStr">
        <is>
          <t>Is this GERD?</t>
        </is>
      </c>
      <c r="C1108" t="inlineStr">
        <is>
          <t>Hi everyone! 24M, 176lbs. here. I just discovered this sub around 3 days ago. I have been reading around and felt like my symptoms are what many people here are posting so I felt a bit relieved to know that I'm not alone. Anyway, I'd still like to share my story below if anyone of you can confirm if me thinking that I have GERD makes any sense. Sorry in advance for a bit lengthy post.
&amp;amp;#x200B;
November 2017 when I started experiencing breathing difficulty after a stressful series of review for my profession's licesure exam. I had checked up with a cardiologist, pulmonologist, and an internist to which all said that I am normal, and it may be just my brain. I also had tests taken including ECG, blood tests, urinalysis, fecalysis, and xray but all showed normal. 
&amp;amp;#x200B;
Mid December 2017, my anxiety came back (I undergone a year of anxiety med, escitalopram in the year 2015). So I visited my psychiatrist. She tested me and told me that my breathing difficulty was probably due to the stress and anxiety. So I was prescribed again with escitalopram which I have been taking until now.
&amp;amp;#x200B;
Around January 2018, I started feeling a lump in my throat that I always want to clear/burp. I also have this feeling of food going back up to my throat, like regurgitation. But I thought that its part of the breathing difficulty. My nose is also always clogged with dried nasal mucus (idk if this is relevant but I find this part of the breathing difficulty as well). 
&amp;amp;#x200B;
I have been diligently taking my medicine but the breathing difficulty is still there. There are some days when its very bad, some days where its a little okay, but its there.
&amp;amp;#x200B;
It was just around a week ago when I decided to see an ENT for my nose since it came to a point that it's bleeding when I pick my nose. I told him my problem including the lump in the throat that I constantly feel. He conducted a test (idk what its called) where he inserted a stick/camera into my ear, nose, and throat to see if there's any problem. 
&amp;amp;#x200B;
From my nose, he told me that he didn't see any major problem. From my throat, however, he told me that there was an acid reflux and prescribed me with esomeprazole 20g for a month before seeing him again. I noticed an improvement with my constant need to burp but its still there. The breathing difficulty is also still there. I'd like to know if there's any chance this is GERD. I'm still starting to research but I've read something about Hiatus Hernia that also cause the same issue. I read about how anxiety may be related to GERD, I really want this fixed since its affecting the things I wanted to do like workout and exercise.
&amp;amp;#x200B;
Also, I'd love to hear your suggestion on what I may have to observe in my diet or what tests might be essential for me to discuss with my doctor or is it necessary to also see a gastroenterologist. 
&amp;amp;#x200B;
Also, does esomeprazole causes dry mouth? I've notice my mouth starting to feel dry starting when I took the med.
&amp;amp;#x200B;
\*Sorry for my English if I have any grammatical error. Thank you very much!
&amp;amp;#x200B;
TL;DR Experiencing breathing difficulty for over a year already. Also the constant need to burp because of a lump feeling in throat like regurgitation. I've been diagnosed with general anxiety disorder. Visited doctor last week and was told that I have acid reflex. Can this be GERD that causing breathing difficulty?</t>
        </is>
      </c>
      <c r="D1108" t="n">
        <v>4</v>
      </c>
      <c r="E1108" t="n">
        <v>27</v>
      </c>
      <c r="F1108">
        <f>HYPERLINK("https://www.reddit.com/r/GERD/comments/bkkfo5/is_this_gerd/")</f>
        <v/>
      </c>
      <c r="G1108" t="inlineStr">
        <is>
          <t>2019-05-04 05:01:35</t>
        </is>
      </c>
      <c r="H1108" t="inlineStr"/>
    </row>
    <row r="1109">
      <c r="A1109" t="inlineStr">
        <is>
          <t>bkktp3</t>
        </is>
      </c>
      <c r="B1109" t="inlineStr">
        <is>
          <t>Hiatal hernia and joint laxity</t>
        </is>
      </c>
      <c r="C1109" t="inlineStr">
        <is>
          <t>I think i may have a hiatal hernia.  I dislocated my shoulder a few years ago and the specialist said i have lax upper limbs.  I think maybe both are related.  Was wondering who else has both lax joints and a hiatal hernia.</t>
        </is>
      </c>
      <c r="D1109" t="n">
        <v>1</v>
      </c>
      <c r="E1109" t="n">
        <v>1</v>
      </c>
      <c r="F1109">
        <f>HYPERLINK("https://www.reddit.com/r/GERD/comments/bkktp3/hiatal_hernia_and_joint_laxity/")</f>
        <v/>
      </c>
      <c r="G1109" t="inlineStr">
        <is>
          <t>2019-05-04 05:50:45</t>
        </is>
      </c>
      <c r="H1109" t="inlineStr"/>
    </row>
    <row r="1110">
      <c r="A1110" t="inlineStr">
        <is>
          <t>bkl6f7</t>
        </is>
      </c>
      <c r="B1110" t="inlineStr">
        <is>
          <t>Reciprocal Causal Relationship between Laryngopharyngeal Reflux and Eustachian Tube Obstruction</t>
        </is>
      </c>
      <c r="C1110" t="inlineStr">
        <is>
          <t>For those with ear or Eustachian tube issues related to LPR/GERD, this article focuses on detailed physiology and anatomy that may be of interest:
https://medcraveonline.com/JOENTR/JOENTR-02-00046.pdf</t>
        </is>
      </c>
      <c r="D1110" t="n">
        <v>2</v>
      </c>
      <c r="E1110" t="n">
        <v>1</v>
      </c>
      <c r="F1110">
        <f>HYPERLINK("https://www.reddit.com/r/GERD/comments/bkl6f7/reciprocal_causal_relationship_between/")</f>
        <v/>
      </c>
      <c r="G1110" t="inlineStr">
        <is>
          <t>2019-05-04 06:33:21</t>
        </is>
      </c>
      <c r="H1110" t="inlineStr"/>
    </row>
    <row r="1111">
      <c r="A1111" t="inlineStr">
        <is>
          <t>bkohaa</t>
        </is>
      </c>
      <c r="B1111" t="inlineStr">
        <is>
          <t>Could GERD interfere with antibiotics?</t>
        </is>
      </c>
      <c r="C1111" t="inlineStr">
        <is>
          <t>I'm taking a course of antibiotics and decided to temporarily go off or decrease my Zantac dose (depending on how bad I feel) because the pharmacist said antacids may interfere with the medication. However, I just started to wonder if excess stomach acid might be too harsh for the antibiotics. Any thoughts on this?</t>
        </is>
      </c>
      <c r="D1111" t="n">
        <v>2</v>
      </c>
      <c r="E1111" t="n">
        <v>1</v>
      </c>
      <c r="F1111">
        <f>HYPERLINK("https://www.reddit.com/r/GERD/comments/bkohaa/could_gerd_interfere_with_antibiotics/")</f>
        <v/>
      </c>
      <c r="G1111" t="inlineStr">
        <is>
          <t>2019-05-04 11:59:09</t>
        </is>
      </c>
      <c r="H1111" t="inlineStr"/>
    </row>
    <row r="1112">
      <c r="A1112" t="inlineStr">
        <is>
          <t>bkpqzb</t>
        </is>
      </c>
      <c r="B1112" t="inlineStr">
        <is>
          <t>Curious</t>
        </is>
      </c>
      <c r="C1112" t="inlineStr">
        <is>
          <t>I’m new to this community and was wondering if anyone could tell me how long the “something stuck in throat” feeling will last after I clean up my diet? Starting to get worried. Been clean eating for a couple days now combined with taking Prevacid.</t>
        </is>
      </c>
      <c r="D1112" t="n">
        <v>3</v>
      </c>
      <c r="E1112" t="n">
        <v>5</v>
      </c>
      <c r="F1112">
        <f>HYPERLINK("https://www.reddit.com/r/GERD/comments/bkpqzb/curious/")</f>
        <v/>
      </c>
      <c r="G1112" t="inlineStr">
        <is>
          <t>2019-05-04 13:59:30</t>
        </is>
      </c>
      <c r="H1112" t="inlineStr"/>
    </row>
    <row r="1113">
      <c r="A1113" t="inlineStr">
        <is>
          <t>bkqf50</t>
        </is>
      </c>
      <c r="B1113" t="inlineStr">
        <is>
          <t>For people who take meds every day....</t>
        </is>
      </c>
      <c r="C1113" t="inlineStr">
        <is>
          <t>I take meds for GERD every morning and every night before bed. I always forget to take them before bed, witch is not a huge deal. But I just had spring break and since I wasn't waking up every day at the same time, I forgot to take it often. And I'm still forgetting to take it before I go to school. So for people who take meds every day do you have any tips for remembering to take it every morning and every night?</t>
        </is>
      </c>
      <c r="D1113" t="n">
        <v>3</v>
      </c>
      <c r="E1113" t="n">
        <v>8</v>
      </c>
      <c r="F1113">
        <f>HYPERLINK("https://www.reddit.com/r/GERD/comments/bkqf50/for_people_who_take_meds_every_day/")</f>
        <v/>
      </c>
      <c r="G1113" t="inlineStr">
        <is>
          <t>2019-05-04 15:06:23</t>
        </is>
      </c>
      <c r="H1113" t="inlineStr"/>
    </row>
    <row r="1114">
      <c r="A1114" t="inlineStr">
        <is>
          <t>bkrmae</t>
        </is>
      </c>
      <c r="B1114" t="inlineStr">
        <is>
          <t>Had to stop Prednisone after three days because it was hurting my stomach - has anybody else with GERD had this issue?</t>
        </is>
      </c>
      <c r="C1114" t="inlineStr">
        <is>
          <t>I was prescribed a Prednisone burst for a systemic rash. The first day was okay but by the second day, my stomach started to hurt fairly badly. 
I went to Urgent Care because neither my gastro doctor  or dermatologist would help me. Urgent Care told me to stop the Prednisone. At the same time, I've been battling with GERD type issues since March. I'm wondering if the Prednisone kicked up the GERD issues. Or, flared a previous ulcer. 
Anybody with GERD ever successfully take a Prednisone burst?</t>
        </is>
      </c>
      <c r="D1114" t="n">
        <v>3</v>
      </c>
      <c r="E1114" t="n">
        <v>0</v>
      </c>
      <c r="F1114">
        <f>HYPERLINK("https://www.reddit.com/r/GERD/comments/bkrmae/had_to_stop_prednisone_after_three_days_because/")</f>
        <v/>
      </c>
      <c r="G1114" t="inlineStr">
        <is>
          <t>2019-05-04 17:15:15</t>
        </is>
      </c>
      <c r="H1114" t="inlineStr"/>
    </row>
    <row r="1115">
      <c r="A1115" t="inlineStr">
        <is>
          <t>bkscya</t>
        </is>
      </c>
      <c r="B1115" t="inlineStr">
        <is>
          <t>My symptoms get worse by the year.</t>
        </is>
      </c>
      <c r="C1115" t="inlineStr">
        <is>
          <t>Basically the point of this post is im fed up with feeling this way and am seeing a doctor in a few weeks and want your guys thoughts on whats wrong with me as i read more and more about GERD and am now almost convinced i have it or something much worse.
I am 19 and since I was about 14 and 140lbs 5ft 10(as long as i can remember it happening)it started with just puking up almost everything I ate atleast twice a week followed by intense burning inside my throat and chest, after time it got worse to the point I started puking almost every day with that burning feeling and eventually around 17 i start getting weird heartburn randomly even if i haven't eaten anything and would get even worse if i did, i started burping A LOT like way more than a normal person to the point im burping every 5-10 minutes with multiple burps in a row with a little fire, and 18 - current age 19 184lbs 5ft 11 ,is where its gotten the worse. Every SINGLE day I have fire hot heartburn at random points for different durations, EVERY single meal i puke out in "sections?" Or just basically through the day until im completely empty along with burning acid which has caused my throat become very dry and noticeably annoying.  My diet is about 60% beef, chicken, and fish, about 30% microwaved shit, and the rest oreos or donuts, i dont eat candies or chips literally the only snacks i eat are donuts and oreos. So what do you guys think is going on here and in your opinion whats wrong, until i talk to a real doctor i will just assume with any answers.</t>
        </is>
      </c>
      <c r="D1115" t="n">
        <v>6</v>
      </c>
      <c r="E1115" t="n">
        <v>21</v>
      </c>
      <c r="F1115">
        <f>HYPERLINK("https://www.reddit.com/r/GERD/comments/bkscya/my_symptoms_get_worse_by_the_year/")</f>
        <v/>
      </c>
      <c r="G1115" t="inlineStr">
        <is>
          <t>2019-05-04 18:36:13</t>
        </is>
      </c>
      <c r="H1115" t="inlineStr"/>
    </row>
    <row r="1116">
      <c r="A1116" t="inlineStr">
        <is>
          <t>bkuv8x</t>
        </is>
      </c>
      <c r="B1116" t="inlineStr">
        <is>
          <t>Constantly burping keeping me from falling asleep!</t>
        </is>
      </c>
      <c r="C1116" t="inlineStr">
        <is>
          <t>Hi! I’ve been reading this sub for awhile now but never posted anything. Today I had only one meal during the day but I have been constantly burping ever since, though I don’t have any food or acid coming out. It is very annoying and I wonder if anyone has experienced this could give me some advice. I had to create a reddit account at 3am to do this. Plus, I’m in college and don’t really have access to healthcare except for the school’s health center. I am not officially diagnosed with Gerd. Thank you!</t>
        </is>
      </c>
      <c r="D1116" t="n">
        <v>2</v>
      </c>
      <c r="E1116" t="n">
        <v>5</v>
      </c>
      <c r="F1116">
        <f>HYPERLINK("https://www.reddit.com/r/GERD/comments/bkuv8x/constantly_burping_keeping_me_from_falling_asleep/")</f>
        <v/>
      </c>
      <c r="G1116" t="inlineStr">
        <is>
          <t>2019-05-04 23:58:37</t>
        </is>
      </c>
      <c r="H1116" t="inlineStr"/>
    </row>
    <row r="1117">
      <c r="A1117" t="inlineStr">
        <is>
          <t>bkv0iq</t>
        </is>
      </c>
      <c r="B1117" t="inlineStr">
        <is>
          <t>throat pain when swallowing</t>
        </is>
      </c>
      <c r="C1117" t="inlineStr">
        <is>
          <t>Hi everyone!
for the past year I’ve been dealing with a lot of intense stress and anxiety. due to that, I have started experiencing acid reflux 2 months ago. it started to hit me occassionaly. once every few days. but because i was even more stressed, i started having acid reflux everynight before falling asleep and sometimes days. it has been happening daily for about a month.
i went to my GP and she said to take tablets for it. so it’s my 6th day taking them. it seems to calm down a bit but i still have a great discomfort before falling asleep.
and about 2 weeks ago i started having throat pain ONLY when swallowing saliva. no pain when eating. and thought it could be due to acid irritating my throat. has anyone else also had/have this problem with your throats?
p.s. i’m not smoking, i don’t drink alcohol or coffee.</t>
        </is>
      </c>
      <c r="D1117" t="n">
        <v>1</v>
      </c>
      <c r="E1117" t="n">
        <v>7</v>
      </c>
      <c r="F1117">
        <f>HYPERLINK("https://www.reddit.com/r/GERD/comments/bkv0iq/throat_pain_when_swallowing/")</f>
        <v/>
      </c>
      <c r="G1117" t="inlineStr">
        <is>
          <t>2019-05-05 00:18:25</t>
        </is>
      </c>
      <c r="H1117" t="inlineStr"/>
    </row>
    <row r="1118">
      <c r="A1118" t="inlineStr">
        <is>
          <t>bkv9sy</t>
        </is>
      </c>
      <c r="B1118" t="inlineStr">
        <is>
          <t>Tapering PPIs how long does hyperacidity last?</t>
        </is>
      </c>
      <c r="C1118" t="inlineStr">
        <is>
          <t>I've been going for a week now and I'm getting really bad reflux - been taking 150 mg ranitidine twice a day and shitloads of antacids but it's still so bad. How long until I get over the rebound or should I just give in and go back to PPIs?</t>
        </is>
      </c>
      <c r="D1118" t="n">
        <v>1</v>
      </c>
      <c r="E1118" t="n">
        <v>9</v>
      </c>
      <c r="F1118">
        <f>HYPERLINK("https://www.reddit.com/r/GERD/comments/bkv9sy/tapering_ppis_how_long_does_hyperacidity_last/")</f>
        <v/>
      </c>
      <c r="G1118" t="inlineStr">
        <is>
          <t>2019-05-05 00:57:02</t>
        </is>
      </c>
      <c r="H1118" t="inlineStr"/>
    </row>
    <row r="1119">
      <c r="A1119" t="inlineStr">
        <is>
          <t>bkzl70</t>
        </is>
      </c>
      <c r="B1119" t="inlineStr">
        <is>
          <t>Is all carbonation a no-no?</t>
        </is>
      </c>
      <c r="C1119" t="inlineStr">
        <is>
          <t>This is probably a stupid question. I’ve had these issues for almost 2 years but a recent endoscope finally got me a diagnosis.
I had a major soda habit (Diet Coke) and I have stopped that cold turkey since caffeine isn’t great for the stomach.
Still, I’d love something fizzy. 
Can I do carbonated water? Or is that bad for GERD too?</t>
        </is>
      </c>
      <c r="D1119" t="n">
        <v>8</v>
      </c>
      <c r="E1119" t="n">
        <v>18</v>
      </c>
      <c r="F1119">
        <f>HYPERLINK("https://www.reddit.com/r/GERD/comments/bkzl70/is_all_carbonation_a_nono/")</f>
        <v/>
      </c>
      <c r="G1119" t="inlineStr">
        <is>
          <t>2019-05-05 09:17:55</t>
        </is>
      </c>
      <c r="H1119" t="inlineStr"/>
    </row>
    <row r="1120">
      <c r="A1120" t="inlineStr">
        <is>
          <t>bl0t96</t>
        </is>
      </c>
      <c r="B1120" t="inlineStr">
        <is>
          <t>Nexium and Food Allergies Warning</t>
        </is>
      </c>
      <c r="C1120" t="inlineStr">
        <is>
          <t>Sorry. This is kind of a long post. I got diagnosed with GERD and put on daily Nexium in June 2016 after an episode of severe heartburn put me in the ER. Within 5 months of treatment, I began to have strange reactions to almost everything I ate. Headaches, stomach issues, pain. I would wake up feeling like I got hit by a truck. By January 2017, I went from “why do I feel like shit when I eat” to “why do my lips keep swelling when I eat.” By March 2017, an allergist gave me a skin test, and said I was basically allergic to all food except meat, wheat, and rice. Not just nuts and the usuals. I’m talking corn, garlic, soy, meaning I can’t eat in restaurants or eat 95% of food at the grocery store. After a year on my new diet, I had lost 120 lbs and just generally felt like death. Finally just met with a GI doc and began to walk her through the story. Said all my issues with food began a couple months after starting Nexium and her response was “oh yeah, that happens.” No shock or surprise at all. The way it was described to me is basically your stomach acid becomes so weak that your small intestine begins to develop antibodies to foods that you used to eat just fine. Now she wants me to have tests done for celiac disease. I might have to lose wheat too, one of the only foods I’m not allergic to now. So just a warning to anyone beginning Nexium or PPIs. DON’T! Those purple pills ruined my goddamn life and not one person warned me. Obviously talk with your doctor, but try anything else first. I sure wish I did.</t>
        </is>
      </c>
      <c r="D1120" t="n">
        <v>12</v>
      </c>
      <c r="E1120" t="n">
        <v>6</v>
      </c>
      <c r="F1120">
        <f>HYPERLINK("https://www.reddit.com/r/GERD/comments/bl0t96/nexium_and_food_allergies_warning/")</f>
        <v/>
      </c>
      <c r="G1120" t="inlineStr">
        <is>
          <t>2019-05-05 10:58:31</t>
        </is>
      </c>
      <c r="H1120" t="inlineStr"/>
    </row>
    <row r="1121">
      <c r="A1121" t="inlineStr">
        <is>
          <t>bl1lar</t>
        </is>
      </c>
      <c r="B1121" t="inlineStr">
        <is>
          <t>Can anybody please help me this has been going on constant for a year and its ruining my life I dont know anybody with gerd so I cant ask my friends or family for personal stories and advice thought I would try here.</t>
        </is>
      </c>
      <c r="C1121" t="inlineStr">
        <is>
          <t>Everytime I eat a decent meal or chug a drink like water I feel the need to burp over and over again with no relief. Almost everytime It will bring back up food or even water which is concerning to me. I'm only 19 so having gerd is a little rare for my age I do have intense burning like the acid goes up into my esphoghal ,constant lump in throat, my throat has become extremely sensitive to carbonation and spicy foods it burns like hell when I eat or drink them, hard to swallow, dry mouth, very sticky saliva,need to clear my throat all the time,and tightness in the throat like something is just sitting there all day long never ever goes away. I went to my normal doctor because I cant really afford an ent right now. I told him everything I told you guys and he doesn't seem to be to worried. He said my lymph nodes are fine and he cant see anything in my throat from the surface. Its ruining my life I've stopped going out I've stopped eating I've stopped doing everything. all I experience is anxiety and stress all day wondering when I'm gonna die from a tumor in my esophagus getting to big and causing me to choke. When I look up the symptoms online it comes up with gerd LPR and esphoghal cancer. I either have both gerd and lpr at the same time or I have esphoghal cancer. My life is just falling apart.</t>
        </is>
      </c>
      <c r="D1121" t="n">
        <v>3</v>
      </c>
      <c r="E1121" t="n">
        <v>3</v>
      </c>
      <c r="F1121">
        <f>HYPERLINK("https://www.reddit.com/r/GERD/comments/bl1lar/can_anybody_please_help_me_this_has_been_going_on/")</f>
        <v/>
      </c>
      <c r="G1121" t="inlineStr">
        <is>
          <t>2019-05-05 12:02:13</t>
        </is>
      </c>
      <c r="H1121" t="inlineStr"/>
    </row>
    <row r="1122">
      <c r="A1122" t="inlineStr">
        <is>
          <t>bl38vp</t>
        </is>
      </c>
      <c r="B1122" t="inlineStr">
        <is>
          <t>Does anybody here with LPR/GERD have chronically inflamed palatine tonsils?</t>
        </is>
      </c>
      <c r="C1122" t="inlineStr">
        <is>
          <t>Throat burn, post nasal drip and inflamed palatine tonsils are my main symptoms. 
I'm wondering if anybody here noticed issues specifically with their tonsils before being diagnosed.</t>
        </is>
      </c>
      <c r="D1122" t="n">
        <v>4</v>
      </c>
      <c r="E1122" t="n">
        <v>1</v>
      </c>
      <c r="F1122">
        <f>HYPERLINK("https://www.reddit.com/r/GERD/comments/bl38vp/does_anybody_here_with_lprgerd_have_chronically/")</f>
        <v/>
      </c>
      <c r="G1122" t="inlineStr">
        <is>
          <t>2019-05-05 14:24:20</t>
        </is>
      </c>
      <c r="H1122" t="inlineStr"/>
    </row>
    <row r="1123">
      <c r="A1123" t="inlineStr">
        <is>
          <t>bl4vhb</t>
        </is>
      </c>
      <c r="B1123" t="inlineStr">
        <is>
          <t>Yogurt</t>
        </is>
      </c>
      <c r="C1123" t="inlineStr">
        <is>
          <t>What kind of yogurt do you recommend?</t>
        </is>
      </c>
      <c r="D1123" t="n">
        <v>3</v>
      </c>
      <c r="E1123" t="n">
        <v>4</v>
      </c>
      <c r="F1123">
        <f>HYPERLINK("https://www.reddit.com/r/GERD/comments/bl4vhb/yogurt/")</f>
        <v/>
      </c>
      <c r="G1123" t="inlineStr">
        <is>
          <t>2019-05-05 16:56:18</t>
        </is>
      </c>
      <c r="H1123" t="inlineStr"/>
    </row>
    <row r="1124">
      <c r="A1124" t="inlineStr">
        <is>
          <t>bl5yj5</t>
        </is>
      </c>
      <c r="B1124" t="inlineStr">
        <is>
          <t>Is this GERD?</t>
        </is>
      </c>
      <c r="C1124" t="inlineStr">
        <is>
          <t>Hello, I am an 19 year old male from Finland, I have had problems with my stomach for years now (started in Feb 2015 after having antibiotics for sinus infection). Started having constant nausea and heartburn after that, got gastroscopied in October 2016 and biopsies came back normal, no coeliac, no irritation in my stomach. My nausea and heartburn went away after this because I knew everything is ok. Last Saturday I started having real bad heartburn after eating spicy sausages and drinking coca cola. I have had on and off heartburn after this and its scaring me because I think that my summer and possibly end of my life is ruined. I have had post nasal drip for years and my throat looks constantly irritated. Not sure if its LPR or something else. Any tips what I should do?</t>
        </is>
      </c>
      <c r="D1124" t="n">
        <v>2</v>
      </c>
      <c r="E1124" t="n">
        <v>14</v>
      </c>
      <c r="F1124">
        <f>HYPERLINK("https://www.reddit.com/r/GERD/comments/bl5yj5/is_this_gerd/")</f>
        <v/>
      </c>
      <c r="G1124" t="inlineStr">
        <is>
          <t>2019-05-05 18:46:44</t>
        </is>
      </c>
      <c r="H1124" t="inlineStr"/>
    </row>
    <row r="1125">
      <c r="A1125" t="inlineStr">
        <is>
          <t>bl6cts</t>
        </is>
      </c>
      <c r="B1125" t="inlineStr">
        <is>
          <t>How long does Omeprazole stay in your system?</t>
        </is>
      </c>
      <c r="C1125" t="inlineStr">
        <is>
          <t>I have recently since a month ago have been having post nasal drip and a sore throat. I made an appointment for an ENT to check it out. In the mean time (maybe foolishly), I was trying to self diagnose and ran into the possibility of GERD or LPR. I decided to try a generic store brand of omeprazole otc to see if it helped. I was so miserable. And it helped a little but not really. It gave me a bad side effects. I feel bloated all the time. And my stomach got MUCH more sensitive to what I eat. When I didn't so much as got heartburn. Not that I noticed anyways. Now I am even more miserable. I was on them for 5 days. Decided not to take my dose today. But I still feel the same. Bloated. Super sensitive to any food. Will this go away? Or is this just it? How long does it stay in your system for? I didn't take it for that long.</t>
        </is>
      </c>
      <c r="D1125" t="n">
        <v>3</v>
      </c>
      <c r="E1125" t="n">
        <v>3</v>
      </c>
      <c r="F1125">
        <f>HYPERLINK("https://www.reddit.com/r/GERD/comments/bl6cts/how_long_does_omeprazole_stay_in_your_system/")</f>
        <v/>
      </c>
      <c r="G1125" t="inlineStr">
        <is>
          <t>2019-05-05 19:28:54</t>
        </is>
      </c>
      <c r="H1125" t="inlineStr"/>
    </row>
    <row r="1126">
      <c r="A1126" t="inlineStr">
        <is>
          <t>bl80vs</t>
        </is>
      </c>
      <c r="B1126" t="inlineStr">
        <is>
          <t>Is this GERD? Is this permanent?</t>
        </is>
      </c>
      <c r="C1126" t="inlineStr">
        <is>
          <t>So I initially thought I was having a heart attack after the stabbing pain and indigestion wouldn't go away. Went to ER about 8 weeks ago they said it was A-okay look into getting a write up for generalized anxiety disorder.
The heartburn went away for a little while... and then came back with a vengeance, the pain is unimaginable at this time. 
My symptoms are as follows:
Chest and esophagus burning, sharp chest pain occasionally, dull chest pain occasionally. Sore throat, difficulty swallowing (muscle memory not working correctly?), Arm, under my lower jaw, and joint pains (the initial reason I went to ER is b/c I was having severe heartburn/reflux at the same time as jaw pain and arm pain.
The arm pain is something I'm not certain if it's related but it's almost like a dull cramplike pain... exists in joints and in forearm muscles the most. 
I went to my GP. he put me on sucralfate first, saying it was a duodenal ulcer... didn't really thing that sucralfate helped me out much. 
I returned, he said, try taking famotidine or cimetidine, gave me a prescription for cimetidine... at this point, it's been 3 weeks since my ER visit and the burning has stopped for the most part. 
Fast forward 3 weeks and the last two weeks i've been having the worst heartburn of my life. I go back and he puts me on omeprazole delayed release 40mg. The omeprazole I begin to take and after 7 days, I am just tired of the shitty side effects of dizziness, nausea, sore throat. 
I start to take famotidine (pepcid), but after a week now I think i'm building a tolerance to it, as the burning sensation persists even with a 10 or 20mg pill. 
I can hardly sleep and I'm trying to hold my shit together, I just got a job offer and I'm trying to finish up my last semester of college...
Is this just my body's reaction to stress? Are there any recommendations you guys would make? 
My diet is pretty good, bland food, not lots of oils/fats, small meals spaced out, no carbonated bev, no tea/soda/coffee... mainly water or a bit of almond milk... Bananas, applesauce, al dente pastas...
I feel like i'm up shit creek but I don't want to keep taking the omeprazole dr as I feel like a bag of shit when I am on it.
Should I just suck it up and complete the prescription?
Will omeprazole give me rebound reflux? Should I go to a gastroenterologist and get the scope?
I just want this pain to stop and to be able to sleep again, I'm about to start a liquid diet if this doesn't subside because it's horrible.</t>
        </is>
      </c>
      <c r="D1126" t="n">
        <v>4</v>
      </c>
      <c r="E1126" t="n">
        <v>1</v>
      </c>
      <c r="F1126">
        <f>HYPERLINK("https://www.reddit.com/r/GERD/comments/bl80vs/is_this_gerd_is_this_permanent/")</f>
        <v/>
      </c>
      <c r="G1126" t="inlineStr">
        <is>
          <t>2019-05-05 22:29:57</t>
        </is>
      </c>
      <c r="H1126" t="inlineStr"/>
    </row>
    <row r="1127">
      <c r="A1127" t="inlineStr">
        <is>
          <t>bl9ipj</t>
        </is>
      </c>
      <c r="B1127" t="inlineStr">
        <is>
          <t>LPR self help community</t>
        </is>
      </c>
      <c r="C1127" t="inlineStr">
        <is>
          <t>I couldn't find a big self help community for silent reflux sufferes. Does a community for silent reflux exist?
&amp;amp;#x200B;
What are books that are worth to read? What are websites that are worth to check out? I'm interested especially in silent reflux, because there are still some differences to GERD.</t>
        </is>
      </c>
      <c r="D1127" t="n">
        <v>5</v>
      </c>
      <c r="E1127" t="n">
        <v>1</v>
      </c>
      <c r="F1127">
        <f>HYPERLINK("https://www.reddit.com/r/GERD/comments/bl9ipj/lpr_self_help_community/")</f>
        <v/>
      </c>
      <c r="G1127" t="inlineStr">
        <is>
          <t>2019-05-06 01:36:03</t>
        </is>
      </c>
      <c r="H1127" t="inlineStr"/>
    </row>
    <row r="1128">
      <c r="A1128" t="inlineStr">
        <is>
          <t>blaxk2</t>
        </is>
      </c>
      <c r="B1128" t="inlineStr">
        <is>
          <t>Possible LPR - symptoms got worse</t>
        </is>
      </c>
      <c r="C1128" t="inlineStr">
        <is>
          <t>I think i have LPR - hardly ever get heartburn, instead get sour taste back of mouth and my nose seems to have sinus issues.  I also have a mouth ulcer at the back of my mouth in the same place that comes and goes over past few months.  I really am worried this migh be cancer.  I notice the ulcer comes back when the reflux is bad.
Im due to visit a GI doc in a few months.  My symptoms got worse last night and couldnt sleep due to stomach burn and heart palpitaitons and reflux.  I think this is because i at some fat heavy snacks after dinner but still 3-4 hours before bed.  I ate nuts, cheese and crackers and crisps.
Do you know what i can do to help reduce symptoms.  I am already taking lansoperazole 15mg and zantac 150mg and gaviscon advance.  I have been ok with symptoms past few weeks prior to last night.  I was disappointed as well as depressed and anxious by all this.</t>
        </is>
      </c>
      <c r="D1128" t="n">
        <v>2</v>
      </c>
      <c r="E1128" t="n">
        <v>8</v>
      </c>
      <c r="F1128">
        <f>HYPERLINK("https://www.reddit.com/r/GERD/comments/blaxk2/possible_lpr_symptoms_got_worse/")</f>
        <v/>
      </c>
      <c r="G1128" t="inlineStr">
        <is>
          <t>2019-05-06 04:26:59</t>
        </is>
      </c>
      <c r="H1128" t="inlineStr"/>
    </row>
    <row r="1129">
      <c r="A1129" t="inlineStr">
        <is>
          <t>blbx79</t>
        </is>
      </c>
      <c r="B1129" t="inlineStr">
        <is>
          <t>Alcohol and ulcers?</t>
        </is>
      </c>
      <c r="C1129" t="inlineStr">
        <is>
          <t>I found out through an EGD about 3 weeks ago that I have a hiatal hernia, gastritis and some (I think 2) ulcers. I’ve been taking Pantoprazole every day since then (haven’t missed a dose), some Pepcid and tums as needed, and have been strict on not drinking any alcohol or eating spicy/acidic foods. I’ve had reflux and some stomach pain but am hoping my regimen will help heal things up soon. 
However, I’m graduating from grad school next week (which has been a long journey!) and going on a big vacation and while I don’t want to go wild, I would like to be able to have a drink or 2 in celebration...
Would this totally wreck my progress in healing my ulcers? I have an appt with my GI doc the day before I leave for vacation so I fully plan to follow up with her then and ask questions, but would love any thoughts and experiences from folks who have had ulcers/gastritis.
Thanks!</t>
        </is>
      </c>
      <c r="D1129" t="n">
        <v>1</v>
      </c>
      <c r="E1129" t="n">
        <v>1</v>
      </c>
      <c r="F1129">
        <f>HYPERLINK("https://www.reddit.com/r/GERD/comments/blbx79/alcohol_and_ulcers/")</f>
        <v/>
      </c>
      <c r="G1129" t="inlineStr">
        <is>
          <t>2019-05-06 06:04:33</t>
        </is>
      </c>
      <c r="H1129" t="inlineStr"/>
    </row>
    <row r="1130">
      <c r="A1130" t="inlineStr">
        <is>
          <t>bld7qv</t>
        </is>
      </c>
      <c r="B1130" t="inlineStr">
        <is>
          <t>Anyone else get GERD from coconut fats?</t>
        </is>
      </c>
      <c r="C1130" t="inlineStr">
        <is>
          <t>Coconut milk, coconut oil, etc.</t>
        </is>
      </c>
      <c r="D1130" t="n">
        <v>9</v>
      </c>
      <c r="E1130" t="n">
        <v>7</v>
      </c>
      <c r="F1130">
        <f>HYPERLINK("https://www.reddit.com/r/GERD/comments/bld7qv/anyone_else_get_gerd_from_coconut_fats/")</f>
        <v/>
      </c>
      <c r="G1130" t="inlineStr">
        <is>
          <t>2019-05-06 07:59:50</t>
        </is>
      </c>
      <c r="H1130" t="inlineStr"/>
    </row>
    <row r="1131">
      <c r="A1131" t="inlineStr">
        <is>
          <t>blg9gl</t>
        </is>
      </c>
      <c r="B1131" t="inlineStr">
        <is>
          <t>Bravo helpppppp</t>
        </is>
      </c>
      <c r="C1131" t="inlineStr">
        <is>
          <t>So I had the bravo placed on Wednesday, May 1st. It hasn't fallen off and is causing me extreme pain. I haven't really been able to eat in 4 days and idk what to do :'( i've been trying to jump around and see if that'll help it fall off!!!! I'm going to the doctor today, maybe they can remove it? I really need to be able to eat again. I get these intense bouts of pain that spread all the way to my ear it's bizarre... has anyone else had an experience like this?</t>
        </is>
      </c>
      <c r="D1131" t="n">
        <v>1</v>
      </c>
      <c r="E1131" t="n">
        <v>3</v>
      </c>
      <c r="F1131">
        <f>HYPERLINK("https://www.reddit.com/r/GERD/comments/blg9gl/bravo_helpppppp/")</f>
        <v/>
      </c>
      <c r="G1131" t="inlineStr">
        <is>
          <t>2019-05-06 12:09:13</t>
        </is>
      </c>
      <c r="H1131" t="inlineStr"/>
    </row>
    <row r="1132">
      <c r="A1132" t="inlineStr">
        <is>
          <t>blnj6l</t>
        </is>
      </c>
      <c r="B1132" t="inlineStr">
        <is>
          <t>Fuck this shit and fuck lpr and whatever the fuck is going on inside me</t>
        </is>
      </c>
      <c r="C1132" t="inlineStr">
        <is>
          <t>Fukin pelvic floor disorder, constant uti like symptoms, chronic stomach pain/Nasseau, flu like symptoms all the time (lpr) and then hit me with that depression too dog god damn. I'm 18, and I'm prolly gonna od or suck on the action end of a shotgun before college. 
Fucking taking pcp to make it through high school finals lmao, all I have is crutches. I wanna try the mayo clinic but I'm so fucking disillusioned with the medical system I doubt they would help. Fuck taking 15 different pills a day, fuck waking up wishing I aspersted in my sleep. Fuck the pain my body is in. Self medicating helps but then makes it worse. Lmao I don't even have the energy to study for finals. 4.0 average until these past 11 months and now I'm failing every class.
Fuck self pitty, fuck therapy, fuck the entire medical system. God damn im sorry this is edgy as hell and I'm sorry but I'm dead ass done. The American medical system doesn't give a fuck about your QOL. If they can't see it on a xray its all in hour head. Holy shit idk I'm just rambling. 
I don't wanna die, but I really don't want to live like this. Every test has been futile, every med has side effects, every night I lay awake till the birds chirp. I should still have a warranty on my life, atlesst I can buy a shotty now that I'm 18. I'm sorry to my friends and family but I'm not going to live the rest of my life like this, because it's not even living. I can only cry so many times infront of my dad. 
What happend to 4.0 GPA kid I used to be, I guesss its all psychosomatic, because western medicine is never wrong.
Sorry for the vent but I'm done. Every time a new symptom comes up it don't go away. 
Suicide is selfish, but making me sit with my pain is even more selfish. I just wanted to make a positive impact on the world, but I guess that impact is gonna be me from ten stories up. Fuck western medicise, fuck the opilid epidemic and fuck my genetics. 30 more days and well see. 
Also fuck me for being so edgy, I can only suck it up so much. I don't even know what the point of this post is. I'm just sick and tired of being sick and tired. Anyways, my life is inconsiqutial in comparison to the billions of others, sorry to the people who are close to.me, but that smile has been fake for a year. Peace, I hope.you all get better, you deserve the world.</t>
        </is>
      </c>
      <c r="D1132" t="n">
        <v>22</v>
      </c>
      <c r="E1132" t="n">
        <v>25</v>
      </c>
      <c r="F1132">
        <f>HYPERLINK("https://www.reddit.com/r/GERD/comments/blnj6l/fuck_this_shit_and_fuck_lpr_and_whatever_the_fuck/")</f>
        <v/>
      </c>
      <c r="G1132" t="inlineStr">
        <is>
          <t>2019-05-06 23:58:54</t>
        </is>
      </c>
      <c r="H1132" t="inlineStr"/>
    </row>
    <row r="1133">
      <c r="A1133" t="inlineStr">
        <is>
          <t>blomm3</t>
        </is>
      </c>
      <c r="B1133" t="inlineStr">
        <is>
          <t>Recently diagnosed with GERD and I have some questions (18F)</t>
        </is>
      </c>
      <c r="C1133" t="inlineStr">
        <is>
          <t>Just yesterday I was diagnosed with GERD, I had had my suspicions, having woken up with such severe heartburn I couldn’t breathe, almost thought I was having a heart attack until I found some Tums which lessened the pain for about maybe an hour and then it was back, if not worse. They prescribed me Sucralfate and Famotidine. I have a few questions, first about your experiences with these medications (if any) and second, how to go about changing my diet. I can’t seem to find many good articles or threads about it, but I might just not be looking hard enough. Also, I don’t have weight problems contributing to this, as I am 5’5 and only 118 lbs.</t>
        </is>
      </c>
      <c r="D1133" t="n">
        <v>3</v>
      </c>
      <c r="E1133" t="n">
        <v>3</v>
      </c>
      <c r="F1133">
        <f>HYPERLINK("https://www.reddit.com/r/GERD/comments/blomm3/recently_diagnosed_with_gerd_and_i_have_some/")</f>
        <v/>
      </c>
      <c r="G1133" t="inlineStr">
        <is>
          <t>2019-05-07 02:34:07</t>
        </is>
      </c>
      <c r="H1133" t="inlineStr"/>
    </row>
    <row r="1134">
      <c r="A1134" t="inlineStr">
        <is>
          <t>blqr50</t>
        </is>
      </c>
      <c r="B1134" t="inlineStr">
        <is>
          <t>Just woke up from my Bravo pH Endoscopy (these darn buttons!)</t>
        </is>
      </c>
      <c r="C1134" t="inlineStr">
        <is>
          <t>So, I just woke up from my endoscopy and I have the 48 hour Bravo pH monitor. This is going to be interesting, because I have to remember not to sip drinks over time, which I usually do all day.
Any suggestions for making this an easier process?
I clear my throat constantly. Should I be pressing that cough button every time I clear my throat?
I was going to ask the nurse, but I totally forgot 😅</t>
        </is>
      </c>
      <c r="D1134" t="n">
        <v>4</v>
      </c>
      <c r="E1134" t="n">
        <v>3</v>
      </c>
      <c r="F1134">
        <f>HYPERLINK("https://www.reddit.com/r/GERD/comments/blqr50/just_woke_up_from_my_bravo_ph_endoscopy_these/")</f>
        <v/>
      </c>
      <c r="G1134" t="inlineStr">
        <is>
          <t>2019-05-07 06:32:54</t>
        </is>
      </c>
      <c r="H1134" t="inlineStr"/>
    </row>
    <row r="1135">
      <c r="A1135" t="inlineStr">
        <is>
          <t>blqsul</t>
        </is>
      </c>
      <c r="B1135" t="inlineStr">
        <is>
          <t>Need help - ~3 week long flare up</t>
        </is>
      </c>
      <c r="C1135" t="inlineStr">
        <is>
          <t>Guys - need some reassurance here. I have been in the throws of a 3 week long flare up of my GERD. It all started when I had a knowingly had an unhealthy meal with fried chicken fingers &amp;amp; greasy fries. 
From there a day hasn't passed where I haven't had an episode of GERD. Sometimes it's all day other times it's maybe after one or two meals. I've cut out the usual suspects but even normal food is giving me fits. Even with an empty stomach it is bad. 
I have suffered from GERD for many years (am 29) and have had flare ups but nothing that has lasted this long. I'm very worried (although doctor said she isn't concerned for anything serious). Otherwise outside of GERD I'm healthy (do have anxiety). 
Have endoscopy scheduled for next Wed w/ GI Doctor. I already take 40mg omeprazole. Is it normal have an episode to be this bad and intense for such a long period of time? Tums/Pepcid complete/Zantac helps but not as much as it used to and it is short acting.</t>
        </is>
      </c>
      <c r="D1135" t="n">
        <v>3</v>
      </c>
      <c r="E1135" t="n">
        <v>8</v>
      </c>
      <c r="F1135">
        <f>HYPERLINK("https://www.reddit.com/r/GERD/comments/blqsul/need_help_3_week_long_flare_up/")</f>
        <v/>
      </c>
      <c r="G1135" t="inlineStr">
        <is>
          <t>2019-05-07 06:37:22</t>
        </is>
      </c>
      <c r="H1135" t="inlineStr"/>
    </row>
    <row r="1136">
      <c r="A1136" t="inlineStr">
        <is>
          <t>bluksy</t>
        </is>
      </c>
      <c r="B1136" t="inlineStr">
        <is>
          <t>Looking for help after years of suffering</t>
        </is>
      </c>
      <c r="C1136" t="inlineStr">
        <is>
          <t>I’ve been suffering from GERD/LPR for about 16 years, had my throat scoped and like many here I have a dysfunctional lower esophageal sphincter.
My symptoms are not as severe as some, but essentially: always have a sour taste in mouth, bad breath (have to chew gum constantly), similar symptoms to IBS, sometimes have a slight cough from acid in back of mouth. I never have pain or burning in chest. The symptoms never go away but are the worst when I wake up in the morning.
I’m not overweight, exercise regularly and I also have a clean diet and avoid classic triggers.
I’ve tried basically everything I can think of to treat the condition—PPIs, H2 blockers, all sorts of all natural things like black licorice, orange peels, apple cider vinegar (including Amish version), ginger root etc. I’ve also dramatically changed my diet and tried to avoid things like coffee and alcohol. None of this has worked to solve my problem, but I’m also no longer taking anything other than ginger. Notably, whenever I take a acid reducer, not only does it just provide temporary relief but the acid comes back twice as bad when it wears off.I’m thankful I haven’t had the more severe symptoms of chest pain, trouble swallowing or lump in throat. 
My question for this group is what has worked successfully for others? Is there some magic combo of H2s and PPIs, and perhaps alkaline water taken at strategic times of day that provide the best solution? Any tips on that magic combo? I’m a little concerned about having to take a regimen of pills every day but I’m also fed up of suffering day in and day out and I want to get this under control. Am i just stuck with a mechanical problem, defective esophageal sphincter and there isn’t a great solution out there? I’m hoping for some guidance on a system to get this under control—I’ll try almost anything.
Any help would be greatly appreciated!! Thanks in advance for reading this.</t>
        </is>
      </c>
      <c r="D1136" t="n">
        <v>9</v>
      </c>
      <c r="E1136" t="n">
        <v>26</v>
      </c>
      <c r="F1136">
        <f>HYPERLINK("https://www.reddit.com/r/GERD/comments/bluksy/looking_for_help_after_years_of_suffering/")</f>
        <v/>
      </c>
      <c r="G1136" t="inlineStr">
        <is>
          <t>2019-05-07 11:54:05</t>
        </is>
      </c>
      <c r="H1136" t="inlineStr"/>
    </row>
    <row r="1137">
      <c r="A1137" t="inlineStr">
        <is>
          <t>blvbm2</t>
        </is>
      </c>
      <c r="B1137" t="inlineStr">
        <is>
          <t>How were you diagnosed?</t>
        </is>
      </c>
      <c r="C1137" t="inlineStr">
        <is>
          <t>I'm not sure I was even properly diagnosed? I had gone to the ER a few years back after I was having unbearable pain in my stomach for a couple of days after a binge and had this gross taste of what I can only describe as rotten eggs in my mouth.
No tests were performed or anything and I was told by the ER they thought I had Gerd so they gave me some meds for it and a list of what not to eat. I was young and dumb so I ignored it and didn't even take the meds more than a few times and it disappeared for about 2/3 years. I had no more problems. Yet I still continued to eat how I did minus overeating.
But then after breaking an intermittent fast with a binge (I know, bad idea) it came back tenfold. But what's weird is up until that point I could eat and drink whatever I wanted without a problem? I don't have the burning sensation I read a lot about here and none of my symptoms really line up with what I've read here so I'm confused.
 I also constantly break the rules and still drink soda and eat some things that are supposed to make it flare up but it doesn't happen. Is anyone else's gerd like this?
The most concerning symptoms I've ever had were esophagus attacks where it felt like my esophagus was aching and one week where I felt like I had the need to clear my throat when nothing was in it.</t>
        </is>
      </c>
      <c r="D1137" t="n">
        <v>3</v>
      </c>
      <c r="E1137" t="n">
        <v>2</v>
      </c>
      <c r="F1137">
        <f>HYPERLINK("https://www.reddit.com/r/GERD/comments/blvbm2/how_were_you_diagnosed/")</f>
        <v/>
      </c>
      <c r="G1137" t="inlineStr">
        <is>
          <t>2019-05-07 12:54:09</t>
        </is>
      </c>
      <c r="H1137" t="inlineStr"/>
    </row>
    <row r="1138">
      <c r="A1138" t="inlineStr">
        <is>
          <t>blwoiz</t>
        </is>
      </c>
      <c r="B1138" t="inlineStr">
        <is>
          <t>Will I ever enjoy anything again lol</t>
        </is>
      </c>
      <c r="C1138" t="inlineStr">
        <is>
          <t>Let me start this off by saying I have never had heartburn in my life and I never know when my GERD is acting up. It’s been so quiet since I was diagnosed that it’s easy to just eat what I want because I never notice a difference.
Anyways, last Wednesday night I did my usual beer + video games before bed. I got hungry and decided to top it off with a bowl of spicy instant ramen (I can hear your gasps already). I woke up with a minor sore throat and went about my day. Over the next 3 days I went on to have the worst sore throat I’ve ever experienced since strep. I even went and got tested for strep. I tested negative and mentioned I have GERD and I got the usual talk about acid reflux and went home with a box of Cēpacol. 
It’s been almost a week and the pain is mostly gone, I haven’t had any “trigger foods” and haven’t been eating right before bed. I’ve been reading up on GERD again and I’m upset because 90% of my diet is on the lists of trigger foods. I grew up in a Mexican household, spicy food is all I know lol. I love drinks on the weekends. I drink coffee every single day. 
I guess my question is, have any of you kept up with your pre-GERD diets in any way? Cheat days? Smaller amounts + tums? I’m having a hard time grasping the idea of letting go of everything I enjoy</t>
        </is>
      </c>
      <c r="D1138" t="n">
        <v>2</v>
      </c>
      <c r="E1138" t="n">
        <v>3</v>
      </c>
      <c r="F1138">
        <f>HYPERLINK("https://www.reddit.com/r/GERD/comments/blwoiz/will_i_ever_enjoy_anything_again_lol/")</f>
        <v/>
      </c>
      <c r="G1138" t="inlineStr">
        <is>
          <t>2019-05-07 14:44:36</t>
        </is>
      </c>
      <c r="H1138" t="inlineStr"/>
    </row>
    <row r="1139">
      <c r="A1139" t="inlineStr">
        <is>
          <t>blwq35</t>
        </is>
      </c>
      <c r="B1139" t="inlineStr">
        <is>
          <t>Anyone Get Pressure on their Liver Side when on H2s?</t>
        </is>
      </c>
      <c r="C1139" t="inlineStr">
        <is>
          <t>I've been on pepcid for about a month now and its been moderately affective. However I do get the usual abdominal pressure on my stomach side where my les, but also when on the h2s I'll get chronic pressure and discomfort where my liver is. Should I be concerned? I've heard about gut bacteria being a problem so I'm considering probiotics but I wanted to double check. Thank you.</t>
        </is>
      </c>
      <c r="D1139" t="n">
        <v>1</v>
      </c>
      <c r="E1139" t="n">
        <v>1</v>
      </c>
      <c r="F1139">
        <f>HYPERLINK("https://www.reddit.com/r/GERD/comments/blwq35/anyone_get_pressure_on_their_liver_side_when_on/")</f>
        <v/>
      </c>
      <c r="G1139" t="inlineStr">
        <is>
          <t>2019-05-07 14:48:16</t>
        </is>
      </c>
      <c r="H1139" t="inlineStr"/>
    </row>
    <row r="1140">
      <c r="A1140" t="inlineStr">
        <is>
          <t>blxhcy</t>
        </is>
      </c>
      <c r="B1140" t="inlineStr">
        <is>
          <t>An oat based diet has virtually eliminated my acid reflux.</t>
        </is>
      </c>
      <c r="C1140" t="inlineStr">
        <is>
          <t>Oats are great. They're slightly alkaline and help absorb excess acid. Instead of crackers, I use oat cakes. And I eat a lot of oaties (digestive biscuits). Falpjacks for a naughty treat. I still get mild heartburn now and then, but it's easily managed and I can even eat food like chocolate, onions and tomatoes without any problems now!</t>
        </is>
      </c>
      <c r="D1140" t="n">
        <v>18</v>
      </c>
      <c r="E1140" t="n">
        <v>10</v>
      </c>
      <c r="F1140">
        <f>HYPERLINK("https://www.reddit.com/r/GERD/comments/blxhcy/an_oat_based_diet_has_virtually_eliminated_my/")</f>
        <v/>
      </c>
      <c r="G1140" t="inlineStr">
        <is>
          <t>2019-05-07 15:52:12</t>
        </is>
      </c>
      <c r="H1140" t="inlineStr"/>
    </row>
    <row r="1141">
      <c r="A1141" t="inlineStr">
        <is>
          <t>blze20</t>
        </is>
      </c>
      <c r="B1141" t="inlineStr">
        <is>
          <t>GERD is not the word?</t>
        </is>
      </c>
      <c r="C1141" t="inlineStr">
        <is>
          <t>I don't know, guys - I'm incredibly confused if it's GERD, if it's allergies, or if it's both. 
I never have classic heartburn in my chest. Maybe once or twice since I can remember. For a bit, I had severe post nasal drip. Gobs of mucus almost to the point of choking. Along with the drip, I would clear my throat often - guessing from the drip. This caused my throat to be raw and sore. 
From the time of first GERD symptoms Mid March until now - I've had a common cold and systemic rash. 
I'm currently taking Zantac OTC twice a day. I took Pantoprozole for two days and it gave me terrible indigestion - which I never had before - so I stopped. Other than that, at the moment, I really only have a bitter taste in my mouth. 
I'm not sure what I have. I have an endoscopy on the 30th. Maybe I have silent reflux. Maybe it's allergies. Maybe both. All I know is - this is confusing as hell!</t>
        </is>
      </c>
      <c r="D1141" t="n">
        <v>1</v>
      </c>
      <c r="E1141" t="n">
        <v>0</v>
      </c>
      <c r="F1141">
        <f>HYPERLINK("https://www.reddit.com/r/GERD/comments/blze20/gerd_is_not_the_word/")</f>
        <v/>
      </c>
      <c r="G1141" t="inlineStr">
        <is>
          <t>2019-05-07 18:50:28</t>
        </is>
      </c>
      <c r="H1141" t="inlineStr"/>
    </row>
    <row r="1142">
      <c r="A1142" t="inlineStr">
        <is>
          <t>blzrws</t>
        </is>
      </c>
      <c r="B1142" t="inlineStr">
        <is>
          <t>Beware of long-term side effects of PPIs</t>
        </is>
      </c>
      <c r="C1142" t="inlineStr">
        <is>
          <t>CTV National News (Canada) just ran a major story on PPIs. One article plus 3 videos. Worth looking in to.
&amp;amp;#x200B;
 [https://www.ctvnews.ca/health/millions-of-canadians-using-acid-reflux-drugs-for-too-long-risking-health-side-effects-1.4409011](https://www.ctvnews.ca/health/millions-of-canadians-using-acid-reflux-drugs-for-too-long-risking-health-side-effects-1.4409011)</t>
        </is>
      </c>
      <c r="D1142" t="n">
        <v>4</v>
      </c>
      <c r="E1142" t="n">
        <v>50</v>
      </c>
      <c r="F1142">
        <f>HYPERLINK("https://www.reddit.com/r/GERD/comments/blzrws/beware_of_longterm_side_effects_of_ppis/")</f>
        <v/>
      </c>
      <c r="G1142" t="inlineStr">
        <is>
          <t>2019-05-07 19:27:45</t>
        </is>
      </c>
      <c r="H1142" t="inlineStr"/>
    </row>
    <row r="1143">
      <c r="A1143" t="inlineStr">
        <is>
          <t>bm01z1</t>
        </is>
      </c>
      <c r="B1143" t="inlineStr">
        <is>
          <t>Do I have GERD?</t>
        </is>
      </c>
      <c r="C1143" t="inlineStr">
        <is>
          <t>About six months ago, I had slightly more difficult issues breathing. It came out of nowhere. There’s that “lump” feeling in my throat. If I swallow saliva, it becomes easier to breathe. If I swallow food, it becomes easier to breathe for the moment. If I swallow food, the “lump” feeling disappears.
I’ve gone to the doctor. Both my primary physician and a specialist with lungs. Both found nothing. I did a breathing test that was fine.
Now I’m wondering if you guys think this might be GERD? I don’t really have any heartburn, so I’m not sure. I’ve taken some antacids and they have not really helped. Does anyone know what this could be and medication I could take that could resolve this if possible?</t>
        </is>
      </c>
      <c r="D1143" t="n">
        <v>2</v>
      </c>
      <c r="E1143" t="n">
        <v>2</v>
      </c>
      <c r="F1143">
        <f>HYPERLINK("https://www.reddit.com/r/GERD/comments/bm01z1/do_i_have_gerd/")</f>
        <v/>
      </c>
      <c r="G1143" t="inlineStr">
        <is>
          <t>2019-05-07 19:55:27</t>
        </is>
      </c>
      <c r="H1143" t="inlineStr"/>
    </row>
    <row r="1144">
      <c r="A1144" t="inlineStr">
        <is>
          <t>bm09yl</t>
        </is>
      </c>
      <c r="B1144" t="inlineStr">
        <is>
          <t>Got my biopsy results today</t>
        </is>
      </c>
      <c r="C1144" t="inlineStr">
        <is>
          <t>Finally had a follow up with the doc who did my TNE and got my biopsy results back. For the most part all clear except for a "very few" columnar cells with chronic active inflammation. No dysplasia or metaplasia seen. No carcinoma either. Whew. Basically I have to get my reflux in check or I'm on the road to Barretts, but none yet thankfully.</t>
        </is>
      </c>
      <c r="D1144" t="n">
        <v>8</v>
      </c>
      <c r="E1144" t="n">
        <v>9</v>
      </c>
      <c r="F1144">
        <f>HYPERLINK("https://www.reddit.com/r/GERD/comments/bm09yl/got_my_biopsy_results_today/")</f>
        <v/>
      </c>
      <c r="G1144" t="inlineStr">
        <is>
          <t>2019-05-07 20:18:59</t>
        </is>
      </c>
      <c r="H1144" t="inlineStr"/>
    </row>
    <row r="1145">
      <c r="A1145" t="inlineStr">
        <is>
          <t>bm12jn</t>
        </is>
      </c>
      <c r="B1145" t="inlineStr">
        <is>
          <t>Most effective way to taper off PPIs?</t>
        </is>
      </c>
      <c r="C1145" t="inlineStr">
        <is>
          <t>I'm trying to cut down from a very high dose (40 mg pantoprazole 2x a day due to ulcers/gastritis) and avoid acid rebound as much as possible.  For anyone with experience with this, do you find it easier to cut a pill in half and do 20 mg instead of 40, or just take the 40 every other day?  
Also, how long would you stay on the half dose before dropping it again?  I've seen anywhere from a week to a month.</t>
        </is>
      </c>
      <c r="D1145" t="n">
        <v>3</v>
      </c>
      <c r="E1145" t="n">
        <v>4</v>
      </c>
      <c r="F1145">
        <f>HYPERLINK("https://www.reddit.com/r/GERD/comments/bm12jn/most_effective_way_to_taper_off_ppis/")</f>
        <v/>
      </c>
      <c r="G1145" t="inlineStr">
        <is>
          <t>2019-05-07 21:49:28</t>
        </is>
      </c>
      <c r="H1145" t="inlineStr"/>
    </row>
    <row r="1146">
      <c r="A1146" t="inlineStr">
        <is>
          <t>bm1lzo</t>
        </is>
      </c>
      <c r="B1146" t="inlineStr">
        <is>
          <t>IQoro Update</t>
        </is>
      </c>
      <c r="C1146" t="inlineStr">
        <is>
          <t>[Original post](https://www.reddit.com/r/GERD/comments/bhcywc/iqoro_training_starts_tomorrow/?utm_source=share&amp;amp;utm_medium=ios_app)
It’s been two weeks since I started training with the IQoro and I honestly cannot believe the difference it has made in such a short time, thought I’d share a quick update.
I honestly wasn’t expecting a lot, and definitely wasn’t expecting anything so quickly, but a lot of my dysphasia symptoms appear to have stopped or at least dramatically reduced on a day to day basis.
There have still been the odd days where I have ‘flair ups’ but even then it feels worlds away from what I had before. I have had ‘normal people’ heartburn pains now rather than the crippling agony that I’d grown used to.
I even got cocky a few days ago and ate a bacon roll a few days ago (both bacon and bread of any kind were one of the things I haven’t been able to eat for around three years) and not only did I manage to eat it, but I had no pain afterwards.
In short, I can’t believe it took so long to find the IQoro. I will absolutely continue my training and have been recommending it to absolve everyone that I know with similar issues. Who knew something so simple could honestly change my life!</t>
        </is>
      </c>
      <c r="D1146" t="n">
        <v>6</v>
      </c>
      <c r="E1146" t="n">
        <v>13</v>
      </c>
      <c r="F1146">
        <f>HYPERLINK("https://www.reddit.com/r/GERD/comments/bm1lzo/iqoro_update/")</f>
        <v/>
      </c>
      <c r="G1146" t="inlineStr">
        <is>
          <t>2019-05-07 22:56:58</t>
        </is>
      </c>
      <c r="H1146" t="inlineStr"/>
    </row>
    <row r="1147">
      <c r="A1147" t="inlineStr">
        <is>
          <t>bm3axt</t>
        </is>
      </c>
      <c r="B1147" t="inlineStr">
        <is>
          <t>LINX procedure 3 days ago</t>
        </is>
      </c>
      <c r="C1147" t="inlineStr">
        <is>
          <t>I had the LINX three days and so far so good.  Soreness from the surgery but no reflux as of yet.   He also fixed a hietal hernia.  I am having some gas / burps.  For those w insurance issues, I had the same , sort of.  The worked it out though.  
    I know I need to slow down my eating and chew my food better too. 
  How was everyone’s recovery from the LINX??</t>
        </is>
      </c>
      <c r="D1147" t="n">
        <v>10</v>
      </c>
      <c r="E1147" t="n">
        <v>11</v>
      </c>
      <c r="F1147">
        <f>HYPERLINK("https://www.reddit.com/r/GERD/comments/bm3axt/linx_procedure_3_days_ago/")</f>
        <v/>
      </c>
      <c r="G1147" t="inlineStr">
        <is>
          <t>2019-05-08 02:52:32</t>
        </is>
      </c>
      <c r="H1147" t="inlineStr"/>
    </row>
    <row r="1148">
      <c r="A1148" t="inlineStr">
        <is>
          <t>bm63dq</t>
        </is>
      </c>
      <c r="B1148" t="inlineStr">
        <is>
          <t>Great ENT article on the role of pepsin in esophageal and airway physiology</t>
        </is>
      </c>
      <c r="C1148" t="inlineStr">
        <is>
          <t>[https://www.ncbi.nlm.nih.gov/pmc/articles/PMC3216344/](https://www.ncbi.nlm.nih.gov/pmc/articles/PMC3216344/)
&amp;amp;#x200B;
Really enjoyed this article and its primary sources looking at pepsin, its extra-gastric manifestations, and how GA and pH play a role.  Sharing here in case it benefits others -- especially those who see professionals who are convinced that reflux cannot affect the throat, ears, and lungs.</t>
        </is>
      </c>
      <c r="D1148" t="n">
        <v>5</v>
      </c>
      <c r="E1148" t="n">
        <v>2</v>
      </c>
      <c r="F1148">
        <f>HYPERLINK("https://www.reddit.com/r/GERD/comments/bm63dq/great_ent_article_on_the_role_of_pepsin_in/")</f>
        <v/>
      </c>
      <c r="G1148" t="inlineStr">
        <is>
          <t>2019-05-08 07:42:34</t>
        </is>
      </c>
      <c r="H1148" t="inlineStr"/>
    </row>
    <row r="1149">
      <c r="A1149" t="inlineStr">
        <is>
          <t>bm6a3x</t>
        </is>
      </c>
      <c r="B1149" t="inlineStr">
        <is>
          <t>Water triggering GERD/Acid reflux?</t>
        </is>
      </c>
      <c r="C1149" t="inlineStr">
        <is>
          <t>So I believe I have acid reflux ever since last year, only symtoms of reflux I usually have is fullness, bloating/pressure in my stomach or chest area? And the nausea if I don’t take something to stop it from getting worse.  I can usually eat any type of spicy foods and greasy foods and not really have a problem, I did notice yesterday I drank a couple sips of water and lay down and the water just seems to be sitting in my stomach/Esophagus? I feel like when I drink water in general I have to stand up or else I start feeling bloated and fullness for couples minutes or so or have this feeling of the water backing up into my esophagus, idk kinda weird just wondering if water or liquid triggers you guys gerd/acid reflux.</t>
        </is>
      </c>
      <c r="D1149" t="n">
        <v>6</v>
      </c>
      <c r="E1149" t="n">
        <v>9</v>
      </c>
      <c r="F1149">
        <f>HYPERLINK("https://www.reddit.com/r/GERD/comments/bm6a3x/water_triggering_gerdacid_reflux/")</f>
        <v/>
      </c>
      <c r="G1149" t="inlineStr">
        <is>
          <t>2019-05-08 07:59:15</t>
        </is>
      </c>
      <c r="H1149" t="inlineStr"/>
    </row>
    <row r="1150">
      <c r="A1150" t="inlineStr">
        <is>
          <t>bm6qmd</t>
        </is>
      </c>
      <c r="B1150" t="inlineStr">
        <is>
          <t>Where do you feel your heartburn because mine is usually only in my esophagus and it destroys it's very uncomfortable and I also get a burning pain in my upper back or shoulder blade areas. Is this normal? Or should I be worried about something else like esphoghal cancer?</t>
        </is>
      </c>
      <c r="C1150" t="inlineStr">
        <is>
          <t>I mainly feel my almost constant acid reflux in my esophagus and it burns like hell. It comes and goes about every ten minutes even if I eat something simple like a couple strawberries. I'm starting to get worried that this is more than just gerd as my throat always has a constant lump and it can feel hard to swallow sometimes.</t>
        </is>
      </c>
      <c r="D1150" t="n">
        <v>3</v>
      </c>
      <c r="E1150" t="n">
        <v>7</v>
      </c>
      <c r="F1150">
        <f>HYPERLINK("https://www.reddit.com/r/GERD/comments/bm6qmd/where_do_you_feel_your_heartburn_because_mine_is/")</f>
        <v/>
      </c>
      <c r="G1150" t="inlineStr">
        <is>
          <t>2019-05-08 08:37:20</t>
        </is>
      </c>
      <c r="H1150" t="inlineStr"/>
    </row>
    <row r="1151">
      <c r="A1151" t="inlineStr">
        <is>
          <t>bm75e9</t>
        </is>
      </c>
      <c r="B1151" t="inlineStr">
        <is>
          <t>Hiatal Hernia exercises are slowly making me feel better</t>
        </is>
      </c>
      <c r="C1151" t="inlineStr">
        <is>
          <t>Ive never been diagnosed with a hiatal hernia,but ever since I've been doing these exercises,eating has gotten easier.
I've only been doing them for 3 days,and today my food doesn't feel stuck under my rib like it usually does.Its fucking crazy.
The reason why I assume it's a hernia is because my stomach has been messed up ever since the day I was dumb enough to eat while jumping around at the same time lmfao.I remember not being able to breath cause it felt like gas was stuck in my stomach,and I've been fucked up ever since 🤡
I also tried a PPI(40mg pantoprazole) for a month.But it just didn't feel right taking a pill like that everyday,so I just stopped cold turkey tbh.I had rebound(burning throat) for a day and I was back to normal the next day.
So far,I've done HH exercises for 3 days,and I feel better than I did in a long time.
First day-Nothing ofc
Second-Was able to eat a burger meal(Haven't had a burger in a year),spicy chips,and a bunch of chewy candy.Didnt have any burning of the throat even as I was laying down all day due to a cold.And when I did finally have burning throat symptoms,it was hours later and super minimal compared to what it's usually like.
Third-So far I ate a sausage in a bun.I ate this 5 days ago and after every swallow,I would feel a annoying pressure under my rib cage.It made it hard to finish the rest.This time tho?It felt like the food was going down for once.Nothing felt stuck and I was able to eat without stopping and waiting for food to go down.I still have gas stuck in my lower back tho.Or whatever that feeling is lol.
Idk how long this relief will last,but im going to do it everyday to see if anything changes.
Also,CALL ME CRAZY BUT....I've been sneezing all week and it feels like the sneezing helps push my hernia down lmfao.
The exercises i did we're the ones I seen posted on this sub.The one where you jump down on your heels after drinking hot water and the self adjustment one.I don't do them once a day tho,probably twice a day.</t>
        </is>
      </c>
      <c r="D1151" t="n">
        <v>1</v>
      </c>
      <c r="E1151" t="n">
        <v>0</v>
      </c>
      <c r="F1151">
        <f>HYPERLINK("https://www.reddit.com/r/GERD/comments/bm75e9/hiatal_hernia_exercises_are_slowly_making_me_feel/")</f>
        <v/>
      </c>
      <c r="G1151" t="inlineStr">
        <is>
          <t>2019-05-08 09:11:21</t>
        </is>
      </c>
      <c r="H1151" t="inlineStr"/>
    </row>
    <row r="1152">
      <c r="A1152" t="inlineStr">
        <is>
          <t>bm779n</t>
        </is>
      </c>
      <c r="B1152" t="inlineStr">
        <is>
          <t>GERD is better but still have the sour/werd taste in the back of my throat.</t>
        </is>
      </c>
      <c r="C1152" t="inlineStr">
        <is>
          <t>GERD got better after doing hiatal hernia exercises. Doc tested for yeast and everything else. All came back OK. Anyone else deal with the weird sour taste? (not burning)</t>
        </is>
      </c>
      <c r="D1152" t="n">
        <v>1</v>
      </c>
      <c r="E1152" t="n">
        <v>4</v>
      </c>
      <c r="F1152">
        <f>HYPERLINK("https://www.reddit.com/r/GERD/comments/bm779n/gerd_is_better_but_still_have_the_sourwerd_taste/")</f>
        <v/>
      </c>
      <c r="G1152" t="inlineStr">
        <is>
          <t>2019-05-08 09:15:37</t>
        </is>
      </c>
      <c r="H1152" t="inlineStr"/>
    </row>
    <row r="1153">
      <c r="A1153" t="inlineStr">
        <is>
          <t>bm88w4</t>
        </is>
      </c>
      <c r="B1153" t="inlineStr">
        <is>
          <t>Just had my first successful gastroscopy</t>
        </is>
      </c>
      <c r="C1153" t="inlineStr">
        <is>
          <t>I have been suffering from stomach problems for 2-3 years and could find a cause, doctors just perscribes PPI/H2 blockers without proper testing until I met a very competent doctor who told me It's probably gastritis since my vitamin b-12 level was extremely low, so he booked gastroscopy for me.
The first gastroscopy I took to diagnose my stomach issue didn't go well cause the anaesthetic spray wasn't working for me and I was extremely anxious, plus I was gagging like crazy. So after 3 tries the doctors gave up and booked another time for me with general anaesthesia.
And I just had it about 2 hours ago, they looked all the way from esophagus down to  duodenum and found out nothing except my stomach was pale white...  They took biopsy and thought it could be pernicious anemia, but I am only 22...
The symptoms I have with H2 blocker/PPI treatment was nausous after eating/sometimes heartburn/lots of thick saliva/and burping with liquids
Symptoms after I stopped using h2blocker/ppi but started taking concentrated b-12 was Heartburn/lots of thick saliva
&amp;amp;#x200B;
Anyone has similar experience?  What could cause the inside of the stomach to look pale??</t>
        </is>
      </c>
      <c r="D1153" t="n">
        <v>6</v>
      </c>
      <c r="E1153" t="n">
        <v>2</v>
      </c>
      <c r="F1153">
        <f>HYPERLINK("https://www.reddit.com/r/GERD/comments/bm88w4/just_had_my_first_successful_gastroscopy/")</f>
        <v/>
      </c>
      <c r="G1153" t="inlineStr">
        <is>
          <t>2019-05-08 10:39:23</t>
        </is>
      </c>
      <c r="H1153" t="inlineStr"/>
    </row>
    <row r="1154">
      <c r="A1154" t="inlineStr">
        <is>
          <t>bma0tn</t>
        </is>
      </c>
      <c r="B1154" t="inlineStr">
        <is>
          <t>Have Been Suffering From GERD For 10 Years</t>
        </is>
      </c>
      <c r="C1154" t="inlineStr">
        <is>
          <t>I've been suffering from GERD since I was around 12, which, coincidentally was when I was diagnosed with an anxiety disorder as well. I'm about to be 22 now and I'm really sick of feeling this way. No matter what I eat I seem to always have symptoms, though certain foods do worsen it. I don't know what it's like to have a normal stomach since mine is always upset in some way. It's really exhausting to me. Last night I stood up until 7 AM because I was so worried about vomiting due to this condition (hunger happens to make it flare up and I was very hungry), and that's the last thing I need since something like that can hurt me greatly (on top of that I have a phobia related to that, so I think the GERD and anxiety make it worse).   
I'm at a loss of what to do. It seems everything I read mentions Barrett's Esophagus, or that I'm gonna develop a smoker's voice, or even worse, cancer. My family thinks it's all in my head and even the doctors think nothing is wrong with me despite never being examined more throughly.  
I have other symptoms such as constant fluctuation between diarrhea and constipation, hiccups, nausea, and of course heartburn. Symptoms worsen when I'm close to menstruation and it's even somewhat common for me to have cramps a week before and some time after my period. I do recall an incident where I randomly spotted at school years ago, which freaked me out since I was not close enough to having it, and it wasn't after spotting from having gotten over it recently either. My BMI is considered underweight and has been for years, and no matter what I do I'm stuck being under 100 lbs due to family genes.  
My mother wouldn't believe me when I told her I'd get diarrhea and an increase in stomach-related issues around and on my period.  
What annoys me is that immunity wise I rarely ever get sick but with this condition making me feel unwell so often it kinda defeats the purpose. :/ I mean I'm glad I have a good immune system so I don't get sick a lot on top of this but t's like we've all gotta have something wrong.  
Any advice please?</t>
        </is>
      </c>
      <c r="D1154" t="n">
        <v>7</v>
      </c>
      <c r="E1154" t="n">
        <v>14</v>
      </c>
      <c r="F1154">
        <f>HYPERLINK("https://www.reddit.com/r/GERD/comments/bma0tn/have_been_suffering_from_gerd_for_10_years/")</f>
        <v/>
      </c>
      <c r="G1154" t="inlineStr">
        <is>
          <t>2019-05-08 13:02:16</t>
        </is>
      </c>
      <c r="H1154" t="inlineStr"/>
    </row>
    <row r="1155">
      <c r="A1155" t="inlineStr">
        <is>
          <t>bmbtem</t>
        </is>
      </c>
      <c r="B1155" t="inlineStr">
        <is>
          <t>Does anyone alternate PPIs and H2 blockers on a regular basis?</t>
        </is>
      </c>
      <c r="C1155" t="inlineStr">
        <is>
          <t>I just started Dexilant, and it’s working better than any other PPI so far. However, I’ve noticed some fleeting gas bloat and mild constipation. Pretty signature PPI sides that I recognize from taking them many times over the years.
Would doing every other day PPI with Zantac on the off days make sense? Thus blunting the PPI sides and avoiding Zantac tachyphylaxis?</t>
        </is>
      </c>
      <c r="D1155" t="n">
        <v>6</v>
      </c>
      <c r="E1155" t="n">
        <v>7</v>
      </c>
      <c r="F1155">
        <f>HYPERLINK("https://www.reddit.com/r/GERD/comments/bmbtem/does_anyone_alternate_ppis_and_h2_blockers_on_a/")</f>
        <v/>
      </c>
      <c r="G1155" t="inlineStr">
        <is>
          <t>2019-05-08 15:28:44</t>
        </is>
      </c>
      <c r="H1155" t="inlineStr"/>
    </row>
    <row r="1156">
      <c r="A1156" t="inlineStr">
        <is>
          <t>bme7b9</t>
        </is>
      </c>
      <c r="B1156" t="inlineStr">
        <is>
          <t>Can breathing problems be due to GERD?</t>
        </is>
      </c>
      <c r="C1156" t="inlineStr">
        <is>
          <t>So I've been taking esomeprazole for over a week already plus change in diet and head elevation when sleeping. However, I still had breathing problems. My psychiatrist last year told me that this is due to anxiety. But with me recently discovering that I probably have GERD, I thought this its due to GERD. I found the esomeprazole effective to an extent since the food regurgitation and the burping has lessen. I'm thinking whether the breathing could be due to anxiety or GERD?
&amp;amp;#x200B;
I read many people here have GERD and anxiety at the same time so I find it relevant to ask it here. Also, can breathing problems feels so real but it's just a anxiety attack?
&amp;amp;#x200B;
Thanks a lot!</t>
        </is>
      </c>
      <c r="D1156" t="n">
        <v>11</v>
      </c>
      <c r="E1156" t="n">
        <v>17</v>
      </c>
      <c r="F1156">
        <f>HYPERLINK("https://www.reddit.com/r/GERD/comments/bme7b9/can_breathing_problems_be_due_to_gerd/")</f>
        <v/>
      </c>
      <c r="G1156" t="inlineStr">
        <is>
          <t>2019-05-08 19:14:42</t>
        </is>
      </c>
      <c r="H1156" t="inlineStr"/>
    </row>
    <row r="1157">
      <c r="A1157" t="inlineStr">
        <is>
          <t>bmez96</t>
        </is>
      </c>
      <c r="B1157" t="inlineStr">
        <is>
          <t>PPIs might not be as dangerous as advertised</t>
        </is>
      </c>
      <c r="C1157" t="inlineStr">
        <is>
          <t>Take a look at this article if you’re worried about taking PPIs. It might not be as bad as advertised. 
https://www.aboutgerd.org/medications/proton-pump-inhibitors-ppis.html</t>
        </is>
      </c>
      <c r="D1157" t="n">
        <v>2</v>
      </c>
      <c r="E1157" t="n">
        <v>3</v>
      </c>
      <c r="F1157">
        <f>HYPERLINK("https://www.reddit.com/r/GERD/comments/bmez96/ppis_might_not_be_as_dangerous_as_advertised/")</f>
        <v/>
      </c>
      <c r="G1157" t="inlineStr">
        <is>
          <t>2019-05-08 20:34:12</t>
        </is>
      </c>
      <c r="H1157" t="inlineStr"/>
    </row>
    <row r="1158">
      <c r="A1158" t="inlineStr">
        <is>
          <t>bmgptw</t>
        </is>
      </c>
      <c r="B1158" t="inlineStr">
        <is>
          <t>Morning Nausea and Reflux since months</t>
        </is>
      </c>
      <c r="C1158" t="inlineStr">
        <is>
          <t>I'm a 40 years old 180 cm / 70 kg male and suffering from morning nausea and reflux since months. I've had symtoms many years ago but those were easily solved with the right diet. 
It all began with eating just once a spicey saussage. A few hours later it started. As a sidenote I was doing keto since two months but I had no problems until that saussage. But since then I can't eat anything fatty because that makes it even worse altough I have all the symptoms even if I eat whole carbs or just veggies.
I had an endoscopy last week and everything seemed normal ecxept I had an excessive ammount of gastric juices on an empty stomach. 
The doc gave me a PPI but I can't take it as I also have tinnitus and it's making it much worse.
I need to get back to keto because it was silencing it week by week as I tried it.
But first I need to fix my stomach to be able to eat fat again.
I read a lot about trying to take HCL as GERD is caused mostly from low stomach acid. 
Shall I even try this ? I mean during endoscopy I had a lot of gastric juice already with an empty stomach. Altough this is not necessery acid AFAIK. 
What do you think ? Any ideas to solve my problem ?</t>
        </is>
      </c>
      <c r="D1158" t="n">
        <v>2</v>
      </c>
      <c r="E1158" t="n">
        <v>3</v>
      </c>
      <c r="F1158">
        <f>HYPERLINK("https://www.reddit.com/r/GERD/comments/bmgptw/morning_nausea_and_reflux_since_months/")</f>
        <v/>
      </c>
      <c r="G1158" t="inlineStr">
        <is>
          <t>2019-05-09 00:25:30</t>
        </is>
      </c>
      <c r="H1158" t="inlineStr"/>
    </row>
    <row r="1159">
      <c r="A1159" t="inlineStr">
        <is>
          <t>bmi0lu</t>
        </is>
      </c>
      <c r="B1159" t="inlineStr">
        <is>
          <t>LPR and sleep</t>
        </is>
      </c>
      <c r="C1159" t="inlineStr">
        <is>
          <t>Hi everyone,
Would it be possible that my lpr causes me to be chronically sleep deprived?
I've felt sleep deprived for about 2 years despite having good sleep hygiene and 7.5-8.5 hours a night of sleep. But, during this time I have also had acid reflux, causing me to have physical sleep deprivation symptoms.
Could it be possible that I don't sleep deep enough because of LPR? Or does this sound like bs?</t>
        </is>
      </c>
      <c r="D1159" t="n">
        <v>2</v>
      </c>
      <c r="E1159" t="n">
        <v>14</v>
      </c>
      <c r="F1159">
        <f>HYPERLINK("https://www.reddit.com/r/GERD/comments/bmi0lu/lpr_and_sleep/")</f>
        <v/>
      </c>
      <c r="G1159" t="inlineStr">
        <is>
          <t>2019-05-09 03:21:01</t>
        </is>
      </c>
      <c r="H1159" t="inlineStr"/>
    </row>
    <row r="1160">
      <c r="A1160" t="inlineStr">
        <is>
          <t>bmicq3</t>
        </is>
      </c>
      <c r="B1160" t="inlineStr">
        <is>
          <t>My story - GERD to LPR from PPI acid rebound? Life has gone from great to miserable in just 2 months</t>
        </is>
      </c>
      <c r="C1160" t="inlineStr">
        <is>
          <t>Warning: Long, depressing. Also excuse the mixture of US/UK English.
&amp;amp;#x200B;
Late 30s male. I've was on a Pantaprozole 40 mg for something like 7 or 8 years after an initial bout of severe heartburn. It managed my heartburn well, except when I bad meals close to bed. It managed it so well in fact that I remained obese (over 300 lbs) for most of the time and was not forced to make any lifestyle changes.  
End of last year though I started losing weight. I changed my diet to a high protein / low carb diet and was doing absolutely fantastically for several months. So well I decided after maybe 50 lbs of weight loss I'd try to stop taking the Pantaprozole. I took it sporadically for a few weeks and eventually stopped as I was not getting any heartburn.
&amp;amp;#x200B;
Then one day, after lunch while exercising, it started. I had a weird tight throat and the feeling of "trapped burps" I needed to force out. This went away after a few hours, but something similar came back a few days later.  
Since I wasn't getting any heartburn, I dismissed the throat as having nothing to do with my previous GERD/GORD.  However I continued to have more trouble with my throat, so I got a referral from GP for an endoscopy.  
It was a two week wait to get the endoscopy, and were two of the worst weeks of my life, going into what have now been the worst almost two months of my life. During this time I started taking the PPI again thinking maybe the symptoms were related to coming off it. I also went back to a more vanilla low fat, moderate lean protein/carb diet.  
A few days in, I got the most incredible stomach pain, followed by the worst heartburn I'd ever had, plus reflux and all kinds of unpleasant sensations in my throat. Swallowing was difficult. I was burping from everything, even a drink of water. I tried to take a chewable antacid and I could almost feel every little fragment of it going down my throat and oesophagus.
&amp;amp;#x200B;
Around this time, the stress from worrying what was wrong with me plus the physical symptoms gave me extremely bad insomina. The worst I've ever had. I had multiple visits to the doctor, even to the emergency room during this time.
&amp;amp;#x200B;
So I finally had the endoscopy, and the findings were antral gastritis with erosions, a weak/patulous LES/LOS. No barrets/hiatal hernia. No H. Pylori. The post consult was very brief, nothing really to explain my throat / swallowing problems. I was put on Nexium 40 mg for the gastritis, with the plan to be on it for 6-8 weeks and then slowly wean off it.  
Following week, still unable to sleep, was put on an anti-depressant to help with sleep/anxiety (didn't help). GP also gave me ranitidine to take at night in addition to the morning PPI. Stomach pain settled somewhat but still lots of slow/indigestion, feeling that my gastric contents are backed up to my throat (swallowing even water feels like it has to "push" things down). Trying to follow an alkaline diet - fruit, lean chicken, chicken broth, no dairy (using almond milk instead for now). Very bland and very small portions.  
It's now been about 3 weeks and although my stomach has improved a little more (still can only eat very little, and still feeling of fullness constantly) but my throat has continued to get worse and I am still sorely sleep deprived. The second anti-depressant I tried seemed to help with the sleep a bit, but the best I've achieved has been 4 or so 1-1.5 hour "blocks" of sleep over a 9 hour period. Throat feels swollen all the time (at the back, I think it's the larynx), inflamed, and strange sensations, strange tastes in mouth, what I can only describe of as bursts/drips of acidity in my ears. Feel like there are secretions into the back of my mouth, but it could just be saliva production. Still lots of burping after meals or drinking anything. The lymph nodes under my chin are constantly swollen and sore. I can calm for a bit with warm tea but it just comes back. So as of today, at my request, trying a twice daily PPI (had to go back to Pantaprozole because for some reason, twice daily 40mg esomeprazole cannot be prescribed here).
&amp;amp;#x200B;
Things I know I did wrong:
&amp;amp;#x200B;
Coming off the PPI abruptly and too early (I am still a fair bit overweight).   
Some poor diet choices. I was eating a very acidic diet, mostly meat/dairy with non-starchy vegetables. Having a strong milk based coffee with no other food for "breakfast" often.
Was also often exercising after eating, as it's the only place I could fit it in.
&amp;amp;#x200B;
Long story short, I'm in near constant pain, terrified, sleepless and have no idea what's wrong with me or what will fix it.  There are a paucity of ENT specialists where I live and they all have massive waiting lists. Even if I manage to see one soon, I wouldn't be surprised if they'd never heard of LPR. I'm sleeping elevated on pillows (although haven't got a proper wedge yet) and eating very small meals trying to adhere to an alkaline diet.  
My desperate hope is that the acid in my throat/ears is respirated up from my burping, and that the burping is caused by the gastritis, not the GERD (I never had the burping before). Or that the gastritis is causing greater stomach pressure forcing more reflux out and to the top of my esophagus, and that this will abate when it has healed.
&amp;amp;#x200B;
My fear is that some combination of things I've done has further weakened my LES or damaged my UES as well and this is not going to get better. Since I'm already doing most of the lifestyle modifications suggested for LPR (small non-acidic meals, no meals close to bedtime, elevating head) it is, at least so far, not helping at all. Situation continues to get worse, not helped of course by the cyclical nature of poor sleep.  
So my questions:  
Has anyone else had normal heartburn GERD/GORD that "morphed" into LPR/LRD or any similar experiences?  
If this is the result of acid hypersecretion, how long will that last?  
Can a particular PPI stop working if you go off it for a while? (seems counter intuitive, if you never developed a resistance while on it).</t>
        </is>
      </c>
      <c r="D1160" t="n">
        <v>8</v>
      </c>
      <c r="E1160" t="n">
        <v>11</v>
      </c>
      <c r="F1160">
        <f>HYPERLINK("https://www.reddit.com/r/GERD/comments/bmicq3/my_story_gerd_to_lpr_from_ppi_acid_rebound_life/")</f>
        <v/>
      </c>
      <c r="G1160" t="inlineStr">
        <is>
          <t>2019-05-09 04:00:31</t>
        </is>
      </c>
      <c r="H1160" t="inlineStr"/>
    </row>
    <row r="1161">
      <c r="A1161" t="inlineStr">
        <is>
          <t>bmkg6i</t>
        </is>
      </c>
      <c r="B1161" t="inlineStr">
        <is>
          <t>Success Stories - Weight loss? Surgery?</t>
        </is>
      </c>
      <c r="C1161" t="inlineStr">
        <is>
          <t>I have GERD and was told the best and perhaps only way to treat my specific case is to have an operation that restricts the opening of the Lower Esophageal Sphincter so that acid cannot travel upwards as easily. I'm wondering if anyone has success stories about weight loss, surgery etc.</t>
        </is>
      </c>
      <c r="D1161" t="n">
        <v>3</v>
      </c>
      <c r="E1161" t="n">
        <v>0</v>
      </c>
      <c r="F1161">
        <f>HYPERLINK("https://www.reddit.com/r/GERD/comments/bmkg6i/success_stories_weight_loss_surgery/")</f>
        <v/>
      </c>
      <c r="G1161" t="inlineStr">
        <is>
          <t>2019-05-09 07:25:40</t>
        </is>
      </c>
      <c r="H1161" t="inlineStr"/>
    </row>
    <row r="1162">
      <c r="A1162" t="inlineStr">
        <is>
          <t>bmkgt5</t>
        </is>
      </c>
      <c r="B1162" t="inlineStr">
        <is>
          <t>Cyclic Vomiting Syndrome or GERD? Please help</t>
        </is>
      </c>
      <c r="C1162" t="inlineStr">
        <is>
          <t>So recently my mother has been diagnosed with GERD and I have many concerns so I've come to Reddit because I have found that people's experiences tend to provide me with more useful information than what google does. My mother has been out of work and sick for almost 3 years now, no doctors can provide us with answers. They originally claimed she had something called CVS (cyclic vomiting syndrome) which is pretty much just a "catch all" when someone throws up chronically. Over the years the constant vomiting has gotten worse. She now only goes a few days a week not vomiting if she's lucky. After this long her stomach, esophagus, and throat are very messed up. Recently they did some new tests and said she probably never had CVS but GERD and are planning on doing fundoplication surgery. I am very concerned because I'm afraid that if they do this surgery she will no longer have the ability to throw up and be in constant horrible pain that will eventually lead to death. She has been on deaths doorstep for the past 3 years already. If GERD is not what was causing her vomiting in the first place then this could be the case. I'm desperate for help and if anyone has any similar stories or experiences or even a better subreddit to post this to please let me know.</t>
        </is>
      </c>
      <c r="D1162" t="n">
        <v>2</v>
      </c>
      <c r="E1162" t="n">
        <v>12</v>
      </c>
      <c r="F1162">
        <f>HYPERLINK("https://www.reddit.com/r/GERD/comments/bmkgt5/cyclic_vomiting_syndrome_or_gerd_please_help/")</f>
        <v/>
      </c>
      <c r="G1162" t="inlineStr">
        <is>
          <t>2019-05-09 07:27:20</t>
        </is>
      </c>
      <c r="H1162" t="inlineStr"/>
    </row>
    <row r="1163">
      <c r="A1163" t="inlineStr">
        <is>
          <t>bmmpku</t>
        </is>
      </c>
      <c r="B1163" t="inlineStr">
        <is>
          <t>Table salt: A trigger I can't afford to avoid</t>
        </is>
      </c>
      <c r="C1163" t="inlineStr">
        <is>
          <t>Table salt is a huge trigger (besides others) for me, when it comes to LPR and Gastritis flare ups. As soon as I stop adding table salt to my otherwise blend and naturally meals, the symptoms of the LPR improves every day.
Today for example I ate cooked millet mixed with cooked red kuri squash. Nothing else in the meal. Once with a really small portion of added table salt and once without. For the next few hours after the salted meal, my throat started burning more. For the next few hours after the unsalted meal, my throat started burning less. The size of the unsalted meal was even bigger, than the size of the salted meal. In general I can eat bigger portions of food, before I start getting stomach ache from the gastritis, if there is no added table salt, compared to a same sized meal with a very small amount of added table salt.
The table salt I use is unrefined, naturally, pink rock salt.
My problem: As soon as I start not using table salt, I'm getting fatigue, weak, tired, dizzy (especially after standing up), brain fog, wake up at night and so on. I feel very sick. This happens even if I stick to lower doses of table salt and it starts already after one or two days.
I'm very skinny in general. Now even more so, because of the gastritis and LPR and I also tend to have low blood pressure.
Anyone here who has an idea how to deal with that? Are even small amounts of table salt triggers for someone else in here?</t>
        </is>
      </c>
      <c r="D1163" t="n">
        <v>3</v>
      </c>
      <c r="E1163" t="n">
        <v>6</v>
      </c>
      <c r="F1163">
        <f>HYPERLINK("https://www.reddit.com/r/GERD/comments/bmmpku/table_salt_a_trigger_i_cant_afford_to_avoid/")</f>
        <v/>
      </c>
      <c r="G1163" t="inlineStr">
        <is>
          <t>2019-05-09 10:37:28</t>
        </is>
      </c>
      <c r="H1163" t="inlineStr"/>
    </row>
    <row r="1164">
      <c r="A1164" t="inlineStr">
        <is>
          <t>bmmqiw</t>
        </is>
      </c>
      <c r="B1164" t="inlineStr">
        <is>
          <t>Throat tightness on one side?</t>
        </is>
      </c>
      <c r="C1164" t="inlineStr">
        <is>
          <t>Does anyone here experience extreme throat tightness on one side only?
I occasionaly have an overall 'choking' feeling, but 99.9% of the time my right neck/throat is tight, when the left side is fine..
so confused..</t>
        </is>
      </c>
      <c r="D1164" t="n">
        <v>8</v>
      </c>
      <c r="E1164" t="n">
        <v>9</v>
      </c>
      <c r="F1164">
        <f>HYPERLINK("https://www.reddit.com/r/GERD/comments/bmmqiw/throat_tightness_on_one_side/")</f>
        <v/>
      </c>
      <c r="G1164" t="inlineStr">
        <is>
          <t>2019-05-09 10:39:38</t>
        </is>
      </c>
      <c r="H1164" t="inlineStr"/>
    </row>
    <row r="1165">
      <c r="A1165" t="inlineStr">
        <is>
          <t>bmp1jm</t>
        </is>
      </c>
      <c r="B1165" t="inlineStr">
        <is>
          <t>Quitting PPI's</t>
        </is>
      </c>
      <c r="C1165" t="inlineStr">
        <is>
          <t>Looking to get feedback on other people who have quit or tried quitting PPI's.
&amp;amp;#x200B;
I have been on Omeprazole for about 8 months for, what I'm told, is GERD. I've had scopes and tests done and have gotten second opinions and no one can seem to find anything wrong (no hernia, not overweight, non-smoker, no other issues.)
&amp;amp;#x200B;
I am on day 7 of stopping my daily Omeprazole and it is hell. I have been taking Zantac twice per day which helps a bit but not much. I have been experience burning in my chest, cold sweats, and occasional nausea symptoms. It feels like my body is craving it. How long do these symptoms last and will they ever go away?</t>
        </is>
      </c>
      <c r="D1165" t="n">
        <v>6</v>
      </c>
      <c r="E1165" t="n">
        <v>19</v>
      </c>
      <c r="F1165">
        <f>HYPERLINK("https://www.reddit.com/r/GERD/comments/bmp1jm/quitting_ppis/")</f>
        <v/>
      </c>
      <c r="G1165" t="inlineStr">
        <is>
          <t>2019-05-09 13:46:32</t>
        </is>
      </c>
      <c r="H1165" t="inlineStr"/>
    </row>
    <row r="1166">
      <c r="A1166" t="inlineStr">
        <is>
          <t>bmp4pt</t>
        </is>
      </c>
      <c r="B1166" t="inlineStr">
        <is>
          <t>Can gerd permanently effect the way you swallow? I've had trouble swallowing for almost a year now I do have almost constant gerd and the one symptom that never seems to go away is trouble swallowing.</t>
        </is>
      </c>
      <c r="C1166" t="inlineStr">
        <is>
          <t>It feels like food gets stuck in my throat or slowly goes down and I usually need to have a glass of water to wash it down. I have yet to choke on anything but it definitely is annoying and causes me constant stress and anxiety. Everybody tells me this is most likely due to gerd but sometimes I have a hard time believing it just because its constant. Anybody else experience this before?</t>
        </is>
      </c>
      <c r="D1166" t="n">
        <v>7</v>
      </c>
      <c r="E1166" t="n">
        <v>22</v>
      </c>
      <c r="F1166">
        <f>HYPERLINK("https://www.reddit.com/r/GERD/comments/bmp4pt/can_gerd_permanently_effect_the_way_you_swallow/")</f>
        <v/>
      </c>
      <c r="G1166" t="inlineStr">
        <is>
          <t>2019-05-09 13:53:24</t>
        </is>
      </c>
      <c r="H1166" t="inlineStr"/>
    </row>
    <row r="1167">
      <c r="A1167" t="inlineStr">
        <is>
          <t>bmyah7</t>
        </is>
      </c>
      <c r="B1167" t="inlineStr">
        <is>
          <t>Constant cough with heartburn the worst at night. Anything else I can do?</t>
        </is>
      </c>
      <c r="C1167" t="inlineStr">
        <is>
          <t>I'm working on a lifestyle change, workout every day and eating healthier. Seems to get really bad after eating dinner. I take nexium in the morning with two teaspoons of Galviscon. At night I take two Ranitidine along with two teaspoons of Galviscon. 
&amp;amp;#x200B;
Would it be possible to take the Nexium at night, and Ranitidine in the morning? Nixium does help me through the day, I just notice it worse at night.</t>
        </is>
      </c>
      <c r="D1167" t="n">
        <v>4</v>
      </c>
      <c r="E1167" t="n">
        <v>1</v>
      </c>
      <c r="F1167">
        <f>HYPERLINK("https://www.reddit.com/r/GERD/comments/bmyah7/constant_cough_with_heartburn_the_worst_at_night/")</f>
        <v/>
      </c>
      <c r="G1167" t="inlineStr">
        <is>
          <t>2019-05-10 06:27:43</t>
        </is>
      </c>
      <c r="H1167" t="inlineStr"/>
    </row>
    <row r="1168">
      <c r="A1168" t="inlineStr">
        <is>
          <t>bmybb4</t>
        </is>
      </c>
      <c r="B1168" t="inlineStr">
        <is>
          <t>GERD Question</t>
        </is>
      </c>
      <c r="C1168" t="inlineStr">
        <is>
          <t>Doctor did a barium swallow on me, didn't find any hernias or blockage. Just a lot of acid (which makes sense, I've had awful heartburn for years). Told me to try Prilosec (2x a day for the OTC). Well now instead of the burn/acid in my throat and chest on fire feeling I get just this pressure feeling. Kind of hard to explain. But it's kind of like a pressure where the heartburn used to be. Like I still kind of feel the chunky food feeling in there, but instead of burning it's just a pressure feeling that's very uncomfortable. Is this still signs of GERD? Has this happened to anyone? Or am I just crazy now lol.
&amp;amp;#x200B;
What were your symptoms? And what was treatment like for you?
&amp;amp;#x200B;
I know, make an appointment with my doctor. I am. It's just always a fun time getting into the GI. So I figure I'd check here first to see if this is a thing.</t>
        </is>
      </c>
      <c r="D1168" t="n">
        <v>6</v>
      </c>
      <c r="E1168" t="n">
        <v>17</v>
      </c>
      <c r="F1168">
        <f>HYPERLINK("https://www.reddit.com/r/GERD/comments/bmybb4/gerd_question/")</f>
        <v/>
      </c>
      <c r="G1168" t="inlineStr">
        <is>
          <t>2019-05-10 06:29:55</t>
        </is>
      </c>
      <c r="H1168" t="inlineStr"/>
    </row>
    <row r="1169">
      <c r="A1169" t="inlineStr">
        <is>
          <t>bmyiho</t>
        </is>
      </c>
      <c r="B1169" t="inlineStr">
        <is>
          <t>Would FaceFormer do the same job as IQoro?</t>
        </is>
      </c>
      <c r="C1169" t="inlineStr">
        <is>
          <t>The faceformer on Amazon is only £26 compared to Iqoro at £145, has anyone used this and had good results?</t>
        </is>
      </c>
      <c r="D1169" t="n">
        <v>5</v>
      </c>
      <c r="E1169" t="n">
        <v>7</v>
      </c>
      <c r="F1169">
        <f>HYPERLINK("https://www.reddit.com/r/GERD/comments/bmyiho/would_faceformer_do_the_same_job_as_iqoro/")</f>
        <v/>
      </c>
      <c r="G1169" t="inlineStr">
        <is>
          <t>2019-05-10 06:48:24</t>
        </is>
      </c>
      <c r="H1169" t="inlineStr"/>
    </row>
    <row r="1170">
      <c r="A1170" t="inlineStr">
        <is>
          <t>bmyw4h</t>
        </is>
      </c>
      <c r="B1170" t="inlineStr">
        <is>
          <t>For those of you with LPR, this study may be of interest</t>
        </is>
      </c>
      <c r="C1170" t="inlineStr">
        <is>
          <t>[https://www.ncbi.nlm.nih.gov/pmc/articles/PMC3807765/#bibr24-2040622313503485](https://www.ncbi.nlm.nih.gov/pmc/articles/PMC3807765/#bibr24-2040622313503485)
&amp;amp;#x200B;
What stands out to be is the diaphragm exercises increasing LES pressure</t>
        </is>
      </c>
      <c r="D1170" t="n">
        <v>9</v>
      </c>
      <c r="E1170" t="n">
        <v>5</v>
      </c>
      <c r="F1170">
        <f>HYPERLINK("https://www.reddit.com/r/GERD/comments/bmyw4h/for_those_of_you_with_lpr_this_study_may_be_of/")</f>
        <v/>
      </c>
      <c r="G1170" t="inlineStr">
        <is>
          <t>2019-05-10 07:22:12</t>
        </is>
      </c>
      <c r="H1170" t="inlineStr"/>
    </row>
    <row r="1171">
      <c r="A1171" t="inlineStr">
        <is>
          <t>bn03tt</t>
        </is>
      </c>
      <c r="B1171" t="inlineStr">
        <is>
          <t>Anyone taking rabeprazole here?</t>
        </is>
      </c>
      <c r="C1171" t="inlineStr">
        <is>
          <t>I haven't really seen anyone talk about this PPI, sandoz rabeprazole, AKA Pariet. Anyone taking it? It's supposedly a milder ppi.</t>
        </is>
      </c>
      <c r="D1171" t="n">
        <v>3</v>
      </c>
      <c r="E1171" t="n">
        <v>2</v>
      </c>
      <c r="F1171">
        <f>HYPERLINK("https://www.reddit.com/r/GERD/comments/bn03tt/anyone_taking_rabeprazole_here/")</f>
        <v/>
      </c>
      <c r="G1171" t="inlineStr">
        <is>
          <t>2019-05-10 09:04:50</t>
        </is>
      </c>
      <c r="H1171" t="inlineStr"/>
    </row>
    <row r="1172">
      <c r="A1172" t="inlineStr">
        <is>
          <t>bn0jik</t>
        </is>
      </c>
      <c r="B1172" t="inlineStr">
        <is>
          <t>Gaviscon Advance (UK) plus PPI (research)</t>
        </is>
      </c>
      <c r="C1172" t="inlineStr">
        <is>
          <t>Nice 2016 study looking at addition of Gaviscon Advance  (UK version) to PPIs vs. placebo:
https://www.researchgate.net/publication/295863180\_Randomised\_clinical\_trial\_Alginate\_Gaviscon\_Advance\_vs\_placebo\_as\_add-on\_therapy\_in\_reflux\_patients\_with\_inadequate\_response\_to\_a\_once\_daily\_proton\_pump\_inhibitor</t>
        </is>
      </c>
      <c r="D1172" t="n">
        <v>2</v>
      </c>
      <c r="E1172" t="n">
        <v>1</v>
      </c>
      <c r="F1172">
        <f>HYPERLINK("https://www.reddit.com/r/GERD/comments/bn0jik/gaviscon_advance_uk_plus_ppi_research/")</f>
        <v/>
      </c>
      <c r="G1172" t="inlineStr">
        <is>
          <t>2019-05-10 09:41:22</t>
        </is>
      </c>
      <c r="H1172" t="inlineStr"/>
    </row>
    <row r="1173">
      <c r="A1173" t="inlineStr">
        <is>
          <t>bn5705</t>
        </is>
      </c>
      <c r="B1173" t="inlineStr">
        <is>
          <t>Is there a way to get off the pill?</t>
        </is>
      </c>
      <c r="C1173" t="inlineStr">
        <is>
          <t>I've been suffering for about 2 years from Gerd - ear pain, sore throat, lump feeling, heartburn etc and I was reluctant to try medications. A few months ago I decided to give it a go and started taking double doses of lansoprazole (2x30mg). It worked like a miracle and I felt great, but now that I'm trying to get off it - reduced to once a day and then once every two days - I'm getting symptoms again.
Am I supposed to keep taking the pill forever? How can I keep the effect without the pills? And what are the risks by sticking to it?
Thanks everyone</t>
        </is>
      </c>
      <c r="D1173" t="n">
        <v>8</v>
      </c>
      <c r="E1173" t="n">
        <v>7</v>
      </c>
      <c r="F1173">
        <f>HYPERLINK("https://www.reddit.com/r/GERD/comments/bn5705/is_there_a_way_to_get_off_the_pill/")</f>
        <v/>
      </c>
      <c r="G1173" t="inlineStr">
        <is>
          <t>2019-05-10 16:11:22</t>
        </is>
      </c>
      <c r="H1173" t="inlineStr"/>
    </row>
    <row r="1174">
      <c r="A1174" t="inlineStr">
        <is>
          <t>bn7u9w</t>
        </is>
      </c>
      <c r="B1174" t="inlineStr">
        <is>
          <t>Silent LPR worse than usual lately</t>
        </is>
      </c>
      <c r="C1174" t="inlineStr">
        <is>
          <t>I’m not sure if it’s because I’ve been having a lot of coffee (espresso shots lately) or more “bad/trigger foods” (wheat, ice dream, chocolate/sugar), but these past few days my throat has been itchy and I’ve been coughing a lot more than usual. Im wondering if this is anything serious, maybe even start of an actual sore throat, or if I should just completely cut out problem foods.
Thank you in advance for any insight!</t>
        </is>
      </c>
      <c r="D1174" t="n">
        <v>2</v>
      </c>
      <c r="E1174" t="n">
        <v>12</v>
      </c>
      <c r="F1174">
        <f>HYPERLINK("https://www.reddit.com/r/GERD/comments/bn7u9w/silent_lpr_worse_than_usual_lately/")</f>
        <v/>
      </c>
      <c r="G1174" t="inlineStr">
        <is>
          <t>2019-05-10 21:01:15</t>
        </is>
      </c>
      <c r="H1174" t="inlineStr"/>
    </row>
    <row r="1175">
      <c r="A1175" t="inlineStr">
        <is>
          <t>bneaoq</t>
        </is>
      </c>
      <c r="B1175" t="inlineStr">
        <is>
          <t>Are digestive enzymes safe with reflux?</t>
        </is>
      </c>
      <c r="C1175" t="inlineStr">
        <is>
          <t>I'm especially concerned about protein digesting enzymes and the possibility they will erode my esophagus and mouth. I can actually taste them in my mouth when I have reflux. Some of the enzymes like bromelain are seriously powerful. It is also often suggested that workers in pineapple fields have no fingerprints because the bromelain in the pineapple wears them away.</t>
        </is>
      </c>
      <c r="D1175" t="n">
        <v>9</v>
      </c>
      <c r="E1175" t="n">
        <v>3</v>
      </c>
      <c r="F1175">
        <f>HYPERLINK("https://www.reddit.com/r/GERD/comments/bneaoq/are_digestive_enzymes_safe_with_reflux/")</f>
        <v/>
      </c>
      <c r="G1175" t="inlineStr">
        <is>
          <t>2019-05-11 10:00:43</t>
        </is>
      </c>
      <c r="H1175" t="inlineStr"/>
    </row>
    <row r="1176">
      <c r="A1176" t="inlineStr">
        <is>
          <t>bnhjop</t>
        </is>
      </c>
      <c r="B1176" t="inlineStr">
        <is>
          <t>Does this sound like Reflux or something else?</t>
        </is>
      </c>
      <c r="C1176" t="inlineStr">
        <is>
          <t>Hi everyone, I apologise for the long post but I am having a lot of trouble with doctors taking me seriously and would really appreciate some insight from reflux sufferers. 
Probably over the last couple of months (that I remember) I started getting burping towards end of/after finishing eating and occasional regurgitation that i would have to swallow again typically after eating a slightly bigger but by by no means big meal. I would also occasionally wake up with a bit of a sore throat and have the past couple of months have had trouble with swallowing, whiteish top of tongue with a yellow coating at back that led to me thinking it was a reoccurence of previous oral thrush (I have mild cyclical neutropenia) that led to me being on a weeks worth of nystatin which was followed by a week of a sore, red painful tonsil area before symptoms seemed to return and going on nystatin again for 2 weeks which appeared to slightly alleviate symptoms. Recently it got worse with the burping becoming more frequent after eating and drinking and even hours after eating/drinking, gurgling 'frog' noises in my throat, (burping and gurgling in throat also occurs badly after drinking water.) A couple of weeks ago I suddenly developed a HORRIBLE symptom of the feeling of thick constant mucus in the back of my nose that got worse every day, never abating and often made it hard to breathe. From looking online I wondered if it might be LPR and cut out all the common 'trigger' foods. For the next few days after removing them the mucus symptom persisted before eventually getting gradually better after then though it now makes a reoccurence sporadically. Despite the diet change however (I am also eating less than my already fairly small meals before) the gurgling, infrequent regurgitation burps and burping/inability to actually burp have persisted and I think got worse and I have also started getting a tight choking feeling in throat sporadically that sometimes means I can't lay down on an elevated pillow because my throat feels so closed, swallowing feels wrong somehow and the mucus still comes back sometimes. I have also had a lot of problems with losing weight despite eating LOADS especially in recent months and so now with struggling to eat the bare minimum and so restricted the weight is getting VERY low again. I have no cough, I'm not clearing my throat except occasionally during eating (I both have no desire to and the mucus when it appears in my nose/throat is too high to reach with a cough) I have no heartburn, no hoarseness or soreness. I have also noticed the 'sour' taste at the back of my mouth is better but my mouth still tastes foul and my tongue looks awful. I have also over the last day and today had a period of intense stomach ache/pain behind my belly button. This has occurred several times before in the last year and lasts about two days accompanying intense bloating and all movement hurts nothing alleviates it including passing stools. Does this sound like it could be a form of reflux? I should also note I have had for the past couple of years infrequent stools that alternate mild conspiation/diarrhea, a diagnosis of mild cylical neutropenia, pcos (I haven't had a period in six months) and I recently had bloods back that show that I am badly deficient in vitamin D, and very low in iron and b12 (I had SEVERE iron deficiency anemia only a year and a half ago and my iron is already low again when my diet should be more than adequate.) The doctor I spoke to about it last week was keen just to throw PPIs at me with NO explanation or evaluation. Do you think I should speak to another doctor about this? I have an appointment with my hematologist but it isn't for another month and I feel awful. Many thanks for any advice.</t>
        </is>
      </c>
      <c r="D1176" t="n">
        <v>1</v>
      </c>
      <c r="E1176" t="n">
        <v>8</v>
      </c>
      <c r="F1176">
        <f>HYPERLINK("https://www.reddit.com/r/GERD/comments/bnhjop/does_this_sound_like_reflux_or_something_else/")</f>
        <v/>
      </c>
      <c r="G1176" t="inlineStr">
        <is>
          <t>2019-05-11 14:56:17</t>
        </is>
      </c>
      <c r="H1176" t="inlineStr"/>
    </row>
    <row r="1177">
      <c r="A1177" t="inlineStr">
        <is>
          <t>bni5li</t>
        </is>
      </c>
      <c r="B1177" t="inlineStr">
        <is>
          <t>Dizziness because of not eating much or GERD triggers?</t>
        </is>
      </c>
      <c r="C1177" t="inlineStr">
        <is>
          <t>The last 2 days, I haven’t eaten much at all. What I’ve had these last 2 days is a peanut butter sandwich, espresso, 3 eggs scrambled in olive oil, a date-based protein bar, some dark chocolate, and 3 kiwis.  
I’m feeling very dizzy right now (which I know is a symptom of GERD), like I’m going to fall over. I haven’t been eating very much this past entire week honestly, but in the past when I’d do the same I wouldn’t feel as dizzy and faint. Has anyone ever experienced this or could possibly help me guess what’s going on? Thank you.</t>
        </is>
      </c>
      <c r="D1177" t="n">
        <v>2</v>
      </c>
      <c r="E1177" t="n">
        <v>8</v>
      </c>
      <c r="F1177">
        <f>HYPERLINK("https://www.reddit.com/r/GERD/comments/bni5li/dizziness_because_of_not_eating_much_or_gerd/")</f>
        <v/>
      </c>
      <c r="G1177" t="inlineStr">
        <is>
          <t>2019-05-11 15:55:33</t>
        </is>
      </c>
      <c r="H1177" t="inlineStr"/>
    </row>
    <row r="1178">
      <c r="A1178" t="inlineStr">
        <is>
          <t>bnjlva</t>
        </is>
      </c>
      <c r="B1178" t="inlineStr">
        <is>
          <t>Day 2 without Protonix</t>
        </is>
      </c>
      <c r="C1178" t="inlineStr">
        <is>
          <t>Hi all,
I haven't posted in a while since I had a flare up a few weeks ago. I decided to stop taking Protonix. Too much risks for me to be comfortable plus my husband and I will be trying for a baby later this year. I don't want to take it while pregnant. I read Dr. Koufman's book and she says she usually recommends patients to stop the PPIs and take H2s at every meal and bedtime. I'm using Pepcid. I haven't had any struggles like people on here have mentioned, thankfully. I only started taking Protonix in January so I'm not what I would consider a long time user. I have worked to improve my diet and I definitely do not eat anything the last two hours before bed. This has helped me tremendously. The book helped me so much. I go to see a new doc on the 20th and I'm going to be looking into getting an endoscopy to check up on things. Any questions, comments, criticisms, or suggestions let me know!</t>
        </is>
      </c>
      <c r="D1178" t="n">
        <v>4</v>
      </c>
      <c r="E1178" t="n">
        <v>27</v>
      </c>
      <c r="F1178">
        <f>HYPERLINK("https://www.reddit.com/r/GERD/comments/bnjlva/day_2_without_protonix/")</f>
        <v/>
      </c>
      <c r="G1178" t="inlineStr">
        <is>
          <t>2019-05-11 18:27:11</t>
        </is>
      </c>
      <c r="H1178" t="inlineStr"/>
    </row>
    <row r="1179">
      <c r="A1179" t="inlineStr">
        <is>
          <t>bnkjb9</t>
        </is>
      </c>
      <c r="B1179" t="inlineStr">
        <is>
          <t>Nasal congestion caused by gerd?</t>
        </is>
      </c>
      <c r="C1179" t="inlineStr">
        <is>
          <t>I heard about this somewhere on reddit.  I have both and kinda figured it was the other way around.  How many of yall have both?</t>
        </is>
      </c>
      <c r="D1179" t="n">
        <v>1</v>
      </c>
      <c r="E1179" t="n">
        <v>2</v>
      </c>
      <c r="F1179">
        <f>HYPERLINK("https://www.reddit.com/r/GERD/comments/bnkjb9/nasal_congestion_caused_by_gerd/")</f>
        <v/>
      </c>
      <c r="G1179" t="inlineStr">
        <is>
          <t>2019-05-11 20:07:29</t>
        </is>
      </c>
      <c r="H1179" t="inlineStr"/>
    </row>
    <row r="1180">
      <c r="A1180" t="inlineStr">
        <is>
          <t>bnkygn</t>
        </is>
      </c>
      <c r="B1180" t="inlineStr">
        <is>
          <t>Day one of gaviscon advance</t>
        </is>
      </c>
      <c r="C1180" t="inlineStr">
        <is>
          <t>So I got the tablets to try them out (thanks to this subreddit). I ate wings (not spicy but still fried, a trigger) and popped one in. I’m shocked. I burped.......and that was it. It was just a burp lol. 
But then the next burp has a smidge of acid. Nowhere near as much as usual though. 
3 hours later I started feeling a little bit of the pain but nothing too bad. 
Main complaint is I feel stuffed. Which this could just help me eat less (another issue and trigger of mine). 
So does it get better from here?  I mean this was my first dose ever. Anything I need to look out for with this?</t>
        </is>
      </c>
      <c r="D1180" t="n">
        <v>7</v>
      </c>
      <c r="E1180" t="n">
        <v>12</v>
      </c>
      <c r="F1180">
        <f>HYPERLINK("https://www.reddit.com/r/GERD/comments/bnkygn/day_one_of_gaviscon_advance/")</f>
        <v/>
      </c>
      <c r="G1180" t="inlineStr">
        <is>
          <t>2019-05-11 20:58:31</t>
        </is>
      </c>
      <c r="H1180" t="inlineStr"/>
    </row>
    <row r="1181">
      <c r="A1181" t="inlineStr">
        <is>
          <t>bnm859</t>
        </is>
      </c>
      <c r="B1181" t="inlineStr">
        <is>
          <t>does anyone else have persistent throat problems/cough?</t>
        </is>
      </c>
      <c r="C1181" t="inlineStr">
        <is>
          <t>I recently put on a bunch of weight due to an antidepressant, my anxiety is pretty consistently bad aswell. and I have a history of gastritis/esophagitis due to my reflux. but over the last couple weeks i've been developing an on and off cough, sore throat, and I dont have any symptoms of a cold or any other sickness.</t>
        </is>
      </c>
      <c r="D1181" t="n">
        <v>4</v>
      </c>
      <c r="E1181" t="n">
        <v>2</v>
      </c>
      <c r="F1181">
        <f>HYPERLINK("https://www.reddit.com/r/GERD/comments/bnm859/does_anyone_else_have_persistent_throat/")</f>
        <v/>
      </c>
      <c r="G1181" t="inlineStr">
        <is>
          <t>2019-05-11 23:53:40</t>
        </is>
      </c>
      <c r="H1181" t="inlineStr"/>
    </row>
    <row r="1182">
      <c r="A1182" t="inlineStr">
        <is>
          <t>bnnk9l</t>
        </is>
      </c>
      <c r="B1182" t="inlineStr">
        <is>
          <t>help i don’t know what’s going on</t>
        </is>
      </c>
      <c r="C1182" t="inlineStr">
        <is>
          <t>this doesn’t happen too frequently but when it does i feel like i absolutely am dying. ive had dizzy spells and i have anxiety but this is just so unbearable. this all started about 6 months ago and happens maybe once a month at the moment where i suddenly get such extreme acid reflux i feel like im choking. i get dizzy, cold sweats, shivers, and i drool abnormally. my stomach and throat have the feeling they are going to puke out spicy food. i eat pretty healthy and eat a lot of fruit and vegetables. it rents to happen while im sleeping and i wake up feeling like my insides are constricting. it is so painful and scary and im not sure what it is or what it sounds like.</t>
        </is>
      </c>
      <c r="D1182" t="n">
        <v>1</v>
      </c>
      <c r="E1182" t="n">
        <v>0</v>
      </c>
      <c r="F1182">
        <f>HYPERLINK("https://www.reddit.com/r/GERD/comments/bnnk9l/help_i_dont_know_whats_going_on/")</f>
        <v/>
      </c>
      <c r="G1182" t="inlineStr">
        <is>
          <t>2019-05-12 03:25:10</t>
        </is>
      </c>
      <c r="H1182" t="inlineStr"/>
    </row>
    <row r="1183">
      <c r="A1183" t="inlineStr">
        <is>
          <t>bnow2d</t>
        </is>
      </c>
      <c r="B1183" t="inlineStr">
        <is>
          <t>Will steroid help esophagitis caused by acid reflux?</t>
        </is>
      </c>
      <c r="C1183" t="inlineStr">
        <is>
          <t>Guys I am suffering from esophagitis caused by GERD. I was wondering if steroid would help me get rid of the inflammation caused by acid reflux.</t>
        </is>
      </c>
      <c r="D1183" t="n">
        <v>2</v>
      </c>
      <c r="E1183" t="n">
        <v>4</v>
      </c>
      <c r="F1183">
        <f>HYPERLINK("https://www.reddit.com/r/GERD/comments/bnow2d/will_steroid_help_esophagitis_caused_by_acid/")</f>
        <v/>
      </c>
      <c r="G1183" t="inlineStr">
        <is>
          <t>2019-05-12 06:22:25</t>
        </is>
      </c>
      <c r="H1183" t="inlineStr"/>
    </row>
    <row r="1184">
      <c r="A1184" t="inlineStr">
        <is>
          <t>bnsclz</t>
        </is>
      </c>
      <c r="B1184" t="inlineStr">
        <is>
          <t>Can GERD cause ear pressure and pain?</t>
        </is>
      </c>
      <c r="C1184" t="inlineStr">
        <is>
          <t>I'm in the middle of some GERD (LPR type) issues. I'm waiting on an endoscopy so I'm not 100% sure what the root problem is yet... but among other things, my left ear has had pressure for three days and some shooting pains. My right ear seems to be fine. This has been going on for a week. Could it be from the acid? 
Has anybody had GERD that caused ear problems? 
Thanks.</t>
        </is>
      </c>
      <c r="D1184" t="n">
        <v>3</v>
      </c>
      <c r="E1184" t="n">
        <v>21</v>
      </c>
      <c r="F1184">
        <f>HYPERLINK("https://www.reddit.com/r/GERD/comments/bnsclz/can_gerd_cause_ear_pressure_and_pain/")</f>
        <v/>
      </c>
      <c r="G1184" t="inlineStr">
        <is>
          <t>2019-05-12 11:36:24</t>
        </is>
      </c>
      <c r="H1184" t="inlineStr"/>
    </row>
    <row r="1185">
      <c r="A1185" t="inlineStr">
        <is>
          <t>bnud9a</t>
        </is>
      </c>
      <c r="B1185" t="inlineStr">
        <is>
          <t>Chewing properly helped anyone?</t>
        </is>
      </c>
      <c r="C1185" t="inlineStr">
        <is>
          <t>So, with a vague recall of everything I've read about reflux, chewing is important to increase the surface area of the food so it can be broken down properly, and possibly for our body to release more enzymes as we savor and taste our food. (This is also why preparing food might have some therapeutic effect, you smell it beforehand so your body gets "ready" to consume it).
&amp;amp;#x200B;
I had previously dismissed all these ideas because
1) It takes time for habits to actually have an effect on reflux symptoms, possibly several weeks. So it's hard to see the causation effect for me
2) I often try smoothies or fasting which don't seem to improve symptoms. 
&amp;amp;#x200B;
I saw myself today inhaling my food like I always do, mostly due to habit and discomfort while sitting in an uncomfortable kitchen chair. I had a eureka moment. What if chewing properly actually mattered, and that the reason smoothies didn't work is because they were full of water, ( as we know, you shouldn't drink that much with a meal or you'll cause the food-acid mixture too splash upward).
&amp;amp;#x200B;
Anyway, it's a nice thought that I could fix my problem with a simple solution,gradually tapering off various meds. There's also a co-relation with anxiety and GERD, who knows, maybe it's just that anxious people eat fast.</t>
        </is>
      </c>
      <c r="D1185" t="n">
        <v>8</v>
      </c>
      <c r="E1185" t="n">
        <v>8</v>
      </c>
      <c r="F1185">
        <f>HYPERLINK("https://www.reddit.com/r/GERD/comments/bnud9a/chewing_properly_helped_anyone/")</f>
        <v/>
      </c>
      <c r="G1185" t="inlineStr">
        <is>
          <t>2019-05-12 14:23:13</t>
        </is>
      </c>
      <c r="H1185" t="inlineStr"/>
    </row>
    <row r="1186">
      <c r="A1186" t="inlineStr">
        <is>
          <t>bnx1gg</t>
        </is>
      </c>
      <c r="B1186" t="inlineStr">
        <is>
          <t>Getting out of my system ???</t>
        </is>
      </c>
      <c r="C1186" t="inlineStr">
        <is>
          <t>How long does it take one 20mg Omeprazole to get out of my system completely???</t>
        </is>
      </c>
      <c r="D1186" t="n">
        <v>2</v>
      </c>
      <c r="E1186" t="n">
        <v>6</v>
      </c>
      <c r="F1186">
        <f>HYPERLINK("https://www.reddit.com/r/GERD/comments/bnx1gg/getting_out_of_my_system/")</f>
        <v/>
      </c>
      <c r="G1186" t="inlineStr">
        <is>
          <t>2019-05-12 18:43:57</t>
        </is>
      </c>
      <c r="H1186" t="inlineStr"/>
    </row>
    <row r="1187">
      <c r="A1187" t="inlineStr">
        <is>
          <t>bnypj5</t>
        </is>
      </c>
      <c r="B1187" t="inlineStr">
        <is>
          <t>Pulsating pain in upper left back/thoracic region</t>
        </is>
      </c>
      <c r="C1187" t="inlineStr">
        <is>
          <t>Anyone else have this or experienced it? I feel like it's related to the lump in my throat and GERD, but I can't say why. It's painful, but not tender so I'm worried it could be a more internal issue (rather than muscular). It's almost the same region as pancreas but I don't have abdominal pain. It's almost like heartburn in my back (idk if that makes sense).
For a more specific description of the pain area, it's somewhere between the scapula and the last rib.</t>
        </is>
      </c>
      <c r="D1187" t="n">
        <v>8</v>
      </c>
      <c r="E1187" t="n">
        <v>2</v>
      </c>
      <c r="F1187">
        <f>HYPERLINK("https://www.reddit.com/r/GERD/comments/bnypj5/pulsating_pain_in_upper_left_backthoracic_region/")</f>
        <v/>
      </c>
      <c r="G1187" t="inlineStr">
        <is>
          <t>2019-05-12 21:14:00</t>
        </is>
      </c>
      <c r="H1187" t="inlineStr"/>
    </row>
    <row r="1188">
      <c r="A1188" t="inlineStr">
        <is>
          <t>bo01mi</t>
        </is>
      </c>
      <c r="B1188" t="inlineStr">
        <is>
          <t>On a scale from 1 to 10, how bad is the actual pain in your chest when you have your specific GERD symptoms?</t>
        </is>
      </c>
      <c r="C1188" t="inlineStr">
        <is>
          <t>I’m trying to get a sense of what the actual range of pain experiences are for other GERD sufferers out there, because my new doctor threw me for a loop at my last visit: she thinks I may have a hypersensitive esophagus rather than full on GERD. 
More context: I’m trying yet again to phase out the PPIs, transitioning to ranitidine, so as expected some heartburn has been going on here lately. But I would put the pain in the 2-4 range, usually 2-3, i.e. it clearly bothers me, something is obviously going on, I’d like for it to stop, but it’s not like the house is on fire. If I have a glass of milk it goes away for 30-60 minutes and may not come back until later. 
What is your actual range of pain when you get your specific symptoms? 
Thanks!</t>
        </is>
      </c>
      <c r="D1188" t="n">
        <v>3</v>
      </c>
      <c r="E1188" t="n">
        <v>7</v>
      </c>
      <c r="F1188">
        <f>HYPERLINK("https://www.reddit.com/r/GERD/comments/bo01mi/on_a_scale_from_1_to_10_how_bad_is_the_actual/")</f>
        <v/>
      </c>
      <c r="G1188" t="inlineStr">
        <is>
          <t>2019-05-12 23:46:01</t>
        </is>
      </c>
      <c r="H1188" t="inlineStr"/>
    </row>
    <row r="1189">
      <c r="A1189" t="inlineStr">
        <is>
          <t>bo0y5z</t>
        </is>
      </c>
      <c r="B1189" t="inlineStr">
        <is>
          <t>What to do if acid burns your throat while sleeping?</t>
        </is>
      </c>
      <c r="C1189" t="inlineStr">
        <is>
          <t>I take Tums which helps about 1%.</t>
        </is>
      </c>
      <c r="D1189" t="n">
        <v>8</v>
      </c>
      <c r="E1189" t="n">
        <v>13</v>
      </c>
      <c r="F1189">
        <f>HYPERLINK("https://www.reddit.com/r/GERD/comments/bo0y5z/what_to_do_if_acid_burns_your_throat_while/")</f>
        <v/>
      </c>
      <c r="G1189" t="inlineStr">
        <is>
          <t>2019-05-13 01:45:46</t>
        </is>
      </c>
      <c r="H1189" t="inlineStr"/>
    </row>
    <row r="1190">
      <c r="A1190" t="inlineStr">
        <is>
          <t>bo21se</t>
        </is>
      </c>
      <c r="B1190" t="inlineStr">
        <is>
          <t>gerd/lpr or something else?</t>
        </is>
      </c>
      <c r="C1190" t="inlineStr">
        <is>
          <t>hey everyone, 
&amp;amp;#x200B;
ill try to keep this concise. 30yo male, otherwise healthy and in shape. diet is already pretty restrictive, gluten and dairy free. 
around a month ago i went through 2 major bouts of flu. after i recovered i had some pretty bad phlegm, especially in the morning. i was also using ibuprofen at this time for the first time in my life (i heard nsaids can contribute to gerd?). shortly after i had my first "episode," after eating a seemingly innocuous dinner consisting of salmon, quinoa and some cucumbers. i had the "lump in my throat"/choking feeling for the first time. it went away after a few hours. i had another episode maybe a week later, which also went away shortly. 
fast forward to around a week ago, i had a few back to back nights of binge drinking (not great). i followed that up next day with some fatty potato chips, coke, and copious amounts of chewing gum. almost instantly the feeling of lump in throat came back with a vengeance, and this time it seems to be here to stay. i've experienced it in varying degrees nearly around the clock for the past week. it's sort of a pulsing sensation as well which is super distracting and uncomfortable. also i can seemingly bring it about just by thinking about it, which makes me feel like it's somehow tied with anxiety. the only times it goes away fully is after i fall asleep (easier said than done). when i wake up, i have around 30 mins of being symptom free. also baking soda seems to help for a short while. 
i started belching more, which alleviates the feeling for a few seconds, and at times i get an acidic taste in my mouth. what's interesting though is that i am experiencing zero heartburn, and i can't recall the last time i've had it, which makes me think there's a chance it might not be gerd?
&amp;amp;#x200B;
after reading this article: [https://www.aboutgerd.org/laryngeal-pharyngeal-reflux.html](https://www.aboutgerd.org/laryngeal-pharyngeal-reflux.html) i have a feeling that i might instead have LPR.
"*LPR frequently begins after an upper respiratory illness. However, some of the symptoms seem to linger after the cold or flu is better. The theory is that there is some reflux of stomach acid into the throat, which irritates the already irritated vocal cords. If the acid reflux continues, the damage to the vocal cords will progress.*
*The amount of acid reflux required to cause this is very small. This explains why most of these individuals do not have heartburn.*"
&amp;amp;#x200B;
this seems to describe my situation quite well, although i would appreciate anyone else that could chime in with their thoughts. any advice on how to control the globus sensation is also greatly appreciated. 
&amp;amp;#x200B;
thanks everyone.</t>
        </is>
      </c>
      <c r="D1190" t="n">
        <v>3</v>
      </c>
      <c r="E1190" t="n">
        <v>3</v>
      </c>
      <c r="F1190">
        <f>HYPERLINK("https://www.reddit.com/r/GERD/comments/bo21se/gerdlpr_or_something_else/")</f>
        <v/>
      </c>
      <c r="G1190" t="inlineStr">
        <is>
          <t>2019-05-13 04:04:20</t>
        </is>
      </c>
      <c r="H1190" t="inlineStr"/>
    </row>
    <row r="1191">
      <c r="A1191" t="inlineStr">
        <is>
          <t>bo4iof</t>
        </is>
      </c>
      <c r="B1191" t="inlineStr">
        <is>
          <t>GE diagnosed me with dysphagia, but I don't have trouble swallowing?</t>
        </is>
      </c>
      <c r="C1191" t="inlineStr">
        <is>
          <t>Has anyone else dealt with this? I went to a GE for issues with frequent reflux, chest pain, and a year-long cough.
He diagnosed me with GERD and dysphagia, although I never said anything about issues swallowing, only that I tend to have reflux when I eat or drink anything.
Today, he had me do an esophagram and esophageal manometry. The x-ray technicians seemed to be confused by my symptoms and kept asking me if I've had problems swallowing/eating. 
I plan to ask my doctor about this during the follow-up, but I'm just wondering if I drank a bunch of nasty barium for no good reason :/</t>
        </is>
      </c>
      <c r="D1191" t="n">
        <v>3</v>
      </c>
      <c r="E1191" t="n">
        <v>5</v>
      </c>
      <c r="F1191">
        <f>HYPERLINK("https://www.reddit.com/r/GERD/comments/bo4iof/ge_diagnosed_me_with_dysphagia_but_i_dont_have/")</f>
        <v/>
      </c>
      <c r="G1191" t="inlineStr">
        <is>
          <t>2019-05-13 07:57:40</t>
        </is>
      </c>
      <c r="H1191" t="inlineStr"/>
    </row>
    <row r="1192">
      <c r="A1192" t="inlineStr">
        <is>
          <t>bo55q3</t>
        </is>
      </c>
      <c r="B1192" t="inlineStr">
        <is>
          <t>Woke up with indigestion in upper stomach area. Uncomfortable to stand. Any idea what it could be?</t>
        </is>
      </c>
      <c r="C1192" t="inlineStr">
        <is>
          <t>I felt fine last night and woke up with discomfort in my upper stomach/chest area. It feels like a fullness all down my sternum and somewhat radiates into my back.
I’ve been laying down with a heating pad that seems to help but as soon as I get upright it returns. I took an anti acid but so far it hasn’t helped.
Any idea what it could be? I frequently get bloating/indigestion but nothing like this. I’ve already had 2 bowel movements but they haven’t relieved it.</t>
        </is>
      </c>
      <c r="D1192" t="n">
        <v>2</v>
      </c>
      <c r="E1192" t="n">
        <v>4</v>
      </c>
      <c r="F1192">
        <f>HYPERLINK("https://www.reddit.com/r/GERD/comments/bo55q3/woke_up_with_indigestion_in_upper_stomach_area/")</f>
        <v/>
      </c>
      <c r="G1192" t="inlineStr">
        <is>
          <t>2019-05-13 08:47:07</t>
        </is>
      </c>
      <c r="H1192" t="inlineStr"/>
    </row>
    <row r="1193">
      <c r="A1193" t="inlineStr">
        <is>
          <t>bo5i0t</t>
        </is>
      </c>
      <c r="B1193" t="inlineStr">
        <is>
          <t>Super curious to hear what this sub's experiences are with taking PPI for a couple months to let your insides heal up? Is it effective? Last night was rough and I'm feeling beaten down today.</t>
        </is>
      </c>
      <c r="C1193" t="inlineStr">
        <is>
          <t>I'm looking to jump on some OTC  Omeprazole for a few weeks to try and give my esophagus a chance to heal up. MY primary "active" symptom is nausea basically all day long on and off whether I eat anything or not. I'm already in the process of weeding out known triggers from my diet as well as focusing in on getting tons of greens and things that contain probiotics i.e Sauerkraut, yogurt, various supplements. Would love to hear what people have seen with their use of PPI's for a short time. Any info helps. Thanks so much in advance!</t>
        </is>
      </c>
      <c r="D1193" t="n">
        <v>5</v>
      </c>
      <c r="E1193" t="n">
        <v>21</v>
      </c>
      <c r="F1193">
        <f>HYPERLINK("https://www.reddit.com/r/GERD/comments/bo5i0t/super_curious_to_hear_what_this_subs_experiences/")</f>
        <v/>
      </c>
      <c r="G1193" t="inlineStr">
        <is>
          <t>2019-05-13 09:13:24</t>
        </is>
      </c>
      <c r="H1193" t="inlineStr"/>
    </row>
    <row r="1194">
      <c r="A1194" t="inlineStr">
        <is>
          <t>bo5ys3</t>
        </is>
      </c>
      <c r="B1194" t="inlineStr">
        <is>
          <t>is coughing and vomiting/choking the food you ate normal in your sleep, is it a GERD symptom? i can't stop coughing up and vomiting the food i ate.</t>
        </is>
      </c>
      <c r="C1194" t="inlineStr">
        <is>
          <t>These have only been evident during my diagnosis of pneumonia, and this week a resp tract infection not otherwise specified. Doctor says wait two hours after eating and than sleeep. Will i die from this??  i don't feel heartburn much, sometimes, i used to get gastritis but not anymore but i never had these vomiting up food cough/choke fits in my sleep till i caught pneumonia</t>
        </is>
      </c>
      <c r="D1194" t="n">
        <v>1</v>
      </c>
      <c r="E1194" t="n">
        <v>2</v>
      </c>
      <c r="F1194">
        <f>HYPERLINK("https://www.reddit.com/r/GERD/comments/bo5ys3/is_coughing_and_vomitingchoking_the_food_you_ate/")</f>
        <v/>
      </c>
      <c r="G1194" t="inlineStr">
        <is>
          <t>2019-05-13 09:50:09</t>
        </is>
      </c>
      <c r="H1194" t="inlineStr"/>
    </row>
    <row r="1195">
      <c r="A1195" t="inlineStr">
        <is>
          <t>bo86t7</t>
        </is>
      </c>
      <c r="B1195" t="inlineStr">
        <is>
          <t>ANOTHER ONE: WHAT SIDE EFFECTS HAVE YOU EXPERIENCED WITH PPIs?? THANK YOU!!</t>
        </is>
      </c>
      <c r="C1195" t="inlineStr">
        <is>
          <t>The reason I ask is because I'm scared about having diarrhea and/or headaches/nausea because those are some of the symptoms I currently experience.</t>
        </is>
      </c>
      <c r="D1195" t="n">
        <v>1</v>
      </c>
      <c r="E1195" t="n">
        <v>12</v>
      </c>
      <c r="F1195">
        <f>HYPERLINK("https://www.reddit.com/r/GERD/comments/bo86t7/another_one_what_side_effects_have_you/")</f>
        <v/>
      </c>
      <c r="G1195" t="inlineStr">
        <is>
          <t>2019-05-13 12:44:53</t>
        </is>
      </c>
      <c r="H1195" t="inlineStr"/>
    </row>
    <row r="1196">
      <c r="A1196" t="inlineStr">
        <is>
          <t>bo8pp1</t>
        </is>
      </c>
      <c r="B1196" t="inlineStr">
        <is>
          <t>Have acid reflux every time I take a nap</t>
        </is>
      </c>
      <c r="C1196" t="inlineStr">
        <is>
          <t>Hi everyone, 
So for context, I have GERD and LPRD (basically GERD, but in your upper respiratory system, so my throat+voicebox area) and I get an acid reflux episode every time I take a nap. It doesn't matter if I've eaten within the past three hours or not, it consistently happens: I wake up with my throat almost raw. It doesn't happen as often when I go to sleep for the night (but it can be aggravated by stress). Does anyone have any tips on how to deal with this? I stopped taking PPIs because my symptoms are less severe, used to take an H5 antagonist, and now only take Zantac when I need it.</t>
        </is>
      </c>
      <c r="D1196" t="n">
        <v>6</v>
      </c>
      <c r="E1196" t="n">
        <v>13</v>
      </c>
      <c r="F1196">
        <f>HYPERLINK("https://www.reddit.com/r/GERD/comments/bo8pp1/have_acid_reflux_every_time_i_take_a_nap/")</f>
        <v/>
      </c>
      <c r="G1196" t="inlineStr">
        <is>
          <t>2019-05-13 13:25:14</t>
        </is>
      </c>
      <c r="H1196" t="inlineStr"/>
    </row>
    <row r="1197">
      <c r="A1197" t="inlineStr">
        <is>
          <t>boczpx</t>
        </is>
      </c>
      <c r="B1197" t="inlineStr">
        <is>
          <t>Question about medication</t>
        </is>
      </c>
      <c r="C1197" t="inlineStr">
        <is>
          <t>Hi all, this probably is the wrong sub for this question but alas I wanna ask anyways. 
Recently my wife has been taking Carafate. The medicine works and relieves her acid reflux. We've noticed she's been having red itchy bumps popping up on her and it seems the irritation showed up after she was prescribed the Carafate. Is there a possible connection?</t>
        </is>
      </c>
      <c r="D1197" t="n">
        <v>3</v>
      </c>
      <c r="E1197" t="n">
        <v>3</v>
      </c>
      <c r="F1197">
        <f>HYPERLINK("https://www.reddit.com/r/GERD/comments/boczpx/question_about_medication/")</f>
        <v/>
      </c>
      <c r="G1197" t="inlineStr">
        <is>
          <t>2019-05-13 19:33:50</t>
        </is>
      </c>
      <c r="H1197" t="inlineStr"/>
    </row>
    <row r="1198">
      <c r="A1198" t="inlineStr">
        <is>
          <t>bod3cq</t>
        </is>
      </c>
      <c r="B1198" t="inlineStr">
        <is>
          <t>Ginger for nausea?</t>
        </is>
      </c>
      <c r="C1198" t="inlineStr">
        <is>
          <t>Does anybody take ginger for nausea? Does it work? Does it give you heartburn and what’s the best way to take it and how much? I googled it but I didn’t find the best way to take it. Raw, in a pill, tea? It seems like I get mild nausea every night and I want some relief.</t>
        </is>
      </c>
      <c r="D1198" t="n">
        <v>3</v>
      </c>
      <c r="E1198" t="n">
        <v>7</v>
      </c>
      <c r="F1198">
        <f>HYPERLINK("https://www.reddit.com/r/GERD/comments/bod3cq/ginger_for_nausea/")</f>
        <v/>
      </c>
      <c r="G1198" t="inlineStr">
        <is>
          <t>2019-05-13 19:43:34</t>
        </is>
      </c>
      <c r="H1198" t="inlineStr"/>
    </row>
    <row r="1199">
      <c r="A1199" t="inlineStr">
        <is>
          <t>bodsss</t>
        </is>
      </c>
      <c r="B1199" t="inlineStr">
        <is>
          <t>A mix of tips and questions</t>
        </is>
      </c>
      <c r="C1199" t="inlineStr">
        <is>
          <t>Hi everyone. I made an account specifically to join this community. GERD has been a part of my life for two years on and off, and pretty much everyday for the past 6 months. One particularly stressful night, I had terrible nausea and kept throwing up bile and water all night. 
Ever since then, I’ve had the problem of water brash/hypersalivation pretty regularly. Usually everyday, sometimes all day long with no relief. PPIs have controlled all my other symptoms except the water brash and the nausea that comes with it. One doctor told me I had a throat infection that was causing water brash and it would go away on its own. It’s been a few months and I don’t think that’s the case.
Like a lot of people here, I’m really frustrated with the medical system and I feel like I’m not getting much help for my issues, doctors prescribe PPIs or chill pills and tell me I’ll be fine. I don’t think they know what it’s like to be basically throwing up saliva everyday. But maybe some of you guys do and can help me out. 
In return, these things helped me out with my particular case:
1. ACV, a bit generic but apple cider vinegar taken with a meal/after a meal diluted with water helped my nausea even if it smells bad. However I don’t recommend over doing it! 
2. Meditation before bed. I can’t really explain why this helps me, but I don’t think it would hurt anybody to try it. 
3. CBD before bedtime, very relaxing and will help you drift into sleep
4. Eliminating: dairy (I would recommend starting with cheese if you want to give this tip a try, I immediately saw a huge improvement) coffee and alcohol are the big three! If you are addicted to caffeine like I am, I think tea is okay in a reasonable amount. I try to stick to green tea in the afternoons. 
Following these tips for a few months eliminated my heartburn, tight chest/throat, and burping for the most part. But as I mentioned, the acid brash has persisted so I’m pretty certain these techniques are not a cure-all but they made life more bearable. 
I’m here for anyone who needs support. I appreciate any help I can get.
-lov</t>
        </is>
      </c>
      <c r="D1199" t="n">
        <v>1</v>
      </c>
      <c r="E1199" t="n">
        <v>0</v>
      </c>
      <c r="F1199">
        <f>HYPERLINK("https://www.reddit.com/r/GERD/comments/bodsss/a_mix_of_tips_and_questions/")</f>
        <v/>
      </c>
      <c r="G1199" t="inlineStr">
        <is>
          <t>2019-05-13 20:55:17</t>
        </is>
      </c>
      <c r="H1199" t="inlineStr"/>
    </row>
    <row r="1200">
      <c r="A1200" t="inlineStr">
        <is>
          <t>bofd2o</t>
        </is>
      </c>
      <c r="B1200" t="inlineStr">
        <is>
          <t>Change in schedule making my medication not work</t>
        </is>
      </c>
      <c r="C1200" t="inlineStr">
        <is>
          <t>Hey guys, just seeing if anyone has the same experience as me. I just started night shift about three weeks ago. I continued taking my pantaprozole when I woke up and have found that I’m still having really bad episodes. I almost vomited at work last night. Anyone know how to make this stop. My doctor just upped my dosage from 20 to 40mg about three months ago and before the schedule change, I hadn’t had an episode since the dosage change.</t>
        </is>
      </c>
      <c r="D1200" t="n">
        <v>7</v>
      </c>
      <c r="E1200" t="n">
        <v>0</v>
      </c>
      <c r="F1200">
        <f>HYPERLINK("https://www.reddit.com/r/GERD/comments/bofd2o/change_in_schedule_making_my_medication_not_work/")</f>
        <v/>
      </c>
      <c r="G1200" t="inlineStr">
        <is>
          <t>2019-05-13 23:51:37</t>
        </is>
      </c>
      <c r="H1200" t="inlineStr"/>
    </row>
    <row r="1201">
      <c r="A1201" t="inlineStr">
        <is>
          <t>bohjj0</t>
        </is>
      </c>
      <c r="B1201" t="inlineStr">
        <is>
          <t>Pantprozole and acne?</t>
        </is>
      </c>
      <c r="C1201" t="inlineStr">
        <is>
          <t>On week three of 40mg twice a day and have been breaking out in cystic acne this week. Wondering if anyone else experienced this side effect from taking pantprozole?</t>
        </is>
      </c>
      <c r="D1201" t="n">
        <v>3</v>
      </c>
      <c r="E1201" t="n">
        <v>3</v>
      </c>
      <c r="F1201">
        <f>HYPERLINK("https://www.reddit.com/r/GERD/comments/bohjj0/pantprozole_and_acne/")</f>
        <v/>
      </c>
      <c r="G1201" t="inlineStr">
        <is>
          <t>2019-05-14 04:12:50</t>
        </is>
      </c>
      <c r="H1201" t="inlineStr"/>
    </row>
    <row r="1202">
      <c r="A1202" t="inlineStr">
        <is>
          <t>bohldv</t>
        </is>
      </c>
      <c r="B1202" t="inlineStr">
        <is>
          <t>Chest pain NOT in the centre of chest</t>
        </is>
      </c>
      <c r="C1202" t="inlineStr">
        <is>
          <t>Hi there. So I've been diagnosed with bad GERD. I'm on 40mg omeprazole and it's slowly getting a bit better. It's been sore in the centre of my chest but sometimes off centre and different. 
I've had chest pain a couple of inches off centre of my esophagus near my heart, a few times. It's like someone is gently pushing a screw driver into my chest. It's a small area of pain.
Is this related to GERD? I've had an ECG and blood test and they said my heart is fine?
It came on strong when I did exercise once..... I'm 32 and wouldn't think it's angina? Especially after the ECG? 
Thanks in advance</t>
        </is>
      </c>
      <c r="D1202" t="n">
        <v>3</v>
      </c>
      <c r="E1202" t="n">
        <v>6</v>
      </c>
      <c r="F1202">
        <f>HYPERLINK("https://www.reddit.com/r/GERD/comments/bohldv/chest_pain_not_in_the_centre_of_chest/")</f>
        <v/>
      </c>
      <c r="G1202" t="inlineStr">
        <is>
          <t>2019-05-14 04:18:16</t>
        </is>
      </c>
      <c r="H1202" t="inlineStr"/>
    </row>
    <row r="1203">
      <c r="A1203" t="inlineStr">
        <is>
          <t>bokhkk</t>
        </is>
      </c>
      <c r="B1203" t="inlineStr">
        <is>
          <t>GERD? IBS? Maybe GERD and IBS?</t>
        </is>
      </c>
      <c r="C1203" t="inlineStr">
        <is>
          <t>Hey, so around Christmas I started having loose or mushy stools every morning. It started after a few months of really bad eating, late works night and stress. That lasted for around 5 weeks, went away for a few months, and then started again a few weeks ago. It’s not as loose this time though. Also occasionally after unhealthy foods I’ll have to run to the washroom. It’s happened a couple times after pizza, but not always though... and once last week after fried chicken from KFC. 
My upper middle abdomen also feels kinda "uncomfortable" sometimes... I've been closely observing it and it seems like it mainly happens after eating.. and it seems like it might be connected to gas. I have noticed I've been quite gassy these last few months, but the discomfort often goes away shortly after by passing the gas or burping. I did an ultrasound and things looked fine, I also did blood work and that was fine. Two instances I noticed it after recently was after a large bubble tea, and after a fruit smoothie. I also sometimes have sour liquid come up into my throat. I might start writing down when it happens and what I had. 
What do you think? My doctor said it’s probably GERD, and maybe a bit of mild IBS. But I’m worried it might be something worse. I haven’t noticed any blood in stool. There was once where there was a thing of red but I think it might’ve been a pepper or something from the previous day from a philly steak and cheese I ate....</t>
        </is>
      </c>
      <c r="D1203" t="n">
        <v>6</v>
      </c>
      <c r="E1203" t="n">
        <v>3</v>
      </c>
      <c r="F1203">
        <f>HYPERLINK("https://www.reddit.com/r/GERD/comments/bokhkk/gerd_ibs_maybe_gerd_and_ibs/")</f>
        <v/>
      </c>
      <c r="G1203" t="inlineStr">
        <is>
          <t>2019-05-14 08:37:23</t>
        </is>
      </c>
      <c r="H1203" t="inlineStr"/>
    </row>
    <row r="1204">
      <c r="A1204" t="inlineStr">
        <is>
          <t>bolang</t>
        </is>
      </c>
      <c r="B1204" t="inlineStr">
        <is>
          <t>Morning or night to take omeprazole?</t>
        </is>
      </c>
      <c r="C1204" t="inlineStr">
        <is>
          <t>Would it optimize my results is I take omep before BED vs after getting up?</t>
        </is>
      </c>
      <c r="D1204" t="n">
        <v>3</v>
      </c>
      <c r="E1204" t="n">
        <v>8</v>
      </c>
      <c r="F1204">
        <f>HYPERLINK("https://www.reddit.com/r/GERD/comments/bolang/morning_or_night_to_take_omeprazole/")</f>
        <v/>
      </c>
      <c r="G1204" t="inlineStr">
        <is>
          <t>2019-05-14 09:42:03</t>
        </is>
      </c>
      <c r="H1204" t="inlineStr"/>
    </row>
    <row r="1205">
      <c r="A1205" t="inlineStr">
        <is>
          <t>bolfoa</t>
        </is>
      </c>
      <c r="B1205" t="inlineStr">
        <is>
          <t>Ranitidine for a long duration</t>
        </is>
      </c>
      <c r="C1205" t="inlineStr">
        <is>
          <t>Hey Everyone, 
I', a 26 y/o M who has had GERD for about a year and a half. I was initially prescribed with some Omeprazole and then Pantoprazole for \~ 2 months and then switched to Zantac OTC. 
I take a Zantac 150 almost every night before going to bed and have been doing so for a year. My question to you is whether it is okay to take Ranitidine for a more than a year. I try my best to restrict trigger foods but I still get some reflux at night almost always. Also, is it necessary to take Folic Acid supplements with Ranitidine?</t>
        </is>
      </c>
      <c r="D1205" t="n">
        <v>2</v>
      </c>
      <c r="E1205" t="n">
        <v>5</v>
      </c>
      <c r="F1205">
        <f>HYPERLINK("https://www.reddit.com/r/GERD/comments/bolfoa/ranitidine_for_a_long_duration/")</f>
        <v/>
      </c>
      <c r="G1205" t="inlineStr">
        <is>
          <t>2019-05-14 09:53:21</t>
        </is>
      </c>
      <c r="H1205" t="inlineStr"/>
    </row>
    <row r="1206">
      <c r="A1206" t="inlineStr">
        <is>
          <t>bolsc8</t>
        </is>
      </c>
      <c r="B1206" t="inlineStr">
        <is>
          <t>Unexplained weight loss with gerd?</t>
        </is>
      </c>
      <c r="C1206" t="inlineStr">
        <is>
          <t>I recently was told by my doctor after upper gi series that i have silent reflux in the last few months i have been taking pepcid in the mornings and changing my diet but eating more meals.  Ive lost almost 10lbs and im getting worried.  Is it normal to lose weight unintentionally with gerd or medication?</t>
        </is>
      </c>
      <c r="D1206" t="n">
        <v>5</v>
      </c>
      <c r="E1206" t="n">
        <v>6</v>
      </c>
      <c r="F1206">
        <f>HYPERLINK("https://www.reddit.com/r/GERD/comments/bolsc8/unexplained_weight_loss_with_gerd/")</f>
        <v/>
      </c>
      <c r="G1206" t="inlineStr">
        <is>
          <t>2019-05-14 10:20:39</t>
        </is>
      </c>
      <c r="H1206" t="inlineStr"/>
    </row>
    <row r="1207">
      <c r="A1207" t="inlineStr">
        <is>
          <t>bon9pl</t>
        </is>
      </c>
      <c r="B1207" t="inlineStr">
        <is>
          <t>What To Eat????</t>
        </is>
      </c>
      <c r="C1207" t="inlineStr">
        <is>
          <t>I've been suffering from nausea recently so I haven't been eating much. I've lost 15 lbs in a month. Normally my Gerd only bothers me occasionally but I think having an empty stomach has really kicked it into overdrive and I'm feeling miserable. I am barely sleeping because the acid comes up and creates heart palpitations and tingling in my arms and chest. 
I ate a little chicken breast earlier (the only thing I've eaten today) and can't stop burping it back up. I feel dehydrated, but drinking water aggravates the reflux further. 
So what foods / drinks should I reintroduce to my diet to get over this hump? I noticed carbohydrates and anything with sugar seem to make things worse so I'm at a loss on how to hydrate and get my electrolytes as well as nutrition without feeling the burn intensify.</t>
        </is>
      </c>
      <c r="D1207" t="n">
        <v>2</v>
      </c>
      <c r="E1207" t="n">
        <v>12</v>
      </c>
      <c r="F1207">
        <f>HYPERLINK("https://www.reddit.com/r/GERD/comments/bon9pl/what_to_eat/")</f>
        <v/>
      </c>
      <c r="G1207" t="inlineStr">
        <is>
          <t>2019-05-14 12:21:29</t>
        </is>
      </c>
      <c r="H1207" t="inlineStr"/>
    </row>
    <row r="1208">
      <c r="A1208" t="inlineStr">
        <is>
          <t>booelg</t>
        </is>
      </c>
      <c r="B1208" t="inlineStr">
        <is>
          <t>Reflux on PPI</t>
        </is>
      </c>
      <c r="C1208" t="inlineStr">
        <is>
          <t>I’m a 26 y/o male and I’m taking 60mg dexilant once in the morning daily and don’t really have any burning anymore but I get what feels like reflux. I get bloated after meals and it feels like my esophagus is wet, I burp a lot but no pain. 
Sometimes I have a bad taste in my mouth. Now it sounds like regurgitation but I’ve never spit up food. I have esophagitis that doesn’t seem to go away, sometimes I taste blood which I’m assuming is from my esophagus (I can feel it’s sore, then taste blood).
Is there anything I can really do? Do I have to have surgery? This is really impacting me mentally as I am normally very social and active - I feel like my life is over.
Any suggestions are warranted but I’ve tried the diet stuff, and don’t have MUCH relief. I never feel 100% anymore and it’s taxing mentally.</t>
        </is>
      </c>
      <c r="D1208" t="n">
        <v>9</v>
      </c>
      <c r="E1208" t="n">
        <v>21</v>
      </c>
      <c r="F1208">
        <f>HYPERLINK("https://www.reddit.com/r/GERD/comments/booelg/reflux_on_ppi/")</f>
        <v/>
      </c>
      <c r="G1208" t="inlineStr">
        <is>
          <t>2019-05-14 13:53:12</t>
        </is>
      </c>
      <c r="H1208" t="inlineStr"/>
    </row>
    <row r="1209">
      <c r="A1209" t="inlineStr">
        <is>
          <t>bop0p9</t>
        </is>
      </c>
      <c r="B1209" t="inlineStr">
        <is>
          <t>Has anyone ever experienced anything like this before?</t>
        </is>
      </c>
      <c r="C1209" t="inlineStr">
        <is>
          <t>Context: diagnosed with GERD and LPRD some time in 2017 (can't remember when, but before these situations)
This happened twice in 2017. The first time, I vomited (quite violently) twice in two hours after being quite nauseous the night before. The vomit was greenish in color, and from then on I had like crippling stomach/general abdominal pain for the rest of the day. Couldn't hold anything down, ended up with a high fever and had to go to the hospital. Did a ton of imaging, blood tests, get fluids, etc. etc. Had a positive Murphy's sign during physical, but couldn't find anything on the ultrasound. The doctors decided that it was an infection and let it slide.
Less than six months later (some time within the same year), experience the same nauseous feeling, no vomiting, but the pain keeps me up all night. Go to the hospital, get fluids, and get a GI cocktail. Collapsed after drinking the GI cocktail after severe stomach cramping, blood pressure drops, get bloodwork done. Ended up being ok after a while, and the doctor diagnosis me with gastritis and introduces other meds to combat symptoms. 
Endoscopy later reveals I have minor gastritis, but no ulcers (tested negative for H. pylori, but after the second visit the doctor said she said that she thought I did). Nothing like this has happened since then, but I was wondering if anyone had experienced these things before and if it can be attributed to GERD/reflux.</t>
        </is>
      </c>
      <c r="D1209" t="n">
        <v>3</v>
      </c>
      <c r="E1209" t="n">
        <v>1</v>
      </c>
      <c r="F1209">
        <f>HYPERLINK("https://www.reddit.com/r/GERD/comments/bop0p9/has_anyone_ever_experienced_anything_like_this/")</f>
        <v/>
      </c>
      <c r="G1209" t="inlineStr">
        <is>
          <t>2019-05-14 14:45:04</t>
        </is>
      </c>
      <c r="H1209" t="inlineStr"/>
    </row>
    <row r="1210">
      <c r="A1210" t="inlineStr">
        <is>
          <t>borxrh</t>
        </is>
      </c>
      <c r="B1210" t="inlineStr">
        <is>
          <t>stress and anxiety</t>
        </is>
      </c>
      <c r="C1210" t="inlineStr">
        <is>
          <t>has anyone else experienced indigestion/acid reflux burn that seems to only be triggered when extremely stressed or feeling anxious about something? it’s the only trigger i can pinpoint after 3 years of suffering</t>
        </is>
      </c>
      <c r="D1210" t="n">
        <v>5</v>
      </c>
      <c r="E1210" t="n">
        <v>10</v>
      </c>
      <c r="F1210">
        <f>HYPERLINK("https://www.reddit.com/r/GERD/comments/borxrh/stress_and_anxiety/")</f>
        <v/>
      </c>
      <c r="G1210" t="inlineStr">
        <is>
          <t>2019-05-14 19:09:17</t>
        </is>
      </c>
      <c r="H1210" t="inlineStr"/>
    </row>
    <row r="1211">
      <c r="A1211" t="inlineStr">
        <is>
          <t>borz5a</t>
        </is>
      </c>
      <c r="B1211" t="inlineStr">
        <is>
          <t>Did breathing difficulty symptom improved with Nissen Fundoplication?</t>
        </is>
      </c>
      <c r="C1211" t="inlineStr">
        <is>
          <t>People who had breathing difficulty as symptom of their GERD and had Nissen Fundoplication, did it improve after the operation? I have it like almost the entire day.</t>
        </is>
      </c>
      <c r="D1211" t="n">
        <v>2</v>
      </c>
      <c r="E1211" t="n">
        <v>3</v>
      </c>
      <c r="F1211">
        <f>HYPERLINK("https://www.reddit.com/r/GERD/comments/borz5a/did_breathing_difficulty_symptom_improved_with/")</f>
        <v/>
      </c>
      <c r="G1211" t="inlineStr">
        <is>
          <t>2019-05-14 19:12:48</t>
        </is>
      </c>
      <c r="H1211" t="inlineStr"/>
    </row>
    <row r="1212">
      <c r="A1212" t="inlineStr">
        <is>
          <t>boz1t9</t>
        </is>
      </c>
      <c r="B1212" t="inlineStr">
        <is>
          <t>14 months post Stretta update</t>
        </is>
      </c>
      <c r="C1212" t="inlineStr">
        <is>
          <t>I wanted to do a quick post a out my results from having a Stretta performed. The stretta stregthens the LES over a 14 month period, so I should be at peak recovery now.  I would say that I am 95% healed from LPR with daily reflux. The recovery was slow and consistent, even considering that I got pregnant a few months after having the procedure.  I weaned off medication after a few months, by 8 months I had removed the incline from my bed. I have a newborn now and occasionally need to eat during the night. Sleeping flat on my back after eating can still cause a sore throat, so I sleep on my left side after eating. I've had weird hiccuping episodes since I was a kid and I was surprised to find that issue has resolved. I don't have any dietary limitations and regularly indulge in foods that were problematic. From my experience, I would recommend the Stretta as a low-risk procedure for treating LPR and GERD.</t>
        </is>
      </c>
      <c r="D1212" t="n">
        <v>6</v>
      </c>
      <c r="E1212" t="n">
        <v>11</v>
      </c>
      <c r="F1212">
        <f>HYPERLINK("https://www.reddit.com/r/GERD/comments/boz1t9/14_months_post_stretta_update/")</f>
        <v/>
      </c>
      <c r="G1212" t="inlineStr">
        <is>
          <t>2019-05-15 08:05:44</t>
        </is>
      </c>
      <c r="H1212" t="inlineStr"/>
    </row>
    <row r="1213">
      <c r="A1213" t="inlineStr">
        <is>
          <t>bp0m4p</t>
        </is>
      </c>
      <c r="B1213" t="inlineStr">
        <is>
          <t>Dizzy? Please respond</t>
        </is>
      </c>
      <c r="C1213" t="inlineStr">
        <is>
          <t>Is dizziness... or almost like a derealization... common with GERD? I’m new here... I have a CT scan scheduled for tomorrow. 
My headspace... intermittently... has been so bizarre feeling.</t>
        </is>
      </c>
      <c r="D1213" t="n">
        <v>1</v>
      </c>
      <c r="E1213" t="n">
        <v>12</v>
      </c>
      <c r="F1213">
        <f>HYPERLINK("https://www.reddit.com/r/GERD/comments/bp0m4p/dizzy_please_respond/")</f>
        <v/>
      </c>
      <c r="G1213" t="inlineStr">
        <is>
          <t>2019-05-15 10:12:23</t>
        </is>
      </c>
      <c r="H1213" t="inlineStr"/>
    </row>
    <row r="1214">
      <c r="A1214" t="inlineStr">
        <is>
          <t>bp0vzr</t>
        </is>
      </c>
      <c r="B1214" t="inlineStr">
        <is>
          <t>ALCOHOL and gerd</t>
        </is>
      </c>
      <c r="C1214" t="inlineStr">
        <is>
          <t>Hi guys!
I know alcohol is forbidden for those with gerd and can actually worsen the problem in general.
However I want to hear if any of specific alcohol doesn’t cause your gerd symptoms or at least they donMt get to be so bad ( I’m invited to the party on saturday, of course I’m not gonna black myself out with alcohol but it would be nice to drink at least a glass of smth with the person who’s celebrating) .</t>
        </is>
      </c>
      <c r="D1214" t="n">
        <v>2</v>
      </c>
      <c r="E1214" t="n">
        <v>6</v>
      </c>
      <c r="F1214">
        <f>HYPERLINK("https://www.reddit.com/r/GERD/comments/bp0vzr/alcohol_and_gerd/")</f>
        <v/>
      </c>
      <c r="G1214" t="inlineStr">
        <is>
          <t>2019-05-15 10:34:03</t>
        </is>
      </c>
      <c r="H1214" t="inlineStr"/>
    </row>
    <row r="1215">
      <c r="A1215" t="inlineStr">
        <is>
          <t>bp1sbp</t>
        </is>
      </c>
      <c r="B1215" t="inlineStr">
        <is>
          <t>Reflux esophagitis and upper abdominal pain</t>
        </is>
      </c>
      <c r="C1215" t="inlineStr">
        <is>
          <t>This pain is my only major symptom, feels like it is near the junction between my stomach and esophagus. My minor symptom is lump like sensation in my throat. I've been on PPI for almost 2 years and these symptoms are not going away. I've done manometry, 24-hour pH test and barium-swallowing fluoroscopy. Going to talk with a surgeon about the LINX procedure.
Anyone experiencing the same symptom?</t>
        </is>
      </c>
      <c r="D1215" t="n">
        <v>3</v>
      </c>
      <c r="E1215" t="n">
        <v>6</v>
      </c>
      <c r="F1215">
        <f>HYPERLINK("https://www.reddit.com/r/GERD/comments/bp1sbp/reflux_esophagitis_and_upper_abdominal_pain/")</f>
        <v/>
      </c>
      <c r="G1215" t="inlineStr">
        <is>
          <t>2019-05-15 11:46:52</t>
        </is>
      </c>
      <c r="H1215" t="inlineStr"/>
    </row>
    <row r="1216">
      <c r="A1216" t="inlineStr">
        <is>
          <t>bp3zaj</t>
        </is>
      </c>
      <c r="B1216" t="inlineStr">
        <is>
          <t>Throat Symptoms</t>
        </is>
      </c>
      <c r="C1216" t="inlineStr">
        <is>
          <t>Hey everyone, just wondering if anyone else has had a similar experience to me. I have had GERD for about 4 years now. Recently I have been getting a sensation where it feels like my throat is tight and there’s like something irritating it that causes me to cough and freak out thinking my throat is closing. It makes it feel tough to breath sometimes and my doctor claims that’s part of acid reflux. Has anyone else had a similar experience?</t>
        </is>
      </c>
      <c r="D1216" t="n">
        <v>11</v>
      </c>
      <c r="E1216" t="n">
        <v>12</v>
      </c>
      <c r="F1216">
        <f>HYPERLINK("https://www.reddit.com/r/GERD/comments/bp3zaj/throat_symptoms/")</f>
        <v/>
      </c>
      <c r="G1216" t="inlineStr">
        <is>
          <t>2019-05-15 14:38:55</t>
        </is>
      </c>
      <c r="H1216" t="inlineStr"/>
    </row>
    <row r="1217">
      <c r="A1217" t="inlineStr">
        <is>
          <t>bp5w1q</t>
        </is>
      </c>
      <c r="B1217" t="inlineStr">
        <is>
          <t>Went on PPIs for 8 weeks. Now I've stopped - and burning sensation is back - help?</t>
        </is>
      </c>
      <c r="C1217" t="inlineStr">
        <is>
          <t>I haven't been diagnosed with GERD or LPR or anything yet, because the first step was for my doc to prescribe PPIs (rabeprazole). I'm on day 3 without the PPI, and I'm having burning sensations in my tummy like I was before the pills. Do you think it's possible that it's just the body building up its supply of acid again after having been depleted for 8 weeks? Or could it be that it's the reflux all over again? I haven't had any coffee, tea, high sugar, alcohol, tomatoes or onions or anything spicy. Thanks for the advice.</t>
        </is>
      </c>
      <c r="D1217" t="n">
        <v>3</v>
      </c>
      <c r="E1217" t="n">
        <v>6</v>
      </c>
      <c r="F1217">
        <f>HYPERLINK("https://www.reddit.com/r/GERD/comments/bp5w1q/went_on_ppis_for_8_weeks_now_ive_stopped_and/")</f>
        <v/>
      </c>
      <c r="G1217" t="inlineStr">
        <is>
          <t>2019-05-15 17:28:56</t>
        </is>
      </c>
      <c r="H1217" t="inlineStr"/>
    </row>
    <row r="1218">
      <c r="A1218" t="inlineStr">
        <is>
          <t>bp6ddu</t>
        </is>
      </c>
      <c r="B1218" t="inlineStr">
        <is>
          <t>Can food I eat at night affect my symptoms the following morning?</t>
        </is>
      </c>
      <c r="C1218" t="inlineStr">
        <is>
          <t>If you eat foods that upset your GERD at dinner, do any of you only notice the symptoms the next morning? Or do you always feel it that night?</t>
        </is>
      </c>
      <c r="D1218" t="n">
        <v>2</v>
      </c>
      <c r="E1218" t="n">
        <v>3</v>
      </c>
      <c r="F1218">
        <f>HYPERLINK("https://www.reddit.com/r/GERD/comments/bp6ddu/can_food_i_eat_at_night_affect_my_symptoms_the/")</f>
        <v/>
      </c>
      <c r="G1218" t="inlineStr">
        <is>
          <t>2019-05-15 18:17:11</t>
        </is>
      </c>
      <c r="H1218" t="inlineStr"/>
    </row>
    <row r="1219">
      <c r="A1219" t="inlineStr">
        <is>
          <t>bp6dkc</t>
        </is>
      </c>
      <c r="B1219" t="inlineStr">
        <is>
          <t>Supplements to take with long term H2/PPI use</t>
        </is>
      </c>
      <c r="C1219" t="inlineStr">
        <is>
          <t>For those who take H2 blockers or PPI long term and are concerned about vitamin or mineral deficiency just wondering what you guys supplement. Ive got a weak LES and its either surgery or long term medication. 
Being an athlete in a contact sport means surgery is not an option so im pretty much resigned to the fact ill be on meds for the foreseeable future and would like to do it as healthily as possible.</t>
        </is>
      </c>
      <c r="D1219" t="n">
        <v>1</v>
      </c>
      <c r="E1219" t="n">
        <v>0</v>
      </c>
      <c r="F1219">
        <f>HYPERLINK("https://www.reddit.com/r/GERD/comments/bp6dkc/supplements_to_take_with_long_term_h2ppi_use/")</f>
        <v/>
      </c>
      <c r="G1219" t="inlineStr">
        <is>
          <t>2019-05-15 18:17:44</t>
        </is>
      </c>
      <c r="H1219" t="inlineStr"/>
    </row>
    <row r="1220">
      <c r="A1220" t="inlineStr">
        <is>
          <t>bp6oe9</t>
        </is>
      </c>
      <c r="B1220" t="inlineStr">
        <is>
          <t>Dizziness caused by GERD constant? Intermittent?</t>
        </is>
      </c>
      <c r="C1220" t="inlineStr">
        <is>
          <t>Can dizziness from acid agitating the inner ear come and go in a few hours? Or does it last for days/ weeks?</t>
        </is>
      </c>
      <c r="D1220" t="n">
        <v>2</v>
      </c>
      <c r="E1220" t="n">
        <v>17</v>
      </c>
      <c r="F1220">
        <f>HYPERLINK("https://www.reddit.com/r/GERD/comments/bp6oe9/dizziness_caused_by_gerd_constant_intermittent/")</f>
        <v/>
      </c>
      <c r="G1220" t="inlineStr">
        <is>
          <t>2019-05-15 18:48:53</t>
        </is>
      </c>
      <c r="H1220" t="inlineStr"/>
    </row>
    <row r="1221">
      <c r="A1221" t="inlineStr">
        <is>
          <t>bp6rc7</t>
        </is>
      </c>
      <c r="B1221" t="inlineStr">
        <is>
          <t>Does anyone else's throat gurgle?</t>
        </is>
      </c>
      <c r="C1221" t="inlineStr">
        <is>
          <t>Especially after swallowing food/water? Do you know anything that helps with this? It can get quite loud for me sometimes.</t>
        </is>
      </c>
      <c r="D1221" t="n">
        <v>7</v>
      </c>
      <c r="E1221" t="n">
        <v>7</v>
      </c>
      <c r="F1221">
        <f>HYPERLINK("https://www.reddit.com/r/GERD/comments/bp6rc7/does_anyone_elses_throat_gurgle/")</f>
        <v/>
      </c>
      <c r="G1221" t="inlineStr">
        <is>
          <t>2019-05-15 18:57:01</t>
        </is>
      </c>
      <c r="H1221" t="inlineStr"/>
    </row>
    <row r="1222">
      <c r="A1222" t="inlineStr">
        <is>
          <t>bp8pb8</t>
        </is>
      </c>
      <c r="B1222" t="inlineStr">
        <is>
          <t>sternum/chest pain after endoscopy</t>
        </is>
      </c>
      <c r="C1222" t="inlineStr">
        <is>
          <t>Hi everyone i had an upper endoscopy the other day and im pretty sure they scoped into my stomach as well. the whole day after the procedure i was fine but i woke up the next day (today) and i have a really bad pain every time water or food passes by the bottom of my sternum (sort of where the stomach meets the esophagus). the pain is radiating to my back as well. its so so so uncomfortable. has anyone ever had this feeling and does it settle over time?</t>
        </is>
      </c>
      <c r="D1222" t="n">
        <v>3</v>
      </c>
      <c r="E1222" t="n">
        <v>5</v>
      </c>
      <c r="F1222">
        <f>HYPERLINK("https://www.reddit.com/r/GERD/comments/bp8pb8/sternumchest_pain_after_endoscopy/")</f>
        <v/>
      </c>
      <c r="G1222" t="inlineStr">
        <is>
          <t>2019-05-15 22:21:00</t>
        </is>
      </c>
      <c r="H1222" t="inlineStr"/>
    </row>
    <row r="1223">
      <c r="A1223" t="inlineStr">
        <is>
          <t>bp99o5</t>
        </is>
      </c>
      <c r="B1223" t="inlineStr">
        <is>
          <t>Anybody else with GERD also have there Galbladder removed?</t>
        </is>
      </c>
      <c r="C1223" t="inlineStr">
        <is>
          <t>I had some wings today and i ate bad as in fast food and lots of things i shouldn't have (without a galbladder) about 5 days in a row, and today I was feeling like I was having a heart attack because my chest felt tight and weird inside for hours, aswell as my stomach bubbling constantly (because of the galbladder removal). Was wondering if anybody else has had there's removed and had the double dose of symptoms like i did earlier...</t>
        </is>
      </c>
      <c r="D1223" t="n">
        <v>2</v>
      </c>
      <c r="E1223" t="n">
        <v>5</v>
      </c>
      <c r="F1223">
        <f>HYPERLINK("https://www.reddit.com/r/GERD/comments/bp99o5/anybody_else_with_gerd_also_have_there_galbladder/")</f>
        <v/>
      </c>
      <c r="G1223" t="inlineStr">
        <is>
          <t>2019-05-15 23:51:22</t>
        </is>
      </c>
      <c r="H1223" t="inlineStr"/>
    </row>
    <row r="1224">
      <c r="A1224" t="inlineStr">
        <is>
          <t>bp9a2x</t>
        </is>
      </c>
      <c r="B1224" t="inlineStr">
        <is>
          <t>Anxiety? I'm worrying about my GERD. Should I go see my GI doctor again?</t>
        </is>
      </c>
      <c r="C1224" t="inlineStr">
        <is>
          <t>I'm in my early 30s, and back in 2015, I started to develop stomach issues (fullness, sore throat, constant lump sensation in throat, burning pain in stomach, to name my main issues).  I had an upper endoscopy done in April 2015, which came out clear except for gastritis in my stomach ... Biopsies were done as well-- all clear.  
Fast forward to last year, and I had some cramping in my lower abdomen, and I got a colonoscopy done just to rule out any sort of colitis.  All clear.  
Early this year, I was diagnosed with Hypothyroidism.  I have since been taking Levothyroxine (50 mcg), and my blood work has been clear on that now.  I have no idea if this condition is linked to my GI issues, but I thought I'd include it.  
I've been taking Zantac for about a year and a half now (had been on and off PPIs, mainly Prilosec, since 2015 though).  It helps with any sour or burning feeling in the stomach ... But I can't seem to fix my reflux.  I don't get the traditional heartburn; it's more like the silent reflux, where I feel fullness in my chest (behind my breastbone, specifically), have a constant feeling of a lump in my throat (I don't think I have difficulty swallowing?), and a minor sore throat.  
I feel like nothing has been helping my reflux, so of course my mind is going to the worst possible scenarios (like esophageal cancer).  Is it possible for me to develop this cancer 4 years after an endoscopy that gave me clear results in my esophagus? My mind is racing, and I'm just getting more and more worried and panicked about it ...</t>
        </is>
      </c>
      <c r="D1224" t="n">
        <v>8</v>
      </c>
      <c r="E1224" t="n">
        <v>7</v>
      </c>
      <c r="F1224">
        <f>HYPERLINK("https://www.reddit.com/r/GERD/comments/bp9a2x/anxiety_im_worrying_about_my_gerd_should_i_go_see/")</f>
        <v/>
      </c>
      <c r="G1224" t="inlineStr">
        <is>
          <t>2019-05-15 23:52:47</t>
        </is>
      </c>
      <c r="H1224" t="inlineStr"/>
    </row>
    <row r="1225">
      <c r="A1225" t="inlineStr">
        <is>
          <t>bpe89o</t>
        </is>
      </c>
      <c r="B1225" t="inlineStr">
        <is>
          <t>Anyone suffering from Dyspepsia (with GERD)?</t>
        </is>
      </c>
      <c r="C1225" t="inlineStr">
        <is>
          <t>Hi all, I've had GERD pretty much my entire life. I had symptoms when I was 14/15 (Currently 31M now) and they're coming back. Early fullness during meals and associated nausea. Feels like I'm rarely hungry, and am burping a ton! I tried some pantoprazole for several months recently and found no particular benefit for the nausea/gas (it really kills the reflex though, so that was nice!) and now I'm just starting a 150mg ranitidine daily so we'll see how that goes.
Anyway, screening when I was 15 showed nothing (endoscopy, barium, etc) but I was treated for H.Pylori which did not help my symptoms immediately - they just waned over the course of the next year. I am getting a full work up again in the near future, but I suspect similar results since I've had these symptoms before without any apparent cause.
One thing I'd like to mention is that I'm really stressed (finishing grad school) and have a high baseline anxiety to boot, so I suspect they go together somehow. I'm Canadian, so I'm considering trying cannabis for appetite (I've never tried it before) but I've heard that it can worsen anxiety so I'm on the fence.
So tell me - do any of you have similar symptoms? Is it related to your GERD severity? What did you find helps most?</t>
        </is>
      </c>
      <c r="D1225" t="n">
        <v>3</v>
      </c>
      <c r="E1225" t="n">
        <v>26</v>
      </c>
      <c r="F1225">
        <f>HYPERLINK("https://www.reddit.com/r/GERD/comments/bpe89o/anyone_suffering_from_dyspepsia_with_gerd/")</f>
        <v/>
      </c>
      <c r="G1225" t="inlineStr">
        <is>
          <t>2019-05-16 08:51:10</t>
        </is>
      </c>
      <c r="H1225" t="inlineStr"/>
    </row>
    <row r="1226">
      <c r="A1226" t="inlineStr">
        <is>
          <t>bpgqqw</t>
        </is>
      </c>
      <c r="B1226" t="inlineStr">
        <is>
          <t>Does eating ease your symptoms?</t>
        </is>
      </c>
      <c r="C1226" t="inlineStr">
        <is>
          <t>I think I am suffering from GERD, I been having a wide variety of symptoms for the past 4 years and every test I have done has came back negative. However my symptoms get worse after I eat certain foods, have certain drinks, or take certain drugs. However my symptoms are temporarily relieved only when I eat. Does anyone else experience this?</t>
        </is>
      </c>
      <c r="D1226" t="n">
        <v>6</v>
      </c>
      <c r="E1226" t="n">
        <v>17</v>
      </c>
      <c r="F1226">
        <f>HYPERLINK("https://www.reddit.com/r/GERD/comments/bpgqqw/does_eating_ease_your_symptoms/")</f>
        <v/>
      </c>
      <c r="G1226" t="inlineStr">
        <is>
          <t>2019-05-16 12:14:09</t>
        </is>
      </c>
      <c r="H1226" t="inlineStr"/>
    </row>
    <row r="1227">
      <c r="A1227" t="inlineStr">
        <is>
          <t>bph7md</t>
        </is>
      </c>
      <c r="B1227" t="inlineStr">
        <is>
          <t>Digestive Enzymes and Heartburn</t>
        </is>
      </c>
      <c r="C1227" t="inlineStr">
        <is>
          <t>I was having issues with digestion my food would be in my stool and i would always be constipated.
I started taking Digestive Enzymes i have tried 3 different brands. All have caused heartburn.
&amp;amp;#x200B;
My digestion has been great first time in a long time i am not constipated the food isn't in the stool its been wonderful... but heartburn city.... i don't know what to do.
&amp;amp;#x200B;
\-Brendon</t>
        </is>
      </c>
      <c r="D1227" t="n">
        <v>6</v>
      </c>
      <c r="E1227" t="n">
        <v>1</v>
      </c>
      <c r="F1227">
        <f>HYPERLINK("https://www.reddit.com/r/GERD/comments/bph7md/digestive_enzymes_and_heartburn/")</f>
        <v/>
      </c>
      <c r="G1227" t="inlineStr">
        <is>
          <t>2019-05-16 12:51:28</t>
        </is>
      </c>
      <c r="H1227" t="inlineStr"/>
    </row>
    <row r="1228">
      <c r="A1228" t="inlineStr">
        <is>
          <t>bplh4i</t>
        </is>
      </c>
      <c r="B1228" t="inlineStr">
        <is>
          <t>Does anybody else have constant hoarseness and need to clear the throat along with all the other LPR/GERD symptoms?</t>
        </is>
      </c>
      <c r="C1228" t="inlineStr">
        <is>
          <t>Its extremely annoying to me and  I experience it every single day...recently quit smoking about 3 months ago due to so many throat issues so maybe it's still recovering? I was just wondering if its possible to have these symptoms everyday instead of 3 to 4 times a week. How worried should I be? Also no matter how much I clear my throat it never really seems clear....usually just makes it more sore.</t>
        </is>
      </c>
      <c r="D1228" t="n">
        <v>1</v>
      </c>
      <c r="E1228" t="n">
        <v>6</v>
      </c>
      <c r="F1228">
        <f>HYPERLINK("https://www.reddit.com/r/GERD/comments/bplh4i/does_anybody_else_have_constant_hoarseness_and/")</f>
        <v/>
      </c>
      <c r="G1228" t="inlineStr">
        <is>
          <t>2019-05-16 19:15:51</t>
        </is>
      </c>
      <c r="H1228" t="inlineStr"/>
    </row>
    <row r="1229">
      <c r="A1229" t="inlineStr">
        <is>
          <t>bpnvg0</t>
        </is>
      </c>
      <c r="B1229" t="inlineStr">
        <is>
          <t>I'm new to this and need some advice</t>
        </is>
      </c>
      <c r="C1229" t="inlineStr">
        <is>
          <t>My doctor just diagnosed me with GERD a few months ago. I have silent acid reflux at night and I have no heartburn, but I get a weird pressure feeling in my chest. Does anyone know what that pressure means? Does it mean that acid is travelling back up my esophagus? I've tried Ranitidine, fixing my diet, and lifestyle changes but I always have this pressure feeling in my chest and I don't know what to do. I'm 21 years old, not overweight, pretty in shape, and I eat pretty healthy. I've tried so many thing and nothing really seems to help my GERD. I've tried PPIs but  I don't want to rely on them for long term use. I'm terrified I'm going to have to live with this feeling for possibly the rest of my life. Any help would be much appreciated</t>
        </is>
      </c>
      <c r="D1229" t="n">
        <v>1</v>
      </c>
      <c r="E1229" t="n">
        <v>9</v>
      </c>
      <c r="F1229">
        <f>HYPERLINK("https://www.reddit.com/r/GERD/comments/bpnvg0/im_new_to_this_and_need_some_advice/")</f>
        <v/>
      </c>
      <c r="G1229" t="inlineStr">
        <is>
          <t>2019-05-16 23:45:26</t>
        </is>
      </c>
      <c r="H1229" t="inlineStr"/>
    </row>
    <row r="1230">
      <c r="A1230" t="inlineStr">
        <is>
          <t>bpqjnr</t>
        </is>
      </c>
      <c r="B1230" t="inlineStr">
        <is>
          <t>Halitosis + Throat Burning - GERD help</t>
        </is>
      </c>
      <c r="C1230" t="inlineStr">
        <is>
          <t>For years I have had horrible bad breath. No matter how much I brush or tongue scrape, it's still there. I also wake up with my throat burning. 
I went to see a a doctor and he believed that I may have GERD. He prescribed me omeprazole (higher dosage than over the counter). I took it for a month and saw slight improvement but nothing substantial. It has been a few months and I still have serious halitosis and throat burning in the morning. The halitosis lasts all day, but the throat burning goes away after the morning. I've tried diet changes and not eating before bed, but still no relief.
Does anyone have any over-the-counter suggestions? I've heard good things about Gaviscon.
THANKS!</t>
        </is>
      </c>
      <c r="D1230" t="n">
        <v>2</v>
      </c>
      <c r="E1230" t="n">
        <v>3</v>
      </c>
      <c r="F1230">
        <f>HYPERLINK("https://www.reddit.com/r/GERD/comments/bpqjnr/halitosis_throat_burning_gerd_help/")</f>
        <v/>
      </c>
      <c r="G1230" t="inlineStr">
        <is>
          <t>2019-05-17 05:19:09</t>
        </is>
      </c>
      <c r="H1230" t="inlineStr"/>
    </row>
    <row r="1231">
      <c r="A1231" t="inlineStr">
        <is>
          <t>bpqvlv</t>
        </is>
      </c>
      <c r="B1231" t="inlineStr">
        <is>
          <t>It always comes back no matter what I do...</t>
        </is>
      </c>
      <c r="C1231" t="inlineStr">
        <is>
          <t>I don't know if I need to just take PPIs permanently. It seems to come back no matter what I do. Going vegetarian, eating an alkaline diet, cutting out fizzy drinks, doesn't matter! It always comes back. It's fine for a few weeks, then I wake up in the morning and get the acid feeling in my throat. It's soul crushing. I cut out all my favourite foods and that's still not enough! I've literally punched myself in the stomach hard multiple times because it's making me angry and depressed. I hate this.</t>
        </is>
      </c>
      <c r="D1231" t="n">
        <v>10</v>
      </c>
      <c r="E1231" t="n">
        <v>28</v>
      </c>
      <c r="F1231">
        <f>HYPERLINK("https://www.reddit.com/r/GERD/comments/bpqvlv/it_always_comes_back_no_matter_what_i_do/")</f>
        <v/>
      </c>
      <c r="G1231" t="inlineStr">
        <is>
          <t>2019-05-17 05:51:48</t>
        </is>
      </c>
      <c r="H1231" t="inlineStr"/>
    </row>
    <row r="1232">
      <c r="A1232" t="inlineStr">
        <is>
          <t>bpstvi</t>
        </is>
      </c>
      <c r="B1232" t="inlineStr">
        <is>
          <t>Few days into PPI treatment and I feel like it's helping a ton but I'm still seeing a lot of my Dyspepsia symptoms sticking around (I.E. Burping, chest burning, stomach pain, nausea) Has anyone else ever had this experience while on PPIs?</t>
        </is>
      </c>
      <c r="C1232" t="inlineStr">
        <is>
          <t>Anyone know of anything that can get the burping and stuff to go away? Water seems to help but only briefly...
&amp;amp;#x200B;
Thanks for any input!!</t>
        </is>
      </c>
      <c r="D1232" t="n">
        <v>3</v>
      </c>
      <c r="E1232" t="n">
        <v>5</v>
      </c>
      <c r="F1232">
        <f>HYPERLINK("https://www.reddit.com/r/GERD/comments/bpstvi/few_days_into_ppi_treatment_and_i_feel_like_its/")</f>
        <v/>
      </c>
      <c r="G1232" t="inlineStr">
        <is>
          <t>2019-05-17 08:40:36</t>
        </is>
      </c>
      <c r="H1232" t="inlineStr"/>
    </row>
    <row r="1233">
      <c r="A1233" t="inlineStr">
        <is>
          <t>bpv241</t>
        </is>
      </c>
      <c r="B1233" t="inlineStr">
        <is>
          <t>EGD with only local anesthetic</t>
        </is>
      </c>
      <c r="C1233" t="inlineStr">
        <is>
          <t>Has anyone pursued an EGD with just the local (throat numbing spray) anesthetic, and not the IV sedation?  
&amp;amp;#x200B;
My doctor gave me the option to do that, stay fully awake through the procedure, and have a faster recovery (due to no need for anesthesia to wear off).   I have a pretty high tolerance for procedures (stayed awake while my wisdom teeth came out), so am not too worried about that.... but I am curious about the experience of others.  Thanks in advance for your thoughts</t>
        </is>
      </c>
      <c r="D1233" t="n">
        <v>1</v>
      </c>
      <c r="E1233" t="n">
        <v>6</v>
      </c>
      <c r="F1233">
        <f>HYPERLINK("https://www.reddit.com/r/GERD/comments/bpv241/egd_with_only_local_anesthetic/")</f>
        <v/>
      </c>
      <c r="G1233" t="inlineStr">
        <is>
          <t>2019-05-17 11:44:57</t>
        </is>
      </c>
      <c r="H1233" t="inlineStr"/>
    </row>
    <row r="1234">
      <c r="A1234" t="inlineStr">
        <is>
          <t>bpvexq</t>
        </is>
      </c>
      <c r="B1234" t="inlineStr">
        <is>
          <t>Ppis and right side pain</t>
        </is>
      </c>
      <c r="C1234" t="inlineStr">
        <is>
          <t>Hi been taking ppis for a while and noticed an ache right side just above hip it’s like a dull ache. When I stopped ppis for a week this pain went away, anyone else experienced this dull ache? Thanks</t>
        </is>
      </c>
      <c r="D1234" t="n">
        <v>3</v>
      </c>
      <c r="E1234" t="n">
        <v>4</v>
      </c>
      <c r="F1234">
        <f>HYPERLINK("https://www.reddit.com/r/GERD/comments/bpvexq/ppis_and_right_side_pain/")</f>
        <v/>
      </c>
      <c r="G1234" t="inlineStr">
        <is>
          <t>2019-05-17 12:14:16</t>
        </is>
      </c>
      <c r="H1234" t="inlineStr"/>
    </row>
    <row r="1235">
      <c r="A1235" t="inlineStr">
        <is>
          <t>bpwel9</t>
        </is>
      </c>
      <c r="B1235" t="inlineStr">
        <is>
          <t>Does Pantoprazole cause weight gain or make it hard to lose weight?</t>
        </is>
      </c>
      <c r="C1235" t="inlineStr">
        <is>
          <t>Just started taking Pantoprazole. Does this or any other PPI's cause weight gain or make it hard to lose weight?</t>
        </is>
      </c>
      <c r="D1235" t="n">
        <v>1</v>
      </c>
      <c r="E1235" t="n">
        <v>4</v>
      </c>
      <c r="F1235">
        <f>HYPERLINK("https://www.reddit.com/r/GERD/comments/bpwel9/does_pantoprazole_cause_weight_gain_or_make_it/")</f>
        <v/>
      </c>
      <c r="G1235" t="inlineStr">
        <is>
          <t>2019-05-17 13:37:07</t>
        </is>
      </c>
      <c r="H1235" t="inlineStr"/>
    </row>
    <row r="1236">
      <c r="A1236" t="inlineStr">
        <is>
          <t>bpx0zz</t>
        </is>
      </c>
      <c r="B1236" t="inlineStr">
        <is>
          <t>Question about symptoms</t>
        </is>
      </c>
      <c r="C1236" t="inlineStr">
        <is>
          <t>Hello everyone, 
I hope you're doing well.   For about two months now I've been having the following symptoms. 
A pain in the corner of my chest and right below the bottom of my rib cage.  It isnt a terrible pain but lingering.  (This has minimized over the last few weeks with a new medication)
Constant feeling of something in my throat.  Some difficulty swallowing which had been worse the last couple days.  A minor sore throat for about a week. It got worse but now its better.
I constantly feel like I have too cough or clear my throat.  I've probably set a world record for the number of very small burps through out the day 
Sometimes when I swallow it's like a popping feeling and difficult to swallow.
Clearing my throat with a deep cough gives some relief when I swallow. 
Initially I took Nexium OTC and felt done relief but had side effects.  I tried Prilosec OTC and didn't have success.   The doctor put me on Pantoprazole.  With this some of the chest and under rib cage pain has really decreased but the feeling of something in my throat persists with the uncomfortable but not painful swallowing.
Doctor thinks it's acid reflux and has referred me to a GI doctor for their opinion and possible scope.
Unfortunately this afternoon I looked up these symptoms and esophageal cancer keeps popping up.   Im hoping for some reassurance that that is not what I'm facing. 
Thanks for your time!</t>
        </is>
      </c>
      <c r="D1236" t="n">
        <v>5</v>
      </c>
      <c r="E1236" t="n">
        <v>10</v>
      </c>
      <c r="F1236">
        <f>HYPERLINK("https://www.reddit.com/r/GERD/comments/bpx0zz/question_about_symptoms/")</f>
        <v/>
      </c>
      <c r="G1236" t="inlineStr">
        <is>
          <t>2019-05-17 14:31:01</t>
        </is>
      </c>
      <c r="H1236" t="inlineStr"/>
    </row>
    <row r="1237">
      <c r="A1237" t="inlineStr">
        <is>
          <t>bpx1ak</t>
        </is>
      </c>
      <c r="B1237" t="inlineStr">
        <is>
          <t>GERD after taking antibiotics?</t>
        </is>
      </c>
      <c r="C1237" t="inlineStr">
        <is>
          <t>So about 5 days ago I started taking doxycycline for my acne. I must not have taken it with enough water, because i woke up with a feeling like something was stuck, an it was extremely uncomfortable. The feeling persisted throughout the week, and seemed to worsen. I have horrible, stabbing chest pain that has not gone away, and my throat constantly burns. I feel like i have trapped air in my chest/throat and i can't stop burping. I've never had an issue with gerd/acid reflux, ever. I went to the doctor today and she wasn't of much help-she basically just told me to get some prilosec and that was it. From my research I'm thinking i have esophagitis? I can not eat anything-its like swallowing glass. I am so incredibly miserable. I tried to eat a banana and cried. It's even hard for me to drink wanter. I'm in so much pain and I dont know what to do anymore.</t>
        </is>
      </c>
      <c r="D1237" t="n">
        <v>4</v>
      </c>
      <c r="E1237" t="n">
        <v>4</v>
      </c>
      <c r="F1237">
        <f>HYPERLINK("https://www.reddit.com/r/GERD/comments/bpx1ak/gerd_after_taking_antibiotics/")</f>
        <v/>
      </c>
      <c r="G1237" t="inlineStr">
        <is>
          <t>2019-05-17 14:31:42</t>
        </is>
      </c>
      <c r="H1237" t="inlineStr"/>
    </row>
    <row r="1238">
      <c r="A1238" t="inlineStr">
        <is>
          <t>bpzg1j</t>
        </is>
      </c>
      <c r="B1238" t="inlineStr">
        <is>
          <t>LPR/Health Anxiety</t>
        </is>
      </c>
      <c r="C1238" t="inlineStr">
        <is>
          <t>Hey, folks. I’m a 31 year old male. I struggle with health anxiety, and it’s affecting me pretty significantly this evening. Writing here to possibly receive some peace of mind. 
I’ve had ongoing sinus problems for the last 8-10 years. Never received any diagnosis other than possible allergies. Lots of stuffiness and mucus in my throat. For the last year, I’ve had some ongoing problems with my voice/throat. Some hoarseness, some coughing, throat clearing, Globus sensation. Additionally, I’ve been experiencing an increase in belching after eating or drinking. I recently saw my GP regarding the Globus sensation and he mentioned GERD/LPR. 
I made the mistake of going on a google hunt and came across a lot of information regarding untreated GERD/LPR leading to an increased chance of developing cancer. My fear is that LPR has been causing my undiagnosed sinus issues, and that it’s gone untreated for years, and that I am in the process of developing cancer. Of course, my anxiety exacerbates my symptoms.
I have a consultation with an ENT scheduled, but that’s a little less than a month out. In the mean time, I’m having a hard time not assuming the worst. I understand that this probably sounds absurd, but I’m mostly looking for a little hope from folks who may have gone undiagnosed for a long time, and are currently managing their illness well. Thank you for your time.</t>
        </is>
      </c>
      <c r="D1238" t="n">
        <v>3</v>
      </c>
      <c r="E1238" t="n">
        <v>37</v>
      </c>
      <c r="F1238">
        <f>HYPERLINK("https://www.reddit.com/r/GERD/comments/bpzg1j/lprhealth_anxiety/")</f>
        <v/>
      </c>
      <c r="G1238" t="inlineStr">
        <is>
          <t>2019-05-17 18:26:58</t>
        </is>
      </c>
      <c r="H1238" t="inlineStr"/>
    </row>
    <row r="1239">
      <c r="A1239" t="inlineStr">
        <is>
          <t>bpzsh7</t>
        </is>
      </c>
      <c r="B1239" t="inlineStr">
        <is>
          <t>Is this GERD?</t>
        </is>
      </c>
      <c r="C1239" t="inlineStr">
        <is>
          <t>Hello im 27 F smoker. In February I had a major lifestyle change and have been stressing majorly. About a month ago my symptoms started. Ive had heartburn for forever but most of march and all of april I had the worst heartburn ever. I would wake up nauseous with my throat burning. I thought it was the junk food I was eating so I stopped eating before bed which was a bad habit Ive had for awhile. Pepto would work for awhile then the terrible heartburn would come back.
Then mid april the heartburn went away and this intense chest pressure and pain under my sternum started. I thought I was just overworked so didnt think much of it ( my pain tolerance is very high) this lasted a week so I got scared and went to urgent care because I thought for sure it was a heart attack. The doc did X-rays, blood work, and an ekg. They were all good. Doc said it could be costochondritis or anxiety told me to take ibuprofen and sent me home. 
The pressure gradually went away but the chest pain got worse and it was all over my chest but mostly in the center so I panicked again and went to the ER. They ran the tests again all came back good. Diff doc said it could be gerd or anxiety. Now my anxiety has skyrocketed since this happened and I was trying to explain to him that I have anxiety because of the pain. He said gerd and anxiety go hand in hand but this pain feels like its really deep and this sounds dumb but the ekg results are not giving me piece of mind
He told me to get zantac and take it for 4 weeks to see if it helps. It helped the chest pain a little but its still there. I finally saw my regular doc today and she thinks its anxiety so she just ran a blood test that we will get back next week. My blood pressure was 139/99 she didnt seem worried about that. She prescribed me propranolol which im afraid to take. She did refer me to a cardiologist so now im just trying to go day by til I can get in. 
I do have good days and bad days but mostly bad. My symptoms are back pain, chest pain that moves from left to right ( it feels like my heart is moving or sliding its terrifying) palpitations, some nausea, lightheaded, my left arm is achy but none of the docs seemed worried about that, I get these anxiety jolts (I call them) randomly, my appetite is crap every time I eat I get extreme gas, I cant stop burping or farting, oh and diarrhea once in awhile, trying to sleep is so hard the chest pain seems worse so it makes my anxiety worse and I keep getting these anxiety attacks
So Im just wondering if stress could bring this on. Like could someone have Gerd and not know it then something stressful happens and boom I feel like garbage. Or does this not sound like gerd at all and it is my heart. Feeling like this is ruining me. I constantly feel like crying. 
Thanks for reading this incredibly long post</t>
        </is>
      </c>
      <c r="D1239" t="n">
        <v>3</v>
      </c>
      <c r="E1239" t="n">
        <v>8</v>
      </c>
      <c r="F1239">
        <f>HYPERLINK("https://www.reddit.com/r/GERD/comments/bpzsh7/is_this_gerd/")</f>
        <v/>
      </c>
      <c r="G1239" t="inlineStr">
        <is>
          <t>2019-05-17 19:05:32</t>
        </is>
      </c>
      <c r="H1239" t="inlineStr"/>
    </row>
    <row r="1240">
      <c r="A1240" t="inlineStr">
        <is>
          <t>bq1skp</t>
        </is>
      </c>
      <c r="B1240" t="inlineStr">
        <is>
          <t>What lifestyle and dietary changes can help with chronic GERD, IBS, constipation, etc?</t>
        </is>
      </c>
      <c r="C1240" t="inlineStr">
        <is>
          <t>I'm 21, Female. Even after eating a full meal (not fast food), my stomach makes grrr grrr sounds. I didn't feel acid reflux earlier but I suspect I do now, sometimes. Other things are stomach pain, pain that "revolves", feels like "storm" inside the stomach after using toilet (until I eat something to calm things down), constipation, I feel full but I keep eating, overweight.</t>
        </is>
      </c>
      <c r="D1240" t="n">
        <v>1</v>
      </c>
      <c r="E1240" t="n">
        <v>0</v>
      </c>
      <c r="F1240">
        <f>HYPERLINK("https://www.reddit.com/r/GERD/comments/bq1skp/what_lifestyle_and_dietary_changes_can_help_with/")</f>
        <v/>
      </c>
      <c r="G1240" t="inlineStr">
        <is>
          <t>2019-05-18 01:54:21</t>
        </is>
      </c>
      <c r="H1240" t="inlineStr"/>
    </row>
    <row r="1241">
      <c r="A1241" t="inlineStr">
        <is>
          <t>bq1uan</t>
        </is>
      </c>
      <c r="B1241" t="inlineStr">
        <is>
          <t>I don’t know what I have, I need help</t>
        </is>
      </c>
      <c r="C1241" t="inlineStr">
        <is>
          <t>So lately I’ve had constant belching and farting episodes whenever I’ve eaten anything, but I feel like it’s more pronounced when I eat anything that might aggravated someone with GERD. The thing is I have no heart burn or chest discomfort, but I do notice I’ve had to cough and spit more mucus out lately, which makes me think I might have LPR, but I don’t feel like the acid refluxing up my esophagus. I went to my primary care doctor and she put me on Protonix 40 mg once a day, and she wants a stool sample from me to check for H. Pylori. Do I really have gerd/lpr, or is it possible it’s something else.</t>
        </is>
      </c>
      <c r="D1241" t="n">
        <v>1</v>
      </c>
      <c r="E1241" t="n">
        <v>0</v>
      </c>
      <c r="F1241">
        <f>HYPERLINK("https://www.reddit.com/r/GERD/comments/bq1uan/i_dont_know_what_i_have_i_need_help/")</f>
        <v/>
      </c>
      <c r="G1241" t="inlineStr">
        <is>
          <t>2019-05-18 02:04:04</t>
        </is>
      </c>
      <c r="H1241" t="inlineStr"/>
    </row>
    <row r="1242">
      <c r="A1242" t="inlineStr">
        <is>
          <t>bq22uu</t>
        </is>
      </c>
      <c r="B1242" t="inlineStr">
        <is>
          <t>So how in the hell am I supposed to sleep with GERD?</t>
        </is>
      </c>
      <c r="C1242" t="inlineStr">
        <is>
          <t>These last few days have been terrible for me. I cant even sleep right now at all. I cant lay down on my bed because I feel like I'll vomit everything back out and I cant handle the heartburn. I even made sure I waited 2 hours after eating to go to sleep. Currently almost 5 am and I still dont feel like I can lay down yet. Should I just go to the hospital or what?</t>
        </is>
      </c>
      <c r="D1242" t="n">
        <v>1</v>
      </c>
      <c r="E1242" t="n">
        <v>4</v>
      </c>
      <c r="F1242">
        <f>HYPERLINK("https://www.reddit.com/r/GERD/comments/bq22uu/so_how_in_the_hell_am_i_supposed_to_sleep_with/")</f>
        <v/>
      </c>
      <c r="G1242" t="inlineStr">
        <is>
          <t>2019-05-18 02:44:40</t>
        </is>
      </c>
      <c r="H1242" t="inlineStr"/>
    </row>
    <row r="1243">
      <c r="A1243" t="inlineStr">
        <is>
          <t>bq3pwz</t>
        </is>
      </c>
      <c r="B1243" t="inlineStr">
        <is>
          <t>Stop PPIs cold after taking them for 2 weeks?</t>
        </is>
      </c>
      <c r="C1243" t="inlineStr">
        <is>
          <t>Is it safe to stop taking omeprazole cold after only taking it for 2 weeks? I found it gave me the worst constipation of my life and I am chronically constipated  but this is something else. I'm only supposed to be on it for 1 month, but I can't bear to keep taking it when it's making my poop like half-hard clay that I can't pass.</t>
        </is>
      </c>
      <c r="D1243" t="n">
        <v>3</v>
      </c>
      <c r="E1243" t="n">
        <v>11</v>
      </c>
      <c r="F1243">
        <f>HYPERLINK("https://www.reddit.com/r/GERD/comments/bq3pwz/stop_ppis_cold_after_taking_them_for_2_weeks/")</f>
        <v/>
      </c>
      <c r="G1243" t="inlineStr">
        <is>
          <t>2019-05-18 05:56:58</t>
        </is>
      </c>
      <c r="H1243" t="inlineStr"/>
    </row>
    <row r="1244">
      <c r="A1244" t="inlineStr">
        <is>
          <t>bq3wxg</t>
        </is>
      </c>
      <c r="B1244" t="inlineStr">
        <is>
          <t>Will bed risers slip?</t>
        </is>
      </c>
      <c r="C1244" t="inlineStr">
        <is>
          <t>I’m going to buy some bed risers to help with reflux. My fear is that they’ll buckle when my spouse and I enter the bed. How do they stay put?</t>
        </is>
      </c>
      <c r="D1244" t="n">
        <v>3</v>
      </c>
      <c r="E1244" t="n">
        <v>4</v>
      </c>
      <c r="F1244">
        <f>HYPERLINK("https://www.reddit.com/r/GERD/comments/bq3wxg/will_bed_risers_slip/")</f>
        <v/>
      </c>
      <c r="G1244" t="inlineStr">
        <is>
          <t>2019-05-18 06:18:36</t>
        </is>
      </c>
      <c r="H1244" t="inlineStr"/>
    </row>
    <row r="1245">
      <c r="A1245" t="inlineStr">
        <is>
          <t>bq7n5t</t>
        </is>
      </c>
      <c r="B1245" t="inlineStr">
        <is>
          <t>Pretty scared right now</t>
        </is>
      </c>
      <c r="C1245" t="inlineStr">
        <is>
          <t>This is long, my apologies.
So for the better part of my life I’ve had pretty bad reflux, started on a low dose Prevacid many years ago and have been fine since.
Then since about two months ago I started getting these weird symptoms a couple times a day. The most immediate and most terrifying is by far the shortness of breath. There were a few times where I genuinely felt like I could not breathe, at the same time I would start to feel hot, and have really bad sinus pressure, slight chest pains in different areas, and my neck would be tight.
So right away I go to the hospital, full range of tests, ecg, full bloodwork, chest X-ray, heart ultrasound, everything looks perfect.
My GP figures it’s allergy related, possibly even asthma. She prescribed me a couple inhalers, off I go. The funny thing is for the next few weeks after that, I was only having these episodes 1-2 times a day, and at specific times. It was usually between 8-9 in the morning, and then 3-4 in the afternoon, at work, which is outside, reinforcing the allergy related theory in my head. Also this stuff started happening pretty much right around when the snow was melting here where I live, maybe mold?
I’d come home and feel fine, just tired.
It’s at this time I started going to a naturopath, who immediately says its candida, gives me a supplement regimen and a diet layout and off I go.
I’m positive I had/have a candida overgrowth, I experienced some pretty bad die off symptoms, terrible stools, headaches, brutal fatigue, that all go away when I lay off the antifungals she gave me.
So to the last few weeks, I’m basically just googling my symptoms at this point, seeing what turns up, and what I see is a lot in common with LPR. I’ve never even heard about this before just recently, but it lines up with a lot of what I seem to have.
I had a really bad anxiety attack this last week, ended back in emergency, all the tests done again, all look good.
I haven’t been officially diagnosed with anything yet, I’m seeing my doctor soon and am going to get all the requisite tests done with a gastroenterologist and probably an ENT as well.
The last week has been awful. The shortness of breath is actually not as severe as it was but it’s a lot more frequent now throughout the day, and I have also been coughing every night and morning, sometimes after eating, the anxiety is crippling at this point, making it a lot worse I’m sure. And I’ve been having these brutal sinus headaches. The funny thing I should mention is this all got way worse when I became ‘aware’ it could be LPR, psychosomatic?
So basically I’m just wondering if people have experienced the same things? Does this sound like lpr? Something else? Can I fix this? Any and all responses are appreciated, just looking for some hope, thanks everyone.</t>
        </is>
      </c>
      <c r="D1245" t="n">
        <v>6</v>
      </c>
      <c r="E1245" t="n">
        <v>17</v>
      </c>
      <c r="F1245">
        <f>HYPERLINK("https://www.reddit.com/r/GERD/comments/bq7n5t/pretty_scared_right_now/")</f>
        <v/>
      </c>
      <c r="G1245" t="inlineStr">
        <is>
          <t>2019-05-18 12:14:46</t>
        </is>
      </c>
      <c r="H1245" t="inlineStr"/>
    </row>
    <row r="1246">
      <c r="A1246" t="inlineStr">
        <is>
          <t>bq86tw</t>
        </is>
      </c>
      <c r="B1246" t="inlineStr">
        <is>
          <t>Timing and spacing of meds and meals</t>
        </is>
      </c>
      <c r="C1246" t="inlineStr">
        <is>
          <t>How do you take your meds? I'm on my second round of PPIs (omeprazole 40 mg twice daily) for reflux and I'd love to know how others using PPIs successfully are spacing their meds and meals. I've been on them about 2 months and improved about 90% right away,  but have had some pretty bad reflux, upper back pain, bloating, belching, and stomach burning this past week. I think I may have IBS too. I've already been tested for cardiac and gallbladder issues. I dont see the gastroenterologist until the end of the month and I want to make sure I'm doing it right and giving it the best effort before I see him. 
I take one omeprazole in the morning about 30 min to one hour before breakfast, along with a blood pressure medication, then a gentle iron supplement with lunch (for anemia), then I take the second dose about an hour before dinner. I try to keep my eating window to an 8 hour period so it won't affect me at night.
I'm thinking of adding a pepcid or something during the day to help alleviate the symptoms. My diet is mostly just plain meat, veggies, and potatoes. I have tried a few other things when I start feeling better, but always avoid really acidic things, sodas, etc. I've been dealing with this for almost a year and have weeks with no problems, then it comes back. Stress and a bulging disc in my thoracic area could also be a factor.</t>
        </is>
      </c>
      <c r="D1246" t="n">
        <v>2</v>
      </c>
      <c r="E1246" t="n">
        <v>1</v>
      </c>
      <c r="F1246">
        <f>HYPERLINK("https://www.reddit.com/r/GERD/comments/bq86tw/timing_and_spacing_of_meds_and_meals/")</f>
        <v/>
      </c>
      <c r="G1246" t="inlineStr">
        <is>
          <t>2019-05-18 13:06:13</t>
        </is>
      </c>
      <c r="H1246" t="inlineStr"/>
    </row>
    <row r="1247">
      <c r="A1247" t="inlineStr">
        <is>
          <t>bqb25p</t>
        </is>
      </c>
      <c r="B1247" t="inlineStr">
        <is>
          <t>Gotta vent and ask yall for some advice</t>
        </is>
      </c>
      <c r="C1247" t="inlineStr">
        <is>
          <t>I'm glad I finally took the steps to join this sub. About 6 months ago a few of my friends and I went to a pizza place and I had a good amount of food and that night I had some awful chest tightness. The next day I had the wise idea to have some leftovers from the same place and a beer. Same thing that night. I went to the doctor after a bit and they said it was reflux after checking my cardiac to make sure it was nothing cardiac related. That following month I was consistently getting heartburn (the classic burn sensation) daily even after going into a bland diet. I went back and the doctor said that he thought I had esophagitis. He wanted to get me scoped but one of the only gastroenterologists around was booked for the remainder of the year. I went on prilosec 40mg for a while until that prescription ran out. I thought I had felt better and tried to homemake some pizza to see if I could stomach... well anything really. Nope- chest tightness that night. Fast forward a few months later after my condition just went back to being heartburn almost every day- I recently started having the chest tightness symptoms again with frequent burping of air. Now my throat has been itchy and annoying along with all of these with a light cough. I've been trying to avoid acidic foods, greasy foods and well really anything. But it doesn't seem like things are getting better. I went to a gastroenterologist finally who wants to get me scoped but my schedule wont allow me for like a month. I'm currently on Protonix (the ppi, I cant remember how it's spelt) and about 5 days in. Still no improvements. Losing hope over here. Was hoping I could get some advice or anything really. I'm taking ginger supplements, digestive enzymes, and now I'm taking probiotics to help too. I eat very clean but I'm not really sure what to do at this point. Thanks y'all.</t>
        </is>
      </c>
      <c r="D1247" t="n">
        <v>1</v>
      </c>
      <c r="E1247" t="n">
        <v>14</v>
      </c>
      <c r="F1247">
        <f>HYPERLINK("https://www.reddit.com/r/GERD/comments/bqb25p/gotta_vent_and_ask_yall_for_some_advice/")</f>
        <v/>
      </c>
      <c r="G1247" t="inlineStr">
        <is>
          <t>2019-05-18 17:49:31</t>
        </is>
      </c>
      <c r="H1247" t="inlineStr"/>
    </row>
    <row r="1248">
      <c r="A1248" t="inlineStr">
        <is>
          <t>bqb4vs</t>
        </is>
      </c>
      <c r="B1248" t="inlineStr">
        <is>
          <t>Recent acid reflux sufferer. What is this fresh hell?</t>
        </is>
      </c>
      <c r="C1248" t="inlineStr">
        <is>
          <t xml:space="preserve">
I apologize in advance for the long post, but I’d rather get all the strange details out there. 
For my 20th birthday, instead of getting presents, I got some awful acid reflux symptoms. It seemed like this acid epidemic came completely out of the blue. I was flooded with uni work, but no other major events were happening when this popped up. The acid was also accompanied by a stomachache, dull chest pain, and lots of burping/breaking wind. My anxious brain immediately thought I was having a heart condition, so I rushed to the doctor. He said that my heart seemed fine and did not see a reason for an EKG. I had bloodwork done, which all came back with healthy results. I was given Ranitidine and sent on my way. 
The medication seemed to help and I started noticing my achy chest less. I chalked my chest pain up to being an archer, where I would constantly put strain my upper body. 
Everything was all fine and dandy up until a couple of weeks ago. Even on the ranitidine, my stomach would still flare up. It is never a sharp or intense pain, but rather a dull feeling that would fade in and out at seemingly random times. Burping and the phantom chest ache has also returned and lasts long after I’m done shooting. Snide remarks from my family about acid reflux being a sign of cancer did not help. 
Unsurprisingly, the more I badger my poor doctors about the issue, the less they believe me. They’ve even talked about anxiety meds. 
Has anyone else had an experience similar to this? And are there any tips out there to deal with it? I have a doctor’s appointment coming up soon, but honestly I’m not expecting much.</t>
        </is>
      </c>
      <c r="D1248" t="n">
        <v>8</v>
      </c>
      <c r="E1248" t="n">
        <v>9</v>
      </c>
      <c r="F1248">
        <f>HYPERLINK("https://www.reddit.com/r/GERD/comments/bqb4vs/recent_acid_reflux_sufferer_what_is_this_fresh/")</f>
        <v/>
      </c>
      <c r="G1248" t="inlineStr">
        <is>
          <t>2019-05-18 17:57:37</t>
        </is>
      </c>
      <c r="H1248" t="inlineStr"/>
    </row>
    <row r="1249">
      <c r="A1249" t="inlineStr">
        <is>
          <t>bqc4n1</t>
        </is>
      </c>
      <c r="B1249" t="inlineStr">
        <is>
          <t>What to do about severe substernal pain?</t>
        </is>
      </c>
      <c r="C1249" t="inlineStr">
        <is>
          <t>I had a couple drinks (big mistake) and my whole abdomen is on fire. My chest (substernal) hurts so bad I can't even describe it. 
What the hell can I do for relief? If I take pain meds they just make it worse because they increase the acid in my stomach :(</t>
        </is>
      </c>
      <c r="D1249" t="n">
        <v>3</v>
      </c>
      <c r="E1249" t="n">
        <v>1</v>
      </c>
      <c r="F1249">
        <f>HYPERLINK("https://www.reddit.com/r/GERD/comments/bqc4n1/what_to_do_about_severe_substernal_pain/")</f>
        <v/>
      </c>
      <c r="G1249" t="inlineStr">
        <is>
          <t>2019-05-18 19:51:19</t>
        </is>
      </c>
      <c r="H1249" t="inlineStr"/>
    </row>
    <row r="1250">
      <c r="A1250" t="inlineStr">
        <is>
          <t>bqcow3</t>
        </is>
      </c>
      <c r="B1250" t="inlineStr">
        <is>
          <t>Alternative to Protonix?</t>
        </is>
      </c>
      <c r="C1250" t="inlineStr">
        <is>
          <t>Looking for an alternative to Protonix that is safer for me. I’ve been on it for around 15 years. I’ve tried omeprazole but it just doesn’t work for me.</t>
        </is>
      </c>
      <c r="D1250" t="n">
        <v>2</v>
      </c>
      <c r="E1250" t="n">
        <v>4</v>
      </c>
      <c r="F1250">
        <f>HYPERLINK("https://www.reddit.com/r/GERD/comments/bqcow3/alternative_to_protonix/")</f>
        <v/>
      </c>
      <c r="G1250" t="inlineStr">
        <is>
          <t>2019-05-18 20:59:39</t>
        </is>
      </c>
      <c r="H1250" t="inlineStr"/>
    </row>
    <row r="1251">
      <c r="A1251" t="inlineStr">
        <is>
          <t>bqd9q6</t>
        </is>
      </c>
      <c r="B1251" t="inlineStr">
        <is>
          <t>Stomach hardens and feel like vomiting if I stand up for too long. Anyone else?</t>
        </is>
      </c>
      <c r="C1251" t="inlineStr">
        <is>
          <t>I know it’s an obscure symptom but I have to see if anyone else has a similar issue or solution. If I stand up for too long, such as at a concert, especially if I’ve eaten a meal before, later my stomach will feel like it hardens and I feel like vomiting. Sometimes I do end up vomiting. The stomach pain is only relieved by sitting down. I was diagnosed with GERD and related digestive issues 10 years ago but this symptom has only started more the past 4 years.</t>
        </is>
      </c>
      <c r="D1251" t="n">
        <v>1</v>
      </c>
      <c r="E1251" t="n">
        <v>0</v>
      </c>
      <c r="F1251">
        <f>HYPERLINK("https://www.reddit.com/r/GERD/comments/bqd9q6/stomach_hardens_and_feel_like_vomiting_if_i_stand/")</f>
        <v/>
      </c>
      <c r="G1251" t="inlineStr">
        <is>
          <t>2019-05-18 22:11:45</t>
        </is>
      </c>
      <c r="H1251" t="inlineStr"/>
    </row>
    <row r="1252">
      <c r="A1252" t="inlineStr">
        <is>
          <t>bqduay</t>
        </is>
      </c>
      <c r="B1252" t="inlineStr">
        <is>
          <t>Lower back pain?</t>
        </is>
      </c>
      <c r="C1252" t="inlineStr">
        <is>
          <t>Anyone have lower back pain that is like on the spine area? 
I believe me gaining more weight recently (im overweight) has done this.. 
Also I have a lot of gas that i want to release and some indigestion.
I have silent reflux with indigestion and bloating issue.</t>
        </is>
      </c>
      <c r="D1252" t="n">
        <v>2</v>
      </c>
      <c r="E1252" t="n">
        <v>2</v>
      </c>
      <c r="F1252">
        <f>HYPERLINK("https://www.reddit.com/r/GERD/comments/bqduay/lower_back_pain/")</f>
        <v/>
      </c>
      <c r="G1252" t="inlineStr">
        <is>
          <t>2019-05-18 23:51:16</t>
        </is>
      </c>
      <c r="H1252" t="inlineStr"/>
    </row>
    <row r="1253">
      <c r="A1253" t="inlineStr">
        <is>
          <t>bqehwg</t>
        </is>
      </c>
      <c r="B1253" t="inlineStr">
        <is>
          <t>anxiety-GERD link ... Sometimes I think the entire human race is stupid. [rant]</t>
        </is>
      </c>
      <c r="C1253" t="inlineStr">
        <is>
          <t>How is it that there are many studies that see co-relation with anxiety and GERD but no one knows the mechanism by which one causes the other?
You would think you could just induce trauma in mice to see if you can create GERD.. but no, we just have anecdotal evidence of people getting acid reflux when a stressful life event happens.....
&amp;amp;#x200B;
I find it disturbing (at 4 A.M. as I write this) the number of illnesses which we attribute anxiety as a potential cause but we have almost nothing we can do to determine if solving the anxiety will solve the problem. Everyone just sort of throws their hands up and says "well, let's try an antidepressant and see what happens".</t>
        </is>
      </c>
      <c r="D1253" t="n">
        <v>13</v>
      </c>
      <c r="E1253" t="n">
        <v>13</v>
      </c>
      <c r="F1253">
        <f>HYPERLINK("https://www.reddit.com/r/GERD/comments/bqehwg/anxietygerd_link_sometimes_i_think_the_entire/")</f>
        <v/>
      </c>
      <c r="G1253" t="inlineStr">
        <is>
          <t>2019-05-19 01:24:57</t>
        </is>
      </c>
      <c r="H1253" t="inlineStr"/>
    </row>
    <row r="1254">
      <c r="A1254" t="inlineStr">
        <is>
          <t>bqf80b</t>
        </is>
      </c>
      <c r="B1254" t="inlineStr">
        <is>
          <t>How accurate is baking soda test?</t>
        </is>
      </c>
      <c r="C1254" t="inlineStr">
        <is>
          <t>I've tested myself for the first time about a week ago. Luke warm water with 1/4 tsp of baking soda. I don't know if I can call it a burp, even infants do it better, but I've somewhat burped after 16 minutes. I've consumed apple cider vinegar before each meal, but after two days I felt burning sensations and pain. I stopped for two days, and I have tried ginger, lemon and salt remedy before each meal. It was even worse after two days, awful pain, burning and shortness of breath. Sometimes after a meal I feel like I have heavy stones in my stomach. Today I've tested myself once again, and nothing, no burping whatsoever. Should I try Betaine HCL test? Anyone with exact or similar experiences out there?</t>
        </is>
      </c>
      <c r="D1254" t="n">
        <v>2</v>
      </c>
      <c r="E1254" t="n">
        <v>0</v>
      </c>
      <c r="F1254">
        <f>HYPERLINK("https://www.reddit.com/r/GERD/comments/bqf80b/how_accurate_is_baking_soda_test/")</f>
        <v/>
      </c>
      <c r="G1254" t="inlineStr">
        <is>
          <t>2019-05-19 03:00:39</t>
        </is>
      </c>
      <c r="H1254" t="inlineStr"/>
    </row>
    <row r="1255">
      <c r="A1255" t="inlineStr">
        <is>
          <t>bqg87b</t>
        </is>
      </c>
      <c r="B1255" t="inlineStr">
        <is>
          <t>Is breathing problem a common symptom of gerd?</t>
        </is>
      </c>
      <c r="C1255" t="inlineStr">
        <is>
          <t>I've read about people with GERD who are having breathing problems but I can't find much. I am having it like the entire day. I have my heart and lungs checked and they were good. I'm suspecting it's due to GERD since I have other symptoms like burping, food regurgitation and ENT told me I have acid reflux. But are there other people out there with GERD who experiences breathing problem like the entire day? How are you going through it?</t>
        </is>
      </c>
      <c r="D1255" t="n">
        <v>6</v>
      </c>
      <c r="E1255" t="n">
        <v>19</v>
      </c>
      <c r="F1255">
        <f>HYPERLINK("https://www.reddit.com/r/GERD/comments/bqg87b/is_breathing_problem_a_common_symptom_of_gerd/")</f>
        <v/>
      </c>
      <c r="G1255" t="inlineStr">
        <is>
          <t>2019-05-19 05:11:05</t>
        </is>
      </c>
      <c r="H1255" t="inlineStr"/>
    </row>
    <row r="1256">
      <c r="A1256" t="inlineStr">
        <is>
          <t>bqjm5a</t>
        </is>
      </c>
      <c r="B1256" t="inlineStr">
        <is>
          <t>Weightlifting and GERD</t>
        </is>
      </c>
      <c r="C1256" t="inlineStr">
        <is>
          <t>Hi, 
So I used to be a really active weight-lifter and once I got humbled by my reflux I haven't really been able to do my routine anymore without spiking my symptoms. Training chest especially almost certainly causes some pain in my chest apart from the exercise. I lost a considerable amount of muscle over the course of the last 6 months and I wanted to see if there was a way I could get back into the swing of things and rebuild myself. 
If yall have any suggestions I'd absolutely love them!</t>
        </is>
      </c>
      <c r="D1256" t="n">
        <v>6</v>
      </c>
      <c r="E1256" t="n">
        <v>16</v>
      </c>
      <c r="F1256">
        <f>HYPERLINK("https://www.reddit.com/r/GERD/comments/bqjm5a/weightlifting_and_gerd/")</f>
        <v/>
      </c>
      <c r="G1256" t="inlineStr">
        <is>
          <t>2019-05-19 10:35:53</t>
        </is>
      </c>
      <c r="H1256" t="inlineStr"/>
    </row>
    <row r="1257">
      <c r="A1257" t="inlineStr">
        <is>
          <t>bqjyvm</t>
        </is>
      </c>
      <c r="B1257" t="inlineStr">
        <is>
          <t>GERD? Maybe LPR? Maybe both?</t>
        </is>
      </c>
      <c r="C1257" t="inlineStr">
        <is>
          <t>Hi all-
&amp;amp;#x200B;
I would love any advice you may be able to give to a recently fed up heartburn victim. So this last week has been truly rough, starting last weekend. Last weekend, I started having really bad heartburn from not eating well, drink, and I have since found out, a horrible habit of using NSAID for my back pain. I couldn't keep anything down, sharp pain on the lower left side of my stomach, diarrhea that was more yellow in color than anything else, and extreme nausea. This went on until Tuesday when I couldn't take it anymore, and had to go to the ER.
Once at the ER, I let them know in 2014, I was diagnoised with Diverticulitis but I have been able to keep flare ups at bay. I said the sharp pain felt the same, but the other symptoms I am having did not happen in 2014. Find out that I had Diverticulosis (the pre-show to Diverticulitis, meaning no infection) They gave me Zofran, and sent me on my way. However, they did say to follow up with a GI doctor.
I had already scheduled one for Weds, so I kept it. Gave them all my symptoms, along with adding the constant burping I have been having, a burning sensation in my stomach, trouble swallowing, along with a cough that can only be described as something hell created. I sometimes cough to the point of not being able to breath and it seems like it happens in the middle of the night, but it can happen at anytime. I also let them know that I have extreme phlegm, that feels like it coats the back of my throat all the time.
They have decided to do a stool sample, an endoscopy, and gave me Prilosec (40mg). Could I have both GERD and LPR, or is it typically one or the other? I have stopped drinking completely, along with the changing of what I am eating. Is there anything else I should be doing? Is there anything else it could be?
Any help is appreciated and I really thank you for reading</t>
        </is>
      </c>
      <c r="D1257" t="n">
        <v>4</v>
      </c>
      <c r="E1257" t="n">
        <v>3</v>
      </c>
      <c r="F1257">
        <f>HYPERLINK("https://www.reddit.com/r/GERD/comments/bqjyvm/gerd_maybe_lpr_maybe_both/")</f>
        <v/>
      </c>
      <c r="G1257" t="inlineStr">
        <is>
          <t>2019-05-19 11:06:25</t>
        </is>
      </c>
      <c r="H1257" t="inlineStr"/>
    </row>
    <row r="1258">
      <c r="A1258" t="inlineStr">
        <is>
          <t>bqkt7m</t>
        </is>
      </c>
      <c r="B1258" t="inlineStr">
        <is>
          <t>Is it true that acid reflux causes cancer?</t>
        </is>
      </c>
      <c r="C1258" t="inlineStr">
        <is>
          <t>I have difficulty swallowing bread, and meat. Is this gerd related?</t>
        </is>
      </c>
      <c r="D1258" t="n">
        <v>1</v>
      </c>
      <c r="E1258" t="n">
        <v>6</v>
      </c>
      <c r="F1258">
        <f>HYPERLINK("https://www.reddit.com/r/GERD/comments/bqkt7m/is_it_true_that_acid_reflux_causes_cancer/")</f>
        <v/>
      </c>
      <c r="G1258" t="inlineStr">
        <is>
          <t>2019-05-19 12:17:33</t>
        </is>
      </c>
      <c r="H1258" t="inlineStr"/>
    </row>
    <row r="1259">
      <c r="A1259" t="inlineStr">
        <is>
          <t>bqm20c</t>
        </is>
      </c>
      <c r="B1259" t="inlineStr">
        <is>
          <t>Is this normal in GERD?</t>
        </is>
      </c>
      <c r="C1259" t="inlineStr">
        <is>
          <t>Who else sometimes feel pressure in the throat, as if there something pressing? I get this when I have anxiety :// I also have nodules, but they aren’t big. Anyone know what this could be please</t>
        </is>
      </c>
      <c r="D1259" t="n">
        <v>3</v>
      </c>
      <c r="E1259" t="n">
        <v>3</v>
      </c>
      <c r="F1259">
        <f>HYPERLINK("https://www.reddit.com/r/GERD/comments/bqm20c/is_this_normal_in_gerd/")</f>
        <v/>
      </c>
      <c r="G1259" t="inlineStr">
        <is>
          <t>2019-05-19 14:05:10</t>
        </is>
      </c>
      <c r="H1259" t="inlineStr"/>
    </row>
    <row r="1260">
      <c r="A1260" t="inlineStr">
        <is>
          <t>bqn4v1</t>
        </is>
      </c>
      <c r="B1260" t="inlineStr">
        <is>
          <t>Stomach Feels full after eating very little.</t>
        </is>
      </c>
      <c r="C1260" t="inlineStr">
        <is>
          <t>Hello, I haven't received a diagnosis.  I've just been referred to the GI Doc.  Appt. is over 1 month away.  I'm having buring, acid reflux issues.  But over the past week - 2 weeks, I've found that i'm not able to eat a lot of food.  I eat a portion, and I seem to quickly fill up.  If I should eat too much, my stomach feels overfull and painful.  At the moment, i feel some pain in my stomach.  But, I'm not sure what to make of this.  I was on a PPI for 2 months, but I've stopped taking them, about 3 days, after this problem started.</t>
        </is>
      </c>
      <c r="D1260" t="n">
        <v>4</v>
      </c>
      <c r="E1260" t="n">
        <v>4</v>
      </c>
      <c r="F1260">
        <f>HYPERLINK("https://www.reddit.com/r/GERD/comments/bqn4v1/stomach_feels_full_after_eating_very_little/")</f>
        <v/>
      </c>
      <c r="G1260" t="inlineStr">
        <is>
          <t>2019-05-19 15:38:32</t>
        </is>
      </c>
      <c r="H1260" t="inlineStr"/>
    </row>
    <row r="1261">
      <c r="A1261" t="inlineStr">
        <is>
          <t>bqnbvh</t>
        </is>
      </c>
      <c r="B1261" t="inlineStr">
        <is>
          <t>Can someone give me a diet to heal my esophagus</t>
        </is>
      </c>
      <c r="C1261" t="inlineStr">
        <is>
          <t>Feel like it’s been worn out, like when I swallow bread it gets stuck etc, so I wanna try healing the esophagus, what are some GERD diets I can try</t>
        </is>
      </c>
      <c r="D1261" t="n">
        <v>2</v>
      </c>
      <c r="E1261" t="n">
        <v>5</v>
      </c>
      <c r="F1261">
        <f>HYPERLINK("https://www.reddit.com/r/GERD/comments/bqnbvh/can_someone_give_me_a_diet_to_heal_my_esophagus/")</f>
        <v/>
      </c>
      <c r="G1261" t="inlineStr">
        <is>
          <t>2019-05-19 15:56:26</t>
        </is>
      </c>
      <c r="H1261" t="inlineStr"/>
    </row>
    <row r="1262">
      <c r="A1262" t="inlineStr">
        <is>
          <t>bqnxsg</t>
        </is>
      </c>
      <c r="B1262" t="inlineStr">
        <is>
          <t>Was Acid Rebound the reason I could barely eat? + Rant lol (Back on Pantoprazole)</t>
        </is>
      </c>
      <c r="C1262" t="inlineStr">
        <is>
          <t>After a month,I got off of PPI's 2 weeks ago(cold turkey) and went back 3 days ago because i legit could not eat without them.Like..idk how many pounds i lost but i havent been 130.6 since 7th grade and im 19 now.
Im not sure how long rebound lasts,or if that was even rebound,but i was starting to starve myself.The only thing i could digest was candy.
The day I went off of them,i had a really bad burning in my throat the whole day.After that,i was back to normal and i was able to eat a good amount without feeling sick afterwards.I thought it was alllll good,until a week later.I swear to god,all i could eat was tiny portions of food.I didnt have any acid in my throat,but my left rib had a burning sensation and my food never felt like it was going down.Zantac wasnt helping either.
Ever had a famous bowl from KFC?Imagine someone taking one bite of that,not being able to take anymore bites of it afterwards.Like wtf,i hate this disease 😭😭
I used to be able to eat anything for 3 years,but i always had a burning sensation in my throat after eating.I used water to keep it down,but the acid definitely did damage.It effected my singing,but i never thought the symptoms would get this bad.
The feeling of food stuck under my rib cage started to go away,but it didnt feel like it was digesting quick enough,so im back on pantoprazole 40mg.Yay!
And my doctor also gave me sertraline 25mg (zoloft) that im not gonna take.YAY!(Apparently,ppi and ssris increase the chances of osteoporosis even more)
I dont think I wanna try weaning off these again.They have lots of risks but
GERD isnt my only health problem right now.
I have dental issues that need a few more appointments,and i also have a brain issue.Pressure on the left side of head,cant go out in the heat without feeling like im going to faint,feels like my face is sagging on the left side,cant even think on the left side of my brain without my body "buzzing" all over.Ive had this for 3 years also.My doctors say its anxiety and my parents dont give a fuck cause its all "in my head".
Im gonna try to get a MRI on my brain next,but I think I give up on trying to beat gerd at this point.</t>
        </is>
      </c>
      <c r="D1262" t="n">
        <v>2</v>
      </c>
      <c r="E1262" t="n">
        <v>2</v>
      </c>
      <c r="F1262">
        <f>HYPERLINK("https://www.reddit.com/r/GERD/comments/bqnxsg/was_acid_rebound_the_reason_i_could_barely_eat/")</f>
        <v/>
      </c>
      <c r="G1262" t="inlineStr">
        <is>
          <t>2019-05-19 16:54:40</t>
        </is>
      </c>
      <c r="H1262" t="inlineStr"/>
    </row>
    <row r="1263">
      <c r="A1263" t="inlineStr">
        <is>
          <t>bqp726</t>
        </is>
      </c>
      <c r="B1263" t="inlineStr">
        <is>
          <t>Beer?</t>
        </is>
      </c>
      <c r="C1263" t="inlineStr">
        <is>
          <t>Hey everyone. What kind of beer would you recommend for those with GERD? I find IPA’s to be very hard on my acid reflux. 
Thanks!</t>
        </is>
      </c>
      <c r="D1263" t="n">
        <v>1</v>
      </c>
      <c r="E1263" t="n">
        <v>5</v>
      </c>
      <c r="F1263">
        <f>HYPERLINK("https://www.reddit.com/r/GERD/comments/bqp726/beer/")</f>
        <v/>
      </c>
      <c r="G1263" t="inlineStr">
        <is>
          <t>2019-05-19 19:01:55</t>
        </is>
      </c>
      <c r="H1263" t="inlineStr"/>
    </row>
    <row r="1264">
      <c r="A1264" t="inlineStr">
        <is>
          <t>bqpdbj</t>
        </is>
      </c>
      <c r="B1264" t="inlineStr">
        <is>
          <t>I don't eat anything acidic, and I only drink water. Why am I having stomach burning/chest burn?</t>
        </is>
      </c>
      <c r="C1264" t="inlineStr">
        <is>
          <t>I've been off PPIs for a week now, and I've had burning everyday, mostly in the stomach area and just a tiny bit creeping up into my chest, but never intolerable. It's just kind of annoying. I don't get why I would have burning when I haven't eaten or drank anything acidic? Could someone educate me?</t>
        </is>
      </c>
      <c r="D1264" t="n">
        <v>13</v>
      </c>
      <c r="E1264" t="n">
        <v>24</v>
      </c>
      <c r="F1264">
        <f>HYPERLINK("https://www.reddit.com/r/GERD/comments/bqpdbj/i_dont_eat_anything_acidic_and_i_only_drink_water/")</f>
        <v/>
      </c>
      <c r="G1264" t="inlineStr">
        <is>
          <t>2019-05-19 19:18:49</t>
        </is>
      </c>
      <c r="H1264" t="inlineStr"/>
    </row>
    <row r="1265">
      <c r="A1265" t="inlineStr">
        <is>
          <t>bqprje</t>
        </is>
      </c>
      <c r="B1265" t="inlineStr">
        <is>
          <t>Gerd / throat problems</t>
        </is>
      </c>
      <c r="C1265" t="inlineStr">
        <is>
          <t>So I've had what I believe is gerd for about 2 years now off and on and bad anxiety. Long story short it seems much worse and in the past 2 weeks swallowing has become a chore, nothin ever fully gets stuck and i dont choke but it just feels like something is there, and now it feels sore as well. Even oatmeal didint feel right to eat.
What I really cant tell is if its purely anxiety related(it 100% has made me now nervous and hyper aware everytime i need to eat) or has my gerd done something to my throat?  Its gotten to the point where im eating so little i lost 8 pounds in the last 2 weeks. I just started omneprozale 3 days ago but havent noticed a change</t>
        </is>
      </c>
      <c r="D1265" t="n">
        <v>1</v>
      </c>
      <c r="E1265" t="n">
        <v>0</v>
      </c>
      <c r="F1265">
        <f>HYPERLINK("https://www.reddit.com/r/GERD/comments/bqprje/gerd_throat_problems/")</f>
        <v/>
      </c>
      <c r="G1265" t="inlineStr">
        <is>
          <t>2019-05-19 19:49:43</t>
        </is>
      </c>
      <c r="H1265" t="inlineStr"/>
    </row>
    <row r="1266">
      <c r="A1266" t="inlineStr">
        <is>
          <t>bqrzyx</t>
        </is>
      </c>
      <c r="B1266" t="inlineStr">
        <is>
          <t>40mg Omeprozole and Gaviscon</t>
        </is>
      </c>
      <c r="C1266" t="inlineStr">
        <is>
          <t>Hi guys. About two or 3 months ago I started getting acid reflux. I didn't know what it was at the time and was very worried. I think it came on due to severe anxiety, due to life events at the time.
I eventually had what felt like an ulcer in my chest, so the doctor gave me 40mg, split, day and night. It's much better but I still get reflux 3 or 4 times a day and the only thing that makes it settle is Gaviscon.
Is it normal that 40mg doesn't work very well? I've stopped eating all sorts of foods, coffee and cut down on booze. I have a reflux pillow and don't eat after 6pm. 
It's been 3 weeks and it feels like Gaviscon is my life now. About 80mls a day. My anxiety feels like it's gone now, so it can't be that. 
I will book another doctors appointment soon but in the mean time I was wondering if any of you guys have experienced this? Everyone I know that's had reflux, takes 20mg Omeprozole and they are sorted!</t>
        </is>
      </c>
      <c r="D1266" t="n">
        <v>2</v>
      </c>
      <c r="E1266" t="n">
        <v>1</v>
      </c>
      <c r="F1266">
        <f>HYPERLINK("https://www.reddit.com/r/GERD/comments/bqrzyx/40mg_omeprozole_and_gaviscon/")</f>
        <v/>
      </c>
      <c r="G1266" t="inlineStr">
        <is>
          <t>2019-05-19 23:36:32</t>
        </is>
      </c>
      <c r="H1266" t="inlineStr"/>
    </row>
    <row r="1267">
      <c r="A1267" t="inlineStr">
        <is>
          <t>bqs5r5</t>
        </is>
      </c>
      <c r="B1267" t="inlineStr">
        <is>
          <t>am I getting GERD again because I now don't have enough acid?</t>
        </is>
      </c>
      <c r="C1267" t="inlineStr">
        <is>
          <t>I need help figuring out what's going on with my body and what is causing my GERD/ gastritis. My doctors are dumbasses who think all my theories about what's causing my GERD are stupid, but as with many doctors treating digestive issues, they don't know. They don't seem to care at all. Fuck them. 
&amp;amp;#x200B;
So I've been on both a FODMAP diet and a generally acid/gluten/dairy free diet for almost a year now. My actual acid reflux was gone for about 2 months, whilst my diet remained very clean, and I was actually less stressed. What was left was remaining gastritis/bloating. Recently, I started getting acid reflux on and off again. I'm not sure why. 
I'm not particularly more stressed. I'm wondering if it's one or both of these things:
1. The sphincter is relaxed again
2. My acid level is too low (which is why people take HCI supplements)
3. I'm actually more stressed than I thought? 
Has anyone had this happen? I'm very frustrated, because the main issue is I have no idea what is causing my digestive issues in the first place.</t>
        </is>
      </c>
      <c r="D1267" t="n">
        <v>3</v>
      </c>
      <c r="E1267" t="n">
        <v>10</v>
      </c>
      <c r="F1267">
        <f>HYPERLINK("https://www.reddit.com/r/GERD/comments/bqs5r5/am_i_getting_gerd_again_because_i_now_dont_have/")</f>
        <v/>
      </c>
      <c r="G1267" t="inlineStr">
        <is>
          <t>2019-05-19 23:56:17</t>
        </is>
      </c>
      <c r="H1267" t="inlineStr"/>
    </row>
    <row r="1268">
      <c r="A1268" t="inlineStr">
        <is>
          <t>bqt6p1</t>
        </is>
      </c>
      <c r="B1268" t="inlineStr">
        <is>
          <t>Ppi without food or little food</t>
        </is>
      </c>
      <c r="C1268" t="inlineStr">
        <is>
          <t>For gerd/gastritis if you take ppi with no meal or lets say an apple, will the ppi work? Or it wont do anything?</t>
        </is>
      </c>
      <c r="D1268" t="n">
        <v>2</v>
      </c>
      <c r="E1268" t="n">
        <v>3</v>
      </c>
      <c r="F1268">
        <f>HYPERLINK("https://www.reddit.com/r/GERD/comments/bqt6p1/ppi_without_food_or_little_food/")</f>
        <v/>
      </c>
      <c r="G1268" t="inlineStr">
        <is>
          <t>2019-05-20 02:10:37</t>
        </is>
      </c>
      <c r="H1268" t="inlineStr"/>
    </row>
    <row r="1269">
      <c r="A1269" t="inlineStr">
        <is>
          <t>bqul8m</t>
        </is>
      </c>
      <c r="B1269" t="inlineStr">
        <is>
          <t>Ppis and voice</t>
        </is>
      </c>
      <c r="C1269" t="inlineStr">
        <is>
          <t>I’ve had a slight hoarseness intermittent for a while have been taking ppis for a while, I recently had 1.5 weeks off them and my voice was fine in that time. I’m confused because I’ve heard or been told by drs that they are supposed to help voice not the other way around, anyone else experienced this? Unsure now what to do because I don’t want to cause damage by stopping them, I’ve also tried ranitidine but seems to give me bad side affects if taken regularly.</t>
        </is>
      </c>
      <c r="D1269" t="n">
        <v>3</v>
      </c>
      <c r="E1269" t="n">
        <v>0</v>
      </c>
      <c r="F1269">
        <f>HYPERLINK("https://www.reddit.com/r/GERD/comments/bqul8m/ppis_and_voice/")</f>
        <v/>
      </c>
      <c r="G1269" t="inlineStr">
        <is>
          <t>2019-05-20 04:55:01</t>
        </is>
      </c>
      <c r="H1269" t="inlineStr"/>
    </row>
    <row r="1270">
      <c r="A1270" t="inlineStr">
        <is>
          <t>bquo9l</t>
        </is>
      </c>
      <c r="B1270" t="inlineStr">
        <is>
          <t>Does anyone else get indigestion and acid reflux but no heartburn?</t>
        </is>
      </c>
      <c r="C1270" t="inlineStr">
        <is>
          <t>It's very rare for me to get heartburn and I read a lot of people with GERD seem to get it, so was wondering if anyone was like me and just kind of feels the need to burp (to alleviate discomfort/nausea)?</t>
        </is>
      </c>
      <c r="D1270" t="n">
        <v>19</v>
      </c>
      <c r="E1270" t="n">
        <v>9</v>
      </c>
      <c r="F1270">
        <f>HYPERLINK("https://www.reddit.com/r/GERD/comments/bquo9l/does_anyone_else_get_indigestion_and_acid_reflux/")</f>
        <v/>
      </c>
      <c r="G1270" t="inlineStr">
        <is>
          <t>2019-05-20 05:03:34</t>
        </is>
      </c>
      <c r="H1270" t="inlineStr"/>
    </row>
    <row r="1271">
      <c r="A1271" t="inlineStr">
        <is>
          <t>bqxawn</t>
        </is>
      </c>
      <c r="B1271" t="inlineStr">
        <is>
          <t>Is there anything I can/should be taking along side PPIs to keep my stomach in good condition?</t>
        </is>
      </c>
      <c r="C1271" t="inlineStr">
        <is>
          <t>I'm hoping to hear what has helped you people with stomach pains, constipation, and some of the other common side effects of the dreaded PPIs... The only side effect I really seem to be encountering is the stomach pain. It mainly occurs after a meal which I honestly expected. So I'm just curious if there's anything y'all can recommend to curb this a bit? I'm currently taking the PPI before dinner every night and it seems to be fine initially but then it will hit me out of nowhere and it can be cripplingly painful sometimes. Most of the time it's just a mild burning in my stomach which is tolerable. Thanks in advance for any help/suggestions!</t>
        </is>
      </c>
      <c r="D1271" t="n">
        <v>3</v>
      </c>
      <c r="E1271" t="n">
        <v>4</v>
      </c>
      <c r="F1271">
        <f>HYPERLINK("https://www.reddit.com/r/GERD/comments/bqxawn/is_there_anything_i_canshould_be_taking_along/")</f>
        <v/>
      </c>
      <c r="G1271" t="inlineStr">
        <is>
          <t>2019-05-20 08:52:36</t>
        </is>
      </c>
      <c r="H1271" t="inlineStr"/>
    </row>
    <row r="1272">
      <c r="A1272" t="inlineStr">
        <is>
          <t>bqy7ik</t>
        </is>
      </c>
      <c r="B1272" t="inlineStr">
        <is>
          <t>Chest pain - help</t>
        </is>
      </c>
      <c r="C1272" t="inlineStr">
        <is>
          <t>Does anyone have a sudden flash of radiating burning pain in the chest when startled ? Like when I almost drop my phone. Or anything for that matter.
Background is that I am a dialysis patient with hypertension which is autoimmune based, so have been taking strong meds like steroids and many hypertensive drugs for years. I am familiar with ulceration and reflux pain. This is different. I am off steroids since 2015. Recently got diagnosed with a duodenal ulcer through endoscopy.
The pain started around 7 months ago when my hypertensIon suddenly surged.
It is really uncomfortable, but over in a fraction of a second.</t>
        </is>
      </c>
      <c r="D1272" t="n">
        <v>2</v>
      </c>
      <c r="E1272" t="n">
        <v>3</v>
      </c>
      <c r="F1272">
        <f>HYPERLINK("https://www.reddit.com/r/GERD/comments/bqy7ik/chest_pain_help/")</f>
        <v/>
      </c>
      <c r="G1272" t="inlineStr">
        <is>
          <t>2019-05-20 10:03:06</t>
        </is>
      </c>
      <c r="H1272" t="inlineStr"/>
    </row>
    <row r="1273">
      <c r="A1273" t="inlineStr">
        <is>
          <t>bqylp2</t>
        </is>
      </c>
      <c r="B1273" t="inlineStr">
        <is>
          <t>Waking up in the middle of the night gastric pain</t>
        </is>
      </c>
      <c r="C1273" t="inlineStr">
        <is>
          <t>^title, I tend to get gastric pain usually before meals etc but this time it actually woke me up from it... And my stomach hurts alot, rushed to eat a small packet of biscuits n immediately had to go toilet... Stool was normal till halfway I had diarrhea. Is this a common occurance? (i was diagnosed with gerd last year but this never happened before)</t>
        </is>
      </c>
      <c r="D1273" t="n">
        <v>4</v>
      </c>
      <c r="E1273" t="n">
        <v>3</v>
      </c>
      <c r="F1273">
        <f>HYPERLINK("https://www.reddit.com/r/GERD/comments/bqylp2/waking_up_in_the_middle_of_the_night_gastric_pain/")</f>
        <v/>
      </c>
      <c r="G1273" t="inlineStr">
        <is>
          <t>2019-05-20 10:33:00</t>
        </is>
      </c>
      <c r="H1273" t="inlineStr"/>
    </row>
    <row r="1274">
      <c r="A1274" t="inlineStr">
        <is>
          <t>bqzhe1</t>
        </is>
      </c>
      <c r="B1274" t="inlineStr">
        <is>
          <t>Staying hydrated with GERD</t>
        </is>
      </c>
      <c r="C1274" t="inlineStr">
        <is>
          <t>How am I supposed to drink the recommended amount of water each day without it all coming back up? 
Normally I have to drink in sips but with my weak LES even if I wanted to drink a whole glass of water, it doesn't say down. 
How do you all stay hydrated? Sipping all day? Ice cubes? Winging it and drinking huge amounts?</t>
        </is>
      </c>
      <c r="D1274" t="n">
        <v>5</v>
      </c>
      <c r="E1274" t="n">
        <v>1</v>
      </c>
      <c r="F1274">
        <f>HYPERLINK("https://www.reddit.com/r/GERD/comments/bqzhe1/staying_hydrated_with_gerd/")</f>
        <v/>
      </c>
      <c r="G1274" t="inlineStr">
        <is>
          <t>2019-05-20 11:42:13</t>
        </is>
      </c>
      <c r="H1274" t="inlineStr"/>
    </row>
    <row r="1275">
      <c r="A1275" t="inlineStr">
        <is>
          <t>br0pme</t>
        </is>
      </c>
      <c r="B1275" t="inlineStr">
        <is>
          <t>Antibiotics</t>
        </is>
      </c>
      <c r="C1275" t="inlineStr">
        <is>
          <t>Recently posted about my issues, and how I believe it is probably lpr, since I get the serious shortness of breath, as well as the sinus pressure.
Anyways, ended back up in emergency today, couldn’t breathe, felt like I was dying, just desperate for something, anything to help me.
Same round of tests, same results. Except this time I also had a rectal exam to check for bleeding, which was negative, and a ct scan on my head because of the insane sinus headaches I’ve been getting for the last 2 weeks.
Ct scan showed significant inflammation on the one side, sinusitis. Doctor prescribed me some antibiotics for the infection.
Now with all the things I’ve read, about how ppi’s already mess up the microbiome, which I take. And how some people theorize that these issues can be caused by bacterial imbalances, am I just going to make things worse by taking these? I mean, I’m sure it’ll clear up the sinus infection, but what else? Man I’m so lost with this stuff</t>
        </is>
      </c>
      <c r="D1275" t="n">
        <v>3</v>
      </c>
      <c r="E1275" t="n">
        <v>1</v>
      </c>
      <c r="F1275">
        <f>HYPERLINK("https://www.reddit.com/r/GERD/comments/br0pme/antibiotics/")</f>
        <v/>
      </c>
      <c r="G1275" t="inlineStr">
        <is>
          <t>2019-05-20 13:16:33</t>
        </is>
      </c>
      <c r="H1275" t="inlineStr"/>
    </row>
    <row r="1276">
      <c r="A1276" t="inlineStr">
        <is>
          <t>br21n4</t>
        </is>
      </c>
      <c r="B1276" t="inlineStr">
        <is>
          <t>Neurological component</t>
        </is>
      </c>
      <c r="C1276" t="inlineStr">
        <is>
          <t>Anyone else feel that their GERD/LPR is strongly influenced by their mental state?
This morning was brutal. Woke up, immediate panic mode, thinking about my health, and within a couple hours, full on breathing attack, throat tightness, swelling, lots of burping.
Lasted a few hours, half the day really, until I went to the hospital, had some more tests done, then came home. Once I got home I had a bowl of steamed veggies, and took a half of one of my Klonopins, and now I feel probably 85-90% better.
It wasn’t the veggies all of a sudden stopping the reflux, and I took no other medication.
It was the Benzo stopping the anxiety ABOUT the reflux.
Now I’ve been reading a bit about how a fair amount of people have treated their lpr with certain anxiolytics/antidepressants, and anecdotally I literally just experienced it.
Anyone else find this to be the case? Am I just off my rocker here? It wasn’t even a lot of Klonopin, 0.5mg.</t>
        </is>
      </c>
      <c r="D1276" t="n">
        <v>6</v>
      </c>
      <c r="E1276" t="n">
        <v>2</v>
      </c>
      <c r="F1276">
        <f>HYPERLINK("https://www.reddit.com/r/GERD/comments/br21n4/neurological_component/")</f>
        <v/>
      </c>
      <c r="G1276" t="inlineStr">
        <is>
          <t>2019-05-20 15:04:49</t>
        </is>
      </c>
      <c r="H1276" t="inlineStr"/>
    </row>
    <row r="1277">
      <c r="A1277" t="inlineStr">
        <is>
          <t>br2hzl</t>
        </is>
      </c>
      <c r="B1277" t="inlineStr">
        <is>
          <t>Wedge Pillow Options</t>
        </is>
      </c>
      <c r="C1277" t="inlineStr">
        <is>
          <t>New to all of this, and was wondering if there are any good wedge pillows anyone would recommend? Or any to avoid (structure didn’t hold up, etc). I know it’s just a pillow, but would like to get a quality one right off the bat.
Thanks in advance.</t>
        </is>
      </c>
      <c r="D1277" t="n">
        <v>3</v>
      </c>
      <c r="E1277" t="n">
        <v>9</v>
      </c>
      <c r="F1277">
        <f>HYPERLINK("https://www.reddit.com/r/GERD/comments/br2hzl/wedge_pillow_options/")</f>
        <v/>
      </c>
      <c r="G1277" t="inlineStr">
        <is>
          <t>2019-05-20 15:44:20</t>
        </is>
      </c>
      <c r="H1277" t="inlineStr"/>
    </row>
    <row r="1278">
      <c r="A1278" t="inlineStr">
        <is>
          <t>br3nw0</t>
        </is>
      </c>
      <c r="B1278" t="inlineStr">
        <is>
          <t>To all GERD sufferers</t>
        </is>
      </c>
      <c r="C1278" t="inlineStr">
        <is>
          <t>I was recently diagnosed with a Hiatal hernia two months ago and was devastated because the symptoms turned my life upside down. I have been getting used to it and I am not as down as I used to be. I try to concentrate on the good aspects of my life but sometimes it’s hard. Anyway, I stumbled on an article that made my problems seem like nothing compared to the man in the article. Take a look at the article and it will make you appreciate the life you have even with GERD. https://www.google.com/amp/s/people.com/health/dad-paralyzed-locked-in-syndrome/amp/</t>
        </is>
      </c>
      <c r="D1278" t="n">
        <v>5</v>
      </c>
      <c r="E1278" t="n">
        <v>16</v>
      </c>
      <c r="F1278">
        <f>HYPERLINK("https://www.reddit.com/r/GERD/comments/br3nw0/to_all_gerd_sufferers/")</f>
        <v/>
      </c>
      <c r="G1278" t="inlineStr">
        <is>
          <t>2019-05-20 17:33:46</t>
        </is>
      </c>
      <c r="H1278" t="inlineStr"/>
    </row>
    <row r="1279">
      <c r="A1279" t="inlineStr">
        <is>
          <t>br3wkh</t>
        </is>
      </c>
      <c r="B1279" t="inlineStr">
        <is>
          <t>Pleurisy, or chest pain from the lungs when inhaling from GERD?</t>
        </is>
      </c>
      <c r="C1279" t="inlineStr">
        <is>
          <t>When acid creeps into the lungs, can it cause chest pain / pain in the lungs when inhaling deeply? It’s apparently called pleurisy.
I was diagnosed with GERD, and was taking PPI’s for a few months now and instantly stopped taking them last week to see if the medicine was causing glare in my vision (it did not). ANYWAY, I am feeling rebound or withdrawal effects and it’s downright awful. My stomach was going bananas and I started tasting acid in my teeth, and I got shortness of breath, among other things again.
I remember feeling pain when inhaling very deeply back then, but this issue went away after taking PPI’s, but this pain has been going on all day. I have a Zenhale asthma/bronchitis inhaler and was wondering if this will do me any good for ‘emergencies’?
I have a 6 hour road trip to another province tomorrow morning. And I’m a little worried I’m going to get myself trapped in the middle of nowhere and get myself into a predicament.
I attempted to find a doctor today, but they’re all closed due to today’s holiday. Anyway, is this caused by GERD? Thanks.</t>
        </is>
      </c>
      <c r="D1279" t="n">
        <v>1</v>
      </c>
      <c r="E1279" t="n">
        <v>0</v>
      </c>
      <c r="F1279">
        <f>HYPERLINK("https://www.reddit.com/r/GERD/comments/br3wkh/pleurisy_or_chest_pain_from_the_lungs_when/")</f>
        <v/>
      </c>
      <c r="G1279" t="inlineStr">
        <is>
          <t>2019-05-20 17:57:39</t>
        </is>
      </c>
      <c r="H1279" t="inlineStr"/>
    </row>
    <row r="1280">
      <c r="A1280" t="inlineStr">
        <is>
          <t>br45l2</t>
        </is>
      </c>
      <c r="B1280" t="inlineStr">
        <is>
          <t>Need some advice</t>
        </is>
      </c>
      <c r="C1280" t="inlineStr">
        <is>
          <t>I had a horrible  experience with GERD last fall. I had difficulty swallowing and a horrible taste in my mouth. I met with a doctor and he gave me a prescription to help. Well I had a problem with my insurance, so I didn’t get the medicine. Some Mylanta seemed to help my problem though. I didn’t have any issues until recently. 
Fast forward to last month and my symptoms seemed to flare up really bad after I had a panic attack. I can’t swallow properly, I have discomfort in my stomach, feel bloated, I can’t really get the gas out, and I’ve been dealing with some breathing problems as well. I went to the ER over the breathing problems and they said everything was fine. 
I met with my gastroenterologist and he did an upper endoscopy on me. He said everything looked fine and that I have a mild case of GERD. I would hate to see what a severe case is like, but in all seriousness, I have no clue what to do. I have been eating very little due to the swallowing problems and have lost close to 20 pounds since last month. I am overweight, so I definitely needed to lose weight, but I didn’t expect it to go like this. 
So I guess I am asking how long does it take medication to help get this under control? I have gotten very little relief in the 4 weeks I’ve been on Nexium 40mg. They even had me start taking it twice a day the last couple of weeks. I am confident I can manage my problems once I get some relief because I know what my trigger foods are. Coffee, carbonated drinks, and chocolate are killers for me. I am just curious when I should expect to get some relief.
I also wonder if anxiety is making my symptoms persist. I don’t know if I actually have anxiety, but I’m wondering if that could be why my medication isn’t working. I’ve been to so many doctors and have had a lot of tests done, but I haven’t really been checked for anxiety and I do have some of the symptoms of anxiety.</t>
        </is>
      </c>
      <c r="D1280" t="n">
        <v>4</v>
      </c>
      <c r="E1280" t="n">
        <v>4</v>
      </c>
      <c r="F1280">
        <f>HYPERLINK("https://www.reddit.com/r/GERD/comments/br45l2/need_some_advice/")</f>
        <v/>
      </c>
      <c r="G1280" t="inlineStr">
        <is>
          <t>2019-05-20 18:22:25</t>
        </is>
      </c>
      <c r="H1280" t="inlineStr"/>
    </row>
    <row r="1281">
      <c r="A1281" t="inlineStr">
        <is>
          <t>br47q4</t>
        </is>
      </c>
      <c r="B1281" t="inlineStr">
        <is>
          <t>Hello! LPR here...</t>
        </is>
      </c>
      <c r="C1281" t="inlineStr">
        <is>
          <t>Diagnosed with reflux which has consistently acted like LPR. 
Started by thinking it was a bad cold that wouldn’t go away: chronic cough waking me up at night and a sore throat that never healed.  
Doc told me they thought it was reflux.  Suggested Zantac (ranitidine) 150 mg twice a day.  
I tried going the lifestyle route and it really helped a lot.  This included 
Not eating junk
Avoiding processed foods
Avoiding dairy (been lightly lactose intolerant already for a decade anyway but further cut it off)
Not eating within 3+ hrs of lying down  -  this was huge for night time.  
Things got a lot better.  But I still had the feeling of a lump in my throat after eating sometimes and my sore throat never really went away 100%. 
Doctor suggested Zantac again and so I took the plunge (Costco has 180 tablets of 150mg for about $15...  cant miss the humongous antacid drug section sadly). 
This really knocked the problem out for me.   I was still being mindful of my diet, posture, etc. Which was great except I don’t want to be taking a pill forever!!
Reduced my dose to 75 mg x 2x a day.  Felt about the same but my sensitivity to deviations / triggers became noticeably worse. 
Many more experiments / food journals / findings but that’s the gist of my story.  It’s an ongoing struggle but not nearly as bad as I’ve seen others here. 
My optimistic perspective to help me through bad days is:  this is a gift - a way for my body to very clearly tell me when I’m not feeding / treating it right.   Wouldn’t have wished it on myself or anyone else but it’s here so I’ll Make the most of it. 
Best!</t>
        </is>
      </c>
      <c r="D1281" t="n">
        <v>6</v>
      </c>
      <c r="E1281" t="n">
        <v>8</v>
      </c>
      <c r="F1281">
        <f>HYPERLINK("https://www.reddit.com/r/GERD/comments/br47q4/hello_lpr_here/")</f>
        <v/>
      </c>
      <c r="G1281" t="inlineStr">
        <is>
          <t>2019-05-20 18:28:27</t>
        </is>
      </c>
      <c r="H1281" t="inlineStr"/>
    </row>
    <row r="1282">
      <c r="A1282" t="inlineStr">
        <is>
          <t>br4de5</t>
        </is>
      </c>
      <c r="B1282" t="inlineStr">
        <is>
          <t>One wild night :-(. (LPR)</t>
        </is>
      </c>
      <c r="C1282" t="inlineStr">
        <is>
          <t>Been treating my LPR for a month or so now with Zantac as directed by doc.  And moreover with lifestyle changes. 
Been looking for ways to ween off the Zantac 
One weekend I decided to fast on a Saturday (I caved at dinner time... too hangry).  The day after (on Sunday) I ate my usual healthy routine of food and decided to skip my Zantac all day. 
Come dinner time I was on track for my best day ever in terms of symptoms. 
I was also trying something new —- I had read one article claiming a theory that reflux is really caused by TOO LITTLE acid in your stomach.  This article recommended buying a supplement with HCL/Pepsin/Betaine which are readily available.   I bought a good one from a health store (150mg of HCL) and took it a little before dinner. 
Dinner was homemade salad greens with a vinaigrette and a nice grass fed steak, 1/2 lb.  
Had dinner with no immediate issues.  About 45 minutes later I began to feel a very light tingling on my tongue.  I questioned if it was real for about a half hour. Then I felt it spreading to my lips and insides of cheeks and undertongue areas.  I now believed it was not just imagination. 
This became terrible for two reasons. One was the symptom set I was experiencing was a constant nagging in my mouth. The second was mental - I was freaking out over what I assumed then (and still do now) to be acid having breached my upper esophageal sphincter and coming into my mouth!!  
After about an hour of this I broke down and took 150mg Zantac (ranitidine) but to no avail.   Drank water sips to help keep it down.   Baking soda water... nothing.  Bed time by  now and couldn’t sleep. Sensation and the worry kept me up.  Lying down expectedly made it feel worse.  
Got up, sat down on a recliner in dismay.  Reclined just enough to facilitate resting my head without making the reflux feel worse.  Took another 150mg Zantac at about 12:30 in despair.  
Only slept about 2 hrs that night. A few spoons of honey helped soothe my throat the best that night. Warm Chamomile tea with honey also helped. 
That night mentally scarred me and I worry about having another episode like that.  
My guess was that the HCL supplement worked all too well in a stomach that was untreated with ranitidine for 24 hrs for the first time in a month and whatever small amount made it past my upper esophageal sphincter was really packing heat by then... and that the Zantac, stopping the stomach from producing new acid, obviously couldn’t stop the HCL-Pepsin-Betaine pill I had taken. 
Anyway.. I want to try taking stomach acid as a solution again but I’ll have to work up to it and certainly be more cautious trying so many new things at once.  
Has anyone else had a constant-acid-in-mouth episode like this before with their reflux??</t>
        </is>
      </c>
      <c r="D1282" t="n">
        <v>4</v>
      </c>
      <c r="E1282" t="n">
        <v>13</v>
      </c>
      <c r="F1282">
        <f>HYPERLINK("https://www.reddit.com/r/GERD/comments/br4de5/one_wild_night_lpr/")</f>
        <v/>
      </c>
      <c r="G1282" t="inlineStr">
        <is>
          <t>2019-05-20 18:43:40</t>
        </is>
      </c>
      <c r="H1282" t="inlineStr"/>
    </row>
    <row r="1283">
      <c r="A1283" t="inlineStr">
        <is>
          <t>br4hi6</t>
        </is>
      </c>
      <c r="B1283" t="inlineStr">
        <is>
          <t>Went to the ER</t>
        </is>
      </c>
      <c r="C1283" t="inlineStr">
        <is>
          <t>So I was having chest pains, back pains, and trouble breathing. Long story short I went to the ER and I was diagnosed with Gastritis or possible ulcer. They have me a “GI cocktail” and it immediately felt better. Since the ER visit (3 days ago) I’ve completely changed my diet and am eating only rice, toast, oatmeal, and apples. I’m sort of feeling better, but I’m not recovering as quickly as I had hoped. My doctor told me to take zegerid 2 times a day, which I have been doing. I have an appointment with a gastroenterologist on June 4th, that’s the earliest they could get me in. I’m starting to worry that something might be wrong.
 I have a history of anxiety as well. I stopped taking lexapro about 8 months ago because I didn’t like the way it made me feel. 
I guess I’m just wondering if there is anyone else out there suffering from this having the same issues as me. I’m just wondering if it’s normal or me to still have pain? 
Thanks in advance.</t>
        </is>
      </c>
      <c r="D1283" t="n">
        <v>5</v>
      </c>
      <c r="E1283" t="n">
        <v>4</v>
      </c>
      <c r="F1283">
        <f>HYPERLINK("https://www.reddit.com/r/GERD/comments/br4hi6/went_to_the_er/")</f>
        <v/>
      </c>
      <c r="G1283" t="inlineStr">
        <is>
          <t>2019-05-20 18:54:26</t>
        </is>
      </c>
      <c r="H1283" t="inlineStr"/>
    </row>
    <row r="1284">
      <c r="A1284" t="inlineStr">
        <is>
          <t>br5h3d</t>
        </is>
      </c>
      <c r="B1284" t="inlineStr">
        <is>
          <t>Dextromorphan helped my LPR cough</t>
        </is>
      </c>
      <c r="C1284" t="inlineStr">
        <is>
          <t>Before and after being diagnosed with LPR (but before I started taking meds for it) I successfully treated (temporarily) my cough with Dextromorphan at night.  The cough would keep me up. And the dextro was good enough to let me sleep well. 
Note that dextromorphan is common active ingredient in Robitussin and its knockoffs. 
It’s an anti-tussive (anti-cough) but I didn’t know it would work on LPR coughs until I tried it.  
Note it’s not a total solution but for anyone suffering a reflux cough and just needs some sleep that night it’s worth a try.  Be safe!</t>
        </is>
      </c>
      <c r="D1284" t="n">
        <v>1</v>
      </c>
      <c r="E1284" t="n">
        <v>0</v>
      </c>
      <c r="F1284">
        <f>HYPERLINK("https://www.reddit.com/r/GERD/comments/br5h3d/dextromorphan_helped_my_lpr_cough/")</f>
        <v/>
      </c>
      <c r="G1284" t="inlineStr">
        <is>
          <t>2019-05-20 20:35:22</t>
        </is>
      </c>
      <c r="H1284" t="inlineStr"/>
    </row>
    <row r="1285">
      <c r="A1285" t="inlineStr">
        <is>
          <t>br7nds</t>
        </is>
      </c>
      <c r="B1285" t="inlineStr">
        <is>
          <t>Constipation and gerd</t>
        </is>
      </c>
      <c r="C1285" t="inlineStr">
        <is>
          <t>I'm extremly constipated and have terrible acid reflux right now like someone burned a hole right through my esophagus.  I was wounding if constipation makes your gerds worse. I know that coffee can make it worse but it helps me poop so i thought i would take it and then eat some tums in hopes it will make me go. What do you think</t>
        </is>
      </c>
      <c r="D1285" t="n">
        <v>4</v>
      </c>
      <c r="E1285" t="n">
        <v>8</v>
      </c>
      <c r="F1285">
        <f>HYPERLINK("https://www.reddit.com/r/GERD/comments/br7nds/constipation_and_gerd/")</f>
        <v/>
      </c>
      <c r="G1285" t="inlineStr">
        <is>
          <t>2019-05-21 01:03:35</t>
        </is>
      </c>
      <c r="H1285" t="inlineStr"/>
    </row>
    <row r="1286">
      <c r="A1286" t="inlineStr">
        <is>
          <t>br903x</t>
        </is>
      </c>
      <c r="B1286" t="inlineStr">
        <is>
          <t>Long time sufferer, first time here with some new questions</t>
        </is>
      </c>
      <c r="C1286" t="inlineStr">
        <is>
          <t>First of all, I’m so happy I found this community! I’m 27 and I’ve been suffering from GERD since I was at the end of high-school/early college days. I get chronic migraines and at this time, I was popping Advil like it was candy to make the daily headaches and migraines go away - sometimes multiple doses a day, many days a week. 
This is unfortunately how I have myself GERD...I really messed up my stomach lining/acid and everything in general. My doctor diagnosed me with GERD and prescribed me Omeprazole 20mg, which I took for atleast 5/6 years, until last week when I was switched over to Zantac after having a bad C. Diff infection as a result of antibiotics I took for a sinus infection, and “the perfect environment” in my stomach because of the GERD/Omeprazole. 
Last week I also started to develop some severe stomach pain/fullness, and pain when my stomach was empty and I hadn’t eaten. I went in for the stomach/abdominal pain thinking I was getting reinfected with C. Diff again, but my test came back negative. So I think I may have Peptic Ulcers or something of that nature, or just bad GERD symptoms I hadn’t had before. 
But anyways, I was swapped to Zantac 150mg 2x daily, morning and night, atleast for 30 days. My doctor said this was the “lesser of two evils” in terms of C. Diff. I’ve been on it for a few days and it has helped with the stomach pain, but now I’ve started to develop a very sore throat over the past few days that won’t go away, and I also seem more stuffed up. 
Is this normal for Zantac?
Will it go away or is this something I need to talk to my doctor about?</t>
        </is>
      </c>
      <c r="D1286" t="n">
        <v>4</v>
      </c>
      <c r="E1286" t="n">
        <v>7</v>
      </c>
      <c r="F1286">
        <f>HYPERLINK("https://www.reddit.com/r/GERD/comments/br903x/long_time_sufferer_first_time_here_with_some_new/")</f>
        <v/>
      </c>
      <c r="G1286" t="inlineStr">
        <is>
          <t>2019-05-21 04:02:12</t>
        </is>
      </c>
      <c r="H1286" t="inlineStr"/>
    </row>
    <row r="1287">
      <c r="A1287" t="inlineStr">
        <is>
          <t>braz56</t>
        </is>
      </c>
      <c r="B1287" t="inlineStr">
        <is>
          <t>When should I take omeprazole, in the morning or the evening?</t>
        </is>
      </c>
      <c r="C1287" t="inlineStr">
        <is>
          <t>Everyone seems to suggest that you should take PPIs first thing in the morning on an empty stomach. While I understand that PPIs needs to bypass the stomach before it's absorbed and an empty stomach is crucial, the vast majority of my symptoms come when I sleep at night. I literally have no problems when I'm not laying, even if I get some reflux (not very common), I just sip some water and everything is fine so taking the PPI in the morning sounds a little pointless in my case. What do you think?</t>
        </is>
      </c>
      <c r="D1287" t="n">
        <v>9</v>
      </c>
      <c r="E1287" t="n">
        <v>23</v>
      </c>
      <c r="F1287">
        <f>HYPERLINK("https://www.reddit.com/r/GERD/comments/braz56/when_should_i_take_omeprazole_in_the_morning_or/")</f>
        <v/>
      </c>
      <c r="G1287" t="inlineStr">
        <is>
          <t>2019-05-21 07:19:26</t>
        </is>
      </c>
      <c r="H1287" t="inlineStr"/>
    </row>
    <row r="1288">
      <c r="A1288" t="inlineStr">
        <is>
          <t>bre52g</t>
        </is>
      </c>
      <c r="B1288" t="inlineStr">
        <is>
          <t>Advice about PPIs</t>
        </is>
      </c>
      <c r="C1288" t="inlineStr">
        <is>
          <t>So I'm H Pylori positive and I've failed 1 triple therapy.
&amp;amp;#x200B;
I've been on 40mg Omeprazole in the morning since 10 days ago, started another triple therapy at that time but quitted after 4 days due to side effects. 
&amp;amp;#x200B;
Omeprazole helped me at nausea but now I have some kind of heartburn and I'm salivating a lot more. This troubles me at night and it's hard to sleep sometimes.
&amp;amp;#x200B;
Should I try Esomeprazole 40 mg twice a day instead? Or should I take omeprazole 40mg before dinner?</t>
        </is>
      </c>
      <c r="D1288" t="n">
        <v>3</v>
      </c>
      <c r="E1288" t="n">
        <v>3</v>
      </c>
      <c r="F1288">
        <f>HYPERLINK("https://www.reddit.com/r/GERD/comments/bre52g/advice_about_ppis/")</f>
        <v/>
      </c>
      <c r="G1288" t="inlineStr">
        <is>
          <t>2019-05-21 11:40:57</t>
        </is>
      </c>
      <c r="H1288" t="inlineStr"/>
    </row>
    <row r="1289">
      <c r="A1289" t="inlineStr">
        <is>
          <t>brfoqj</t>
        </is>
      </c>
      <c r="B1289" t="inlineStr">
        <is>
          <t>Omeprazole 40mg too much?</t>
        </is>
      </c>
      <c r="C1289" t="inlineStr">
        <is>
          <t>I've been taking Omeprazole 40mg since 1 week ago and it helped but now I have a lot of saliva in my mouth at all time, I taste some kind of acid in my mouth too and I get some heartburn, which I didn't have before.
&amp;amp;#x200B;
Should I reduce my Omeprazole dosage?</t>
        </is>
      </c>
      <c r="D1289" t="n">
        <v>7</v>
      </c>
      <c r="E1289" t="n">
        <v>9</v>
      </c>
      <c r="F1289">
        <f>HYPERLINK("https://www.reddit.com/r/GERD/comments/brfoqj/omeprazole_40mg_too_much/")</f>
        <v/>
      </c>
      <c r="G1289" t="inlineStr">
        <is>
          <t>2019-05-21 13:48:13</t>
        </is>
      </c>
      <c r="H1289" t="inlineStr"/>
    </row>
    <row r="1290">
      <c r="A1290" t="inlineStr">
        <is>
          <t>brguzz</t>
        </is>
      </c>
      <c r="B1290" t="inlineStr">
        <is>
          <t>Could my GERD/LPR and throat problems be related to a hital hernia?</t>
        </is>
      </c>
      <c r="C1290" t="inlineStr">
        <is>
          <t>For months now I've had difficulty swallowing and the feeling of something large in my throat that never goes away. I get acid reflux a lot especially when I sleep and I'm always constantly clearing my throat. I also wake up with dry mouth every single morning. The symptoms that stay constant and never go away is the trouble swallowing stuff and the feeling of something sitting in my throat. I'm only 19 but I did smoke weed and cigarettes for about 3 years in high school pretty regularly. Went to my normal doctor and he said I shouldn't be to worried as I dont have any swollen lymph nodes but I did get a referral to an ENT. I'm extremely worried with a great amount of stress and anxiety all I've been thinking about for months is esphoghal cancer and if the symptoms are this bad already it will most likely kill me. Can anybody tell me some personal stories here and maybe ease my mind...I know I'm young but it's not impossible to develop that cancer at this age. My life just feels ruined.</t>
        </is>
      </c>
      <c r="D1290" t="n">
        <v>5</v>
      </c>
      <c r="E1290" t="n">
        <v>4</v>
      </c>
      <c r="F1290">
        <f>HYPERLINK("https://www.reddit.com/r/GERD/comments/brguzz/could_my_gerdlpr_and_throat_problems_be_related/")</f>
        <v/>
      </c>
      <c r="G1290" t="inlineStr">
        <is>
          <t>2019-05-21 15:29:43</t>
        </is>
      </c>
      <c r="H1290" t="inlineStr"/>
    </row>
    <row r="1291">
      <c r="A1291" t="inlineStr">
        <is>
          <t>brgwck</t>
        </is>
      </c>
      <c r="B1291" t="inlineStr">
        <is>
          <t>Too high or too low acid levels?</t>
        </is>
      </c>
      <c r="C1291" t="inlineStr">
        <is>
          <t>How can I know if I'm getting GERD from having too much acid in my stomach or low acid levels?
&amp;amp;#x200B;
Omeprazole made me salivate a lot and gave me some heartburn.</t>
        </is>
      </c>
      <c r="D1291" t="n">
        <v>3</v>
      </c>
      <c r="E1291" t="n">
        <v>2</v>
      </c>
      <c r="F1291">
        <f>HYPERLINK("https://www.reddit.com/r/GERD/comments/brgwck/too_high_or_too_low_acid_levels/")</f>
        <v/>
      </c>
      <c r="G1291" t="inlineStr">
        <is>
          <t>2019-05-21 15:33:11</t>
        </is>
      </c>
      <c r="H1291" t="inlineStr"/>
    </row>
    <row r="1292">
      <c r="A1292" t="inlineStr">
        <is>
          <t>brhfx9</t>
        </is>
      </c>
      <c r="B1292" t="inlineStr">
        <is>
          <t>Pepcid and nausea</t>
        </is>
      </c>
      <c r="C1292" t="inlineStr">
        <is>
          <t>I'm been taking Pepcid (famotidine) each night around 11pm, and have been experiencing nausea the following day (but not during the night). The first day, I felt nauseated all day, and the second and third day I've felt fine in the morning, and then suddenly felt very nauseated from about 3pm onwards. If the Pepcid was causing the nausea, there wouldn't be such a delay right? I never feel nauseated, so I'm kinda confused.</t>
        </is>
      </c>
      <c r="D1292" t="n">
        <v>4</v>
      </c>
      <c r="E1292" t="n">
        <v>2</v>
      </c>
      <c r="F1292">
        <f>HYPERLINK("https://www.reddit.com/r/GERD/comments/brhfx9/pepcid_and_nausea/")</f>
        <v/>
      </c>
      <c r="G1292" t="inlineStr">
        <is>
          <t>2019-05-21 16:25:09</t>
        </is>
      </c>
      <c r="H1292" t="inlineStr"/>
    </row>
    <row r="1293">
      <c r="A1293" t="inlineStr">
        <is>
          <t>bri455</t>
        </is>
      </c>
      <c r="B1293" t="inlineStr">
        <is>
          <t>Weird Trigger foods</t>
        </is>
      </c>
      <c r="C1293" t="inlineStr">
        <is>
          <t>Hey folks,
So having read both Fast Tract and Dropping Acid, I’ve realized that a lot of what they consider safe in both books just set me off.
Going off the Fast Tract diet today, I had three small meals of lean chicken, fresh jasmine rice, and steamed spinach. Was honestly the worst day for symptoms in probably 4-5 days, damnit this is frustrating.
I already know about the usual foods to avoid, coffee in particular messes me up, but then so does chamomile tea?
A couple days ago I had a huge bowl of blueberries, avocado, and sourdough bread. Didn’t feel perfect, but better than today.
So yeah, does anyone here react to any ‘safe’ foods? What do you guys do, eat one food at a time and see how you respond?
My fear is that my body is just so hyper responsive that I’m not going to really be able to determine what is safe and what isn’t.
Anyways thanks for reading, and any responses. I know I post a lot just trying to learn, and I find it helps to talk about this stuff</t>
        </is>
      </c>
      <c r="D1293" t="n">
        <v>2</v>
      </c>
      <c r="E1293" t="n">
        <v>10</v>
      </c>
      <c r="F1293">
        <f>HYPERLINK("https://www.reddit.com/r/GERD/comments/bri455/weird_trigger_foods/")</f>
        <v/>
      </c>
      <c r="G1293" t="inlineStr">
        <is>
          <t>2019-05-21 17:32:18</t>
        </is>
      </c>
      <c r="H1293" t="inlineStr"/>
    </row>
    <row r="1294">
      <c r="A1294" t="inlineStr">
        <is>
          <t>brih8y</t>
        </is>
      </c>
      <c r="B1294" t="inlineStr">
        <is>
          <t>Is this common?</t>
        </is>
      </c>
      <c r="C1294" t="inlineStr">
        <is>
          <t>I noticed at the back of my throat I have some bumps, like when I open my mouth and flashlight the back of the throat, it’s like cobblestones. Is this due to reflux?</t>
        </is>
      </c>
      <c r="D1294" t="n">
        <v>2</v>
      </c>
      <c r="E1294" t="n">
        <v>3</v>
      </c>
      <c r="F1294">
        <f>HYPERLINK("https://www.reddit.com/r/GERD/comments/brih8y/is_this_common/")</f>
        <v/>
      </c>
      <c r="G1294" t="inlineStr">
        <is>
          <t>2019-05-21 18:09:08</t>
        </is>
      </c>
      <c r="H1294" t="inlineStr"/>
    </row>
    <row r="1295">
      <c r="A1295" t="inlineStr">
        <is>
          <t>brl5ch</t>
        </is>
      </c>
      <c r="B1295" t="inlineStr">
        <is>
          <t>What actually worked for your laryngeal reflux? And have you heard of people with laryngeal cancer from it?</t>
        </is>
      </c>
      <c r="C1295" t="inlineStr">
        <is>
          <t>I workout. I am very thin. Every time I eat anything I feel reflux. I seriously don’t want to eat anything anymore in fear of my throat being on fire.</t>
        </is>
      </c>
      <c r="D1295" t="n">
        <v>4</v>
      </c>
      <c r="E1295" t="n">
        <v>9</v>
      </c>
      <c r="F1295">
        <f>HYPERLINK("https://www.reddit.com/r/GERD/comments/brl5ch/what_actually_worked_for_your_laryngeal_reflux/")</f>
        <v/>
      </c>
      <c r="G1295" t="inlineStr">
        <is>
          <t>2019-05-21 23:09:59</t>
        </is>
      </c>
      <c r="H1295" t="inlineStr"/>
    </row>
    <row r="1296">
      <c r="A1296" t="inlineStr">
        <is>
          <t>brmn7q</t>
        </is>
      </c>
      <c r="B1296" t="inlineStr">
        <is>
          <t>Symptoms have mostly gone away - now what?</t>
        </is>
      </c>
      <c r="C1296" t="inlineStr">
        <is>
          <t>I have had GERD symptoms for about 4 months now - mainly reflux, bloating, stomach burning and minor LPR symptoms, it affected me mainly at night.  These have now mostly gone away since the past couple of weeks except for a bit of bloating, slight sore throat and slightly blocked nose (all symptoms i can now live with).  So i am now tappering off of PPI and have recently started taking only 15mg of Lansoperazole every other day.  I still take 150 or 300mg zantac at night and gaviscon advance.
When do you think i should stop the PPI completely?  Do you think its best to continue with the zantac/gaviscon until all symptoms go away completely?
I had an endosocpy which revealed nothing at all.  Any idea what this could be?  Is there a possibility my symptoms could come back?
My diet has not been particularly strict -i have been eating pretty much anything i could eat before GERD for past few weeks.  The only thing i am strict on is not eating for 3 hours before bed.  I also started taking antidepressant for my anxiety/insomnia.  It seems to be working too well as i feel drowsy/relaxed during the day too.  Perhaps the antidepressant helps with GERD?</t>
        </is>
      </c>
      <c r="D1296" t="n">
        <v>2</v>
      </c>
      <c r="E1296" t="n">
        <v>2</v>
      </c>
      <c r="F1296">
        <f>HYPERLINK("https://www.reddit.com/r/GERD/comments/brmn7q/symptoms_have_mostly_gone_away_now_what/")</f>
        <v/>
      </c>
      <c r="G1296" t="inlineStr">
        <is>
          <t>2019-05-22 02:39:47</t>
        </is>
      </c>
      <c r="H1296" t="inlineStr"/>
    </row>
    <row r="1297">
      <c r="A1297" t="inlineStr">
        <is>
          <t>brn6h9</t>
        </is>
      </c>
      <c r="B1297" t="inlineStr">
        <is>
          <t>Things I can try before long term PPi use?</t>
        </is>
      </c>
      <c r="C1297" t="inlineStr">
        <is>
          <t>Basically I started feeling rubbish a few months ago (fatigued, couldn't swallow, dry mouth) and the doctors couldn't figure out why until I tested positive for H Plyori.
&amp;amp;#x200B;
I then received triple therapy for a week which I finished a fortnight ago but still felt rubbish so went back to the doctors who now reckons I need PPI's all the time because I'm probably not closing out stomach acid properly. However, I don't want to be reliant on tablets for the rest of my life ( especially if there are long term effects) and I never had any symptoms before a few months ago (and even very little when I had H plyori apart from swallowing difficulties)
&amp;amp;#x200B;
So can anyone recommend anything I can try beforehand or what might be causing my symptoms? I just started taking 20mg omeprazole again yesterday as suggested by a doctor :(</t>
        </is>
      </c>
      <c r="D1297" t="n">
        <v>5</v>
      </c>
      <c r="E1297" t="n">
        <v>27</v>
      </c>
      <c r="F1297">
        <f>HYPERLINK("https://www.reddit.com/r/GERD/comments/brn6h9/things_i_can_try_before_long_term_ppi_use/")</f>
        <v/>
      </c>
      <c r="G1297" t="inlineStr">
        <is>
          <t>2019-05-22 03:44:12</t>
        </is>
      </c>
      <c r="H1297" t="inlineStr"/>
    </row>
    <row r="1298">
      <c r="A1298" t="inlineStr">
        <is>
          <t>bro5ut</t>
        </is>
      </c>
      <c r="B1298" t="inlineStr">
        <is>
          <t>How can you strengthen your LES?</t>
        </is>
      </c>
      <c r="C1298" t="inlineStr">
        <is>
          <t>A weak LES is very likely the cause of my years long issue with silent reflux. What are things I can do to restore it's strength naturally ?</t>
        </is>
      </c>
      <c r="D1298" t="n">
        <v>10</v>
      </c>
      <c r="E1298" t="n">
        <v>13</v>
      </c>
      <c r="F1298">
        <f>HYPERLINK("https://www.reddit.com/r/GERD/comments/bro5ut/how_can_you_strengthen_your_les/")</f>
        <v/>
      </c>
      <c r="G1298" t="inlineStr">
        <is>
          <t>2019-05-22 05:26:19</t>
        </is>
      </c>
      <c r="H1298" t="inlineStr"/>
    </row>
    <row r="1299">
      <c r="A1299" t="inlineStr">
        <is>
          <t>broc5n</t>
        </is>
      </c>
      <c r="B1299" t="inlineStr">
        <is>
          <t>VERY thirsty</t>
        </is>
      </c>
      <c r="C1299" t="inlineStr">
        <is>
          <t>I have gerd but now i'm ALWAYS thirsty!!
I drink water every 3 or 5 minutes, you guys can't imagine how much water i'm drinking and It doesn't work!
Also my throat feel always very dry and even my voice is getting weaker...
Can this be caused by GERD? Is there anything i can do to make this Go away?
It's just hell =\</t>
        </is>
      </c>
      <c r="D1299" t="n">
        <v>1</v>
      </c>
      <c r="E1299" t="n">
        <v>11</v>
      </c>
      <c r="F1299">
        <f>HYPERLINK("https://www.reddit.com/r/GERD/comments/broc5n/very_thirsty/")</f>
        <v/>
      </c>
      <c r="G1299" t="inlineStr">
        <is>
          <t>2019-05-22 05:44:18</t>
        </is>
      </c>
      <c r="H1299" t="inlineStr"/>
    </row>
    <row r="1300">
      <c r="A1300" t="inlineStr">
        <is>
          <t>brpked</t>
        </is>
      </c>
      <c r="B1300" t="inlineStr">
        <is>
          <t>The Basics Of Treating Acid Reflux Disease</t>
        </is>
      </c>
      <c r="C1300" t="inlineStr">
        <is>
          <t>The pain of acid reflux can be intense. Don't just suffer through it; instead seek advice to conquer it. Read on for some helpful advice to do that.
&amp;amp;#x200B;
Try to avoid drinking anything while you eat. When you drink, your stomach fills up and expands, which can cause distension. This puts pressure on the sphincter at the bottom of the esophagus, sometimes causing food to pass back up through it. When this happens, acid reflux has begun, as will your suffering.
&amp;amp;#x200B;
The most significant factor attributed with acid reflux is being overweight. Those who are obese are two times more likely to have GERD than someone who is at a healthy weight. The pressure on your stomach of all the extra pounds can cause the esophageal sphincter to relax, allowing acid to give you trouble.
&amp;amp;#x200B;
The more fluid you drink during your meal, the more volume is placed in your stomach. This causes more distension in the stomach and adds pressure to the lower sphincter of the esophagus, creating the perfect condition for acid reflux. Try drinking between meals and drink water in small sips rather than big gulps.
&amp;amp;#x200B;
You need to exercise if you have GERD, but don't overdo it. Losing weight is a huge factor in controlling acid reflux, so go out for a run, play some soccer or go for a swim. That said, don't push your body too hard or you may find your GERD becomes active.
&amp;amp;#x200B;
Fatty foods no more! Fried chicken, pizza, chicken wings and potato chips are the enemy of the GERD sufferer. These foods cause your sphincter to relax, allowing the contents of your stomach, acid and all, to rise back up into your esophagus. Go for meals full of vegetables and lean protein instead.
&amp;amp;#x200B;
Use this information to rid acid reflux from your life. Do not let acid reflux rule your life. Instead, use the information from this article to get control of your acid reflux.</t>
        </is>
      </c>
      <c r="D1300" t="n">
        <v>19</v>
      </c>
      <c r="E1300" t="n">
        <v>6</v>
      </c>
      <c r="F1300">
        <f>HYPERLINK("https://www.reddit.com/r/GERD/comments/brpked/the_basics_of_treating_acid_reflux_disease/")</f>
        <v/>
      </c>
      <c r="G1300" t="inlineStr">
        <is>
          <t>2019-05-22 07:37:44</t>
        </is>
      </c>
      <c r="H1300" t="inlineStr"/>
    </row>
    <row r="1301">
      <c r="A1301" t="inlineStr">
        <is>
          <t>brqd22</t>
        </is>
      </c>
      <c r="B1301" t="inlineStr">
        <is>
          <t>New iQoro subreddit</t>
        </is>
      </c>
      <c r="C1301" t="inlineStr">
        <is>
          <t>Given the wide range of topics encompassed under this subreddit, I've created a separate subreddit specifically for the iQoro device, which has some evidence as a treatment option in diaphragm training / hiatal hernia / reflux.  
 [https://www.reddit.com/r/iqoro](https://www.reddit.com/r/iqoro).  
&amp;amp;#x200B;
More info at www.iqoro.com .  A collection of iQoro research is here: [https://www.iqoro.com/en/scientific-research/](https://www.iqoro.com/en/scientific-research/).
&amp;amp;#x200B;
I do not have any financial ties to iQoro or vested interest besides my own journey and hopeful recovery as well as wishing each of you the very best on your paths and healing.</t>
        </is>
      </c>
      <c r="D1301" t="n">
        <v>3</v>
      </c>
      <c r="E1301" t="n">
        <v>0</v>
      </c>
      <c r="F1301">
        <f>HYPERLINK("https://www.reddit.com/r/GERD/comments/brqd22/new_iqoro_subreddit/")</f>
        <v/>
      </c>
      <c r="G1301" t="inlineStr">
        <is>
          <t>2019-05-22 08:45:41</t>
        </is>
      </c>
      <c r="H1301" t="inlineStr"/>
    </row>
    <row r="1302">
      <c r="A1302" t="inlineStr">
        <is>
          <t>brqn0l</t>
        </is>
      </c>
      <c r="B1302" t="inlineStr">
        <is>
          <t>Lung problems after running due to (gassy) reflux?</t>
        </is>
      </c>
      <c r="C1302" t="inlineStr">
        <is>
          <t>I occasionally suffer from gassy reflux. I generally know because I get rather bad palpitations, slightly acidic taste when exhaling and my voice might be squeaky, tonsils might hurt. This doesn't happen a lot though. I never feel a burning sensation. Trigger seems to be food rich in protein and low in fat (cottage cheese, low fat milk. sometimes chicken breast) and eggs in pretty much every way to prepare them. Speaking for hours seems to be a trigger as well.
Every now and then however I wake up in the night with shortness of breath and a 'fluffy' feeling in my lungs, nose slightly stuffy. This is always after a run that I considered to be very hard (sometimes my blood pressure drops and I breathe really hard to be able to run at all). A reason for this was never found, nor a really useful cure. Shortness of breath is usually worst late in the evening (sitting) or at night (sleeping) and last until about lunch, then gone completely until the next evening/night.
Anyone recognise this?
I wonder if this could be related to reflux even though I don't feel any acid, no palpitations and no squeaky voice. Anyone experienced something similar?</t>
        </is>
      </c>
      <c r="D1302" t="n">
        <v>2</v>
      </c>
      <c r="E1302" t="n">
        <v>2</v>
      </c>
      <c r="F1302">
        <f>HYPERLINK("https://www.reddit.com/r/GERD/comments/brqn0l/lung_problems_after_running_due_to_gassy_reflux/")</f>
        <v/>
      </c>
      <c r="G1302" t="inlineStr">
        <is>
          <t>2019-05-22 09:09:10</t>
        </is>
      </c>
      <c r="H1302" t="inlineStr"/>
    </row>
    <row r="1303">
      <c r="A1303" t="inlineStr">
        <is>
          <t>brqqrb</t>
        </is>
      </c>
      <c r="B1303" t="inlineStr">
        <is>
          <t>Such pain</t>
        </is>
      </c>
      <c r="C1303" t="inlineStr">
        <is>
          <t>So much pain from gerd today. I am afraid to eat anything but water.</t>
        </is>
      </c>
      <c r="D1303" t="n">
        <v>2</v>
      </c>
      <c r="E1303" t="n">
        <v>6</v>
      </c>
      <c r="F1303">
        <f>HYPERLINK("https://www.reddit.com/r/GERD/comments/brqqrb/such_pain/")</f>
        <v/>
      </c>
      <c r="G1303" t="inlineStr">
        <is>
          <t>2019-05-22 09:17:54</t>
        </is>
      </c>
      <c r="H1303" t="inlineStr"/>
    </row>
    <row r="1304">
      <c r="A1304" t="inlineStr">
        <is>
          <t>brr8wl</t>
        </is>
      </c>
      <c r="B1304" t="inlineStr">
        <is>
          <t>Inhalers</t>
        </is>
      </c>
      <c r="C1304" t="inlineStr">
        <is>
          <t>Hello all,
Has anyone here found any success or at least relief from SOB by using asthma medication?
I understand that it’s a different type of SOB, I was just curious.
I know this disease has been misdiagnosed as asthma for a long time.
Thanks for any replies</t>
        </is>
      </c>
      <c r="D1304" t="n">
        <v>1</v>
      </c>
      <c r="E1304" t="n">
        <v>1</v>
      </c>
      <c r="F1304">
        <f>HYPERLINK("https://www.reddit.com/r/GERD/comments/brr8wl/inhalers/")</f>
        <v/>
      </c>
      <c r="G1304" t="inlineStr">
        <is>
          <t>2019-05-22 10:00:13</t>
        </is>
      </c>
      <c r="H1304" t="inlineStr"/>
    </row>
    <row r="1305">
      <c r="A1305" t="inlineStr">
        <is>
          <t>brsctu</t>
        </is>
      </c>
      <c r="B1305" t="inlineStr">
        <is>
          <t>List your non conventional LPR and GERD treatments</t>
        </is>
      </c>
      <c r="C1305" t="inlineStr">
        <is>
          <t>Hoping to amass a list of things people have found relief for their LPR or GERD.  Please mention  which. 
Here’s my stab:
LPR
- soy yogurt with banana smoothies
- alkaline water
- probiotics - RAW brand
- alkaline water with baking soda sprayed into nose and throat 
- swimming</t>
        </is>
      </c>
      <c r="D1305" t="n">
        <v>5</v>
      </c>
      <c r="E1305" t="n">
        <v>5</v>
      </c>
      <c r="F1305">
        <f>HYPERLINK("https://www.reddit.com/r/GERD/comments/brsctu/list_your_non_conventional_lpr_and_gerd_treatments/")</f>
        <v/>
      </c>
      <c r="G1305" t="inlineStr">
        <is>
          <t>2019-05-22 11:33:27</t>
        </is>
      </c>
      <c r="H1305" t="inlineStr"/>
    </row>
    <row r="1306">
      <c r="A1306" t="inlineStr">
        <is>
          <t>brsfmw</t>
        </is>
      </c>
      <c r="B1306" t="inlineStr">
        <is>
          <t>Nausea after every meal</t>
        </is>
      </c>
      <c r="C1306" t="inlineStr">
        <is>
          <t>Hi, I was diagnosed with GERDs (as well as Celiac disease) in 2012. I was 15, and after my endoscopy, my doctor told my mom that my esophagus was in the worst shape he had ever seen in a child my age. After starting a round of treatment with Lanzoprazole and Famotidine, my symptoms improved greatly over the next three years. I stopped taking my medicines once I was 18 because my doctor retired and I began to go to college and moved away from my parents (no insurance) and I couldn’t get my prescription refilled. I continued to live without symptoms until this past October when I started to vomit after every meal. I found a new gastroenterologist and I have had a gastric emptying test, as well as an ultra sound, but both have come back normal. I’ve been tested for new food allergies (no need to test for gluten, though, since I’m strictly gluten free due to celiac) and lactose intolerance, and I don’t have either. I started taking 40mg pantoprazole. I was just wondering if anybody on here has had similar symptoms? I vomit at least 3x a week after I eat or wake up. It would be more but I skip meals simply because I’m tired of being uncomfortable and vomiting. Even if I don’t vomit, eating makes me extremely uncomfortable. Because if this, I haven’t been able to eat more than 1000 calories a day and I have lost 30 lbs. If anybody has had a similar experience, how did you find treatment/relief? I am starting to lose hope since all of my tests have come back normal. I am scheduled for an endoscopy in July.</t>
        </is>
      </c>
      <c r="D1306" t="n">
        <v>7</v>
      </c>
      <c r="E1306" t="n">
        <v>5</v>
      </c>
      <c r="F1306">
        <f>HYPERLINK("https://www.reddit.com/r/GERD/comments/brsfmw/nausea_after_every_meal/")</f>
        <v/>
      </c>
      <c r="G1306" t="inlineStr">
        <is>
          <t>2019-05-22 11:40:21</t>
        </is>
      </c>
      <c r="H1306" t="inlineStr"/>
    </row>
    <row r="1307">
      <c r="A1307" t="inlineStr">
        <is>
          <t>brtwke</t>
        </is>
      </c>
      <c r="B1307" t="inlineStr">
        <is>
          <t>Reminder; Gaviscon (sodium alginate) needs Acid to create a protective raft for your esophagus</t>
        </is>
      </c>
      <c r="C1307" t="inlineStr">
        <is>
          <t>Based on what I've read, in order for gaviscon to form a protective barrier at the top of your stomach contents, it needs acid.
So if you are on a strong PPI, or you try to take tums and gaviscon at the same time, gaviscon might not work as well.
&amp;amp;#x200B;
I am going to start experimenting with taking ACV or Lemon Juice after a meal right before I take gaviscon, to make a stronger barrier.
&amp;amp;#x200B;
This is what I've suspected for years; for people that have insufficient relief from a PPI, you are actually making gaviscon less effective when you need quick relief.
&amp;amp;#x200B;
Watch this video and say it in Jessie's Voice
[https://www.stevespanglerscience.com/lab/experiments/gaviscon-worms/](https://www.stevespanglerscience.com/lab/experiments/gaviscon-worms/)
(YEAH BITCH, ALGINATES! OHHHHHH)
&amp;amp;#x200B;
Now we need some brave souls to try betaine HCL and then Gaviscon :\^).</t>
        </is>
      </c>
      <c r="D1307" t="n">
        <v>13</v>
      </c>
      <c r="E1307" t="n">
        <v>7</v>
      </c>
      <c r="F1307">
        <f>HYPERLINK("https://www.reddit.com/r/GERD/comments/brtwke/reminder_gaviscon_sodium_alginate_needs_acid_to/")</f>
        <v/>
      </c>
      <c r="G1307" t="inlineStr">
        <is>
          <t>2019-05-22 13:38:19</t>
        </is>
      </c>
      <c r="H1307" t="inlineStr"/>
    </row>
    <row r="1308">
      <c r="A1308" t="inlineStr">
        <is>
          <t>bru57z</t>
        </is>
      </c>
      <c r="B1308" t="inlineStr">
        <is>
          <t>Feels like I get Phlegm or a speck stuck in my throat and it makes me nauseous.</t>
        </is>
      </c>
      <c r="C1308" t="inlineStr">
        <is>
          <t>Hey,
I'm not sure if this is Post Nasal Drip or a GERD symptom but I seem to get really Phlegmy after Exercise and during/after I eat. Usually it feels like a small about of Phlegm or sometimes it feels like a speck is sitting at the back of my throat and I have to cough to "unblock it", it usually makes me nauseous and sometimes when I cough to try and clear it, it makes me vomit. 
I never want to go anywhere, especially to eat because I think anxiety makes me nauseous too... Is this a common symptom and is there anything that can help me? I have a endoscopy scheduled for the end of June so until then, it would be nice to try things out.  The last time I went to the GI she said it sounds like I might have Esophagitis.</t>
        </is>
      </c>
      <c r="D1308" t="n">
        <v>2</v>
      </c>
      <c r="E1308" t="n">
        <v>3</v>
      </c>
      <c r="F1308">
        <f>HYPERLINK("https://www.reddit.com/r/GERD/comments/bru57z/feels_like_i_get_phlegm_or_a_speck_stuck_in_my/")</f>
        <v/>
      </c>
      <c r="G1308" t="inlineStr">
        <is>
          <t>2019-05-22 13:57:55</t>
        </is>
      </c>
      <c r="H1308" t="inlineStr"/>
    </row>
    <row r="1309">
      <c r="A1309" t="inlineStr">
        <is>
          <t>brufz5</t>
        </is>
      </c>
      <c r="B1309" t="inlineStr">
        <is>
          <t>Cough</t>
        </is>
      </c>
      <c r="C1309" t="inlineStr">
        <is>
          <t>Dr says x-rays show pneumonia</t>
        </is>
      </c>
      <c r="D1309" t="n">
        <v>0</v>
      </c>
      <c r="E1309" t="n">
        <v>2</v>
      </c>
      <c r="F1309">
        <f>HYPERLINK("https://www.reddit.com/r/GERD/comments/brufz5/cough/")</f>
        <v/>
      </c>
      <c r="G1309" t="inlineStr">
        <is>
          <t>2019-05-22 14:23:09</t>
        </is>
      </c>
      <c r="H1309" t="inlineStr"/>
    </row>
    <row r="1310">
      <c r="A1310" t="inlineStr">
        <is>
          <t>brul7j</t>
        </is>
      </c>
      <c r="B1310" t="inlineStr">
        <is>
          <t>Is these bumps normal in gerd?</t>
        </is>
      </c>
      <c r="C1310" t="inlineStr">
        <is>
          <t>My bumps are yellow! Here’s a picture 
https://imgur.com/a/8iyPJoy
Focus on the back of the throat</t>
        </is>
      </c>
      <c r="D1310" t="n">
        <v>2</v>
      </c>
      <c r="E1310" t="n">
        <v>1</v>
      </c>
      <c r="F1310">
        <f>HYPERLINK("https://www.reddit.com/r/GERD/comments/brul7j/is_these_bumps_normal_in_gerd/")</f>
        <v/>
      </c>
      <c r="G1310" t="inlineStr">
        <is>
          <t>2019-05-22 14:35:31</t>
        </is>
      </c>
      <c r="H1310" t="inlineStr"/>
    </row>
    <row r="1311">
      <c r="A1311" t="inlineStr">
        <is>
          <t>brvonz</t>
        </is>
      </c>
      <c r="B1311" t="inlineStr">
        <is>
          <t>Omeprazole 20mg to Protonix 40mg</t>
        </is>
      </c>
      <c r="C1311" t="inlineStr">
        <is>
          <t>Hello all,
I’ve been on omeprazole 20mg for 4 weeks but it didn’t help much. My doctor wants to put me on Protonix 40mg for a month. I am pretty nervous about this...I was hoping to get away from PPIs. Does anybody have a good experience with Protonix?
Thanks</t>
        </is>
      </c>
      <c r="D1311" t="n">
        <v>2</v>
      </c>
      <c r="E1311" t="n">
        <v>6</v>
      </c>
      <c r="F1311">
        <f>HYPERLINK("https://www.reddit.com/r/GERD/comments/brvonz/omeprazole_20mg_to_protonix_40mg/")</f>
        <v/>
      </c>
      <c r="G1311" t="inlineStr">
        <is>
          <t>2019-05-22 16:12:04</t>
        </is>
      </c>
      <c r="H1311" t="inlineStr"/>
    </row>
    <row r="1312">
      <c r="A1312" t="inlineStr">
        <is>
          <t>brvv79</t>
        </is>
      </c>
      <c r="B1312" t="inlineStr">
        <is>
          <t>Can you switch back and forth with PPI's?</t>
        </is>
      </c>
      <c r="C1312" t="inlineStr">
        <is>
          <t>Once I started Omeprazole I developed a sour tasted in my mouth and increased saliva.  I switched to Dexilant and it was the same.  I'm trying to heal from Grade B esophagitis.  Would it be ok to try Nexium tomorrow without an issue being I've taken Dexilant for 3 weeks now?</t>
        </is>
      </c>
      <c r="D1312" t="n">
        <v>1</v>
      </c>
      <c r="E1312" t="n">
        <v>0</v>
      </c>
      <c r="F1312">
        <f>HYPERLINK("https://www.reddit.com/r/GERD/comments/brvv79/can_you_switch_back_and_forth_with_ppis/")</f>
        <v/>
      </c>
      <c r="G1312" t="inlineStr">
        <is>
          <t>2019-05-22 16:29:04</t>
        </is>
      </c>
      <c r="H1312" t="inlineStr"/>
    </row>
    <row r="1313">
      <c r="A1313" t="inlineStr">
        <is>
          <t>brwio6</t>
        </is>
      </c>
      <c r="B1313" t="inlineStr">
        <is>
          <t>Starting a BRAVO esophageal implant test today after my endoscopy. What to expect?</t>
        </is>
      </c>
      <c r="C1313" t="inlineStr">
        <is>
          <t>Apologies in advance, my endoscopy was about an hour ago and apparently they gave me enough sedative to put down two elephants. Suffice to say, I’m quite groggy and a little bitter at the world, mainly because the sedatives they used, though a lot, did not keep me from experiencing (consciously) the whole ordeal. 
Part of the endoscopy involves implanting BRAVO into the portion of my esophagus right about the opening of my stomach. It’s a 48 hour test to examine pH levels in one’s stomach. My question is: have any of you participated in such a study before? What was it like? Because right now I’m having a bit of mild heartburn which is pretty irregular for my GERD, as well as just general pain in my throat from the actual endoscopic tool. Any input or personal stories would be great appreciated!</t>
        </is>
      </c>
      <c r="D1313" t="n">
        <v>1</v>
      </c>
      <c r="E1313" t="n">
        <v>6</v>
      </c>
      <c r="F1313">
        <f>HYPERLINK("https://www.reddit.com/r/GERD/comments/brwio6/starting_a_bravo_esophageal_implant_test_today/")</f>
        <v/>
      </c>
      <c r="G1313" t="inlineStr">
        <is>
          <t>2019-05-22 17:32:17</t>
        </is>
      </c>
      <c r="H1313" t="inlineStr"/>
    </row>
    <row r="1314">
      <c r="A1314" t="inlineStr">
        <is>
          <t>brxihc</t>
        </is>
      </c>
      <c r="B1314" t="inlineStr">
        <is>
          <t>sweet taste in mouth</t>
        </is>
      </c>
      <c r="C1314" t="inlineStr">
        <is>
          <t>i've had a lingering sweet taste in my mouth for the past few days that most closely resembles artificial sweetener. is this a gerd thing? sources online say it may be, but shouldn't i be tasting stomach acid, if anything? apparently it's also a symptom of diabetes but i doubt having it it since i don't have any other symptoms and follow a healthy and nearly sugar-free diet. maybe bacterial overgrowth on the tongue (it looked pretty bad this morning)?
&amp;amp;#x200B;
my other symptoms with greater detail to whoever might be interested:  [https://www.reddit.com/r/GERD/comments/bo21se/gerdlpr\_or\_something\_else/](https://www.reddit.com/r/GERD/comments/bo21se/gerdlpr_or_something_else/) 
&amp;amp;#x200B;
thanks</t>
        </is>
      </c>
      <c r="D1314" t="n">
        <v>1</v>
      </c>
      <c r="E1314" t="n">
        <v>0</v>
      </c>
      <c r="F1314">
        <f>HYPERLINK("https://www.reddit.com/r/GERD/comments/brxihc/sweet_taste_in_mouth/")</f>
        <v/>
      </c>
      <c r="G1314" t="inlineStr">
        <is>
          <t>2019-05-22 19:08:59</t>
        </is>
      </c>
      <c r="H1314" t="inlineStr"/>
    </row>
    <row r="1315">
      <c r="A1315" t="inlineStr">
        <is>
          <t>brxp1b</t>
        </is>
      </c>
      <c r="B1315" t="inlineStr">
        <is>
          <t>Overkill?</t>
        </is>
      </c>
      <c r="C1315" t="inlineStr">
        <is>
          <t>I've been taking prisolec in the morning and zantac at night. That combo has been doing okay. I still get a bit of mucus in my throat from my acid reflex. But I would say I'm at 80%. Anyways, my ENT put me on a new med, Pantoprazole. He told me to take that in the morning. And take 2 prisolec tablets in the evening. I'm very iffy about this. Seems like a lot. Is this overkill? Anyone else done this?</t>
        </is>
      </c>
      <c r="D1315" t="n">
        <v>0</v>
      </c>
      <c r="E1315" t="n">
        <v>2</v>
      </c>
      <c r="F1315">
        <f>HYPERLINK("https://www.reddit.com/r/GERD/comments/brxp1b/overkill/")</f>
        <v/>
      </c>
      <c r="G1315" t="inlineStr">
        <is>
          <t>2019-05-22 19:27:06</t>
        </is>
      </c>
      <c r="H1315" t="inlineStr"/>
    </row>
    <row r="1316">
      <c r="A1316" t="inlineStr">
        <is>
          <t>brye8r</t>
        </is>
      </c>
      <c r="B1316" t="inlineStr">
        <is>
          <t>Chest pain &amp;amp; heartburn after endoscopy</t>
        </is>
      </c>
      <c r="C1316" t="inlineStr">
        <is>
          <t>So this morning I got an endoscopy. Lately I have been having trouble swallowing certain foods; I will often need to sip water to actually get the food all the way through my esophagus. 
Anyways, the procedure itself was not bad at all. Afterwards, they just told me that the diameter of my esophagus is about three-quarters the diameter of a normal esophagus and has a good deal of scarring. Also, they took a few biopsy samples.
During the car ride home, I kept feeling a pain specifically under my left breast (chest pain) and still feel it now as a type this. In addition to that, I have been feeling heartburn ever since I ate my first food after the procedure. Considering heartburn has never really been an issue for me in the past, why would it start after the endoscopy? Also, is the pretty intense chest pain anything to worry about or is it fairly common?
Thank you guys so much for reading this through.</t>
        </is>
      </c>
      <c r="D1316" t="n">
        <v>2</v>
      </c>
      <c r="E1316" t="n">
        <v>2</v>
      </c>
      <c r="F1316">
        <f>HYPERLINK("https://www.reddit.com/r/GERD/comments/brye8r/chest_pain_heartburn_after_endoscopy/")</f>
        <v/>
      </c>
      <c r="G1316" t="inlineStr">
        <is>
          <t>2019-05-22 20:38:36</t>
        </is>
      </c>
      <c r="H1316" t="inlineStr"/>
    </row>
    <row r="1317">
      <c r="A1317" t="inlineStr">
        <is>
          <t>bryrhw</t>
        </is>
      </c>
      <c r="B1317" t="inlineStr">
        <is>
          <t>Mastic Gum and Digestive Enzymes - Where and What Brand to buy?</t>
        </is>
      </c>
      <c r="C1317" t="inlineStr">
        <is>
          <t>Hi friends,
During a lot of posts in this topic, people mention mastic gum and digestive enzymes as natural treatments for GERD. However, they did not say what reliable brands and where to buy (Amazon, Ebay, Walmart, etc.)
Therefore, if anyone has tried and feel better, please share here. Thank you so much.</t>
        </is>
      </c>
      <c r="D1317" t="n">
        <v>2</v>
      </c>
      <c r="E1317" t="n">
        <v>2</v>
      </c>
      <c r="F1317">
        <f>HYPERLINK("https://www.reddit.com/r/GERD/comments/bryrhw/mastic_gum_and_digestive_enzymes_where_and_what/")</f>
        <v/>
      </c>
      <c r="G1317" t="inlineStr">
        <is>
          <t>2019-05-22 21:19:28</t>
        </is>
      </c>
      <c r="H1317" t="inlineStr"/>
    </row>
    <row r="1318">
      <c r="A1318" t="inlineStr">
        <is>
          <t>bryxnk</t>
        </is>
      </c>
      <c r="B1318" t="inlineStr">
        <is>
          <t>PPO Side effects? Lightheaded and weak feeling?</t>
        </is>
      </c>
      <c r="C1318" t="inlineStr">
        <is>
          <t>Anyone experience lightheadedness and weakness sometimes when taking PPI? Feels like some days I haven’t eaten at all and feel hazy and weak.</t>
        </is>
      </c>
      <c r="D1318" t="n">
        <v>1</v>
      </c>
      <c r="E1318" t="n">
        <v>0</v>
      </c>
      <c r="F1318">
        <f>HYPERLINK("https://www.reddit.com/r/GERD/comments/bryxnk/ppo_side_effects_lightheaded_and_weak_feeling/")</f>
        <v/>
      </c>
      <c r="G1318" t="inlineStr">
        <is>
          <t>2019-05-22 21:39:18</t>
        </is>
      </c>
      <c r="H1318" t="inlineStr"/>
    </row>
    <row r="1319">
      <c r="A1319" t="inlineStr">
        <is>
          <t>bs049v</t>
        </is>
      </c>
      <c r="B1319" t="inlineStr">
        <is>
          <t>28 w/ barrett's need recipes.</t>
        </is>
      </c>
      <c r="C1319" t="inlineStr">
        <is>
          <t>Hey guys first time here. i have just been diagnosed with BE and i have lost 30lbs  since January. I am the primary cook in the house and since being diagnosed i have lost all passion for food because of my restrictive diet. my wife is pregnant with our first kid and im looking for some BE friendly recipes that my wife will eat and keep me from losing more weight.   Thanks!</t>
        </is>
      </c>
      <c r="D1319" t="n">
        <v>4</v>
      </c>
      <c r="E1319" t="n">
        <v>7</v>
      </c>
      <c r="F1319">
        <f>HYPERLINK("https://www.reddit.com/r/GERD/comments/bs049v/28_w_barretts_need_recipes/")</f>
        <v/>
      </c>
      <c r="G1319" t="inlineStr">
        <is>
          <t>2019-05-23 00:47:30</t>
        </is>
      </c>
      <c r="H1319" t="inlineStr"/>
    </row>
    <row r="1320">
      <c r="A1320" t="inlineStr">
        <is>
          <t>bs1xbr</t>
        </is>
      </c>
      <c r="B1320" t="inlineStr">
        <is>
          <t>PPI benefit outweigh risks?</t>
        </is>
      </c>
      <c r="C1320" t="inlineStr">
        <is>
          <t>I had a psychiatrist tell me PPI long terms are very dangerous and the benefits do not outweigh the risks. My GI doc said the opposite. What have others read or been told?</t>
        </is>
      </c>
      <c r="D1320" t="n">
        <v>4</v>
      </c>
      <c r="E1320" t="n">
        <v>31</v>
      </c>
      <c r="F1320">
        <f>HYPERLINK("https://www.reddit.com/r/GERD/comments/bs1xbr/ppi_benefit_outweigh_risks/")</f>
        <v/>
      </c>
      <c r="G1320" t="inlineStr">
        <is>
          <t>2019-05-23 04:45:25</t>
        </is>
      </c>
      <c r="H1320" t="inlineStr"/>
    </row>
    <row r="1321">
      <c r="A1321" t="inlineStr">
        <is>
          <t>bs4hfn</t>
        </is>
      </c>
      <c r="B1321" t="inlineStr">
        <is>
          <t>Majority of my symptoms/problems seem to be at night.. Doctor is telling me to take Omeprazole in the morning... I've tried and can say with confidence that taking it at night is MUCH more effective.</t>
        </is>
      </c>
      <c r="C1321" t="inlineStr">
        <is>
          <t>So I guess what I'm trying to figure out is, should I listen to the doctor or my body? 
I do notice that when I take PPI with dinner it tends to cause some side effects the next morning but my main symptoms (Nausea, lack of appetite, inability to sleep) go completely away. When I take it in the morning it doesn't seem to do much at all aside from make me feel like I'm not taking the right meds. I also don't really eat much in the morning and it seems like the PPIs really are much more effective when taken with a full meal. 
So I guess what I'm trying to hear from y'all is, can I take it at night? Have you done this too? If regular Omeprazole shouldn't be taken at night then is there an alternative that is evening friendly? Thanks in advance!</t>
        </is>
      </c>
      <c r="D1321" t="n">
        <v>4</v>
      </c>
      <c r="E1321" t="n">
        <v>8</v>
      </c>
      <c r="F1321">
        <f>HYPERLINK("https://www.reddit.com/r/GERD/comments/bs4hfn/majority_of_my_symptomsproblems_seem_to_be_at/")</f>
        <v/>
      </c>
      <c r="G1321" t="inlineStr">
        <is>
          <t>2019-05-23 08:42:04</t>
        </is>
      </c>
      <c r="H1321" t="inlineStr"/>
    </row>
    <row r="1322">
      <c r="A1322" t="inlineStr">
        <is>
          <t>bs4tmh</t>
        </is>
      </c>
      <c r="B1322" t="inlineStr">
        <is>
          <t>Nissen Fundoplication and future pregnancies</t>
        </is>
      </c>
      <c r="C1322" t="inlineStr">
        <is>
          <t>Hi all!
I’m 28f, and am scheduled for the Nissen Fundoplication surgery on June 4th 2019.
I was wondering if anyone had any insight on what a pregnancy would be like following this operation. I have never been pregnant but may want to be in the future.
How did you deal with the nausea? Were you able to throw up?
Thank you!</t>
        </is>
      </c>
      <c r="D1322" t="n">
        <v>3</v>
      </c>
      <c r="E1322" t="n">
        <v>5</v>
      </c>
      <c r="F1322">
        <f>HYPERLINK("https://www.reddit.com/r/GERD/comments/bs4tmh/nissen_fundoplication_and_future_pregnancies/")</f>
        <v/>
      </c>
      <c r="G1322" t="inlineStr">
        <is>
          <t>2019-05-23 09:09:53</t>
        </is>
      </c>
      <c r="H1322" t="inlineStr"/>
    </row>
    <row r="1323">
      <c r="A1323" t="inlineStr">
        <is>
          <t>bs5zpv</t>
        </is>
      </c>
      <c r="B1323" t="inlineStr">
        <is>
          <t>Helpful tip while weightlifting!</t>
        </is>
      </c>
      <c r="C1323" t="inlineStr">
        <is>
          <t>I found a great tip that I hope helps you all as much as it has helped me.  I have avoided exercise like the plague since developing severe GERD and ulcer disease.  Went down to like 100 pounds and went from being muscular to being a skeleton.  Exercise would give me excruciating pain especially strength training. I’ve been getting back into weightlifting again and my health is turning around. I still have the conditions but I’m reminded how crucial it is to stay in shape and do strength training and so on for physical and mental health.   
The tip is basically just avoid the valsalva maneuver at all costs.  NEVER hold your breath while weightlifting.  Do squats, do pushups, do hip thrusts etc and whatever else you learn you can tolerate, but do so while keeping the muscles around your ribs and torso as relaxed as possible while exercising, and let yourself breathe.  It can help to have the mouth open too so you’ll be able to intake more air.  You don’t have to try and breathe.  Just stay relaxed and don’t hold the breath- you might start breathing rapidly quickly but that’s ok.  You’ll notice that the lack of holding your breath and breathing diaphragmatically will take a HUGE pressure load off your stomach while weightlifting.  I’ve found that as I improve my technique in doing this, that I can even do a lot of push-ups about 3 times a week without much repercussion, and I also am doing squats and so on.  To know how bad my GERD is, I have to sleep sitting straight up in a chair at age 21, so I know how bad and excruciatingly painful this disease can be.  But I don’t think it has to stop you from exercising.  Trust me, I avoided and feared it more than anyone.  But with certain techniques and modifications you can stay strong without needing to suffer more than normal.</t>
        </is>
      </c>
      <c r="D1323" t="n">
        <v>14</v>
      </c>
      <c r="E1323" t="n">
        <v>10</v>
      </c>
      <c r="F1323">
        <f>HYPERLINK("https://www.reddit.com/r/GERD/comments/bs5zpv/helpful_tip_while_weightlifting/")</f>
        <v/>
      </c>
      <c r="G1323" t="inlineStr">
        <is>
          <t>2019-05-23 10:47:36</t>
        </is>
      </c>
      <c r="H1323" t="inlineStr"/>
    </row>
    <row r="1324">
      <c r="A1324" t="inlineStr">
        <is>
          <t>bs82rg</t>
        </is>
      </c>
      <c r="B1324" t="inlineStr">
        <is>
          <t>Ok to switch PPI's?</t>
        </is>
      </c>
      <c r="C1324" t="inlineStr">
        <is>
          <t>I've been taking Dexilant for 3 weeks.  It's working OK, but not great.  I have a follow up appointment next Tuesday.  Would it be ok to try Nexium, or do you have to wean yourself off of Dexilant first?  Thank you</t>
        </is>
      </c>
      <c r="D1324" t="n">
        <v>2</v>
      </c>
      <c r="E1324" t="n">
        <v>6</v>
      </c>
      <c r="F1324">
        <f>HYPERLINK("https://www.reddit.com/r/GERD/comments/bs82rg/ok_to_switch_ppis/")</f>
        <v/>
      </c>
      <c r="G1324" t="inlineStr">
        <is>
          <t>2019-05-23 13:46:22</t>
        </is>
      </c>
      <c r="H1324" t="inlineStr"/>
    </row>
    <row r="1325">
      <c r="A1325" t="inlineStr">
        <is>
          <t>bs8c5s</t>
        </is>
      </c>
      <c r="B1325" t="inlineStr">
        <is>
          <t>Acid Reflux and Cancer.</t>
        </is>
      </c>
      <c r="C1325" t="inlineStr">
        <is>
          <t>I seen people here post this quite often.  It's understandably concerning but I would like to add...
"Barrett's esophagus: About 5% to 10% of people with GERD develop this condition, where stomach acid causes precancerous changes in cells. The good news is that only 1% of people with Barrett's esophagus will getesophageal cancer. Doctors canremove the abnormal cells when they diagnose you early on."
So the chances are slim.  I do believe that changes in your lifestyle still matter; eating whole grains, fruits, veggies, etc... But developing Cancer is probably no different from every other chance in life.</t>
        </is>
      </c>
      <c r="D1325" t="n">
        <v>0</v>
      </c>
      <c r="E1325" t="n">
        <v>8</v>
      </c>
      <c r="F1325">
        <f>HYPERLINK("https://www.reddit.com/r/GERD/comments/bs8c5s/acid_reflux_and_cancer/")</f>
        <v/>
      </c>
      <c r="G1325" t="inlineStr">
        <is>
          <t>2019-05-23 14:08:52</t>
        </is>
      </c>
      <c r="H1325" t="inlineStr"/>
    </row>
    <row r="1326">
      <c r="A1326" t="inlineStr">
        <is>
          <t>bs8i7w</t>
        </is>
      </c>
      <c r="B1326" t="inlineStr">
        <is>
          <t>Does magic mouthwash help with GERD?</t>
        </is>
      </c>
      <c r="C1326" t="inlineStr">
        <is>
          <t>My doctor diagnosed me with GERD today and prescribed magic mouthwash (Maalox, Lidocaine, and Benadryl). Does this help with GERD? And if so, is it necessary for me to swish it around my mouth before swallowing?</t>
        </is>
      </c>
      <c r="D1326" t="n">
        <v>1</v>
      </c>
      <c r="E1326" t="n">
        <v>1</v>
      </c>
      <c r="F1326">
        <f>HYPERLINK("https://www.reddit.com/r/GERD/comments/bs8i7w/does_magic_mouthwash_help_with_gerd/")</f>
        <v/>
      </c>
      <c r="G1326" t="inlineStr">
        <is>
          <t>2019-05-23 14:23:49</t>
        </is>
      </c>
      <c r="H1326" t="inlineStr"/>
    </row>
    <row r="1327">
      <c r="A1327" t="inlineStr">
        <is>
          <t>bs8oem</t>
        </is>
      </c>
      <c r="B1327" t="inlineStr">
        <is>
          <t>Reflux or no?</t>
        </is>
      </c>
      <c r="C1327" t="inlineStr">
        <is>
          <t>So i started out having really bad anxiety (frequent panic attacks) and felt like i was having a heart attack then had what felt like nonstop chest pain for around 2 months. When i first started to have anxiety i stopped drinking alcohol and started to eat more healthy and then the chest pain went away. I have also had a tightness in my throat ever since i started having anxiety and it hardly ever goes away. I dont really feel any other reflux symptoms besides excess saliva production and my phlegm is white and bubbly, wondering if i still have reflux or its just stress/anxiety? Im seeing a gastroenterologist soon. I took prilosec, tums, apple cider vinegar, all of that and it doesnt seem to really do anything</t>
        </is>
      </c>
      <c r="D1327" t="n">
        <v>3</v>
      </c>
      <c r="E1327" t="n">
        <v>2</v>
      </c>
      <c r="F1327">
        <f>HYPERLINK("https://www.reddit.com/r/GERD/comments/bs8oem/reflux_or_no/")</f>
        <v/>
      </c>
      <c r="G1327" t="inlineStr">
        <is>
          <t>2019-05-23 14:39:18</t>
        </is>
      </c>
      <c r="H1327" t="inlineStr"/>
    </row>
    <row r="1328">
      <c r="A1328" t="inlineStr">
        <is>
          <t>bsan1e</t>
        </is>
      </c>
      <c r="B1328" t="inlineStr">
        <is>
          <t>When do you take your nexium?</t>
        </is>
      </c>
      <c r="C1328" t="inlineStr">
        <is>
          <t>Instructions say morning but it says the same for omeprazole and I've heard a variety of discrepancies on that.</t>
        </is>
      </c>
      <c r="D1328" t="n">
        <v>2</v>
      </c>
      <c r="E1328" t="n">
        <v>1</v>
      </c>
      <c r="F1328">
        <f>HYPERLINK("https://www.reddit.com/r/GERD/comments/bsan1e/when_do_you_take_your_nexium/")</f>
        <v/>
      </c>
      <c r="G1328" t="inlineStr">
        <is>
          <t>2019-05-23 17:54:24</t>
        </is>
      </c>
      <c r="H1328" t="inlineStr"/>
    </row>
    <row r="1329">
      <c r="A1329" t="inlineStr">
        <is>
          <t>bsapfl</t>
        </is>
      </c>
      <c r="B1329" t="inlineStr">
        <is>
          <t>Diet Coke and GERD(?) I think</t>
        </is>
      </c>
      <c r="C1329" t="inlineStr">
        <is>
          <t>I am hoping someone can help me understand. I stopped drinking Diet Coke about three months ago. Before I was a habitual “user” I’m talking like minimum of 5 cans or bottles a day. I always knew it was bad for me for a number of reasons so I quit, cold turkey. 
Life was great. No headaches, no dependency, less gas. But then about two months off the sauce, I started having panic attacks. I’ve had a history of panicking and being anxious but never to where I couldn’t breathe my way through it. That’s when the GERD (I think that’s what it is) started. 
One panic attack triggered almost unbearable GERD. I felt like I had a baseball bat wedged in my throat constantly, especially bad after eating anything. Heart palpitations, hot flashes (I’m a 27yo M) nausea, gagging, stomach pain and general malaise. 
Went to the doctor and got put on Lexapro for the anxiety and omeprazole for the GERD. After close to a month, my anxiety and general mood was better. But my GERD would not go away. Sleeping sitting up, not eating after 2PM, eating only salads, I got nothing. One night after omeprazole and pepto with I’ll feelings still, I was close to going to a hospital. Then my wife suggested cracking open a nice crispy Diet Coke. 
I won’t call it instant relief but after 4 days now off the wagon, I have had a 100% turnaround. I the horrible throat feeling/chest and stomach pains are gone. I know this is purely anecdotal but is there any correlation anyone can think of? PH or anything? I’m relieved I feel better and will consult my doc when I go back but just wanted to get some insight.</t>
        </is>
      </c>
      <c r="D1329" t="n">
        <v>2</v>
      </c>
      <c r="E1329" t="n">
        <v>11</v>
      </c>
      <c r="F1329">
        <f>HYPERLINK("https://www.reddit.com/r/GERD/comments/bsapfl/diet_coke_and_gerd_i_think/")</f>
        <v/>
      </c>
      <c r="G1329" t="inlineStr">
        <is>
          <t>2019-05-23 18:01:22</t>
        </is>
      </c>
      <c r="H1329" t="inlineStr"/>
    </row>
    <row r="1330">
      <c r="A1330" t="inlineStr">
        <is>
          <t>bsbm9e</t>
        </is>
      </c>
      <c r="B1330" t="inlineStr">
        <is>
          <t>GERD, LPR?, SINUS ISSUES</t>
        </is>
      </c>
      <c r="C1330" t="inlineStr">
        <is>
          <t>I have been suffering from acid reflux for the past 5 years or so. I have tried everything from tums to zantac to PPIs. The past couple of years I have mostly been able to manage my symptoms with one Zantac a day. In the past week my reflux has gotten way worse. Zantac no longer seems to be working either. Additionally, the reflux is so bad it's irritating my sinuses to the point where I can feel that they are swollen and it makes it harder to breathe.
&amp;amp;#x200B;
Has anyone experienced this? Did flonase and/or a saline nasal spray help your sinus issues? I may also try going back on a PPI briefly again to see if things improve.</t>
        </is>
      </c>
      <c r="D1330" t="n">
        <v>5</v>
      </c>
      <c r="E1330" t="n">
        <v>13</v>
      </c>
      <c r="F1330">
        <f>HYPERLINK("https://www.reddit.com/r/GERD/comments/bsbm9e/gerd_lpr_sinus_issues/")</f>
        <v/>
      </c>
      <c r="G1330" t="inlineStr">
        <is>
          <t>2019-05-23 19:38:04</t>
        </is>
      </c>
      <c r="H1330" t="inlineStr"/>
    </row>
    <row r="1331">
      <c r="A1331" t="inlineStr">
        <is>
          <t>bsg5lu</t>
        </is>
      </c>
      <c r="B1331" t="inlineStr">
        <is>
          <t>Post Nissen Op Issues-Barium Now Shows, "Mild Reflux"</t>
        </is>
      </c>
      <c r="C1331" t="inlineStr">
        <is>
          <t>Came down with a severe case of GERD back in 2017. Got it under control for the most part with meds and 70 lbs of weight loss in a short period of time. In April 2018, started losing my voice and severe sore throats when eating anything on the forbidden list of GERD foods regardless of PPI intake. I didn't have chest pain, but I lost my voice 3 times in the course of 2 months. Had gallbladder removed due to issues in October 2018. Although the ph study showed that the PPIs were keeping acid at bay, my symptoms didn't improve much and I was suspected of having bile reflux after the gallbladder removal since my symptoms got worse. It was revealed that I had motility issues in my esophagus. 
&amp;amp;#x200B;
I'm 35 years old. Because of my age the motility specialist recommended I have surgery due to concern over the long term side effects of PPI use. She told me it would be such an improvement to quality of life. So, I get the Nissen from a surgeon with awful bedside manner. I'm told he was technically the best in the area, but had bad bedside manner and it appeared to be the case. For a surgery, I want the best so I went with him. 
&amp;amp;#x200B;
Post op, I felt reflux symptoms, but the barium swallow results showed no reflux. Note that total time of the exam was under 2 minutes. The surgeon specifically says that reflux is impossible at this stage thanks to his surgery and that the most common reason for it to occur post op is due to weight gain. He also accuses me of eating things that contain citric acid, which wasn't true. He says I have a medical problem and that the surgery was a success despite my subjective symptoms.
 So I go back to the motility specialist. I'm told that I have developed hypersensitivity and need to take gabapentin for a few weeks. I still feel no improvement and then have another ph study. Would you look at that, mild reflux! I wasn't making it up after all! Granted my score pre surgery was around 100 while my post op acid score was around 1 with 20 being the upper limit, but it's not 0 as everyone kept insisting. 
My PCP then prescribes wellbutrin to help with focus and that goes horribly wrong. On the first day, I end up vomiting, which ends up being just a bunch of dry heaving since my wrap is there. A week after this incident and after being taken off that med(done immediately), I end up with worse reflux symptoms than I had pre-op. When I say worse, I mean that I hadn't really had classic heartburn since 2017, but the throat issues have been persistent since 2018. Now, I get both, which I didn't have pre-op. In the meantime, the motility specialist is telling me to be liberal with my diet as I had been on a super strict GERD diet since 2017 to lose weight and have luckily kept it off. 
Because of the vomiting episode the motility doc agrees to do another barium swallow just in case to confirm that the wrap is still in tact. I felt it was in tact, but maybe some slipping occurred? This time rather than a resident, I'm examined by a full time doctor that conducts a test for over 6 minutes. She confirms that I have reflux, but it is "very mild." She says that sometimes the surgeons should use different language, but really the very mild reflux she found while not ideal is nothing to worry about. In an outrage, I call the surgeon's office and ask to know what they meant by the word impossible. The PA then does a word gymnastics routine where she basically agrees that my post op results "improved" but weren't as exaggerated as they made it seem post op. Mind you, I'm most angry about the fact that the doc basically yelled at me when I felt that reflux was still there. If he had said that he left the wrap loose because of my motility issues and that some mild reflux may occur, but it would be better than my current state, I would have been fine, but his insistence on having no reflux no matter what I said made me pretty upset. A judge and possibly a jury in court would probably agree with me that impossible means just that, impossible not a poor choice of words, but I digress. The other thing that pisses me off is that I specifically asked the surgeon would there be any changes to my life after surgery and he said no. Then, I found out through my own post surgery episode that I could no longer vomit. I just noticed that things that would normally come up, wouldn't and asked my GI doc about it and she told me that I should have been told that upfront. 
The 24 hr ph study was done before I had the vomiting episode so the idea that the wellbutrin has caused the wrap to be less effective would not be backed up given that I still showed reflux before that happened. The mildness of the barium I had yesterday also seems to back up the study's results. 
Questions to r/GERD:
Is it common to have mild reflux less than 6 months post op? 
Is mild reflux post op indicative of a failed surgery? 
If they have me go back on PPIs does this basically make the surgery pointless since I was already on PPIs with the recommendation for surgery to get AWAY from PPIs? 
Any other advice?</t>
        </is>
      </c>
      <c r="D1331" t="n">
        <v>2</v>
      </c>
      <c r="E1331" t="n">
        <v>9</v>
      </c>
      <c r="F1331">
        <f>HYPERLINK("https://www.reddit.com/r/GERD/comments/bsg5lu/post_nissen_op_issuesbarium_now_shows_mild_reflux/")</f>
        <v/>
      </c>
      <c r="G1331" t="inlineStr">
        <is>
          <t>2019-05-24 05:11:30</t>
        </is>
      </c>
      <c r="H1331" t="inlineStr"/>
    </row>
    <row r="1332">
      <c r="A1332" t="inlineStr">
        <is>
          <t>bsgi5w</t>
        </is>
      </c>
      <c r="B1332" t="inlineStr">
        <is>
          <t>20 mg Omeprazole kept my GERD in check for months and now stopped working</t>
        </is>
      </c>
      <c r="C1332" t="inlineStr">
        <is>
          <t>I started getting GERD symptoms at the end of summer of last year, so I took a 2 week dose of nexium and it kept the GERD in check. The symptoms came back once I was off the Nexium, so I saw my GP and she prescribed me 20 mg of Omeprazole. 
I've been taking it once a day every morning for months and haven't had any symptoms. The symptoms came back last week, so I made an appointment with a GI doctor. He scheduled an endoscopy for me, and also prescribed me Dexilant. Dexilant is not covered by my insurance, and costs $250 for a 3 month supply even with the discount card. 
Is it normal for omeprazole to exhibit relief and then just stop working? Is there anything else I can try to relieve my GERD before trying Dexilant? I really don't want to spend $250 on something that might not work. 
* We are in the process of moving at the end of June,  so stress might be playing a factor.
* I drink 1 beer a night. My doctor said this probably isn't a problem, but I'll probably cut it out to see if that helps. 
* Can I take something like Zantac along with the omeprazole? 
* Should I double dose the omeprazole to see if that helps? If so, should I take 40 mg in the morning or split it up between morning and afternoon?
Thanks for any tips.</t>
        </is>
      </c>
      <c r="D1332" t="n">
        <v>3</v>
      </c>
      <c r="E1332" t="n">
        <v>15</v>
      </c>
      <c r="F1332">
        <f>HYPERLINK("https://www.reddit.com/r/GERD/comments/bsgi5w/20_mg_omeprazole_kept_my_gerd_in_check_for_months/")</f>
        <v/>
      </c>
      <c r="G1332" t="inlineStr">
        <is>
          <t>2019-05-24 05:46:17</t>
        </is>
      </c>
      <c r="H1332" t="inlineStr"/>
    </row>
    <row r="1333">
      <c r="A1333" t="inlineStr">
        <is>
          <t>bsgn66</t>
        </is>
      </c>
      <c r="B1333" t="inlineStr">
        <is>
          <t>Low-Carb Diet</t>
        </is>
      </c>
      <c r="C1333" t="inlineStr">
        <is>
          <t>I've had reflux for the past few years. I've been through many tests and tried many different medications (antacids, H2 blockers, and PPIs) to manage it with limited success. The past couple of years I've been able to get by sticking with a zantac before bedtime. However, over the past week my reflux has been much worse and Zantac doesn't seem to help much. I am also now suffering from chronic sinus issues (LPR?) as a result of the acid irritating my nasal passages and causing them to become inflamed/swell.  
While I have made some small diet changes over the years, I now feel like is the time to try a more drastic approach to see if it can help/cure my GERD. I started a low-carb diet on Monday. I would attempt full keto, but high fat seems to make my reflux worse even though it may not be the underlying cause of my reflux. For example, I had scrambled eggs (egg whites and yolks and butter in pan only) yesterday and regretted it.  The typical meal plan I have been following is below. The one exception would be the scrambled eggs I tried for lunch yesterday.
&amp;amp;#x200B;
Breakfast - Banana
Lunch - Salad (lettuce, chicken/tuna fish, cucumber, feta cheese, 1000 island dressing)
Dinner - Baked chicken or fish and veggies (squad, zucchini, green beans, spinach, etc.)
&amp;amp;#x200B;
I had a couple of questions regarding this diet for those that have tried it with or without success to eliminate and/or manage their GERD/LPR.
1. How long on the low-carb diet did it take for you to eliminate your GERD/LPR?
2. Did you continue to take reflux medications while on the diet initially before weaning off or reducing the amount of meds you take?
3. Regarding the diet, should I discontinue having a banana a day since they are high in carbs?
4. What other alternatives would people suggest to get my full calorie intake for the day? Note that my options are currently limited since some foods make my reflux worse even though they may not be the underlying cause of my reflux.</t>
        </is>
      </c>
      <c r="D1333" t="n">
        <v>5</v>
      </c>
      <c r="E1333" t="n">
        <v>17</v>
      </c>
      <c r="F1333">
        <f>HYPERLINK("https://www.reddit.com/r/GERD/comments/bsgn66/lowcarb_diet/")</f>
        <v/>
      </c>
      <c r="G1333" t="inlineStr">
        <is>
          <t>2019-05-24 06:00:30</t>
        </is>
      </c>
      <c r="H1333" t="inlineStr"/>
    </row>
    <row r="1334">
      <c r="A1334" t="inlineStr">
        <is>
          <t>bsjrhr</t>
        </is>
      </c>
      <c r="B1334" t="inlineStr">
        <is>
          <t>Dry mouth with GERD?</t>
        </is>
      </c>
      <c r="C1334" t="inlineStr">
        <is>
          <t>Has anyone else experienced this?
&amp;amp;#x200B;
I went to the doctors recently because I was suffering from swallowing issues and dry mouth, they tested me for H Plyori which came back positive so I went on antibiotics and omniprazole. After the antibiotics I still didn't feel right so they told me I probably have GERD and told me to start taking omeprazole.
&amp;amp;#x200B;
The GERD has got slightly better but I still have horrendous dry mouth and some swallowing issues from time to time. I know a rare side effect of omniprazole is dry mouth but I had it before I even started taking them.</t>
        </is>
      </c>
      <c r="D1334" t="n">
        <v>5</v>
      </c>
      <c r="E1334" t="n">
        <v>5</v>
      </c>
      <c r="F1334">
        <f>HYPERLINK("https://www.reddit.com/r/GERD/comments/bsjrhr/dry_mouth_with_gerd/")</f>
        <v/>
      </c>
      <c r="G1334" t="inlineStr">
        <is>
          <t>2019-05-24 10:33:54</t>
        </is>
      </c>
      <c r="H1334" t="inlineStr"/>
    </row>
    <row r="1335">
      <c r="A1335" t="inlineStr">
        <is>
          <t>bsjvit</t>
        </is>
      </c>
      <c r="B1335" t="inlineStr">
        <is>
          <t>Does this sound like GERD? Pls help :(</t>
        </is>
      </c>
      <c r="C1335" t="inlineStr">
        <is>
          <t>Since about last summer, I have been getting random abdominal pain in the middle of the night... so bad it would wake me up, and I would think I need to go to the hospital! I also felt gassy. I thought it had something to do with my IUD bc I would get the pain around my period. My PCP didn’t think it was a huge deal, so I kinda ignored it. However, for the past month, I have been having this pain almost everyday! The pain is mostly in my upper abdomen, where my ribs meet, and in my upper mid back. I also will get general abdominal pain. My PCP at Uni and my PCP in the area I live in both thought acid reflux first. 
I got an upper endoscopy, and we ruled out ulcers, but she also said my acid levels were normal. Could they be normal bc of my acid reducer? Wouldnt she have seen some signs of GERD during the upper endoscopy? 
I am getting an ultrasound for gallstones, and double checking the placement of my IUD today.
I just can’t believe it would be acid reflux... I had like half of a chocolate pop tart and was in pain for hours! I can’t believe that such a small amount of chocolate would have my in my bed in pain for hours. I also don’t believe it’s acid reflux because I don’t have much of a burn feeling- more of a cramping, general pain feeling. 
I am trying to cut out dairy, gluten, and acidic foods. I am miserable, and losing so much time to this. Does this even sound like it could be GERD? 
Thank you for your insight!</t>
        </is>
      </c>
      <c r="D1335" t="n">
        <v>5</v>
      </c>
      <c r="E1335" t="n">
        <v>7</v>
      </c>
      <c r="F1335">
        <f>HYPERLINK("https://www.reddit.com/r/GERD/comments/bsjvit/does_this_sound_like_gerd_pls_help/")</f>
        <v/>
      </c>
      <c r="G1335" t="inlineStr">
        <is>
          <t>2019-05-24 10:43:26</t>
        </is>
      </c>
      <c r="H1335" t="inlineStr"/>
    </row>
    <row r="1336">
      <c r="A1336" t="inlineStr">
        <is>
          <t>bsk1l1</t>
        </is>
      </c>
      <c r="B1336" t="inlineStr">
        <is>
          <t>Lpr, burping and something moving in chest but no hernia on endoscopy?</t>
        </is>
      </c>
      <c r="C1336" t="inlineStr">
        <is>
          <t>Ok I’m going a bit bonkers here but I would like to hear what people think.
I had severe vomiting in 2012, after which I have developed chronic gas burping and after a few years burning in the throat.
7 years later I got an endoscopy because when I breathed out as deeply as I could and breathed back out, I could feel something ‘popping’ in my chest area. About a year ago it ‘moved’ upwards and I got chronic burning in the throat. 
I was convinced this was a hernia moving, but an endoscopy showed no hernia whatsoever, literally none.
What should I make of this? I am willing to accept that the burping may be slightly psychosomatic and that I have a tendency to swallow a lot, but the ‘popping’ feeling is very much real, could it simply be something else, what do people think?
I do not know how to frame this to my Gastro, it’s not like he can ask me to breathe in and out and see what’s ‘moving around’. Or indeed if it is something else, what should I do if this hernia only shows up when I breathe, which will not show up on endoscopy? 
I’m at a bit of a loss here. 
Any advice or opinions welcome!</t>
        </is>
      </c>
      <c r="D1336" t="n">
        <v>3</v>
      </c>
      <c r="E1336" t="n">
        <v>2</v>
      </c>
      <c r="F1336">
        <f>HYPERLINK("https://www.reddit.com/r/GERD/comments/bsk1l1/lpr_burping_and_something_moving_in_chest_but_no/")</f>
        <v/>
      </c>
      <c r="G1336" t="inlineStr">
        <is>
          <t>2019-05-24 10:57:38</t>
        </is>
      </c>
      <c r="H1336" t="inlineStr"/>
    </row>
    <row r="1337">
      <c r="A1337" t="inlineStr">
        <is>
          <t>bskgld</t>
        </is>
      </c>
      <c r="B1337" t="inlineStr">
        <is>
          <t>Gastroesophageal junction inflammation. Anyone recovered?</t>
        </is>
      </c>
      <c r="C1337" t="inlineStr">
        <is>
          <t>I  had an upper endoscopy in 2017 and was diagnosed with moderate esophagitis (chronic inflammation at gastroesophageal junction).
The symptom is mostly pain at this junction. I've been on different types of PPIs for the past 2 years but this symptom persists.
I was just wondering if anyone recovered from this type of problem?</t>
        </is>
      </c>
      <c r="D1337" t="n">
        <v>3</v>
      </c>
      <c r="E1337" t="n">
        <v>0</v>
      </c>
      <c r="F1337">
        <f>HYPERLINK("https://www.reddit.com/r/GERD/comments/bskgld/gastroesophageal_junction_inflammation_anyone/")</f>
        <v/>
      </c>
      <c r="G1337" t="inlineStr">
        <is>
          <t>2019-05-24 11:32:50</t>
        </is>
      </c>
      <c r="H1337" t="inlineStr"/>
    </row>
    <row r="1338">
      <c r="A1338" t="inlineStr">
        <is>
          <t>bslva8</t>
        </is>
      </c>
      <c r="B1338" t="inlineStr">
        <is>
          <t>Swallowing air and burping?</t>
        </is>
      </c>
      <c r="C1338" t="inlineStr">
        <is>
          <t>I went to the ER because i was having trouble breathing and was told i most likely have a hiatal hernia. It made sense considering i have had gerd symptoms in the past. I ended up going again because I could barely breath my lungs felt so restricted. It's been 6 days, and i still have a hard time breathing. However something I noticed is that every single time i breath in, I need to burp. I didnt notice this at first but now that i have if i just burp after every breath the restrition on my lungs seems to not be there. If i just don't burp the pressure seems to build up and i have an extremely hard time breathing. I'm just wondering if that's actually something a hernia or gerd could just be responsible for. Also for about a year now i've had to burp after every sip of a drink ive had no matter how how small i feel like the two things could e related.</t>
        </is>
      </c>
      <c r="D1338" t="n">
        <v>7</v>
      </c>
      <c r="E1338" t="n">
        <v>15</v>
      </c>
      <c r="F1338">
        <f>HYPERLINK("https://www.reddit.com/r/GERD/comments/bslva8/swallowing_air_and_burping/")</f>
        <v/>
      </c>
      <c r="G1338" t="inlineStr">
        <is>
          <t>2019-05-24 13:32:22</t>
        </is>
      </c>
      <c r="H1338" t="inlineStr"/>
    </row>
    <row r="1339">
      <c r="A1339" t="inlineStr">
        <is>
          <t>bsmt8l</t>
        </is>
      </c>
      <c r="B1339" t="inlineStr">
        <is>
          <t>I’ve had heart burn and stomach pain all day. Preventing me from eating, making my heart burn worse...</t>
        </is>
      </c>
      <c r="C1339" t="inlineStr">
        <is>
          <t>And tums were doing nothing for me... so the cycle continues.  
Any food recommendations for days where you can’t seem to interrupt the cycle? I know for a fact that an empty stomach triggers heart burn for me but once it gets going everything seems to hurt.</t>
        </is>
      </c>
      <c r="D1339" t="n">
        <v>1</v>
      </c>
      <c r="E1339" t="n">
        <v>0</v>
      </c>
      <c r="F1339">
        <f>HYPERLINK("https://www.reddit.com/r/GERD/comments/bsmt8l/ive_had_heart_burn_and_stomach_pain_all_day/")</f>
        <v/>
      </c>
      <c r="G1339" t="inlineStr">
        <is>
          <t>2019-05-24 14:50:37</t>
        </is>
      </c>
      <c r="H1339" t="inlineStr"/>
    </row>
    <row r="1340">
      <c r="A1340" t="inlineStr">
        <is>
          <t>bsna1v</t>
        </is>
      </c>
      <c r="B1340" t="inlineStr">
        <is>
          <t>How many on here are overweight or obese?</t>
        </is>
      </c>
      <c r="C1340" t="inlineStr">
        <is>
          <t>Any stories of people getting their weight to “normal” and the GERD symptoms going away?</t>
        </is>
      </c>
      <c r="D1340" t="n">
        <v>1</v>
      </c>
      <c r="E1340" t="n">
        <v>10</v>
      </c>
      <c r="F1340">
        <f>HYPERLINK("https://www.reddit.com/r/GERD/comments/bsna1v/how_many_on_here_are_overweight_or_obese/")</f>
        <v/>
      </c>
      <c r="G1340" t="inlineStr">
        <is>
          <t>2019-05-24 15:31:50</t>
        </is>
      </c>
      <c r="H1340" t="inlineStr"/>
    </row>
    <row r="1341">
      <c r="A1341" t="inlineStr">
        <is>
          <t>bsomb1</t>
        </is>
      </c>
      <c r="B1341" t="inlineStr">
        <is>
          <t>It’s so difficult to breathe...</t>
        </is>
      </c>
      <c r="C1341" t="inlineStr">
        <is>
          <t>My chest feels tight and breathing in is so difficult, naturally breathing in doesn’t feel enough. I can take deep breaths but sometimes they hurt. Breathing in and out is slow, even when I workout.
I’ve been off PPI’s for a week, and I’m getting a slew of rebound effects. My doctor doesn’t think of it as a concern and provided me with an asthma inhaler, which hardly changes anything. It’s slightly getting worse everyday.
I feel like I’m going to stop breathing one of these days. Anyone else experience difficulty breathing? How did you cope or fix it?</t>
        </is>
      </c>
      <c r="D1341" t="n">
        <v>1</v>
      </c>
      <c r="E1341" t="n">
        <v>0</v>
      </c>
      <c r="F1341">
        <f>HYPERLINK("https://www.reddit.com/r/GERD/comments/bsomb1/its_so_difficult_to_breathe/")</f>
        <v/>
      </c>
      <c r="G1341" t="inlineStr">
        <is>
          <t>2019-05-24 17:47:04</t>
        </is>
      </c>
      <c r="H1341" t="inlineStr"/>
    </row>
    <row r="1342">
      <c r="A1342" t="inlineStr">
        <is>
          <t>bspy4f</t>
        </is>
      </c>
      <c r="B1342" t="inlineStr">
        <is>
          <t>Heart palpitations from reflux</t>
        </is>
      </c>
      <c r="C1342" t="inlineStr">
        <is>
          <t>Anyone else get heart palpitations from their reflux? Or at least the sensation of heart palpitations? I've had it this sensation off and on for quite some time, even had my heart evaluated and wore a Holter monitor for 48 hours... nothing. Any time I get these palpitations, I end up having to burp not too long after and then it feels better... Only to happen again later on. It's such a frustrating and scary symptom... Just wondering if anyone else has experienced this?</t>
        </is>
      </c>
      <c r="D1342" t="n">
        <v>13</v>
      </c>
      <c r="E1342" t="n">
        <v>25</v>
      </c>
      <c r="F1342">
        <f>HYPERLINK("https://www.reddit.com/r/GERD/comments/bspy4f/heart_palpitations_from_reflux/")</f>
        <v/>
      </c>
      <c r="G1342" t="inlineStr">
        <is>
          <t>2019-05-24 20:14:20</t>
        </is>
      </c>
      <c r="H1342" t="inlineStr"/>
    </row>
    <row r="1343">
      <c r="A1343" t="inlineStr">
        <is>
          <t>bsq5ru</t>
        </is>
      </c>
      <c r="B1343" t="inlineStr">
        <is>
          <t>Want to stop my acid reflux before it gets bad.</t>
        </is>
      </c>
      <c r="C1343" t="inlineStr">
        <is>
          <t>Hey! So first a little background. I'm 20yo, I've had problems with acid reflux for years, I'd say since I was around 15. And I've been on Omeprazole all that time too. Recently I've been reading up on PPIs and would like to get off them. Especially since I've recently been noticing digestion issues which I've heard is a side effect, notably that, according to my girlfriend, my burps smell awful after I eat anything. 
Both my parents suffer from it too, worse than me actually, so idk if this is a factor? 
I thought my acid was bad until I read some of the posts here. At the moment I'm only taking 10mg Omeprazole every other day, along with probiotics every day and the occasional renny when I have a flair up.
With this I can eat pretty much most of the things I like eating. But I am worried about the effects of PPIs and really don't want to take them for my whole life considering how young I am.
I have literally no idea how to go about it as after a few days off them my acid comes back with a vengeance.
I've heard so many different methods and diets. Like I must eat an almond at regular 22 minute intervals, but only on a Tuesday when there is a full moon.
I love to travel, and I am actually in Asia now so it's difficult to get hold of any weird supplements or specific foods.
I need some adaptable, simple methods which will allow me to get on with my life, and be able to travel and do what I want without having to worry about my acid. And ideally getting myself off Omeprazole.
Any advice would be greatly appreciated :)
Have a great day everyone.
Cheers,
Owen</t>
        </is>
      </c>
      <c r="D1343" t="n">
        <v>2</v>
      </c>
      <c r="E1343" t="n">
        <v>5</v>
      </c>
      <c r="F1343">
        <f>HYPERLINK("https://www.reddit.com/r/GERD/comments/bsq5ru/want_to_stop_my_acid_reflux_before_it_gets_bad/")</f>
        <v/>
      </c>
      <c r="G1343" t="inlineStr">
        <is>
          <t>2019-05-24 20:38:57</t>
        </is>
      </c>
      <c r="H1343" t="inlineStr"/>
    </row>
    <row r="1344">
      <c r="A1344" t="inlineStr">
        <is>
          <t>bsrns1</t>
        </is>
      </c>
      <c r="B1344" t="inlineStr">
        <is>
          <t>Your personal anecdotes of relationship between stress/anxiety, GERD, and gut health in general ?</t>
        </is>
      </c>
      <c r="C1344" t="inlineStr">
        <is>
          <t>I have been feeling really down with my deteriorating health, last week I totally feel awful everyday at work, from stomach cramp, pain, awful amount of gas, non stop belching, fatigue, left head migraine, everything just driving me crazy
&amp;amp;#x200B;
&amp;amp;#x200B;
I have been going to my regular GP but his answer nowadays is always stress (he did perform blood test and endoscopy and does not find anything malignant in me)
&amp;amp;#x200B;
&amp;amp;#x200B;
I refuse to believe that all my physical ailments are caused by stress, I think stress plays a part but it seems unlikely to cause such extreme health problems but obviously I am not a doctor, so I am wondering if you guys have any personal anecdotes regarding this. Does stressful situations suddenly trigger your GERD / stomach problem ? are you ALWAYS fine when you are on holiday or weekend when you are relaxing ? Do you believe stress trigger your symptoms ?</t>
        </is>
      </c>
      <c r="D1344" t="n">
        <v>3</v>
      </c>
      <c r="E1344" t="n">
        <v>3</v>
      </c>
      <c r="F1344">
        <f>HYPERLINK("https://www.reddit.com/r/GERD/comments/bsrns1/your_personal_anecdotes_of_relationship_between/")</f>
        <v/>
      </c>
      <c r="G1344" t="inlineStr">
        <is>
          <t>2019-05-24 23:56:13</t>
        </is>
      </c>
      <c r="H1344" t="inlineStr"/>
    </row>
    <row r="1345">
      <c r="A1345" t="inlineStr">
        <is>
          <t>bssgq2</t>
        </is>
      </c>
      <c r="B1345" t="inlineStr">
        <is>
          <t>Small meals or large meals?</t>
        </is>
      </c>
      <c r="C1345" t="inlineStr">
        <is>
          <t>Which is better? To have smaller meals with less time in between or to have like two big meals a day and give the stomach a rest in between? At the moment I'm doing one large meal around 11-12 and another at like 7 and doing intermittent fasting.
What are everyone else's experiences with this?</t>
        </is>
      </c>
      <c r="D1345" t="n">
        <v>1</v>
      </c>
      <c r="E1345" t="n">
        <v>4</v>
      </c>
      <c r="F1345">
        <f>HYPERLINK("https://www.reddit.com/r/GERD/comments/bssgq2/small_meals_or_large_meals/")</f>
        <v/>
      </c>
      <c r="G1345" t="inlineStr">
        <is>
          <t>2019-05-25 01:57:16</t>
        </is>
      </c>
      <c r="H1345" t="inlineStr"/>
    </row>
    <row r="1346">
      <c r="A1346" t="inlineStr">
        <is>
          <t>bstkha</t>
        </is>
      </c>
      <c r="B1346" t="inlineStr">
        <is>
          <t>I made a form to chat common food triggers.</t>
        </is>
      </c>
      <c r="C1346" t="inlineStr">
        <is>
          <t>Hello fellow GERD fighters. I was very interested in making a poll to create and chart what are the common and uncommon food triggers, the severity, and what age when you were diagnosed. Just very curious about trends. Here is the link to the form, simple and easy [https://forms.gle/Yd5Gew8ttP244gzA6](https://forms.gle/Yd5Gew8ttP244gzA6) . I'd really appreciate for as many people to participate to get varying results. I can post what I find at the end of the week. 
&amp;amp;#x200B;
Thank you again! I hope you can take a second out of your day just to fill it out!</t>
        </is>
      </c>
      <c r="D1346" t="n">
        <v>6</v>
      </c>
      <c r="E1346" t="n">
        <v>6</v>
      </c>
      <c r="F1346">
        <f>HYPERLINK("https://www.reddit.com/r/GERD/comments/bstkha/i_made_a_form_to_chat_common_food_triggers/")</f>
        <v/>
      </c>
      <c r="G1346" t="inlineStr">
        <is>
          <t>2019-05-25 04:40:28</t>
        </is>
      </c>
      <c r="H1346" t="inlineStr"/>
    </row>
    <row r="1347">
      <c r="A1347" t="inlineStr">
        <is>
          <t>bstkjw</t>
        </is>
      </c>
      <c r="B1347" t="inlineStr">
        <is>
          <t>GERD and IF?</t>
        </is>
      </c>
      <c r="C1347" t="inlineStr">
        <is>
          <t>Has anyone experienced their GERD start off because of Intermittent Fasting? For context, I've been fasting since late 2017 and I've had no issues until this year. I went to see my doctor and he told me that I've been fasting for way too long and that's what's causing me problems. (I used to do 4-6 hour eating window and sometimes OMAD. But no symptoms whatsoever.) Now I eat within 8 hours but I'm still having symptoms along with the medicine he's given me. 
Kinda lost about what to do here. I've never had symptoms when fasting and when I don't fast (or stick to 8 hours) I have the symptoms?</t>
        </is>
      </c>
      <c r="D1347" t="n">
        <v>1</v>
      </c>
      <c r="E1347" t="n">
        <v>3</v>
      </c>
      <c r="F1347">
        <f>HYPERLINK("https://www.reddit.com/r/GERD/comments/bstkjw/gerd_and_if/")</f>
        <v/>
      </c>
      <c r="G1347" t="inlineStr">
        <is>
          <t>2019-05-25 04:40:47</t>
        </is>
      </c>
      <c r="H1347" t="inlineStr"/>
    </row>
    <row r="1348">
      <c r="A1348" t="inlineStr">
        <is>
          <t>bstt59</t>
        </is>
      </c>
      <c r="B1348" t="inlineStr">
        <is>
          <t>Stopping an antidepressant and GERD</t>
        </is>
      </c>
      <c r="C1348" t="inlineStr">
        <is>
          <t>Anybody else stop using an antidepressant and then within a year come down with GERD symptoms?
I know anxiety and GERD are related....</t>
        </is>
      </c>
      <c r="D1348" t="n">
        <v>1</v>
      </c>
      <c r="E1348" t="n">
        <v>6</v>
      </c>
      <c r="F1348">
        <f>HYPERLINK("https://www.reddit.com/r/GERD/comments/bstt59/stopping_an_antidepressant_and_gerd/")</f>
        <v/>
      </c>
      <c r="G1348" t="inlineStr">
        <is>
          <t>2019-05-25 05:11:33</t>
        </is>
      </c>
      <c r="H1348" t="inlineStr"/>
    </row>
    <row r="1349">
      <c r="A1349" t="inlineStr">
        <is>
          <t>bsuki6</t>
        </is>
      </c>
      <c r="B1349" t="inlineStr">
        <is>
          <t>Annoying burp stuck in chest/throat</t>
        </is>
      </c>
      <c r="C1349" t="inlineStr">
        <is>
          <t>Anyone else get the feeling of a trapped burp on their chest/throat? Drinking water helps burp but doesn't tackle the "burp" I'm after and it's driving me crazy. Any tips on how to deal with it?</t>
        </is>
      </c>
      <c r="D1349" t="n">
        <v>4</v>
      </c>
      <c r="E1349" t="n">
        <v>14</v>
      </c>
      <c r="F1349">
        <f>HYPERLINK("https://www.reddit.com/r/GERD/comments/bsuki6/annoying_burp_stuck_in_chestthroat/")</f>
        <v/>
      </c>
      <c r="G1349" t="inlineStr">
        <is>
          <t>2019-05-25 06:35:51</t>
        </is>
      </c>
      <c r="H1349" t="inlineStr"/>
    </row>
    <row r="1350">
      <c r="A1350" t="inlineStr">
        <is>
          <t>bsvbte</t>
        </is>
      </c>
      <c r="B1350" t="inlineStr">
        <is>
          <t>Reflux better when reclining?</t>
        </is>
      </c>
      <c r="C1350" t="inlineStr">
        <is>
          <t>So I've noticed when I go to bed or take a bath or recline in anyway the pain subsides tremendously. This is the opposite of what I've expected. Also, hot drinks of any kind are soothing. That doesn't mean it's good though. Any experience with this?</t>
        </is>
      </c>
      <c r="D1350" t="n">
        <v>5</v>
      </c>
      <c r="E1350" t="n">
        <v>3</v>
      </c>
      <c r="F1350">
        <f>HYPERLINK("https://www.reddit.com/r/GERD/comments/bsvbte/reflux_better_when_reclining/")</f>
        <v/>
      </c>
      <c r="G1350" t="inlineStr">
        <is>
          <t>2019-05-25 07:50:34</t>
        </is>
      </c>
      <c r="H1350" t="inlineStr"/>
    </row>
    <row r="1351">
      <c r="A1351" t="inlineStr">
        <is>
          <t>bsx741</t>
        </is>
      </c>
      <c r="B1351" t="inlineStr">
        <is>
          <t>How often do you drink?</t>
        </is>
      </c>
      <c r="C1351" t="inlineStr">
        <is>
          <t>I had a pretty bad case of gastritis last summer that healed up.
Recently, I’ve started to experience a bit of reflux again that comes and goes.
It being summer, there’s quite a few social events coming up. I want to make sure I’m being safe so as not to worsen my reflux or give myself gastritis again. 
Do any of you drink, and how often? I don’t want to deny myself of a drink here and there but I’m hoping to find a “safety limit”. Thank you.</t>
        </is>
      </c>
      <c r="D1351" t="n">
        <v>4</v>
      </c>
      <c r="E1351" t="n">
        <v>9</v>
      </c>
      <c r="F1351">
        <f>HYPERLINK("https://www.reddit.com/r/GERD/comments/bsx741/how_often_do_you_drink/")</f>
        <v/>
      </c>
      <c r="G1351" t="inlineStr">
        <is>
          <t>2019-05-25 10:37:23</t>
        </is>
      </c>
      <c r="H1351" t="inlineStr"/>
    </row>
    <row r="1352">
      <c r="A1352" t="inlineStr">
        <is>
          <t>bt0uf4</t>
        </is>
      </c>
      <c r="B1352" t="inlineStr">
        <is>
          <t>Moderate reflux on a barium test to midline of esophagus.</t>
        </is>
      </c>
      <c r="C1352" t="inlineStr">
        <is>
          <t>Does anyone know what this means in terms of severity?</t>
        </is>
      </c>
      <c r="D1352" t="n">
        <v>2</v>
      </c>
      <c r="E1352" t="n">
        <v>2</v>
      </c>
      <c r="F1352">
        <f>HYPERLINK("https://www.reddit.com/r/GERD/comments/bt0uf4/moderate_reflux_on_a_barium_test_to_midline_of/")</f>
        <v/>
      </c>
      <c r="G1352" t="inlineStr">
        <is>
          <t>2019-05-25 16:01:48</t>
        </is>
      </c>
      <c r="H1352" t="inlineStr"/>
    </row>
    <row r="1353">
      <c r="A1353" t="inlineStr">
        <is>
          <t>bt1nw9</t>
        </is>
      </c>
      <c r="B1353" t="inlineStr">
        <is>
          <t>Has anyone had this pain?</t>
        </is>
      </c>
      <c r="C1353" t="inlineStr">
        <is>
          <t>I was diagnosed with GERD three yrs ago.  The heartburn is not that bad and I’ve learned to deal with it for the most part.  Including some esophageal motility problems. However, about a year ago I started experiencing a sharp pain under my sternum, through my back. It often moves up the right side of my neck.  My gastro doesn’t seem to know what it is or how to treat it. 
Anyone out there dealing with similar symptoms?</t>
        </is>
      </c>
      <c r="D1353" t="n">
        <v>5</v>
      </c>
      <c r="E1353" t="n">
        <v>2</v>
      </c>
      <c r="F1353">
        <f>HYPERLINK("https://www.reddit.com/r/GERD/comments/bt1nw9/has_anyone_had_this_pain/")</f>
        <v/>
      </c>
      <c r="G1353" t="inlineStr">
        <is>
          <t>2019-05-25 17:26:46</t>
        </is>
      </c>
      <c r="H1353" t="inlineStr"/>
    </row>
    <row r="1354">
      <c r="A1354" t="inlineStr">
        <is>
          <t>bt1ric</t>
        </is>
      </c>
      <c r="B1354" t="inlineStr">
        <is>
          <t>Would Iqoro help a weakened esophagus?</t>
        </is>
      </c>
      <c r="C1354" t="inlineStr">
        <is>
          <t>Any of you guys seen this yet? I don't think I have a Hiatal hernia, which it's supposed to help. Medications don't seem to help me.  I believe my esophagus is just weak, allowing acid to enter my stomach. 
 [https://www.iqoro.com/en/treatment/](https://www.iqoro.com/en/treatment/)</t>
        </is>
      </c>
      <c r="D1354" t="n">
        <v>3</v>
      </c>
      <c r="E1354" t="n">
        <v>1</v>
      </c>
      <c r="F1354">
        <f>HYPERLINK("https://www.reddit.com/r/GERD/comments/bt1ric/would_iqoro_help_a_weakened_esophagus/")</f>
        <v/>
      </c>
      <c r="G1354" t="inlineStr">
        <is>
          <t>2019-05-25 17:37:21</t>
        </is>
      </c>
      <c r="H1354" t="inlineStr"/>
    </row>
    <row r="1355">
      <c r="A1355" t="inlineStr">
        <is>
          <t>bt3e9q</t>
        </is>
      </c>
      <c r="B1355" t="inlineStr">
        <is>
          <t>For those who have had the Linx device</t>
        </is>
      </c>
      <c r="C1355" t="inlineStr">
        <is>
          <t>How long did food get stuck for? Any advice for it not to happen?</t>
        </is>
      </c>
      <c r="D1355" t="n">
        <v>2</v>
      </c>
      <c r="E1355" t="n">
        <v>4</v>
      </c>
      <c r="F1355">
        <f>HYPERLINK("https://www.reddit.com/r/GERD/comments/bt3e9q/for_those_who_have_had_the_linx_device/")</f>
        <v/>
      </c>
      <c r="G1355" t="inlineStr">
        <is>
          <t>2019-05-25 20:32:49</t>
        </is>
      </c>
      <c r="H1355" t="inlineStr"/>
    </row>
    <row r="1356">
      <c r="A1356" t="inlineStr">
        <is>
          <t>bt4haq</t>
        </is>
      </c>
      <c r="B1356" t="inlineStr">
        <is>
          <t>Anyone have trouble with oily, but not necessarily fatty, foods?</t>
        </is>
      </c>
      <c r="C1356" t="inlineStr">
        <is>
          <t>I *love* salmon. It was one of my favorite foods and my family ate it fairly frequently since I was a little kid. However, about a year and a half ago, I started having problems with the fish. Every time I ate it (we usually prepare it grilled), I would get nausea and acid reflux. My mom thinks it's my digestive tract just being unhealthy, and my dad thinks it's allergies (it's possible to develop allergies to things you're constantly ingesting). I kinda pooh-poohed the idea and I haven't eaten salmon since... (It sucked to stay up all night every time with stomach pain...)
I haven't had much trouble with my GERD (which is usually stress-related) until today. My mom prepared a lovely ox-tail soup in our pressure cooker. Ox-tail soup is typically cooked over a slow period of time and the fats/oils of the soup are skimmed off. However, because of the relatively quick nature of pressure-cooking, the soup ended up being very oily. I can definitely say my stomach doesn't like how oily it was. Kind of ironic because bone broths are supposed to be good for digestive health.
This kind of made me curious. **Does specific oily foods trigger your GERD symptoms?** I also love other fatty foods like cheese, avocados, chocolate etc, and they don't affect me at all. I've prepared chicken broths and haven't had any problems.
Similar experiences or it's just my body doesn't like certain foods?</t>
        </is>
      </c>
      <c r="D1356" t="n">
        <v>6</v>
      </c>
      <c r="E1356" t="n">
        <v>4</v>
      </c>
      <c r="F1356">
        <f>HYPERLINK("https://www.reddit.com/r/GERD/comments/bt4haq/anyone_have_trouble_with_oily_but_not_necessarily/")</f>
        <v/>
      </c>
      <c r="G1356" t="inlineStr">
        <is>
          <t>2019-05-25 22:46:24</t>
        </is>
      </c>
      <c r="H1356" t="inlineStr"/>
    </row>
    <row r="1357">
      <c r="A1357" t="inlineStr">
        <is>
          <t>bt5vnw</t>
        </is>
      </c>
      <c r="B1357" t="inlineStr">
        <is>
          <t>Why would alcohol be the only relief I was able to get from symptoms?</t>
        </is>
      </c>
      <c r="C1357" t="inlineStr">
        <is>
          <t>Hello. After 6 months or so of chest tightness, general pain, and horribly distracting uncomfortability, I finally told someone and got checked out. After thinking for a few months that I was on the verge of heart attack. 
I'm only 20, but heart disease runs in the family and I am about as unhealthy as you can be. Work at a deskjob, come home everyday and sit down on the computer till I go to sleep. I eat frozen pizzas as 60% of my meals, the occasional fast food, and the even more occasional properly made food (still unhealthy shit like tacos, burgers, chicken alfredo) and I smoke cigarettes. 
Getting diagnosed with this was actually a major relief for me, after the doctor found no issues with my heart. What I'm wondering now after reading up on the subject, is why was alcohol the only thing that eased my pain? I tried taking 2 Zantac a day, suspecting it was GERD, did nothing. Tried Advil for it's blood thinning properties to try and determine if I was having a heart problem, obviously no relief. Alcohol though, alcohol almost completely eliminated the pain. Vodka specifically. The tightness goes away, the discomfort. 
Why would this be? Is it just the pain numbing aspect of alcohol at play? I've avoided it due to the (4!!!) different meds they gave me, and now reading about it here, it seems to be horrible for it. Should I be concerned that I don't actually have GERD?  
Just to vent a bit more, this is gonna be a complete lifestyle switch for me. I have to try and quit cigarettes on top of flipping what and how I eat entirely upside down. 95% of what I eat is spicy, which is horrible for this, which sucks, because I love all kinds of spicy foods and flavorings. The only fruits I love to eat are berries, which are acidic as well. I won't lie, after reading posts here, I feel a tad defeated. These 6 months have been a stressful hell for me, I didn't let anyone know until a week ago. Very stupid, I know. I can't see myself living with this pain for years. Some of the unfortunate souls here have been struggling for years. 
Hopefully I can truly take a stand for my health and try to lead a lifestyle to work with this. I've been on the medication for 2 days now, which have provided almost 0 relief, and have actually given me stomach pains (constipation) so nothing is looking up for me right now. On top of dropping so much money to get checked out (no insurance), and other big things happening in my life that require my monetary and actual attention. I'd just love to not feel this pain anymore.</t>
        </is>
      </c>
      <c r="D1357" t="n">
        <v>5</v>
      </c>
      <c r="E1357" t="n">
        <v>9</v>
      </c>
      <c r="F1357">
        <f>HYPERLINK("https://www.reddit.com/r/GERD/comments/bt5vnw/why_would_alcohol_be_the_only_relief_i_was_able/")</f>
        <v/>
      </c>
      <c r="G1357" t="inlineStr">
        <is>
          <t>2019-05-26 02:10:39</t>
        </is>
      </c>
      <c r="H1357" t="inlineStr"/>
    </row>
    <row r="1358">
      <c r="A1358" t="inlineStr">
        <is>
          <t>bt9air</t>
        </is>
      </c>
      <c r="B1358" t="inlineStr">
        <is>
          <t>After the meal, my tongue is always yellow.</t>
        </is>
      </c>
      <c r="C1358" t="inlineStr">
        <is>
          <t>I'm a GERD. After the meal, I saw my tongue have yellow color at the mid-top and white at another zone (next 15mins, it's smelly, feel too uncomfortable, sometimes bitter tasted).Eventhough I didn't  feel reflux. Pls explain me how this liquid can flux to my tongue? I tried drink" bragg apple cinder vinegar " but it didn't improve. Pls help me, my life is always like in the hell!</t>
        </is>
      </c>
      <c r="D1358" t="n">
        <v>2</v>
      </c>
      <c r="E1358" t="n">
        <v>10</v>
      </c>
      <c r="F1358">
        <f>HYPERLINK("https://www.reddit.com/r/GERD/comments/bt9air/after_the_meal_my_tongue_is_always_yellow/")</f>
        <v/>
      </c>
      <c r="G1358" t="inlineStr">
        <is>
          <t>2019-05-26 08:37:46</t>
        </is>
      </c>
      <c r="H1358" t="inlineStr"/>
    </row>
    <row r="1359">
      <c r="A1359" t="inlineStr">
        <is>
          <t>btbrgd</t>
        </is>
      </c>
      <c r="B1359" t="inlineStr">
        <is>
          <t>Sunshine Tomato Co. Yellow Sauce</t>
        </is>
      </c>
      <c r="C1359" t="inlineStr">
        <is>
          <t>Has anyone tried the Sunshine Tomato Co. yellow tomato sauce?? I just bought it, but I’m still a little apprehensive. If you’ve tried it, how did it go?</t>
        </is>
      </c>
      <c r="D1359" t="n">
        <v>2</v>
      </c>
      <c r="E1359" t="n">
        <v>0</v>
      </c>
      <c r="F1359">
        <f>HYPERLINK("https://www.reddit.com/r/GERD/comments/btbrgd/sunshine_tomato_co_yellow_sauce/")</f>
        <v/>
      </c>
      <c r="G1359" t="inlineStr">
        <is>
          <t>2019-05-26 12:05:11</t>
        </is>
      </c>
      <c r="H1359" t="inlineStr"/>
    </row>
    <row r="1360">
      <c r="A1360" t="inlineStr">
        <is>
          <t>btbx8b</t>
        </is>
      </c>
      <c r="B1360" t="inlineStr">
        <is>
          <t>GERD and Fiber</t>
        </is>
      </c>
      <c r="C1360" t="inlineStr">
        <is>
          <t>Hello, I was wondering what the effects of taking metamuccil or eatting a higher amount of fiber would do with GERD symptoms. Since fiber can help aid digestion in the stomach as well as the colon, would it be beneficial?
Any have any experience taking fiber suppléments with GERD?</t>
        </is>
      </c>
      <c r="D1360" t="n">
        <v>3</v>
      </c>
      <c r="E1360" t="n">
        <v>4</v>
      </c>
      <c r="F1360">
        <f>HYPERLINK("https://www.reddit.com/r/GERD/comments/btbx8b/gerd_and_fiber/")</f>
        <v/>
      </c>
      <c r="G1360" t="inlineStr">
        <is>
          <t>2019-05-26 12:18:11</t>
        </is>
      </c>
      <c r="H1360" t="inlineStr"/>
    </row>
    <row r="1361">
      <c r="A1361" t="inlineStr">
        <is>
          <t>btcxjj</t>
        </is>
      </c>
      <c r="B1361" t="inlineStr">
        <is>
          <t>Does anyone have water seep out of their stomach after drinking water?</t>
        </is>
      </c>
      <c r="C1361" t="inlineStr">
        <is>
          <t>So for the longest time now, whenever I wake up at 3 AM for a cup of water and then lay down, water just seeps out of my stomach to my throat and fcks me up. Even when i'm not laying down and just sitting, it'll still seep out.  
Anyone else going through this? how can I avoid it</t>
        </is>
      </c>
      <c r="D1361" t="n">
        <v>2</v>
      </c>
      <c r="E1361" t="n">
        <v>4</v>
      </c>
      <c r="F1361">
        <f>HYPERLINK("https://www.reddit.com/r/GERD/comments/btcxjj/does_anyone_have_water_seep_out_of_their_stomach/")</f>
        <v/>
      </c>
      <c r="G1361" t="inlineStr">
        <is>
          <t>2019-05-26 13:39:52</t>
        </is>
      </c>
      <c r="H1361" t="inlineStr"/>
    </row>
    <row r="1362">
      <c r="A1362" t="inlineStr">
        <is>
          <t>btdl5f</t>
        </is>
      </c>
      <c r="B1362" t="inlineStr">
        <is>
          <t>Thinking about going for the LINX surgery.</t>
        </is>
      </c>
      <c r="C1362" t="inlineStr">
        <is>
          <t>Any success stories with this procedure?
I’m (f33) relatively young but I’ve had GERD for 17 years. My symptoms are not as terrible as other people describe theirs because I take daily PPIs (currently taking Dexilant which is one of the strongest): I don’t vomit, I can eat “bad stuff” once or twice per week, no nausea and not so much reflux, most of the time is just gastritis that comes and goes and a mild burning feeling in my throat.
I was checked for every possible reason (hernia, helico bacter, goal bladder issues and so on) of GERD and it turns out nothing seems to be wrong with my body, I’m just “hyperacidic” and I believe it has to do with anxiety and stress too.
Still I think I’m going for the LINX surgery this year, as suggested by my doctor, he says it’s the only way I can control my symptoms without having to take a pill + tums every single day of my life. 
Also, if I don’t drink coffee I can’t function in society, I lack of energy and get depressed. And I rather drink coffee than take anti-depressants but in order to be able to drink coffee I need to get rid of the GERD.
So... I would like to head any success stories about the LINX, since I’ve heard is not always like going back to normal. Doctor also suggested the fundoplication but he says it’s more invasive. 
What are your experiences with this procedures?</t>
        </is>
      </c>
      <c r="D1362" t="n">
        <v>16</v>
      </c>
      <c r="E1362" t="n">
        <v>16</v>
      </c>
      <c r="F1362">
        <f>HYPERLINK("https://www.reddit.com/r/GERD/comments/btdl5f/thinking_about_going_for_the_linx_surgery/")</f>
        <v/>
      </c>
      <c r="G1362" t="inlineStr">
        <is>
          <t>2019-05-26 14:36:08</t>
        </is>
      </c>
      <c r="H1362" t="inlineStr"/>
    </row>
    <row r="1363">
      <c r="A1363" t="inlineStr">
        <is>
          <t>btdxyd</t>
        </is>
      </c>
      <c r="B1363" t="inlineStr">
        <is>
          <t>I've been taking novera 20 but want to try nexium. Can I instantly switch?</t>
        </is>
      </c>
      <c r="C1363" t="inlineStr">
        <is>
          <t>So I've been taking novera 20 for couple of days and it doesn't seem to do much. I still have horrible GERD.  
So I came across something called nexium which seems to be better? so  can I switch to it instantly? or do I have to finish my current one first? Also, do different medicine work for specific people and some not? so if novera doesn't work, would another one work?</t>
        </is>
      </c>
      <c r="D1363" t="n">
        <v>2</v>
      </c>
      <c r="E1363" t="n">
        <v>2</v>
      </c>
      <c r="F1363">
        <f>HYPERLINK("https://www.reddit.com/r/GERD/comments/btdxyd/ive_been_taking_novera_20_but_want_to_try_nexium/")</f>
        <v/>
      </c>
      <c r="G1363" t="inlineStr">
        <is>
          <t>2019-05-26 15:06:31</t>
        </is>
      </c>
      <c r="H1363" t="inlineStr"/>
    </row>
    <row r="1364">
      <c r="A1364" t="inlineStr">
        <is>
          <t>bteep0</t>
        </is>
      </c>
      <c r="B1364" t="inlineStr">
        <is>
          <t>Rice Bran Oil and Yeast Extract</t>
        </is>
      </c>
      <c r="C1364" t="inlineStr">
        <is>
          <t>I started a new diet recently that has me eating less carbs (not full keto), especially refined carbs/sugars. I have stopped my daily intake of items such as potatoes, white rice, white bread, croutons, saltines, and Fiber One protein bars. I am going on this diet to see if it helps with my reflux issues I have had for the past few years.
&amp;amp;#x200B;
* Regarding rice bran oil, I recently purchased some roasted cashews. I noticed after I got home that the cashews are fried in rice bran oil. Should I be avoiding rice bran oil while on this lower-carb diet?
&amp;amp;#x200B;
* Regarding yeast extract, I usually buy the Tyson grilled chicken strips to add to salads. I noticed yeast extract on the ingredient list. Should I be avoiding yeast extract while on this lower-carb diet?</t>
        </is>
      </c>
      <c r="D1364" t="n">
        <v>1</v>
      </c>
      <c r="E1364" t="n">
        <v>0</v>
      </c>
      <c r="F1364">
        <f>HYPERLINK("https://www.reddit.com/r/GERD/comments/bteep0/rice_bran_oil_and_yeast_extract/")</f>
        <v/>
      </c>
      <c r="G1364" t="inlineStr">
        <is>
          <t>2019-05-26 15:52:39</t>
        </is>
      </c>
      <c r="H1364" t="inlineStr"/>
    </row>
    <row r="1365">
      <c r="A1365" t="inlineStr">
        <is>
          <t>btef0g</t>
        </is>
      </c>
      <c r="B1365" t="inlineStr">
        <is>
          <t>Nexium cessation and melatonin for GERD.</t>
        </is>
      </c>
      <c r="C1365" t="inlineStr">
        <is>
          <t>I'm having a bad time getting of Nexium. I'm on a low dose so doc said I didn't have to wean off. Not much luck managing with Zantac. How long does rebound last? Anyone tried melatonin? I saw a study... https://www.wjgnet.com/2150-5349/full/v1/i5/102.htm</t>
        </is>
      </c>
      <c r="D1365" t="n">
        <v>2</v>
      </c>
      <c r="E1365" t="n">
        <v>3</v>
      </c>
      <c r="F1365">
        <f>HYPERLINK("https://www.reddit.com/r/GERD/comments/btef0g/nexium_cessation_and_melatonin_for_gerd/")</f>
        <v/>
      </c>
      <c r="G1365" t="inlineStr">
        <is>
          <t>2019-05-26 15:53:32</t>
        </is>
      </c>
      <c r="H1365" t="inlineStr"/>
    </row>
    <row r="1366">
      <c r="A1366" t="inlineStr">
        <is>
          <t>bteo50</t>
        </is>
      </c>
      <c r="B1366" t="inlineStr">
        <is>
          <t>Antihistamines and Raniditine. The ultimate one-two punch when spring time comes</t>
        </is>
      </c>
      <c r="C1366" t="inlineStr">
        <is>
          <t>Let's me eat a shit ton of junk food from the dollar tree and not get heartburn or a runny nose. The true 🐐 http://imgur.com/5I7M1D6</t>
        </is>
      </c>
      <c r="D1366" t="n">
        <v>6</v>
      </c>
      <c r="E1366" t="n">
        <v>0</v>
      </c>
      <c r="F1366">
        <f>HYPERLINK("https://www.reddit.com/r/GERD/comments/bteo50/antihistamines_and_raniditine_the_ultimate_onetwo/")</f>
        <v/>
      </c>
      <c r="G1366" t="inlineStr">
        <is>
          <t>2019-05-26 16:18:07</t>
        </is>
      </c>
      <c r="H1366" t="inlineStr"/>
    </row>
    <row r="1367">
      <c r="A1367" t="inlineStr">
        <is>
          <t>bth0sx</t>
        </is>
      </c>
      <c r="B1367" t="inlineStr">
        <is>
          <t>Does this sound like acid reflux?</t>
        </is>
      </c>
      <c r="C1367" t="inlineStr">
        <is>
          <t>I'm sorry, I hate to be that person that asks this, but I can't tell if I'm just trying so desperately to match my symptoms to something so I have a diagnosis or if I might actually have a problem with acid reflux.
Last month, randomly while laying down after dinner, I got a feeling where it feels like mucus is stuck in my throat. Every since then, I get it almost every single night and randomly throughout the day. I went to my doctor and she said that it was probably just allergies and/or anxiety and not to worry about it. I explained how hard it is for me to sleep because of that feeling and she prescribed me trazodone 100mg and told me to take benadryl at night. 
While, yes, I can fall asleep now because the medications knock me out, but I still have that "lump" feeling in my throat. As well I was seeing a GI doctor before all of this because I had my gallbladder out late 2017 and my bathroom habits were just a ton of yellow bile every time. He prescribed me dicyclomine 3x20mg and cholestyramine powder (1 scoop at bedtime) which has alleviated some of those symptoms.
I feel silly going to my GI doctor or an ENT for my "lump in throat" as that is the only symptom I have. I started taking Zantac to see if it would help and it hasn't at all, so it is possible its not acid reflux and it's all in my head? I don't really think my bile issues correlate with acid reflux, so the lump in my throat is really the only symptom I have. I'm just really distraught over this feeling and wish I could make it go away.</t>
        </is>
      </c>
      <c r="D1367" t="n">
        <v>2</v>
      </c>
      <c r="E1367" t="n">
        <v>2</v>
      </c>
      <c r="F1367">
        <f>HYPERLINK("https://www.reddit.com/r/GERD/comments/bth0sx/does_this_sound_like_acid_reflux/")</f>
        <v/>
      </c>
      <c r="G1367" t="inlineStr">
        <is>
          <t>2019-05-26 20:20:23</t>
        </is>
      </c>
      <c r="H1367" t="inlineStr"/>
    </row>
    <row r="1368">
      <c r="A1368" t="inlineStr">
        <is>
          <t>btikbs</t>
        </is>
      </c>
      <c r="B1368" t="inlineStr">
        <is>
          <t>Anyone have insomnia with Zantac/ranitidine?</t>
        </is>
      </c>
      <c r="C1368" t="inlineStr">
        <is>
          <t>I have been taking 20mg esomprazole every morning since January to control my GERD symptoms and it has been keeping them in check. I am concerned about the long term risks though so thought I would try switching to ranitidine. I started taking 150mg twice a day in morning and evening 2 days ago. The first day I felt some mild symptoms coming back and it took a little longer to fall asleep. Yesterday I had the same symptoms and was up half the night. I looked online and insomnia is listed as a side effect of ranitidine. I am wondering if anyone else is experiencing this. I am also taking 50mg atenolol twice a day for high blood pressure and this is also associated with insomnia but I have been taking it for nearly 18 months with no issue. Today I switched back to the 20mg ranitidine.</t>
        </is>
      </c>
      <c r="D1368" t="n">
        <v>1</v>
      </c>
      <c r="E1368" t="n">
        <v>2</v>
      </c>
      <c r="F1368">
        <f>HYPERLINK("https://www.reddit.com/r/GERD/comments/btikbs/anyone_have_insomnia_with_zantacranitidine/")</f>
        <v/>
      </c>
      <c r="G1368" t="inlineStr">
        <is>
          <t>2019-05-26 23:20:58</t>
        </is>
      </c>
      <c r="H1368" t="inlineStr"/>
    </row>
    <row r="1369">
      <c r="A1369" t="inlineStr">
        <is>
          <t>btj17c</t>
        </is>
      </c>
      <c r="B1369" t="inlineStr">
        <is>
          <t>GERD after several panic attacks.</t>
        </is>
      </c>
      <c r="C1369" t="inlineStr">
        <is>
          <t>I had several panic attacks earlier this year, worried that i was having a heart attack due to sudden pain and anxiety. After getting back from the ER, and going to my doctor, he told me that i needed to start taking anxiety medicine along with muscle relaxers and stomach claming medicine. I was feelong ecstatic at the time from my anxiety being gone with my new medicine, and didnt think i would need other medicine so i didnt take the stomach or muscle meds. Fast forward a few months and i have pain at nighttime, burning pain all over my chest including to the left of my left pec, and throughout the middle ot my chest. I felt urning pains throughout my back, and decided to go back to the doc, who prescribed me pantoprazole for GERD, along with lexapro for anxiety. The panto worked fine for several weeks, but this last week it has become increasingly hard to sleep, i cant stop burping and my whole stomach hurts, and my chest feels like sombody is clenching it. Jaw pain accompanies this, along with the stomach pain that almost feels like i ate too much, with the usual heartburn. Any suggestions, or advice? Im in a lot of pain, does this sound like standard GERD?</t>
        </is>
      </c>
      <c r="D1369" t="n">
        <v>2</v>
      </c>
      <c r="E1369" t="n">
        <v>4</v>
      </c>
      <c r="F1369">
        <f>HYPERLINK("https://www.reddit.com/r/GERD/comments/btj17c/gerd_after_several_panic_attacks/")</f>
        <v/>
      </c>
      <c r="G1369" t="inlineStr">
        <is>
          <t>2019-05-27 00:21:55</t>
        </is>
      </c>
      <c r="H1369" t="inlineStr"/>
    </row>
    <row r="1370">
      <c r="A1370" t="inlineStr">
        <is>
          <t>btmcbn</t>
        </is>
      </c>
      <c r="B1370" t="inlineStr">
        <is>
          <t>Can't keep any food down for over 24 hours?</t>
        </is>
      </c>
      <c r="C1370" t="inlineStr">
        <is>
          <t>Hey everyone, I was wondering if anyone has had a similar experience with this and has advice on how to get through it. On and off since I was a kid, if I ate a trigger food like steak or something greasy like pizza, I would suffer from what felt like blockage in my lower throat and chest area. Often the only result would be me running to the bathroom to cough up mucus and food for a while until I could drink water and literally feel this "lump" descend into my stomach. Sometimes it was immediate relief, sometimes I'm in the bathroom trying to get water down my throat for like 30 minutes. 
Once I simplified my diet and started carrying tums with me everywhere. I more or less had a normal eating life. I discovered recently if I drink beer and then eat I have like a 90% failure rate. Two nights ago I went to a bar, came home and cooked some chicken and potatoes. Almost immediately I felt that "lump" sensation in my chest and ran to the bathroom. After about an hour, I finally felt fine BUT whenever I ate after that I would feel the "lump" every time and whenever I drank water I can kind of feel it.
Water is currently the only thing I have been able to keep down at this point. Any food, even small amounts end up coming back up. I get the classic lump in the chest feeling and then I either have to force it out or let it come out on its own. 
When I take a bit of something and swallow, all sorts of creaky and gurgly noises come from my throat area. Like if my throat could make the sounds of a hungry stomach that's the kind of sounds I am talking about. What is weird to me is usually I get sick and that's the end of it. I feel the "lump" pass and I continue on with life. I have yet to feel the relief of the "lump" pass. The only difference is I don't feel it at all until I start to eat or drink.
I haven't tried eating any acid reducers yet as I feel it would have the same effect of trying to eat food. I can only drink water at the moment. If I try and chug water, I eventually feel a massive build up around the "lump" and then the pressure slowly reduces. Any advice on this? I'm giving myself until late afternoon before I make the decision to go to the ER if at all.</t>
        </is>
      </c>
      <c r="D1370" t="n">
        <v>1</v>
      </c>
      <c r="E1370" t="n">
        <v>2</v>
      </c>
      <c r="F1370">
        <f>HYPERLINK("https://www.reddit.com/r/GERD/comments/btmcbn/cant_keep_any_food_down_for_over_24_hours/")</f>
        <v/>
      </c>
      <c r="G1370" t="inlineStr">
        <is>
          <t>2019-05-27 07:05:14</t>
        </is>
      </c>
      <c r="H1370" t="inlineStr"/>
    </row>
    <row r="1371">
      <c r="A1371" t="inlineStr">
        <is>
          <t>btnbtq</t>
        </is>
      </c>
      <c r="B1371" t="inlineStr">
        <is>
          <t>Surgery or prolonged PPI?</t>
        </is>
      </c>
      <c r="C1371" t="inlineStr">
        <is>
          <t>I have been using PPI for about a month now, before that I was on Zantac for about 3 years, I heard that surgery is not usually recommended, but it seems there are long term risks from taking PPI everyday for the rest of your life, I am 31 years old. I plan to have an endoscopy after about a month, what do doctors say about surgery? Is something like a Nissen Fundoplication better than taking PPI for the rest of your life? Or are there potential risks to that surgery compared with prolonged medication?</t>
        </is>
      </c>
      <c r="D1371" t="n">
        <v>3</v>
      </c>
      <c r="E1371" t="n">
        <v>13</v>
      </c>
      <c r="F1371">
        <f>HYPERLINK("https://www.reddit.com/r/GERD/comments/btnbtq/surgery_or_prolonged_ppi/")</f>
        <v/>
      </c>
      <c r="G1371" t="inlineStr">
        <is>
          <t>2019-05-27 08:31:02</t>
        </is>
      </c>
      <c r="H1371" t="inlineStr"/>
    </row>
    <row r="1372">
      <c r="A1372" t="inlineStr">
        <is>
          <t>btpenb</t>
        </is>
      </c>
      <c r="B1372" t="inlineStr">
        <is>
          <t>Coming off Prilosec- Need Help</t>
        </is>
      </c>
      <c r="C1372" t="inlineStr">
        <is>
          <t>Hi There! So I have been taking Prilosec OTC for one month with a lot of success. I got my doctors okay to take longer than the 14day trial. Reason I went on was because after recovering from a severe restrictive ED I developed an excess production of stomach acid which resulted in GERD/acid reflux so bad I could feel it in my ears. This went on for a few months until I couldn’t take it anymore. I haven’t had that feeling since starting the Prilosec. I also suffer from severe anxiety and Panic Disorder which I know only makes my stomach symptoms worse. In the past week I have had to up my dose of antidepressant and it’s been hell. I want to get off the Prilosec because honestly it feels like lately it is making my anxiety worse? I take my Prilosec in the morning and a few times this week and today I have had a huge spike in anxiety like debilitating for a few hours where all I can do is lay in bed until it passes. I also get sick to my stomach (poops) and feel generally unwell. It’s hard to tell if it’s my antidepressant or the Prilosec, but I worry about staying on the Prilosec too long anyhow. How do I know when it’s time to come off the Prilosec? I’m scared I will get rebound, should I wean? But also I am hating the way I feel lately, so I kinda want to quit cold turkey. Ugh having anxiety and GERD sucks!</t>
        </is>
      </c>
      <c r="D1372" t="n">
        <v>2</v>
      </c>
      <c r="E1372" t="n">
        <v>2</v>
      </c>
      <c r="F1372">
        <f>HYPERLINK("https://www.reddit.com/r/GERD/comments/btpenb/coming_off_prilosec_need_help/")</f>
        <v/>
      </c>
      <c r="G1372" t="inlineStr">
        <is>
          <t>2019-05-27 11:23:43</t>
        </is>
      </c>
      <c r="H1372" t="inlineStr"/>
    </row>
    <row r="1373">
      <c r="A1373" t="inlineStr">
        <is>
          <t>bts02y</t>
        </is>
      </c>
      <c r="B1373" t="inlineStr">
        <is>
          <t>anyone else throat clear after eating and shortness of breath after consuming anything?</t>
        </is>
      </c>
      <c r="C1373" t="inlineStr">
        <is>
          <t>So I'm always paranoid whether I have GERD or another serious illness, even tho I had my lungs and heart checked. I always have shortness of breath, most of the time when I wake up I'm the happiest person, I have nothing wrong with me, but after eating I start clearing my throat and I get shortness of breath. Even after 5-7 hours of not eating, I tend to still have some shortness of breath, it especially gets stronger at night. I sometimes also get chest pain where I think I'm having a heart attack which really interrupts my sleep.   
I also never had a heartburn, but I do feel food coming up to my throat. Also sometimes if I eat and move too fast or suddenly, I literally have some of the food I just ate go back to my throat and sit on my tongue where I have to swallow it again.  
So does anyone else experience this? does this sound like GERD even tho I never had a heartburn before?</t>
        </is>
      </c>
      <c r="D1373" t="n">
        <v>10</v>
      </c>
      <c r="E1373" t="n">
        <v>12</v>
      </c>
      <c r="F1373">
        <f>HYPERLINK("https://www.reddit.com/r/GERD/comments/bts02y/anyone_else_throat_clear_after_eating_and/")</f>
        <v/>
      </c>
      <c r="G1373" t="inlineStr">
        <is>
          <t>2019-05-27 15:02:26</t>
        </is>
      </c>
      <c r="H1373" t="inlineStr"/>
    </row>
    <row r="1374">
      <c r="A1374" t="inlineStr">
        <is>
          <t>btsat0</t>
        </is>
      </c>
      <c r="B1374" t="inlineStr">
        <is>
          <t>Omeprazole in the morning or an hour before meals?</t>
        </is>
      </c>
      <c r="C1374" t="inlineStr">
        <is>
          <t>Yeah pretty much the title. Wondering what's better, to take a large dose of omeprazole in the morning or a smaller dose three times a day, an hour before each meal?</t>
        </is>
      </c>
      <c r="D1374" t="n">
        <v>3</v>
      </c>
      <c r="E1374" t="n">
        <v>11</v>
      </c>
      <c r="F1374">
        <f>HYPERLINK("https://www.reddit.com/r/GERD/comments/btsat0/omeprazole_in_the_morning_or_an_hour_before_meals/")</f>
        <v/>
      </c>
      <c r="G1374" t="inlineStr">
        <is>
          <t>2019-05-27 15:30:58</t>
        </is>
      </c>
      <c r="H1374" t="inlineStr"/>
    </row>
    <row r="1375">
      <c r="A1375" t="inlineStr">
        <is>
          <t>btvpnz</t>
        </is>
      </c>
      <c r="B1375" t="inlineStr">
        <is>
          <t>Nitro Brew cold coffee?</t>
        </is>
      </c>
      <c r="C1375" t="inlineStr">
        <is>
          <t>I know that coffee is GERD enemy #1 (at least for me) but I just can’t seem to make it through the day without it. It’s a real struggle, because it makes my heartburn so much worse. I usually drink a latté with 2 espressos. Today I tried a nitro cold brew (la colombe brand) and not only was it delicious, but it seemed like it was a lot easier on my stomach! I looked it up and apparently the nitro coffees have a lower acidity. Has anyone else had tried this and had a good experience?</t>
        </is>
      </c>
      <c r="D1375" t="n">
        <v>2</v>
      </c>
      <c r="E1375" t="n">
        <v>14</v>
      </c>
      <c r="F1375">
        <f>HYPERLINK("https://www.reddit.com/r/GERD/comments/btvpnz/nitro_brew_cold_coffee/")</f>
        <v/>
      </c>
      <c r="G1375" t="inlineStr">
        <is>
          <t>2019-05-27 21:33:51</t>
        </is>
      </c>
      <c r="H1375" t="inlineStr"/>
    </row>
    <row r="1376">
      <c r="A1376" t="inlineStr">
        <is>
          <t>btwvxt</t>
        </is>
      </c>
      <c r="B1376" t="inlineStr">
        <is>
          <t>Do NSAIDS destroy stomach lining?</t>
        </is>
      </c>
      <c r="C1376" t="inlineStr">
        <is>
          <t>Hello i am a 17 yr male and until i started taking NSAIDS for my migraines i hadn't had any digestive issues. My question is can they hurt my stomach lining and if so can i repair it and be ok? I've been having problems for almost a week now, and am scared i wont be normal again. Please help me stop the stomach pain thank you!</t>
        </is>
      </c>
      <c r="D1376" t="n">
        <v>0</v>
      </c>
      <c r="E1376" t="n">
        <v>7</v>
      </c>
      <c r="F1376">
        <f>HYPERLINK("https://www.reddit.com/r/GERD/comments/btwvxt/do_nsaids_destroy_stomach_lining/")</f>
        <v/>
      </c>
      <c r="G1376" t="inlineStr">
        <is>
          <t>2019-05-28 00:03:32</t>
        </is>
      </c>
      <c r="H1376" t="inlineStr"/>
    </row>
    <row r="1377">
      <c r="A1377" t="inlineStr">
        <is>
          <t>bu0x3y</t>
        </is>
      </c>
      <c r="B1377" t="inlineStr">
        <is>
          <t>Could it be LPR, so frustrated!?</t>
        </is>
      </c>
      <c r="C1377" t="inlineStr">
        <is>
          <t>It started all with mild fever, scrathy throat and tiredness.  After that i developed harsh cough which lasted for around 5 months. During the cough i was wrongly treated with 3 antibiotics and strong asthma inhaler, because i also have asthma  and i had difficutly breathing. The antibiotics and asthma inhaler didnt work. 
&amp;amp;#x200B;
With time around 3 months back the cough and heavy breathing went away. But my throat was a mess, i didnt have voice for whole month, things improve little bit so i could speak little and quiet, but until now i constantly have like throat mucus, cold feeling in throat. I was at 3 different ENT, 2 looked into my nose and voicebox and said my vocal cords are ok, but throat looked a little bit red and he denied LPR and said it was cronic pharingitis, other ENT diagnosed me with cronic rhinitis.
&amp;amp;#x200B;
After that i had endoscopic exam and i was diagnosed with hietal hernia and Non-erosive reflux disease, i had little bit burning 4 months back, because i was very stressful, but gastroentrolog sad it was nothing serious and put me on therapy with 40mg esamoprazol 2x daily, strict diet low on fats, suger, alchohol and coffein, raised bed and not eating before sleeping, but it doesnt improve my voice.
&amp;amp;#x200B;
Currently i still have problem with voice, each morning or when i go to sleep and when i wake up its very good, but as day progresses or with eating meal, it gets worse, i get a lot of mucus which i guess irritates my throat and speaking. Its very frustrating, it affects my life, i dont even like to meet with people anymore, because i speak i must put so much effort and throat clearing just in speaking with someone normally. And I just finished college and cant work with such problem. Every help would be very appreciated!</t>
        </is>
      </c>
      <c r="D1377" t="n">
        <v>7</v>
      </c>
      <c r="E1377" t="n">
        <v>4</v>
      </c>
      <c r="F1377">
        <f>HYPERLINK("https://www.reddit.com/r/GERD/comments/bu0x3y/could_it_be_lpr_so_frustrated/")</f>
        <v/>
      </c>
      <c r="G1377" t="inlineStr">
        <is>
          <t>2019-05-28 07:49:33</t>
        </is>
      </c>
      <c r="H1377" t="inlineStr"/>
    </row>
    <row r="1378">
      <c r="A1378" t="inlineStr">
        <is>
          <t>bu165a</t>
        </is>
      </c>
      <c r="B1378" t="inlineStr">
        <is>
          <t>Severe gas, bloating, stomach pains, constipation??</t>
        </is>
      </c>
      <c r="C1378" t="inlineStr">
        <is>
          <t>Hi there sub. So I've been on omeprazole now for 14 days and it seems to be working really well to treat my main symptom, nausea. The problem though is that it seems to be making me SUPER bloated and gassy and I'm getting pretty gnarly stomach pains basically any time I eat something. Is this something any of you have experienced? Is there anything I can do to prevent it? (Was going to try some generic Gas X tonight) Thanks so much in advance!</t>
        </is>
      </c>
      <c r="D1378" t="n">
        <v>6</v>
      </c>
      <c r="E1378" t="n">
        <v>18</v>
      </c>
      <c r="F1378">
        <f>HYPERLINK("https://www.reddit.com/r/GERD/comments/bu165a/severe_gas_bloating_stomach_pains_constipation/")</f>
        <v/>
      </c>
      <c r="G1378" t="inlineStr">
        <is>
          <t>2019-05-28 08:10:37</t>
        </is>
      </c>
      <c r="H1378" t="inlineStr"/>
    </row>
    <row r="1379">
      <c r="A1379" t="inlineStr">
        <is>
          <t>bu2xoh</t>
        </is>
      </c>
      <c r="B1379" t="inlineStr">
        <is>
          <t>New study indicates that Myofascial Release might be effective for GERD</t>
        </is>
      </c>
      <c r="C1379" t="inlineStr">
        <is>
          <t>Link to the study [here](https://www.nature.com/articles/s41598-019-43799-y)</t>
        </is>
      </c>
      <c r="D1379" t="n">
        <v>3</v>
      </c>
      <c r="E1379" t="n">
        <v>0</v>
      </c>
      <c r="F1379">
        <f>HYPERLINK("https://www.reddit.com/r/GERD/comments/bu2xoh/new_study_indicates_that_myofascial_release_might/")</f>
        <v/>
      </c>
      <c r="G1379" t="inlineStr">
        <is>
          <t>2019-05-28 10:35:49</t>
        </is>
      </c>
      <c r="H1379" t="inlineStr"/>
    </row>
    <row r="1380">
      <c r="A1380" t="inlineStr">
        <is>
          <t>bu6sy0</t>
        </is>
      </c>
      <c r="B1380" t="inlineStr">
        <is>
          <t>Clueless after gastroscopy...</t>
        </is>
      </c>
      <c r="C1380" t="inlineStr">
        <is>
          <t>So I went to get a gastroscopy done because of problems with acid reflux. Looks like they didn’t find anything, visually or in the lab. 
I don’t know what to do with this information, because my stomach problems persist. 
So I can rest assured that I don’t have stomach cancer or anything. But after the results I’m unsure what it means. 
What diagnosis’s could I still look into? What else could I try?</t>
        </is>
      </c>
      <c r="D1380" t="n">
        <v>5</v>
      </c>
      <c r="E1380" t="n">
        <v>15</v>
      </c>
      <c r="F1380">
        <f>HYPERLINK("https://www.reddit.com/r/GERD/comments/bu6sy0/clueless_after_gastroscopy/")</f>
        <v/>
      </c>
      <c r="G1380" t="inlineStr">
        <is>
          <t>2019-05-28 15:54:08</t>
        </is>
      </c>
      <c r="H1380" t="inlineStr"/>
    </row>
    <row r="1381">
      <c r="A1381" t="inlineStr">
        <is>
          <t>bu74ij</t>
        </is>
      </c>
      <c r="B1381" t="inlineStr">
        <is>
          <t>itchy scratchy LPR symptom help!!!</t>
        </is>
      </c>
      <c r="C1381" t="inlineStr">
        <is>
          <t>So basically i’ve had lpr symptoms for almost 2 months now (just a lump in the throat, dry throat, throat feels super tight, sometimes voice gets hoarse) and id been taking a PPI once a day for about 3 weeks and then went up to taking 20mg 2x a day for the past 2 weeks. i’m not sure if it really helped but i had a good 10 days where my throat felt pretty damn good so i don’t know if it’s associated with the tablets because it flared again after those 10 days. i wanted to try decrease my PPI to one so from last thursday i went down to taking 1x 20mg a day and then on sunday i woke up with my throat feeling super itchy and scratchy. it’s now the next week and the feeling is 24/7 and ongoing and driving me crazy. i haven’t had this scratchy itchy throat symptom the WHOLE time. could it be related to be decreasing the PPI from 2x20mg back to one? i’m going back to the 2x now just in case. any ideas on how to reduce and remove this symptom???</t>
        </is>
      </c>
      <c r="D1381" t="n">
        <v>2</v>
      </c>
      <c r="E1381" t="n">
        <v>6</v>
      </c>
      <c r="F1381">
        <f>HYPERLINK("https://www.reddit.com/r/GERD/comments/bu74ij/itchy_scratchy_lpr_symptom_help/")</f>
        <v/>
      </c>
      <c r="G1381" t="inlineStr">
        <is>
          <t>2019-05-28 16:22:24</t>
        </is>
      </c>
      <c r="H1381" t="inlineStr"/>
    </row>
    <row r="1382">
      <c r="A1382" t="inlineStr">
        <is>
          <t>bu7nhl</t>
        </is>
      </c>
      <c r="B1382" t="inlineStr">
        <is>
          <t>Anyone get a lump in throat feeling?</t>
        </is>
      </c>
      <c r="C1382" t="inlineStr">
        <is>
          <t>Ever since the first time I had heartburn and reflux symptoms, I had an odd feeling when I swallowed. Nowadays it gets worse and then better. Sometimes I can tell that it's anxiety, but other times it feels kike something else, and usually I notice an acid taste soon after. I rarely have true difficulty swallowing but sometimes it gets that way for a bit. Just qondering if anyone gets something like this and if there's an easy way to deal, cause its been hitting me.</t>
        </is>
      </c>
      <c r="D1382" t="n">
        <v>17</v>
      </c>
      <c r="E1382" t="n">
        <v>12</v>
      </c>
      <c r="F1382">
        <f>HYPERLINK("https://www.reddit.com/r/GERD/comments/bu7nhl/anyone_get_a_lump_in_throat_feeling/")</f>
        <v/>
      </c>
      <c r="G1382" t="inlineStr">
        <is>
          <t>2019-05-28 17:09:52</t>
        </is>
      </c>
      <c r="H1382" t="inlineStr"/>
    </row>
    <row r="1383">
      <c r="A1383" t="inlineStr">
        <is>
          <t>bu8kaa</t>
        </is>
      </c>
      <c r="B1383" t="inlineStr">
        <is>
          <t>Looking for a good drink?</t>
        </is>
      </c>
      <c r="C1383" t="inlineStr">
        <is>
          <t>I just went through a really bad stretch of reflux that lasted for a few weeks. I haven't had any alcohol for several weeks and I just eliminated coffee as well. I'm also trying to avoid caffeine and carbonated beverages. So no tea, v8, coffee, oj, Coke, etc...
I drink a lot of water, but I need something to breakup the H20 monotony. What's your midday drink of choice that is gerd friendly?</t>
        </is>
      </c>
      <c r="D1383" t="n">
        <v>2</v>
      </c>
      <c r="E1383" t="n">
        <v>6</v>
      </c>
      <c r="F1383">
        <f>HYPERLINK("https://www.reddit.com/r/GERD/comments/bu8kaa/looking_for_a_good_drink/")</f>
        <v/>
      </c>
      <c r="G1383" t="inlineStr">
        <is>
          <t>2019-05-28 18:36:26</t>
        </is>
      </c>
      <c r="H1383" t="inlineStr"/>
    </row>
    <row r="1384">
      <c r="A1384" t="inlineStr">
        <is>
          <t>bu8srs</t>
        </is>
      </c>
      <c r="B1384" t="inlineStr">
        <is>
          <t>Experience with Partial Fundiplication?</t>
        </is>
      </c>
      <c r="C1384" t="inlineStr">
        <is>
          <t>I was hoping to get a LINX device to help my LES and maybe get off PPIs for good, but it turns out my motility sucks. And I was worried I may not be able to get it because I’d had a mild nickel reaction in the past! But it turns out I don’t swallow well enough for a LINX, so getting one would likely mean losing the ability to swallow. YIKES.
I didn’t want a fundiplication because I feared losing the ability to burp and vomit (if needed). But my surgeon recommended a partial fundiplication, which sounds like it would be ok, if it worked. So I’d love to hear from anyone who’s had that procedure and what your experience has been!</t>
        </is>
      </c>
      <c r="D1384" t="n">
        <v>2</v>
      </c>
      <c r="E1384" t="n">
        <v>6</v>
      </c>
      <c r="F1384">
        <f>HYPERLINK("https://www.reddit.com/r/GERD/comments/bu8srs/experience_with_partial_fundiplication/")</f>
        <v/>
      </c>
      <c r="G1384" t="inlineStr">
        <is>
          <t>2019-05-28 19:00:14</t>
        </is>
      </c>
      <c r="H1384" t="inlineStr"/>
    </row>
    <row r="1385">
      <c r="A1385" t="inlineStr">
        <is>
          <t>bu8uac</t>
        </is>
      </c>
      <c r="B1385" t="inlineStr">
        <is>
          <t>Feels like something is stuck in my chest/esophagus after consuming literally anything</t>
        </is>
      </c>
      <c r="C1385" t="inlineStr">
        <is>
          <t>I am a recovering bulimic and have since developed pretty severe GERD. My reflux has been getting worse, but what I’m most concerned about is this feeling of stuff being “stuck” in my esophagus near my sternum. It’s new and has been extremely consistent, to the point that even if I drink water it has a hard time going down and leaves me with the “something is lodged in my esophagus feeling” for hours after. It’s pretty constant for a couple weeks now, and it’s freaking me out. Anyone else experience this? It’s extremely uncomfortable. I’d love suggestions for relieving this from anyone who’s had success!</t>
        </is>
      </c>
      <c r="D1385" t="n">
        <v>3</v>
      </c>
      <c r="E1385" t="n">
        <v>6</v>
      </c>
      <c r="F1385">
        <f>HYPERLINK("https://www.reddit.com/r/GERD/comments/bu8uac/feels_like_something_is_stuck_in_my/")</f>
        <v/>
      </c>
      <c r="G1385" t="inlineStr">
        <is>
          <t>2019-05-28 19:04:06</t>
        </is>
      </c>
      <c r="H1385" t="inlineStr"/>
    </row>
    <row r="1386">
      <c r="A1386" t="inlineStr">
        <is>
          <t>bu9fni</t>
        </is>
      </c>
      <c r="B1386" t="inlineStr">
        <is>
          <t>Reflux is gone??</t>
        </is>
      </c>
      <c r="C1386" t="inlineStr">
        <is>
          <t>Went on a long weekend visit to see my mom and relatives in my hometown.  From about day 2 most of my reflux symptoms went away. 
Ventured into eating a wide variety of risky foods and no problem...
My guess is the scene change and stress reduction went a long way...  I’m back home now.  Hope to keep a good thing going. 
Any tips or suggestions or comments?</t>
        </is>
      </c>
      <c r="D1386" t="n">
        <v>6</v>
      </c>
      <c r="E1386" t="n">
        <v>7</v>
      </c>
      <c r="F1386">
        <f>HYPERLINK("https://www.reddit.com/r/GERD/comments/bu9fni/reflux_is_gone/")</f>
        <v/>
      </c>
      <c r="G1386" t="inlineStr">
        <is>
          <t>2019-05-28 20:03:48</t>
        </is>
      </c>
      <c r="H1386" t="inlineStr"/>
    </row>
    <row r="1387">
      <c r="A1387" t="inlineStr">
        <is>
          <t>bu9ivp</t>
        </is>
      </c>
      <c r="B1387" t="inlineStr">
        <is>
          <t>Anyone have GERD but not bothered at all by spicy foods?</t>
        </is>
      </c>
      <c r="C1387" t="inlineStr">
        <is>
          <t>I get acid reflux often after big meals, carbonated beverages, and eggs(these are a massive trigger and also cause stomach pain). Also triggered by stress sometimes as well.
But strangely enough, spicy foods don't trigger it at all. You'd think spicy foods would be the \#1 trigger, but for me it doesn't seem to cause any problems when I eat jalepenos, spicy salsa, spicy wings, etc.</t>
        </is>
      </c>
      <c r="D1387" t="n">
        <v>3</v>
      </c>
      <c r="E1387" t="n">
        <v>6</v>
      </c>
      <c r="F1387">
        <f>HYPERLINK("https://www.reddit.com/r/GERD/comments/bu9ivp/anyone_have_gerd_but_not_bothered_at_all_by_spicy/")</f>
        <v/>
      </c>
      <c r="G1387" t="inlineStr">
        <is>
          <t>2019-05-28 20:12:52</t>
        </is>
      </c>
      <c r="H1387" t="inlineStr"/>
    </row>
    <row r="1388">
      <c r="A1388" t="inlineStr">
        <is>
          <t>buac59</t>
        </is>
      </c>
      <c r="B1388" t="inlineStr">
        <is>
          <t>Extreme nausea. How can I get immediate relief?</t>
        </is>
      </c>
      <c r="C1388" t="inlineStr">
        <is>
          <t>I'm super constipated and ate a lot of salt in the past few days. I just drank some water and now I'm having overwhelming nausea and heartburn
What can I use for relief of this? Tums usually don't work for me</t>
        </is>
      </c>
      <c r="D1388" t="n">
        <v>2</v>
      </c>
      <c r="E1388" t="n">
        <v>4</v>
      </c>
      <c r="F1388">
        <f>HYPERLINK("https://www.reddit.com/r/GERD/comments/buac59/extreme_nausea_how_can_i_get_immediate_relief/")</f>
        <v/>
      </c>
      <c r="G1388" t="inlineStr">
        <is>
          <t>2019-05-28 21:39:52</t>
        </is>
      </c>
      <c r="H1388" t="inlineStr"/>
    </row>
    <row r="1389">
      <c r="A1389" t="inlineStr">
        <is>
          <t>buel5b</t>
        </is>
      </c>
      <c r="B1389" t="inlineStr">
        <is>
          <t>Energy drink vs coffee</t>
        </is>
      </c>
      <c r="C1389" t="inlineStr">
        <is>
          <t>I started having GERD a few months ago and I am learning to manage the symptoms. In your experience, what's worse for GERD? Energy drinks or coffee?</t>
        </is>
      </c>
      <c r="D1389" t="n">
        <v>3</v>
      </c>
      <c r="E1389" t="n">
        <v>16</v>
      </c>
      <c r="F1389">
        <f>HYPERLINK("https://www.reddit.com/r/GERD/comments/buel5b/energy_drink_vs_coffee/")</f>
        <v/>
      </c>
      <c r="G1389" t="inlineStr">
        <is>
          <t>2019-05-29 06:19:19</t>
        </is>
      </c>
      <c r="H1389" t="inlineStr"/>
    </row>
    <row r="1390">
      <c r="A1390" t="inlineStr">
        <is>
          <t>buf0r6</t>
        </is>
      </c>
      <c r="B1390" t="inlineStr">
        <is>
          <t>Started weaning from PPI two weeks ago assisted by H2 blockers. How long?</t>
        </is>
      </c>
      <c r="C1390" t="inlineStr">
        <is>
          <t>Was on 40 mg omeprazole for a couple months, before that varying levels of pantoprazole for about a year, anywhere from 20 up to 80 mg a day. Two weeks ago swapped out with 20 mg Famotidine twice a day. First week was great second week more difficult. Im in my third week and gastritis and heartburn are kicking my butt. I was being treated for LPR all this time, traditionally heartburn wasn’t an issue much. Through all of this LPR hasn’t changed. 
For those who have weaned off how long did it take you?</t>
        </is>
      </c>
      <c r="D1390" t="n">
        <v>5</v>
      </c>
      <c r="E1390" t="n">
        <v>13</v>
      </c>
      <c r="F1390">
        <f>HYPERLINK("https://www.reddit.com/r/GERD/comments/buf0r6/started_weaning_from_ppi_two_weeks_ago_assisted/")</f>
        <v/>
      </c>
      <c r="G1390" t="inlineStr">
        <is>
          <t>2019-05-29 06:59:27</t>
        </is>
      </c>
      <c r="H1390" t="inlineStr"/>
    </row>
    <row r="1391">
      <c r="A1391" t="inlineStr">
        <is>
          <t>bufqdx</t>
        </is>
      </c>
      <c r="B1391" t="inlineStr">
        <is>
          <t>Update: My doctor says it was anxiety all along</t>
        </is>
      </c>
      <c r="C1391" t="inlineStr">
        <is>
          <t>Here's my previous post for reference: https://www.reddit.com/r/GERD/comments/bb82se/endoscopy_update_back_to_square_one/
Last year, I started experiencing reflux, heartburn, mucus in my throat, and persistent cough. Zyrtec did not help. Pantoprazole did not help. I was still experiencing non-acidic reflux and cough.
After an unremarkable scope, I also had a Bravo pH test, esophageal manometry, and esophagram.
Today, I learned the results of all those tests. My stomach pH is normal. I have a small sliding hiatal hernia. I also have esophageal spasms due to anxiety.
My doctor believes this is contributing to my cough and reflux, so he prescribed an anti-anxiety medication. I'm very hopeful that he's right, although I'm still not entirely convinced.
I was diagnosed with GERD 10+ years ago, but I guess that really wasn't the case.</t>
        </is>
      </c>
      <c r="D1391" t="n">
        <v>18</v>
      </c>
      <c r="E1391" t="n">
        <v>19</v>
      </c>
      <c r="F1391">
        <f>HYPERLINK("https://www.reddit.com/r/GERD/comments/bufqdx/update_my_doctor_says_it_was_anxiety_all_along/")</f>
        <v/>
      </c>
      <c r="G1391" t="inlineStr">
        <is>
          <t>2019-05-29 08:01:13</t>
        </is>
      </c>
      <c r="H1391" t="inlineStr"/>
    </row>
    <row r="1392">
      <c r="A1392" t="inlineStr">
        <is>
          <t>bugq8z</t>
        </is>
      </c>
      <c r="B1392" t="inlineStr">
        <is>
          <t>Advice for someone who's life been a nightmare because of health anxiety</t>
        </is>
      </c>
      <c r="C1392" t="inlineStr">
        <is>
          <t>First of all I'm 20 year old Male who never smokes drinks 
I'm not obese and you can say I'm an active person 
So everything started exactly last September 
I first had symptoms of a painful swallowing a dry throat and sometimes I had difficulty swallowing 
I didn't have any fever or anything so I didn't bother alot thinking I just had some cold or anything but the symptoms didn't go away 
Then one day I looked at my throat at the mirror and the back was a little red 
So I went on some googling and i just started to think i have throat cancer 
So I went to the GP and at first he gave me some antibiotics which didn't work 
Then he referred me to an ENT 
Since then I was just waiting for the referral 
Last month or so I started to feel food going down my lower part of my throat when I swallow 
Because of Google I thought I had esphogaus cancer 
so just couldn't wait anymore so I took an appointment with another GP
She gave me emoprazol I have been on it for 10 days now 
And she took blood tests which all turned out normal 
And she made an urgent referral to the Ent
Also gave me daktarin oral gel for thrush on my tongue 
After taking emoprazol I started to feel my throat alot better 
I don't have the difficulty swallowing anymore 
I can swallow easier now 
But sometimes I still can feel food/water going down my esophagus sometimes but not like  before taking emoprazol 
Right now I got the appointment from the ENT after two weeks 
But now I'm thinking that the problem from the beginning was probably something related to the esphogaus /Gerd 
Now I think that I should get an endoscopy for my esophagus instead of my throat 
But I just got the referral 
what should I do 
I am someone who is really anxious about my health and this made my life a nightmare
I'm only 20 years old I never smoke or drink neither obese but somehow I became someone with cancerphobia 
I'm afraid I go to the Ent with an urgent referral just show up with nothing wrong with my throat in the end and make myself look like a fraud/lier 
And I'm afraid I miss something like cancer in my esophagus if I dont get an endoscopy 
Pls I need some advice</t>
        </is>
      </c>
      <c r="D1392" t="n">
        <v>3</v>
      </c>
      <c r="E1392" t="n">
        <v>12</v>
      </c>
      <c r="F1392">
        <f>HYPERLINK("https://www.reddit.com/r/GERD/comments/bugq8z/advice_for_someone_whos_life_been_a_nightmare/")</f>
        <v/>
      </c>
      <c r="G1392" t="inlineStr">
        <is>
          <t>2019-05-29 09:22:43</t>
        </is>
      </c>
      <c r="H1392" t="inlineStr"/>
    </row>
    <row r="1393">
      <c r="A1393" t="inlineStr">
        <is>
          <t>bugwj9</t>
        </is>
      </c>
      <c r="B1393" t="inlineStr">
        <is>
          <t>Does anyone have any experience with Iberogast?</t>
        </is>
      </c>
      <c r="C1393" t="inlineStr">
        <is>
          <t>I was given a diagnosis of functional dyspepsia from the specialist I saw after and Upper GI Series. Other than a smooth spot on the back of my throat, there was no noticeable damage to my esophagus from what they could tell and no signs of any kind of ulcers/legions in my intestines. So my next logical step is to attack this as if its purely an issue of dyspepsia with no other causes/symptoms. Im hoping to hear what people have experienced with this herbal mixture and find out how effective it was for you? As always, thanks in advance!</t>
        </is>
      </c>
      <c r="D1393" t="n">
        <v>3</v>
      </c>
      <c r="E1393" t="n">
        <v>0</v>
      </c>
      <c r="F1393">
        <f>HYPERLINK("https://www.reddit.com/r/GERD/comments/bugwj9/does_anyone_have_any_experience_with_iberogast/")</f>
        <v/>
      </c>
      <c r="G1393" t="inlineStr">
        <is>
          <t>2019-05-29 09:36:21</t>
        </is>
      </c>
      <c r="H1393" t="inlineStr"/>
    </row>
    <row r="1394">
      <c r="A1394" t="inlineStr">
        <is>
          <t>bui63x</t>
        </is>
      </c>
      <c r="B1394" t="inlineStr">
        <is>
          <t>Insurance is being stubborn about covering TIF</t>
        </is>
      </c>
      <c r="C1394" t="inlineStr">
        <is>
          <t>I'm a 22yo female, slightly overweight (5'4 and 160 lbs), and fairly inactive due to asthma.
I've had GERD since age 10 and only started taking medication (nexium) at age 17, later started taking zantac as well to manage nighttime symptoms. My doctor tried repeatedly to wean me off of the medication, only for my symptoms to come back with a vengeance each time. Endoscopy revealed a small hiatal hernia. Since long-term PPI use can negatively impact kidney and liver function, he wanted me to get the TIF procedure. I was referred to another doctor within his network and he agreed that TIF would be good for me considering my age and the persistence of symptoms.
The only problem is that my insurance, BC/BS, is being extremely stubborn about covering the procedure. They've been in peer-to-peer talks with the patient advocacy department for months and still no word on anything. I've called to check multiple times with no updates. Has anyone else had these headaches with BC/BS and TIF?</t>
        </is>
      </c>
      <c r="D1394" t="n">
        <v>1</v>
      </c>
      <c r="E1394" t="n">
        <v>6</v>
      </c>
      <c r="F1394">
        <f>HYPERLINK("https://www.reddit.com/r/GERD/comments/bui63x/insurance_is_being_stubborn_about_covering_tif/")</f>
        <v/>
      </c>
      <c r="G1394" t="inlineStr">
        <is>
          <t>2019-05-29 11:17:33</t>
        </is>
      </c>
      <c r="H1394" t="inlineStr"/>
    </row>
    <row r="1395">
      <c r="A1395" t="inlineStr">
        <is>
          <t>bujlb4</t>
        </is>
      </c>
      <c r="B1395" t="inlineStr">
        <is>
          <t>Elevating your bed when your partner doesn't have GERD</t>
        </is>
      </c>
      <c r="C1395" t="inlineStr">
        <is>
          <t>Hi,
After being awoken again to that very unpleasant sensation of acid in my mouth, I want to elevate my body for sleep.  I tried risers but I'm concerned I'll damage my wood bed frame.  I tried adding slats of wood below the mattress on my side, but I'm not getting enough lift before the mattress gets wonky.  
For those that share a bed, what solutions have you found? 
Thanks</t>
        </is>
      </c>
      <c r="D1395" t="n">
        <v>2</v>
      </c>
      <c r="E1395" t="n">
        <v>4</v>
      </c>
      <c r="F1395">
        <f>HYPERLINK("https://www.reddit.com/r/GERD/comments/bujlb4/elevating_your_bed_when_your_partner_doesnt_have/")</f>
        <v/>
      </c>
      <c r="G1395" t="inlineStr">
        <is>
          <t>2019-05-29 13:17:52</t>
        </is>
      </c>
      <c r="H1395" t="inlineStr"/>
    </row>
    <row r="1396">
      <c r="A1396" t="inlineStr">
        <is>
          <t>bujn4s</t>
        </is>
      </c>
      <c r="B1396" t="inlineStr">
        <is>
          <t>What a bloody journey.</t>
        </is>
      </c>
      <c r="C1396" t="inlineStr">
        <is>
          <t>So I am just out of a four day hospital stay (based in UK). I'm starting to be worried about effects of PPIs
 My story:
I am a 30 year old male who has suffered with indigestion and reflux for about 8 years. For most of that time I have been on omeprazole. For a few years I was on 40mg omeprazole. Then reduced down to 20mg. About eight months ago it stopped working. I was moved onto lansoprazole. A month later this didn't work - I was moved to esomeprazole. I then had some very bad pain which made the Dr's think I had an ulcer so I was put on 80mg a day. 
Friday night I was coughing blood and ended In a and e. Following on from this I had a endoscopy and they said I have ensophilic esophagitis. 
I have been given 80mg dose of omeprazole and told to go on h2 blockers as well. 
Since coming home I've been Googling PPIs and have terrified myself that I've given myself stomach cancer from using these drugs for so long. 
Has anyone else on here had a comparable time spent on PPIs? Or any Co. Parable dosage? 
I was thinking of weaning myself off over two weeks and just takin the h2 blocker?
Im in a bit of a panic so any advice or comments would be greatly appreciated. 
Suffered with</t>
        </is>
      </c>
      <c r="D1396" t="n">
        <v>2</v>
      </c>
      <c r="E1396" t="n">
        <v>5</v>
      </c>
      <c r="F1396">
        <f>HYPERLINK("https://www.reddit.com/r/GERD/comments/bujn4s/what_a_bloody_journey/")</f>
        <v/>
      </c>
      <c r="G1396" t="inlineStr">
        <is>
          <t>2019-05-29 13:22:02</t>
        </is>
      </c>
      <c r="H1396" t="inlineStr"/>
    </row>
    <row r="1397">
      <c r="A1397" t="inlineStr">
        <is>
          <t>bumu2z</t>
        </is>
      </c>
      <c r="B1397" t="inlineStr">
        <is>
          <t>Gastritis and GERD?</t>
        </is>
      </c>
      <c r="C1397" t="inlineStr">
        <is>
          <t>Anyone have both gastritis and GERD?  
I only have gerd.  I’ve heard gastritis is central to the stomach.</t>
        </is>
      </c>
      <c r="D1397" t="n">
        <v>2</v>
      </c>
      <c r="E1397" t="n">
        <v>4</v>
      </c>
      <c r="F1397">
        <f>HYPERLINK("https://www.reddit.com/r/GERD/comments/bumu2z/gastritis_and_gerd/")</f>
        <v/>
      </c>
      <c r="G1397" t="inlineStr">
        <is>
          <t>2019-05-29 17:56:23</t>
        </is>
      </c>
      <c r="H1397" t="inlineStr"/>
    </row>
    <row r="1398">
      <c r="A1398" t="inlineStr">
        <is>
          <t>buobyc</t>
        </is>
      </c>
      <c r="B1398" t="inlineStr">
        <is>
          <t>My doc said I can have the occasional beer without going on PPIs!</t>
        </is>
      </c>
      <c r="C1398" t="inlineStr">
        <is>
          <t>So I was on PPIs for 2 months and it helped with the burning sensation in my lower abdomen (sometimes up near the diaphragm and lower part of chest). I've been off the medication for 2 weeks now and had a follow up today. All I've been drinking for 2-3 months is water (with the odd herbal tea), and I've been craving coffee, beer, wine, black tea, etc.
Today my doc said I can have a beer here and there which is really exciting. Anyone else get this advice? I know it's a possibility it won't sit well with me but we'll see. 
What do you think - if he said I could have a beer, presumably I can have the odd bubbly water right? What about soda? I forgot to ask him.
He has forbidden coffee unfortunately.</t>
        </is>
      </c>
      <c r="D1398" t="n">
        <v>1</v>
      </c>
      <c r="E1398" t="n">
        <v>2</v>
      </c>
      <c r="F1398">
        <f>HYPERLINK("https://www.reddit.com/r/GERD/comments/buobyc/my_doc_said_i_can_have_the_occasional_beer/")</f>
        <v/>
      </c>
      <c r="G1398" t="inlineStr">
        <is>
          <t>2019-05-29 20:26:44</t>
        </is>
      </c>
      <c r="H1398" t="inlineStr"/>
    </row>
    <row r="1399">
      <c r="A1399" t="inlineStr">
        <is>
          <t>bur8iz</t>
        </is>
      </c>
      <c r="B1399" t="inlineStr">
        <is>
          <t>Tried (nearly) all PPIs and H2 blockers, nothing works, doctor has no clue what to do</t>
        </is>
      </c>
      <c r="C1399" t="inlineStr">
        <is>
          <t>I believe what I have is not just GERD, it started as reflux/heartburn, but I think I have gastritis now, and have been for 2 years; intense burning under sternum or left rib (not relieved by eating), nausea (that is relieved by eating 90% of the time), burping constantly...and I get nauseous if I don't eat regularly, to the point I can dry heave. I only have a small frame where I have actual hunger, before it turns to intense nausea. Sometimes I get odd tastes in my mouth, like yeast (no yeast infection as far as I can tell, but maybe it's lower?). Or, for example, went to the ER last month, was like 7 hours without eating, and when I came home and ate, my stomach burned and then I had hunger pangs for 2 days in a row where I had to get up to eat in the night...but usually I don't have any issues at night when I eat regularly throughout the day. 
I started having GERD 5 years ago, had a barium swallow in 2016, was tested for H.Pylori, and I had an endoscopy maybe like 8 years ago or something. Everything was clear. I'm seeing my gastro in a few weeks, will get another endoscopy. 
So far, I have tried;
Nexium (esomeprazole)= 10 mg - 20 mg - 40 mg = 10mg is the only dosage I tolerate. Was able to force myself to take 20mg for a month, and it gave me even more reflux + difficulty swallowing and what seemed like bile reflux. Didn' thelp with symptoms at all, made them worse actually!
Rabeprazole = 20mg = causes more reflux and nausea.
&amp;amp;#x200B;
Lansoprazole = 15 mg = allergic to it (hives), and makes me cough up acid after 5 days of treatment in anyway.
&amp;amp;#x200B;
Pantoprazole = 20mg = causes more reflux and nausea.
&amp;amp;#x200B;
Ranitidine = 150mg - 300mg = causes instantaneous intense burning after ingestion, to the point I dry heave for 30 minutes.
&amp;amp;#x200B;
Obviously I have tried a low fat diet, keto, low fodmaps, I'm also dairy free and gluten free (have been for over 3 years). I don't drink alcohol, don't smoke, am underweight, never eat outside at restaurants/never buy microwave meals etc very conscious about preservatives and whatnot.
I have also tried; marshmallow root, aloe vera, licorice DGL/tea, chamomile, zinc, vitamin c, vegetable juice (cabbage/brussel sprouts etc) etc etc
Antacids: Gaviscon Advance does nothing for me, but Maalox helps a bit at times (if ingested at a double dose -- for those who don't know it's aluminium hydroxyde &amp;amp; magnesium hydroxide)
&amp;amp;#x200B;
Not looking for a diagnosis here, only the endoscopy will tell, but just curious to know if anyone has a similar issues, and how they handle it.</t>
        </is>
      </c>
      <c r="D1399" t="n">
        <v>10</v>
      </c>
      <c r="E1399" t="n">
        <v>33</v>
      </c>
      <c r="F1399">
        <f>HYPERLINK("https://www.reddit.com/r/GERD/comments/bur8iz/tried_nearly_all_ppis_and_h2_blockers_nothing/")</f>
        <v/>
      </c>
      <c r="G1399" t="inlineStr">
        <is>
          <t>2019-05-30 02:51:34</t>
        </is>
      </c>
      <c r="H1399" t="inlineStr"/>
    </row>
    <row r="1400">
      <c r="A1400" t="inlineStr">
        <is>
          <t>busk4o</t>
        </is>
      </c>
      <c r="B1400" t="inlineStr">
        <is>
          <t>Anyone else find that going vegan helped their reflux?</t>
        </is>
      </c>
      <c r="C1400" t="inlineStr">
        <is>
          <t>Life-long sufferer here (diagnosed at 2 weeks old and then again at 5 or 6 years old, I can't remember).
I was vegan for 2 years and it dramatically helped my reflux. I'm sure it had something to do with how many of the trigger foods are animal-based, but nonetheless it worked out. 
I'm trying to get back into it since I've fallen off the wagon, but I'm curious if anyone else has had similar experiences!</t>
        </is>
      </c>
      <c r="D1400" t="n">
        <v>2</v>
      </c>
      <c r="E1400" t="n">
        <v>2</v>
      </c>
      <c r="F1400">
        <f>HYPERLINK("https://www.reddit.com/r/GERD/comments/busk4o/anyone_else_find_that_going_vegan_helped_their/")</f>
        <v/>
      </c>
      <c r="G1400" t="inlineStr">
        <is>
          <t>2019-05-30 05:29:19</t>
        </is>
      </c>
      <c r="H1400" t="inlineStr"/>
    </row>
    <row r="1401">
      <c r="A1401" t="inlineStr">
        <is>
          <t>butcbx</t>
        </is>
      </c>
      <c r="B1401" t="inlineStr">
        <is>
          <t>Reccurent LPR after new work (had Nissen)</t>
        </is>
      </c>
      <c r="C1401" t="inlineStr">
        <is>
          <t>Hello, I had nissen fundoplication about 8 months ago because I had large hiatal hernia and very bad reflux at my throat, so much pain. So, recently I found a new job (I don’t have any options because I live in a small city) which sucks, I have to lift things that range from 5-20 kilograms everyday. I worked for only three days and reflux is here again, in the same intensity, I’m devastated. It ruined my life before Nissen and now It’s back. Also, I have pain in the area where I got the surgery. Any ideas of what to do? I’ll see my doctor soon, I’m so afraid... The reflux occurs only when I go to sleep and then wake up (and I sleep in elevated position). I just took a nap and woke up with horrible pain in my throat. No PPI’s worked for me ever. Thank’s for every answer.</t>
        </is>
      </c>
      <c r="D1401" t="n">
        <v>2</v>
      </c>
      <c r="E1401" t="n">
        <v>2</v>
      </c>
      <c r="F1401">
        <f>HYPERLINK("https://www.reddit.com/r/GERD/comments/butcbx/reccurent_lpr_after_new_work_had_nissen/")</f>
        <v/>
      </c>
      <c r="G1401" t="inlineStr">
        <is>
          <t>2019-05-30 06:44:18</t>
        </is>
      </c>
      <c r="H1401" t="inlineStr"/>
    </row>
    <row r="1402">
      <c r="A1402" t="inlineStr">
        <is>
          <t>butnk1</t>
        </is>
      </c>
      <c r="B1402" t="inlineStr">
        <is>
          <t>Do I have Acid Reflux?</t>
        </is>
      </c>
      <c r="C1402" t="inlineStr">
        <is>
          <t>Everytime I eat meat, something thick and peanut butter I get heartburn and sometimes I feel like I'm gasping for air and vomit gooey stuff. When I have peanut butter it feels like I'm being chocked in my neck. After I drink coffee it feels like there is something in my throat and I have to clear throat more frequently. Also when I drank 2 glasses of orange juice I had diarrhea. Do you think I have Acid Reflux?</t>
        </is>
      </c>
      <c r="D1402" t="n">
        <v>2</v>
      </c>
      <c r="E1402" t="n">
        <v>2</v>
      </c>
      <c r="F1402">
        <f>HYPERLINK("https://www.reddit.com/r/GERD/comments/butnk1/do_i_have_acid_reflux/")</f>
        <v/>
      </c>
      <c r="G1402" t="inlineStr">
        <is>
          <t>2019-05-30 07:11:56</t>
        </is>
      </c>
      <c r="H1402" t="inlineStr"/>
    </row>
    <row r="1403">
      <c r="A1403" t="inlineStr">
        <is>
          <t>buytro</t>
        </is>
      </c>
      <c r="B1403" t="inlineStr">
        <is>
          <t>Clean endoscopy - now what?</t>
        </is>
      </c>
      <c r="C1403" t="inlineStr">
        <is>
          <t>I just got back from endoscopy - my doctor said it was clear. He did take a few biopsies to check for micro  inflammation.
I'm not sure where this leaves me. It feels like when I swallow the food is moving slowly to my stomach. I was assuming my doctor would've seen something given this. 
Hmm. Any thoughts? Has anybody else had this? I don't know what's next.</t>
        </is>
      </c>
      <c r="D1403" t="n">
        <v>2</v>
      </c>
      <c r="E1403" t="n">
        <v>12</v>
      </c>
      <c r="F1403">
        <f>HYPERLINK("https://www.reddit.com/r/GERD/comments/buytro/clean_endoscopy_now_what/")</f>
        <v/>
      </c>
      <c r="G1403" t="inlineStr">
        <is>
          <t>2019-05-30 14:30:03</t>
        </is>
      </c>
      <c r="H1403" t="inlineStr"/>
    </row>
    <row r="1404">
      <c r="A1404" t="inlineStr">
        <is>
          <t>buyv9h</t>
        </is>
      </c>
      <c r="B1404" t="inlineStr">
        <is>
          <t>Diagnosed with GERD, did bloodwork, no heart problems? What are these symptoms?</t>
        </is>
      </c>
      <c r="C1404" t="inlineStr">
        <is>
          <t>Diagnosed with GERD, and my body hurts, especially my left arm, and occasionally my jaw, it feels like a heart attack but any time I've gone to the doctor they do blood work or an EKG and my heart looks great. 
I've heard something about GERD can irritate the vegus nerve which can simulate practically every symptom of a heart attack, but what gives?
Also, my GERD doesn't feel like heart burn, I don't have a sore throat, nor trouble swallowing, but all I have is chest pain associated with eating.
I am exercising regularly yet still these symptoms persist. Some Days it is gone and others it is extremely intense. Been happening for about 3 weeks. On omeprazole and zantac. Pain....
What gives? Anyone else have these symptoms.</t>
        </is>
      </c>
      <c r="D1404" t="n">
        <v>5</v>
      </c>
      <c r="E1404" t="n">
        <v>5</v>
      </c>
      <c r="F1404">
        <f>HYPERLINK("https://www.reddit.com/r/GERD/comments/buyv9h/diagnosed_with_gerd_did_bloodwork_no_heart/")</f>
        <v/>
      </c>
      <c r="G1404" t="inlineStr">
        <is>
          <t>2019-05-30 14:33:35</t>
        </is>
      </c>
      <c r="H1404" t="inlineStr"/>
    </row>
    <row r="1405">
      <c r="A1405" t="inlineStr">
        <is>
          <t>buyz2l</t>
        </is>
      </c>
      <c r="B1405" t="inlineStr">
        <is>
          <t>What to do when heartburn attacks</t>
        </is>
      </c>
      <c r="C1405" t="inlineStr">
        <is>
          <t>I take PPIs daily, restrict myself from eating large meals, and avoid trigger foods. However, I also have a few “sometimes” trigger foods that I can usually have with no problem and then once in a while, they completely annihilate me. My heartburn is a severe chest pain that comes and goes in brief waves for many, MANY hours. My question is, once the heartburn strikes, is there anything that can be done to fix it?
I have tried...
-taking Pepcid 
-taking Tums
-taking Gaviscon
-drinking baking soda in water
-eating oatmeal
-drinking water slowly
-fasting
Fasting seems to be the most consistently effective, but it takes 3-6 hours for the heartburn to subside. 
Also, once it subsided immediately when I ate a chicken and avocado sandwich so I always have hope that there could be some magic action that would make it go away faster. Alas, this is high risk/high reward because many other times I have found consuming anything makes me feel much worse.</t>
        </is>
      </c>
      <c r="D1405" t="n">
        <v>7</v>
      </c>
      <c r="E1405" t="n">
        <v>11</v>
      </c>
      <c r="F1405">
        <f>HYPERLINK("https://www.reddit.com/r/GERD/comments/buyz2l/what_to_do_when_heartburn_attacks/")</f>
        <v/>
      </c>
      <c r="G1405" t="inlineStr">
        <is>
          <t>2019-05-30 14:42:38</t>
        </is>
      </c>
      <c r="H1405" t="inlineStr"/>
    </row>
    <row r="1406">
      <c r="A1406" t="inlineStr">
        <is>
          <t>bv8bm8</t>
        </is>
      </c>
      <c r="B1406" t="inlineStr">
        <is>
          <t>On average a GERD sufferer has a 1 in 50 chance of developing cancer of the esophagus</t>
        </is>
      </c>
      <c r="C1406" t="inlineStr">
        <is>
          <t>If you are young say 20s or 30s and have GERD then i would imagine you have a much higher chance then 1 in 50 of this deadly cancer.  Shouldn't GERD be taken more seriously then it is at the moment?  Seems like everyone has heard of diabetes, heart disease, other cancers such as breast/lung/prostate, but i doubt many people even know what GERD is and how it can lead to cancer.
Please everyone do not assume it is very rare to have this cancer - it is dangerous to assume this as it misleads others as well as yourself.  You need an education in statistics to actually interpret the results and many people who claim there is very little risk, even the doctors, do not understand statistics.
There is a BIG difference between a lifetime risk of cancer vs 1-year risk of development of cancer.  Please keep this in mind when reading statistics about this.</t>
        </is>
      </c>
      <c r="D1406" t="n">
        <v>0</v>
      </c>
      <c r="E1406" t="n">
        <v>21</v>
      </c>
      <c r="F1406">
        <f>HYPERLINK("https://www.reddit.com/r/GERD/comments/bv8bm8/on_average_a_gerd_sufferer_has_a_1_in_50_chance/")</f>
        <v/>
      </c>
      <c r="G1406" t="inlineStr">
        <is>
          <t>2019-05-31 07:39:21</t>
        </is>
      </c>
      <c r="H1406" t="inlineStr"/>
    </row>
    <row r="1407">
      <c r="A1407" t="inlineStr">
        <is>
          <t>bv8za4</t>
        </is>
      </c>
      <c r="B1407" t="inlineStr">
        <is>
          <t>Pooping</t>
        </is>
      </c>
      <c r="C1407" t="inlineStr">
        <is>
          <t>Anyone go days without pooping during a flare up?</t>
        </is>
      </c>
      <c r="D1407" t="n">
        <v>3</v>
      </c>
      <c r="E1407" t="n">
        <v>10</v>
      </c>
      <c r="F1407">
        <f>HYPERLINK("https://www.reddit.com/r/GERD/comments/bv8za4/pooping/")</f>
        <v/>
      </c>
      <c r="G1407" t="inlineStr">
        <is>
          <t>2019-05-31 08:33:11</t>
        </is>
      </c>
      <c r="H1407" t="inlineStr"/>
    </row>
    <row r="1408">
      <c r="A1408" t="inlineStr">
        <is>
          <t>bvac0m</t>
        </is>
      </c>
      <c r="B1408" t="inlineStr">
        <is>
          <t>Attacks that cause anxiety?</t>
        </is>
      </c>
      <c r="C1408" t="inlineStr">
        <is>
          <t>I've been dealing with GERD for a while, and was just curious if anyone else during a flare up gets intense anxiety/impending doom feeling/dizzy/tired and cant focus. I was dumb and had beer and pizza the other night and started feeling all these things..</t>
        </is>
      </c>
      <c r="D1408" t="n">
        <v>2</v>
      </c>
      <c r="E1408" t="n">
        <v>7</v>
      </c>
      <c r="F1408">
        <f>HYPERLINK("https://www.reddit.com/r/GERD/comments/bvac0m/attacks_that_cause_anxiety/")</f>
        <v/>
      </c>
      <c r="G1408" t="inlineStr">
        <is>
          <t>2019-05-31 10:22:14</t>
        </is>
      </c>
      <c r="H1408" t="inlineStr"/>
    </row>
    <row r="1409">
      <c r="A1409" t="inlineStr">
        <is>
          <t>bvaebm</t>
        </is>
      </c>
      <c r="B1409" t="inlineStr">
        <is>
          <t>Symptom Flair Up- Need help</t>
        </is>
      </c>
      <c r="C1409" t="inlineStr">
        <is>
          <t>Ugh it’s been a rough week. So I upped my dose of antidepressant this week after a month of being on Prilosec really successfully. I thought it would be a good time to try and go off the Prilosec and I don’t know if my stomach got messed up from all the AD side effects so I started taking Prilosec mid week- but I took it twice after before dinner and it helped a little. But this morning I woke up nauseous after eating a few bites of breakfast so I quickly just took a Prilosec in hopes of it helping. I think I have to go back to taking it first thing when I wake up before breakfast.
Will it still help me today even though I took a few bites of breakfast beforehand?</t>
        </is>
      </c>
      <c r="D1409" t="n">
        <v>1</v>
      </c>
      <c r="E1409" t="n">
        <v>0</v>
      </c>
      <c r="F1409">
        <f>HYPERLINK("https://www.reddit.com/r/GERD/comments/bvaebm/symptom_flair_up_need_help/")</f>
        <v/>
      </c>
      <c r="G1409" t="inlineStr">
        <is>
          <t>2019-05-31 10:27:49</t>
        </is>
      </c>
      <c r="H1409" t="inlineStr"/>
    </row>
    <row r="1410">
      <c r="A1410" t="inlineStr">
        <is>
          <t>bvaez7</t>
        </is>
      </c>
      <c r="B1410" t="inlineStr">
        <is>
          <t>Do PPI's cause your tongue to be coated white?</t>
        </is>
      </c>
      <c r="C1410" t="inlineStr">
        <is>
          <t>I just started taking Protonix for the first time and ever since my tongue has been coated in a white film. Is this normal with PPI usage?</t>
        </is>
      </c>
      <c r="D1410" t="n">
        <v>2</v>
      </c>
      <c r="E1410" t="n">
        <v>0</v>
      </c>
      <c r="F1410">
        <f>HYPERLINK("https://www.reddit.com/r/GERD/comments/bvaez7/do_ppis_cause_your_tongue_to_be_coated_white/")</f>
        <v/>
      </c>
      <c r="G1410" t="inlineStr">
        <is>
          <t>2019-05-31 10:29:20</t>
        </is>
      </c>
      <c r="H1410" t="inlineStr"/>
    </row>
    <row r="1411">
      <c r="A1411" t="inlineStr">
        <is>
          <t>bvayh7</t>
        </is>
      </c>
      <c r="B1411" t="inlineStr">
        <is>
          <t>Tips on how to keep GERD under control</t>
        </is>
      </c>
      <c r="C1411" t="inlineStr">
        <is>
          <t>Hello!
&amp;amp;#x200B;
What I'm about to write is based on my medical knowledge (on the verge of finishing med school) and my experience with GERD.
What GERD basically means is that the Lower Esophageal Sphincter (LES) does not do its job. That is: it may not close tightly enough or it may just relax inappropriately or for too long. Reflux is normal as long as it is not too long, that is the lower esophagus is not exposed to acid for more than 4% of the day. (figures vary here, I've also read articles where it says 5 or 6%). Anyway, it sort of seems that the lower esophagus is somehow prepared for the fact that the LES isn't the best and strongest design of the human body.
**CAUSES** for GERD: 
* Let's start with anatomical causes. Normally, you'd want to have a portion of the esophagus in the abdomen, it being a positive pressure zone. The positive pressure from the abdomen is exerted on the walls of the abdominal esophagus (also containing the LES) and helps it stay shut. Another important element is the angle of His that functions as a valve.   
[https://en.wikipedia.org/wiki/Angle\_of\_His](https://en.wikipedia.org/wiki/Angle_of_His)
If there's a portion of the esophagus that is supposed to be in the abdomen slides up into the thorax, like in a sliding hiatal hernia (because the esophageal hiatus is wide= the whole in the diaphragm through which the esophagus goes from the thorax into the abdomen), the angle of His is disrupted and, furthermore, a portion of the esophagus is in the thorax. Now, the thoracic cavity is a negative pressure zone because of the lungs that sit laterally and because of the breathing. Conclusion: a sliding hiatal hernia can cause GERD. Causes for sliding hiatal hernia: eating a lot of food at once and consuming carbonated beverages afterwars, playing instruments that require blowing air (trumpet) and lifting heavy things involving the abdominal muscles.
* Other causes of GERD include: whenever the pressure in the abdomen is high. For example pregnant women can experience reflux. Also, people that are overweight and obese, especially if fat is distributed around the abdomen.
* Eating fatty and acid foods: fatty foods and other foods (you can look them up on the internet) may also lead to reflux because they lead to lowered LES tone. (that is, it doesn't hold closed so strongly)
* Lying down right after eating and with a full stomach. That's because the gastric contents exert a high pressure on the esophagus and it tends to open. It also opens when burping to let the air go out and if you lie down and you burp, some gastric contents may also escape, right up into your mouth and you may feel it. Also, digestion involves contractions of the stomach: it sort of squeezes itself from the gastric fundus\* (the uppermost portion) to the piloric opening so that food that is digested and is starting to be liquid gets into the duodenum. Naturally, this also leads to an increase in pressure.
\*By the way, the gastric fundus contracts during digestion. This is the basis of the Nissen fundoplication or wrapping of the gastric fundus around the esophagus. With the fundus contracting, it squeezes the esophagus and does not allow food to go back up.
* Functional reasons. These ones are harder to diagnose and they simply mean that something is not functioning as is should. These are diagnosed by rulling out other causes.
Anyway, GERD means chronic exposure of the esophageal mucosa to the gastric acidic contents. Everybody can have a reflux episode once in while, but more than 2 reflux episodes per week over the course of more weeks could be GERD.
The reflux itself can be 
* acid from the stomach- bad because while the stomach is built to resist its acid, the esophagus is not. Imagine having acid on your skin and having it stay there. It would hurt, wouldn't it? Now add pepsin, an enzyme that digests proteins at an acidic pH. You have the perfect ingredients to get an esophagitis, which is inflammation of the esophageal mucosa. The inflammation appears because there has been damage and the body tries to fix it up. It's like your skin being exposed to something erosive and getting damaged. With ongoing exposure, the esophagitis gets worse and it can even lead to bleeding. 
* acid from the stomach + bile from the duodenum( reflux from the duodenum to the stomach and to the esophagus)- worst and harder to treat. The bile salts work like detergents and have an even more harmful effect on the esophagus and they even hurt the gastric mucosa. What works here well, supposedly, is sucralphate. But more about the treatment later.
**Esophagitis** itself can have more causes, but here I'm going to talk about GERD esophagitis. Normally, the lower esophageal walls have some form of protection againts the physiologic/ normal reflux ***as long as the mucosa is in tip-top condition and normal***. It secretes mucus and bicarbonate ions that neutralize the normal reflux. When the LES becomes incompetent, the defense mechanisms are overwhelmed and soon the mucosa starts to feel the erosive action of the acid and the digestive action of pepsin. The patient is alerted by the burning feeling in the epigastric region= pyrosis (right about where the sternum ends). Now, medical books state that the pain has a rather poor correlation to the esophagitis severity, that is the pain may be high and the esophagitis not that severe and vice-versa. Some people may have pathological acid exposure and no pain. They may have extra-digestive symptoms, that is the larynx being affected by reflux damaging it- hoarse voice in the morning, for example.  
[https://en.wikipedia.org/wiki/Laryngopharyngeal\_reflux](https://en.wikipedia.org/wiki/Laryngopharyngeal_reflux)
Esophagitis, depending on severity, is grade with the Los Angeles classification.  
[https://www.endoscopy-campus.com/en/klassifikationen/los-angeles-klassifikation-zur-einteilung-des-schweregrads-der-refluxoesophagitis/](https://www.endoscopy-campus.com/en/klassifikationen/los-angeles-klassifikation-zur-einteilung-des-schweregrads-der-refluxoesophagitis/)
As a patient, you ***don't want esophagitis***, your goal is to keep the esophagus in a normal condition. That's because, apart from the symptoms, chronic esophagitis/ inflammation may lead to dysplasia of the esophagus. That is, under constant inflammation, the esophageal cells somehow react and adapt themselves and they change their structure. To be more precise, instead of them becoming a stratified squamos epithelium, they become a stomach-like epithelium (gastric metaplasia) or an intestinal-like epithelium (intestinal metaplasia). This condition is called Barrett's Esophagus and while you might think that this is ok, because now that part of the esophagus is resistant to acid, it is not good. Those cells are not supposed to become metaplasic, they are supposed to be squamos cells. And the fact that they are forced to become something else makes it very likely that they won't listen to the rules of the body and how they should behave, thus making them rebel against the body= cancer. Now, you won't get Barret's esophagus the moment you have acid exposure, it takes years of untreated GERD to get to it, but that doesn't mean you should not treat it. ***On the contrary, you have to do everything that's in your power to keep the disease under control and live a normal life.***
DIAGNOSIS: Normally, to diagnose GERD, one should provide proof of the higher than normal acid exposure of the esophageal mucosa, which is done with a 24-hour pH test.   
details pubmed article: https://www.ncbi.nlm.nih.gov/pmc/articles/PMC6236049/
However, this gives us no clue on the state of the esophageal mucosa, which is why an endoscopy is usually performed, even though it does not give direct information on GERD. You can see the result of the reflux, the damage it has done, not the process of reflux whereas with the pH test you can determine how much the esophagus has a pH of under 4. But the upper endoscopy is far more valuable since you can also take a biopsy if you're suspicious of the lesions, thus giving you the most accurate picture of it.
Another way would be a manometry, but this is rarely done, maybe before Nissen surgery. It gives information on the function of the LES and the rest of the esophageal muscles.
TREATMENT: ideally, treatment would incluse fixing the broken LES or the LES function, but since that can only be done surgically, it is an option left for cases that don't respond to medical therapy, high hiatal hernias, etc and it is only performed after a manometry and a pH test. 
Thus, with drugs, we treat the effect and not the cause. With drugs we make the stomach secrete less acid, we neutralize the acid whenever it bothers us.
I would like to stress out the difference here. 
* Anti-acids are drugs that neutralize the acids by way of a chemical reaction. They usually have a higher, alkaline pH. Water dilutes the acid, it can't really be called an anti-acid drug, yet it too offers short-term relief. Anti-acid drugs include: magnesium hydroxide salts (side effect of diarrhea), calcium salts (side effect: constipation) and a combination between magnesium and calcium. And there's sucralphate. [https://en.wikipedia.org/wiki/Antacid](https://en.wikipedia.org/wiki/Antacid) [https://en.wikipedia.org/wiki/Sucralfate](https://en.wikipedia.org/wiki/Sucralfate)
Anti-secretory drugs inhibit the acid secretion of the stomach. While both antacids and anti-secretory drugs result in less acid in the stomach, the antacids do that only temporarily, because the stomach will keep on producing acid, that's its job, that's how its programmed to work and for good reason. The acid has an important role in digestion, in sterilization of food. Yet, when talking about esophagitis and GERD, we want to heal esophagitis and prevent further episodes, which is why we need to tell the stomach to take a break. This is where these drugs come into play, they **stop the acid secretion of the stomach**.
1. H2 blockers: cimetidine(the first that appeared, has nasty anti-androgenic side effects=&amp;gt; not used anymore), ranitidine, roxatidine. Acid secretion is stimulated by histamine acting on the H2 receptor on the parietal cells. H2 blockers compete with the binding of histamine over there, so instead of histamine binding, the drug binds, however the drug does not have any effect over there whatsoever. Imagine the H2 receptor as the gas pedal of the parietal cell, when histamine binds to it, it kicks the parietal cell into drive and tells it to pump acid. But when the H2 blocker drug binds over there, it does not push the gas pedal and the parietal cells stay put. These drugs block the acid secretion for about 12 hours or so, which is why they're taken 2 times a day for continuous acid secretion inhibition. They are moderately efficient in healing of the esopaghitis, healing which takes quite some weeks. For them to have good absorbtion rates, they should not be taken with antacids at the same time, they need an acidic pH for them to be absorbed.
2. PPI- proton pump inhibitors. These block the proton pump, the tool which the parietal cells use to secrete acid. If there's no tool, they don't work. These are by far the most efficient drugs that block acid and they have the highest healing rate. They need to be taken a minimum of 4 weeks , up to 8 weeks. They work best when taken 30 minutes before eating because it takes 30 minutes for them to get absorbed and they work best when the gastric secretion is up and running (and the parietal cells use their tools and then the PPI can perfectly block it). So, 30 minutes before eating. After blocking of the proton pump, the parietal cells need to build up new tools= secrete new proton pumps, which takes time, which is why this drug blocks the acid for far longer than H2 blockers. In my experience,  if one takes 40 mg esomeprazole and, after 3 days, almost all the acid secretion is blocked (98%) . Then, when interrupting the drug, it also requires about 3 days for the acid secretion to return to normal. NOTE: the stomach was built to secrete acid and it senses that, because of the PPI treatment, the pH inside is NOT acidic anymore = it's too high. This makes the gastrin levels go high in the blood in an attempt to force the stomach to spew as much acid as it can, but it won't really be able to do that, because the PPI has blocked the proton pump= the tool. Yet, when you stop taking PPI abruptly, the tool becomes free and can now be used. You would expect gastrin, the boss in charge of the acid secretion, to calm down, but since it got annoyed with the prolonged acid inhibition, its levels will fall down rather slowly&amp;lt;=&amp;gt; it will stimulate the acid secretion more than it should, especially on day 3 after giving up the drug. This is called **acid rebound, which is why PPI need to be stopped gradually**. What might work for you is:  let's say you take 40mg of PPI per day and today is the last day of the treatment. You can skip a dose tomorrow, take it the day after tomorrow and keep taking it that way for several days, then take one pill every 3 days and then stop it. Or you could lower the dose in half, **but DO NOT CUT THE PILL IN HALF because it has a protective coating** and cutting it destroys it, thus rendering the drug useless.
Well, this post turned out to be quite longer than I expected it would and I still have much more to write. I want to share my knowledge with you because it might help you and/ or make your life better. Also, many doctors, even gastroenterologists, don't really know the intricate details of GERD if they don't have it. As they say, a patient knows his disease best.
So, I will continue in part 2 with the details on how to manage GERD in the long run. I can't really say for sure when I'll have time to write it, but I'll do my best for it to be soon.
Also, Ask Me Anything that you do not understand. If you ask me about your specific instance of disease , there's a possibility that I might not answer your question without consulting you, which I cannot do on reddit. Sorry. I don't want to make  more harm than good. 
*Primum non nocere.*
[https://en.wikipedia.org/wiki/Primum\_non\_nocere](https://en.wikipedia.org/wiki/Primum_non_nocere)</t>
        </is>
      </c>
      <c r="D1411" t="n">
        <v>42</v>
      </c>
      <c r="E1411" t="n">
        <v>56</v>
      </c>
      <c r="F1411">
        <f>HYPERLINK("https://www.reddit.com/r/GERD/comments/bvayh7/tips_on_how_to_keep_gerd_under_control/")</f>
        <v/>
      </c>
      <c r="G1411" t="inlineStr">
        <is>
          <t>2019-05-31 11:14:57</t>
        </is>
      </c>
      <c r="H1411" t="inlineStr"/>
    </row>
    <row r="1412">
      <c r="A1412" t="inlineStr">
        <is>
          <t>bvc69y</t>
        </is>
      </c>
      <c r="B1412" t="inlineStr">
        <is>
          <t>Fuck, I just got diagnosed with BAD gerd.</t>
        </is>
      </c>
      <c r="C1412" t="inlineStr">
        <is>
          <t>Fuck man... I've been clearing my throat and spitting out phlegm for years, and now I went to the doctor for it. Fucking gerd. I'm glad it's not cancer but the doc said I'm really stupid in the nicest way. God...</t>
        </is>
      </c>
      <c r="D1412" t="n">
        <v>2</v>
      </c>
      <c r="E1412" t="n">
        <v>2</v>
      </c>
      <c r="F1412">
        <f>HYPERLINK("https://www.reddit.com/r/GERD/comments/bvc69y/fuck_i_just_got_diagnosed_with_bad_gerd/")</f>
        <v/>
      </c>
      <c r="G1412" t="inlineStr">
        <is>
          <t>2019-05-31 13:00:38</t>
        </is>
      </c>
      <c r="H1412" t="inlineStr"/>
    </row>
    <row r="1413">
      <c r="A1413" t="inlineStr">
        <is>
          <t>bvgpei</t>
        </is>
      </c>
      <c r="B1413" t="inlineStr">
        <is>
          <t>I am so done with this.</t>
        </is>
      </c>
      <c r="C1413" t="inlineStr">
        <is>
          <t>RANT: I am just so tired of this crap. I was diagnosed with GERD 7 years ago, but in the last 6 months it has gotten to a point where my LES  seems to have just checked the fuck out. 
 I am 29 years old. I have a healthy BMI. I try to avoid foods that trigger GERD.  I’ve been taking 40 mg PPI daily for the last 4 months with 2 Zantac before bed every night. No matter what or when I eat, everything comes back up the second I lay down. I’ve woken up many times in the middle of the night choking on food/stomach acid.
I’ve tried not eating anything within 3 hours of going to bed. Didn’t work. So I tried not eating within 5 hours of going to bed. I would go the bed HUNGRY and  it STILL didn’t work. My pillow is elevated at least 6 inches. I lay only on my left side - to the point where I now have chronic back pain on the lower left half of my back from laying on my side at such an elevated angle. 
I will go days without a decent night’s sleep until my exhaustion wins out and I can sleep for a few nights in a row. But then the cycle starts up all over again. I am so fucking tired. All the time. And I just fucking miss coffee.</t>
        </is>
      </c>
      <c r="D1413" t="n">
        <v>8</v>
      </c>
      <c r="E1413" t="n">
        <v>12</v>
      </c>
      <c r="F1413">
        <f>HYPERLINK("https://www.reddit.com/r/GERD/comments/bvgpei/i_am_so_done_with_this/")</f>
        <v/>
      </c>
      <c r="G1413" t="inlineStr">
        <is>
          <t>2019-05-31 20:46:13</t>
        </is>
      </c>
      <c r="H1413" t="inlineStr"/>
    </row>
    <row r="1414">
      <c r="A1414" t="inlineStr">
        <is>
          <t>bvi5fq</t>
        </is>
      </c>
      <c r="B1414" t="inlineStr">
        <is>
          <t>Terrified 20yr old male that was given Barrett's diagnosis</t>
        </is>
      </c>
      <c r="C1414" t="inlineStr">
        <is>
          <t>Hey folks, I just found this subreddit after getting a depressing diagnosis this morning. Some backstory is needed first. I was diagnosed with GERD as an infant. I was treated for awhile but my parents told me that I couldn't drink any formula as a baby without crying for hours due to the pain. I didn't have heartburn until around the age of 16, and for some reason it always came down to drinking peptobismol/tums in school to cure it. I have incredibly hard to deal with health anxiety as well. I had 3 or 4 episodes of food getting stuck throughout high school, but once I axed dairy completely from my diet I haven't had one. 
So, after idiotically not opting for an endoscopy a year ago, I got one performed a week ago. Initially, my doc told me that he found no visual signs of Barrets, and that there was excess bile in my stomach. He took some biopsies of the area just as an extra measure. I am going in for a HIDA scan to check for my gallbladder function and reason why I have bile reflux, as my mother's side has a long history of gallbladder issues.
Today, I received a call from my doc's office and the nurse explained to me that the biopsies came back positive for Barret's but without any dysplasia. They explained it as an early catch and reversible through medication and diet restriction. I am going in again next wednesday to talk it over with my doctor, to see what I have to do to fix myself.
I am asking for any friendly advice, dietary tid bits, or words of encouragement. I feel extremely defeated as I am only 20 years old. I am on a PPI and carafate, and I also have Hashimoto's thyroid disease and extreme allergies. My gastro doc told me to get a food allergy test to see if my symptoms are caused by my already over active immune system, but I am hoping its just my gallbladder. Anyways, that's my story and I thank you all for anything thrown my way.</t>
        </is>
      </c>
      <c r="D1414" t="n">
        <v>7</v>
      </c>
      <c r="E1414" t="n">
        <v>7</v>
      </c>
      <c r="F1414">
        <f>HYPERLINK("https://www.reddit.com/r/GERD/comments/bvi5fq/terrified_20yr_old_male_that_was_given_barretts/")</f>
        <v/>
      </c>
      <c r="G1414" t="inlineStr">
        <is>
          <t>2019-06-01 00:04:48</t>
        </is>
      </c>
      <c r="H1414" t="inlineStr"/>
    </row>
    <row r="1415">
      <c r="A1415" t="inlineStr">
        <is>
          <t>bvjp2z</t>
        </is>
      </c>
      <c r="B1415" t="inlineStr">
        <is>
          <t>My soy yogurt recipe (my breakfast every day for LPR)</t>
        </is>
      </c>
      <c r="C1415" t="inlineStr">
        <is>
          <t>I decided I needed healthier gut bacteria as part of my LPR treatment. I’m lactose int. And try to be dairy free so regular yogurt wasn’t an option. 
Soy yogurt can be expensive or hard to find so I decided to make my own.  It’s so easy and cheap.  
I make my own and it’s one of my go to foods (breakfast is a soy yogurt + fruit smoothie plus my probiotic on the side).   Plenty of recipes on the web but here’s mine:
Ingredients:
All you need is some soy milk (buy the one with the most protein in it — I use one that has 12g per serving but have done it with soy milk that only has 7g per serving)
And a cup of organic plain yogurt (yes I use dairy yogurt for this even though I don’t eat dairy otherwise)
You will need a candy thermometer
Steps
1. Put in 2 quarts (= half gal) of soy milk into a pot
2. Warm Up to about 125 deg F while stirring frequently so you don’t scorch any of the soy milk 
3.  Once at 125deg F, stir in the cup of organic plain yogurt and turn OFF the heat and COVER WITH LID.  
4. Place the pot on a heat safe trivet on your counter and wrap up the pot using several towels or a bathroom towel. 
5. Let the covered pot sit for 8-12 hours (overnight is good). 
Voila it’ll be soy yogurt the next morning. Will taste sour just like plain yogurt from the store and will be chalk full of active cultures. 
Put it in a few jars with lids and put it in the fridge.   
Much cheaper than store bought yogurt and you know exactly what’s in it. 
Great for smoothies (I use frozen mango chunks  or banana or even blueberries and some pure vanilla) or even in a bowl with honey or maple syrup.</t>
        </is>
      </c>
      <c r="D1415" t="n">
        <v>3</v>
      </c>
      <c r="E1415" t="n">
        <v>7</v>
      </c>
      <c r="F1415">
        <f>HYPERLINK("https://www.reddit.com/r/GERD/comments/bvjp2z/my_soy_yogurt_recipe_my_breakfast_every_day_for/")</f>
        <v/>
      </c>
      <c r="G1415" t="inlineStr">
        <is>
          <t>2019-06-01 04:04:58</t>
        </is>
      </c>
      <c r="H1415" t="inlineStr"/>
    </row>
    <row r="1416">
      <c r="A1416" t="inlineStr">
        <is>
          <t>bvnnvj</t>
        </is>
      </c>
      <c r="B1416" t="inlineStr">
        <is>
          <t>GERD..</t>
        </is>
      </c>
      <c r="C1416" t="inlineStr">
        <is>
          <t>Hey everyone I was diagnosed with GERD about a year ago, I was taking pantoloc and it was not working now I'm taking pantoprazole in the morning and night. I do not feel it is helping much, still heartburn. Thing is though for the last month I have been getting this chest pain that honestly feels like a heaviness like someone is sitting on my chest. Have done ekgs and xray and nothing is wrong with heart. Is this to do with my GERD and If so how do I help?</t>
        </is>
      </c>
      <c r="D1416" t="n">
        <v>5</v>
      </c>
      <c r="E1416" t="n">
        <v>7</v>
      </c>
      <c r="F1416">
        <f>HYPERLINK("https://www.reddit.com/r/GERD/comments/bvnnvj/gerd/")</f>
        <v/>
      </c>
      <c r="G1416" t="inlineStr">
        <is>
          <t>2019-06-01 11:06:04</t>
        </is>
      </c>
      <c r="H1416" t="inlineStr"/>
    </row>
    <row r="1417">
      <c r="A1417" t="inlineStr">
        <is>
          <t>bvo1fb</t>
        </is>
      </c>
      <c r="B1417" t="inlineStr">
        <is>
          <t>Can you safely drink alcohol while taking DEXILANT?</t>
        </is>
      </c>
      <c r="C1417" t="inlineStr">
        <is>
          <t>I only drink occasionally and tonight is one of those occasions. I recently started taking 60mg of DEXILANT at night to treat acid reflux. I plan on taking my normal dose before I go out. Are there any serious side effects I should be cautious of? Or will I be ok for a night of drinking? Thanks in advance!</t>
        </is>
      </c>
      <c r="D1417" t="n">
        <v>1</v>
      </c>
      <c r="E1417" t="n">
        <v>5</v>
      </c>
      <c r="F1417">
        <f>HYPERLINK("https://www.reddit.com/r/GERD/comments/bvo1fb/can_you_safely_drink_alcohol_while_taking_dexilant/")</f>
        <v/>
      </c>
      <c r="G1417" t="inlineStr">
        <is>
          <t>2019-06-01 11:42:06</t>
        </is>
      </c>
      <c r="H1417" t="inlineStr"/>
    </row>
    <row r="1418">
      <c r="A1418" t="inlineStr">
        <is>
          <t>bvq7lg</t>
        </is>
      </c>
      <c r="B1418" t="inlineStr">
        <is>
          <t>PPI Use for Three Years</t>
        </is>
      </c>
      <c r="C1418" t="inlineStr">
        <is>
          <t>I've been on 40mg per day of pantoprazole since 2016. My acid reflux was so bad that my rear molars had started to crumble.
In late 2017, I started experiencing numbness and tingling in my hands and feet. By fall 2018, that tingling had progressed to excruciating burning.
By Christmas, my tongue felt as if it had been scalded by hot coffee and my hands and feet were often purple, cyanotic.
These painful sensations and vascular issues continued to increase when I had a follow-up with my primary care physician at the beginning of May 2019. Upon hearing about painful burning in my throat, my PCP increased my pantoprazole to 40mg twice a day.
My symptoms worsened.
Soon after I had an appointment with a neurologist that recommended I stop that pantoprazole. Within days, all the painful vascular and neuropathic symptoms that had caused me so much discomfort immediately stopped.
Of course, my GERD is back.
If your physician has you on PPIs long term, please question them, especially if you are having adverse symptoms. They are not intended for long term use.</t>
        </is>
      </c>
      <c r="D1418" t="n">
        <v>2</v>
      </c>
      <c r="E1418" t="n">
        <v>7</v>
      </c>
      <c r="F1418">
        <f>HYPERLINK("https://www.reddit.com/r/GERD/comments/bvq7lg/ppi_use_for_three_years/")</f>
        <v/>
      </c>
      <c r="G1418" t="inlineStr">
        <is>
          <t>2019-06-01 15:05:42</t>
        </is>
      </c>
      <c r="H1418" t="inlineStr"/>
    </row>
    <row r="1419">
      <c r="A1419" t="inlineStr">
        <is>
          <t>bvqq1b</t>
        </is>
      </c>
      <c r="B1419" t="inlineStr">
        <is>
          <t>Heartburn Hacks</t>
        </is>
      </c>
      <c r="C1419" t="inlineStr">
        <is>
          <t>Hello!
My heartburn after drinking alcohol has really increased over the last couple of years. It is the only trigger I’ve identified. 
However, I am 22 and want to drink every now and then without intense nausea and a burning chest. I’m going to celebrate my birthday in New Orleans next week and am seeing if anyone has any tips that help out to prevent intense heartburn when drinking. 
Should I take Prilosec the week leading up to it? I know some say Prilosec can cause side effects (sometimes dangerous unless I’ve been mislead). Just stick with my usual chamomile tea and tums after a night out?
I’m just looking for everyone’s usual routine to see what else I can try to help subside my GERDs intensity! Tia</t>
        </is>
      </c>
      <c r="D1419" t="n">
        <v>2</v>
      </c>
      <c r="E1419" t="n">
        <v>4</v>
      </c>
      <c r="F1419">
        <f>HYPERLINK("https://www.reddit.com/r/GERD/comments/bvqq1b/heartburn_hacks/")</f>
        <v/>
      </c>
      <c r="G1419" t="inlineStr">
        <is>
          <t>2019-06-01 15:55:46</t>
        </is>
      </c>
      <c r="H1419" t="inlineStr"/>
    </row>
    <row r="1420">
      <c r="A1420" t="inlineStr">
        <is>
          <t>bvrgsf</t>
        </is>
      </c>
      <c r="B1420" t="inlineStr">
        <is>
          <t>Famotidine before eating?</t>
        </is>
      </c>
      <c r="C1420" t="inlineStr">
        <is>
          <t>Will this work or does the drug lose effect too quickly if taken before food? The problem with waiting until after I eat to take it is because GERD makes driving unbearable(because I can't walk around to cope with it and nausea makes it hard to focus), and it takes a solid 15-20 minutes to take effect.
Would taking it before eating work? Problem is I'd feel weird taking it out at a restaurant with friends, so if I took it ~1 hour before eating(travel time, waiting for food, etc), would it still be effective?</t>
        </is>
      </c>
      <c r="D1420" t="n">
        <v>2</v>
      </c>
      <c r="E1420" t="n">
        <v>4</v>
      </c>
      <c r="F1420">
        <f>HYPERLINK("https://www.reddit.com/r/GERD/comments/bvrgsf/famotidine_before_eating/")</f>
        <v/>
      </c>
      <c r="G1420" t="inlineStr">
        <is>
          <t>2019-06-01 17:11:29</t>
        </is>
      </c>
      <c r="H1420" t="inlineStr"/>
    </row>
    <row r="1421">
      <c r="A1421" t="inlineStr">
        <is>
          <t>bvtqd3</t>
        </is>
      </c>
      <c r="B1421" t="inlineStr">
        <is>
          <t>Help me please, I don't wanna die.</t>
        </is>
      </c>
      <c r="C1421" t="inlineStr">
        <is>
          <t>Hi Everyone,
I don't remember when was the day I didn't take the medicine to control the GERD. 
And I am holding my GERD every single day trying every single step. Watching youtube videos, blogs, waiting for their response and trying those steps,  even spent more than $1000 to buy books, subscribe to get out of this situation. 
But still nothing
Spent more than $5000 to buy veggies, and new foods after a recommendation. 
Now I am broke, no single penny to buy foods too.
Three times endoscopy upper lower both- results- nothing to worry.
I wake up every single day hoping that this day will be fine but everything starts to collapse.
The medicine I am taking right now is:    
Nexium 24HR (42 Count, Tablets) All-Day, All-Night Protection from Frequent Heartburn Medicine with Esomeprazole Magnesium 20mg Acid Reducer.
I cut this medicine into three halves and take it every single day.
Facing muscle cramp side effect and headache 
I have migraine too
age 29 with 120 lb wt ( believe it or not, weight loss )
and now what to expect 
is it crush/ sin or whatever please I want will try every single step but wants to get out of it.  
Sometimes I feel like the way to get out of this to sleep for every day and night take a deep sleep medicine and find a stairway to heaven.
&amp;amp;#x200B;
Note: in my entire 29 years, I have not even tried smoking, hukka, beer, wine, nothing. 
&amp;amp;#x200B;
But why 
I heard somewhere that trying Weed will help to get out of it but not sure.  
&amp;amp;#x200B;
,</t>
        </is>
      </c>
      <c r="D1421" t="n">
        <v>5</v>
      </c>
      <c r="E1421" t="n">
        <v>44</v>
      </c>
      <c r="F1421">
        <f>HYPERLINK("https://www.reddit.com/r/GERD/comments/bvtqd3/help_me_please_i_dont_wanna_die/")</f>
        <v/>
      </c>
      <c r="G1421" t="inlineStr">
        <is>
          <t>2019-06-01 21:26:49</t>
        </is>
      </c>
      <c r="H1421" t="inlineStr"/>
    </row>
    <row r="1422">
      <c r="A1422" t="inlineStr">
        <is>
          <t>bvutrb</t>
        </is>
      </c>
      <c r="B1422" t="inlineStr">
        <is>
          <t>Didn't think the PPI rebound would hit me after only 3 weeks</t>
        </is>
      </c>
      <c r="C1422" t="inlineStr">
        <is>
          <t>Was prescribed Omaprazole for 4 weeks to heal potential inflammation. 3 Weeks in I decided to slowly drop off of it rather than finishing my prescription and quitting cold turkey. Skipped a day, went fine, took one next day then tried to skip 2 days, and now it hit me. Took two 20mg famotidine tablets and it's still hitting me even several hours after eating.
I'm dreading going out for Pizza with family tomorrow. Really worried about acid reflux flaring up when I'm far from home, when it's at its worst I feel like I need to get out of the car and walk around and possibly vomit.</t>
        </is>
      </c>
      <c r="D1422" t="n">
        <v>0</v>
      </c>
      <c r="E1422" t="n">
        <v>12</v>
      </c>
      <c r="F1422">
        <f>HYPERLINK("https://www.reddit.com/r/GERD/comments/bvutrb/didnt_think_the_ppi_rebound_would_hit_me_after/")</f>
        <v/>
      </c>
      <c r="G1422" t="inlineStr">
        <is>
          <t>2019-06-02 00:05:27</t>
        </is>
      </c>
      <c r="H1422" t="inlineStr"/>
    </row>
    <row r="1423">
      <c r="A1423" t="inlineStr">
        <is>
          <t>bvwzyv</t>
        </is>
      </c>
      <c r="B1423" t="inlineStr">
        <is>
          <t>Throat still sore 3 days after endoscopy.</t>
        </is>
      </c>
      <c r="C1423" t="inlineStr">
        <is>
          <t>My throat is sore on one side when I swallow. I had an endoscopy Thursday. Throat felt fine on Thursday after I woke up. Friday morning it started to hurt. It's still sore today (Sunday). Seems too long to be from the tube? Maybe it's coincidence.</t>
        </is>
      </c>
      <c r="D1423" t="n">
        <v>3</v>
      </c>
      <c r="E1423" t="n">
        <v>6</v>
      </c>
      <c r="F1423">
        <f>HYPERLINK("https://www.reddit.com/r/GERD/comments/bvwzyv/throat_still_sore_3_days_after_endoscopy/")</f>
        <v/>
      </c>
      <c r="G1423" t="inlineStr">
        <is>
          <t>2019-06-02 05:47:30</t>
        </is>
      </c>
      <c r="H1423" t="inlineStr"/>
    </row>
    <row r="1424">
      <c r="A1424" t="inlineStr">
        <is>
          <t>bvx8pc</t>
        </is>
      </c>
      <c r="B1424" t="inlineStr">
        <is>
          <t>First post here, didn't know this sub existed, would like some advice</t>
        </is>
      </c>
      <c r="C1424" t="inlineStr">
        <is>
          <t>Hey all, I didn't know this place existed but I'm happy to see it. This is going to be a vent session as well as a question or two at the bottom, so thank you for reading if you do. 
I'm a 29 year old male to preface this. 
In 2013 I messed up my hip real bad playing sport. I got prescribed high dosages of Naproxen. I didn't know this would going to mess up my life so hard. 2 to 3 days into it I was in constant pain in my chest and stomach, the Dr told me to stop and put me on something to chill the acids. Something about those pills screwed me up ever since but I got better. My anxiety went through the roof, a byproduct of huge life changes I was going through along with this new hip injury. 
Fast forward 6 years later and I am still suffering with this nonsense. It comes and goes and I've learnt a lot over the six years. My Dr did a blood test and my results were good, nothing to worry about (I was convinced I had stomach cancer, thanks anxiety) and I showed no symptoms of it. Neither Dr I have went to wanted to do an endoscopy because the pills immediately halted the symptoms and they're all convinced it's a GERD problem. I can go literally years without feeling a need to go to a Doctor about this.
My pain comes on my left side when it does, it's a constant burning pain and it drives me insane. It isn't enough to stop my appetite or wipe me out, it's just enough to mentally drain me. 10 days ago it got obnoxious, I don't know what I ate or did to cause it to step up again but I got on to 20mg of omeprazole and the symptoms immediately subsided. I just moved into a new job and had a test I had to pass to continue my career, I think it was the stress of that being the catalyst for the increased discomfort. I feel a lot better already, my symptoms have completely subsided upon taking the meds. 
The reason for posting is really what next? 
Omeprazole fixes it immediately but I can't take it forever, there is still a part of me that is convinced I have stomach cancer, albeit stomach cancer as far as I know doesn't just chill with no new symptoms for six years. Which means I have to face this anxiety issue head on, but that's a story for another day. 
What have you all done to help this stuff? What anecdotal tips and tricks do you all have to help you get by? Just any words of wisdom and how you get over this stuff would be great. Thank you again.</t>
        </is>
      </c>
      <c r="D1424" t="n">
        <v>1</v>
      </c>
      <c r="E1424" t="n">
        <v>0</v>
      </c>
      <c r="F1424">
        <f>HYPERLINK("https://www.reddit.com/r/GERD/comments/bvx8pc/first_post_here_didnt_know_this_sub_existed_would/")</f>
        <v/>
      </c>
      <c r="G1424" t="inlineStr">
        <is>
          <t>2019-06-02 06:15:38</t>
        </is>
      </c>
      <c r="H1424" t="inlineStr"/>
    </row>
    <row r="1425">
      <c r="A1425" t="inlineStr">
        <is>
          <t>bvxzdt</t>
        </is>
      </c>
      <c r="B1425" t="inlineStr">
        <is>
          <t>Is "stomach vacuum" exercise good/bad/neutral for GERD?</t>
        </is>
      </c>
      <c r="C1425" t="inlineStr">
        <is>
          <t>Hi,
I have diastasis recti ( abdominal separation -females usually get it after being pregnant. I am male, FML ) and I have to do [stomach vacuum exercises](https://www.youtube.com/watch?v=gDx1xfSobG4) as much as possible.
I also have troubles with GERD, been taking PPI for past two years, then quit and now I am taking Ranitidine 150mg/day and D-limonene.   
Would anyone know if this exercise is good, bad or it doesn't affect GERD at all?  
Thanks</t>
        </is>
      </c>
      <c r="D1425" t="n">
        <v>2</v>
      </c>
      <c r="E1425" t="n">
        <v>1</v>
      </c>
      <c r="F1425">
        <f>HYPERLINK("https://www.reddit.com/r/GERD/comments/bvxzdt/is_stomach_vacuum_exercise_goodbadneutral_for_gerd/")</f>
        <v/>
      </c>
      <c r="G1425" t="inlineStr">
        <is>
          <t>2019-06-02 07:36:05</t>
        </is>
      </c>
      <c r="H1425" t="inlineStr"/>
    </row>
    <row r="1426">
      <c r="A1426" t="inlineStr">
        <is>
          <t>bvygsq</t>
        </is>
      </c>
      <c r="B1426" t="inlineStr">
        <is>
          <t>Rebound after stopping PPI</t>
        </is>
      </c>
      <c r="C1426" t="inlineStr">
        <is>
          <t>I was taking esomeprazol (20mg for 2 weeks and the Last two weeks changed to 40mg), and I was feeling fine. 2 days ago i stopped it cold turkey and yesterday I got some severe heartburn which I didnt have before. I didn't think that I would need to taper off with Just 4/5 weeks.
What should I do now? Get back to 40mg/day and tapper off properly this time or keep taking 20mg/day for the following weeks and then stop? Even after taking 20mg today and Last night  I feel some heartburn.
Thanks.</t>
        </is>
      </c>
      <c r="D1426" t="n">
        <v>2</v>
      </c>
      <c r="E1426" t="n">
        <v>5</v>
      </c>
      <c r="F1426">
        <f>HYPERLINK("https://www.reddit.com/r/GERD/comments/bvygsq/rebound_after_stopping_ppi/")</f>
        <v/>
      </c>
      <c r="G1426" t="inlineStr">
        <is>
          <t>2019-06-02 08:24:14</t>
        </is>
      </c>
      <c r="H1426" t="inlineStr"/>
    </row>
    <row r="1427">
      <c r="A1427" t="inlineStr">
        <is>
          <t>bvypn6</t>
        </is>
      </c>
      <c r="B1427" t="inlineStr">
        <is>
          <t>Hi Guys, I believe I have GERD but not sure and am hoping you guys can help!</t>
        </is>
      </c>
      <c r="C1427" t="inlineStr">
        <is>
          <t xml:space="preserve">
- I wake up 4 to 5 times a night from coughing so much and it seems like I may be choking (fine when standing) 
- I threw up after eating certain foods 
Any advice you guys have for me is appreciated!</t>
        </is>
      </c>
      <c r="D1427" t="n">
        <v>1</v>
      </c>
      <c r="E1427" t="n">
        <v>10</v>
      </c>
      <c r="F1427">
        <f>HYPERLINK("https://www.reddit.com/r/GERD/comments/bvypn6/hi_guys_i_believe_i_have_gerd_but_not_sure_and_am/")</f>
        <v/>
      </c>
      <c r="G1427" t="inlineStr">
        <is>
          <t>2019-06-02 08:47:17</t>
        </is>
      </c>
      <c r="H1427" t="inlineStr"/>
    </row>
    <row r="1428">
      <c r="A1428" t="inlineStr">
        <is>
          <t>bvzuyv</t>
        </is>
      </c>
      <c r="B1428" t="inlineStr">
        <is>
          <t>Sick after stopping PPI? Or something else?</t>
        </is>
      </c>
      <c r="C1428" t="inlineStr">
        <is>
          <t>Hey guys I’m trying to figure something out and seeing if anyone has had similar experiences or insight. So I took otc generic Omeprazole transiently for a few weeks not knowing about taking it in the morning before breakfast so I contacted my Dr. and she said to take it 30 min before breakfast and could take for a month. So I started that regimen and it completely eliminated all my symptoms. Severe reflux, gnawing pain, all gone. So it hit the one month mark this past week and I also upped my dose in my antidepressant so I stopped taking the Prilosec. I never had nausea as a symptom before that’s why I find it hard to believe that stopping the Prilosec would cause such a severe reaction? Could it? After talking to my psychiatrist we both agreed going back down to my previous dose was best. I never had nausea at the previous dose but for the past week at the higher dose it has gotten awful. Like no appetite feel SO sick in the morning. A few times this week I took the Prilosec to see if it would help and sorta but not really. So it makes me think the nausea is from my AD right? Do you think I could have developed gastritis from stopping the Prilosec? Do you think its rebound effects? It’s day two at the lower dose of my AD and the nausea is letting up a bit but still there this morning. I don’t really want to take Prilosec in fear of irritating my stomach more. What to do?</t>
        </is>
      </c>
      <c r="D1428" t="n">
        <v>1</v>
      </c>
      <c r="E1428" t="n">
        <v>0</v>
      </c>
      <c r="F1428">
        <f>HYPERLINK("https://www.reddit.com/r/GERD/comments/bvzuyv/sick_after_stopping_ppi_or_something_else/")</f>
        <v/>
      </c>
      <c r="G1428" t="inlineStr">
        <is>
          <t>2019-06-02 10:30:11</t>
        </is>
      </c>
      <c r="H1428" t="inlineStr"/>
    </row>
    <row r="1429">
      <c r="A1429" t="inlineStr">
        <is>
          <t>bvzy9i</t>
        </is>
      </c>
      <c r="B1429" t="inlineStr">
        <is>
          <t>Omeprazole side effects after a year?</t>
        </is>
      </c>
      <c r="C1429" t="inlineStr">
        <is>
          <t>Not asking for medical advice! Just wanted to hear if anyone started developing more side effects after taking Omeprazole for a while. I just went to the doctor because I’ve been having diarrhea for a month (and gas the whole year I’ve been on daily omeprazole...) and it usually occurs 1-2 hours after taking my daily pill and doesn’t happen if I don’t take it. She thinks it’s more likely that I developed IBS instead of more side effects, so she’s giving me IBS meds which work pretty well. I’m thinking about getting a second opinion from a different doctor, because I don’t want to have to buy IBS meds if I’m just treating omeprazole side effects.</t>
        </is>
      </c>
      <c r="D1429" t="n">
        <v>1</v>
      </c>
      <c r="E1429" t="n">
        <v>1</v>
      </c>
      <c r="F1429">
        <f>HYPERLINK("https://www.reddit.com/r/GERD/comments/bvzy9i/omeprazole_side_effects_after_a_year/")</f>
        <v/>
      </c>
      <c r="G1429" t="inlineStr">
        <is>
          <t>2019-06-02 10:38:15</t>
        </is>
      </c>
      <c r="H1429" t="inlineStr"/>
    </row>
    <row r="1430">
      <c r="A1430" t="inlineStr">
        <is>
          <t>bw0abm</t>
        </is>
      </c>
      <c r="B1430" t="inlineStr">
        <is>
          <t>Is it time to seek a specialist?</t>
        </is>
      </c>
      <c r="C1430" t="inlineStr">
        <is>
          <t>Hi, I’m 21F and have had issues with acid reflux pretty much my whole life. In the last two years, I’ve started to get pretty concerned. I have heartburn pretty much on a daily basis no matter what I eat. Over the last year, my voice has begun to get really hoarse, it’s hard to swallow, I’ve had to start using cannabis on a daily basis because I’m too nauseous to eat, I think it’s started to trigger my asthma and I also just constantly have mucus in my throat that makes it difficult to breathe and talk. My lymph nodes around my neck always feel stiff and irritated, I don’t know if it’s because of this or an unrelated issue.
Whenever I see a GP and complain about the acid reflux, they just always suggest pills I can pick up from the store. Every pill that’s been recommended to me so far has given me the worst heartburn I’ve ever had. I’m not sure if I’m doing something wrong but I always follow the directions.
I’m just starting to get scared because the heartburn happens so frequently and I can feel it climbing all the way up to the back of my mouth at this point. I’ve heard that constant exposure to stomach acid can cause very serious conditions. Should I be worried? Should I talk to a specialist instead of a GP?</t>
        </is>
      </c>
      <c r="D1430" t="n">
        <v>8</v>
      </c>
      <c r="E1430" t="n">
        <v>7</v>
      </c>
      <c r="F1430">
        <f>HYPERLINK("https://www.reddit.com/r/GERD/comments/bw0abm/is_it_time_to_seek_a_specialist/")</f>
        <v/>
      </c>
      <c r="G1430" t="inlineStr">
        <is>
          <t>2019-06-02 11:07:58</t>
        </is>
      </c>
      <c r="H1430" t="inlineStr"/>
    </row>
    <row r="1431">
      <c r="A1431" t="inlineStr">
        <is>
          <t>bw2bvd</t>
        </is>
      </c>
      <c r="B1431" t="inlineStr">
        <is>
          <t>Can Cherries Trigger GERD?</t>
        </is>
      </c>
      <c r="C1431" t="inlineStr">
        <is>
          <t>Hi everyone, I am planning to bake a cherry cake for my mom. My mom has GERD/ I googled regarding if cherries can trigger GERD, I could not find a definite answer. Do cherries trigger Gerd?</t>
        </is>
      </c>
      <c r="D1431" t="n">
        <v>1</v>
      </c>
      <c r="E1431" t="n">
        <v>3</v>
      </c>
      <c r="F1431">
        <f>HYPERLINK("https://www.reddit.com/r/GERD/comments/bw2bvd/can_cherries_trigger_gerd/")</f>
        <v/>
      </c>
      <c r="G1431" t="inlineStr">
        <is>
          <t>2019-06-02 14:10:04</t>
        </is>
      </c>
      <c r="H1431" t="inlineStr"/>
    </row>
    <row r="1432">
      <c r="A1432" t="inlineStr">
        <is>
          <t>bw3b03</t>
        </is>
      </c>
      <c r="B1432" t="inlineStr">
        <is>
          <t>Medical Marijuana and GERD</t>
        </is>
      </c>
      <c r="C1432" t="inlineStr">
        <is>
          <t>I hope that this post doesn't wind up getting flagged, especially since marijuana is increasingly becoming legal both medically and recreationally across the world.
I've had GERD for eight years, since I was eighteen years old. It was so bad that even water would give me reflux and make my insides feel like they were boiling. I'd have nights where I'd wake up feeling like I was drowning in boiling lava because acid backed up into my lungs. I'd wind up missing work when I was working at a call center because my throat would be so scorched that I couldn't talk. Even my stool was coming out acidic. No amount of OTC drugs helped at all and my doctor was reluctant to give me anything prescription-strength because I am obese and he thought that suffering from reflux was a good way to convince me to lose weight. I was at the point where I was guzzling apple cider vinegar and chewing on raw ginger trying to find any kind of relief, with little results.
I started smoking marijuana for unrelated reasons and I had been smoking daily for about two months. I observed big changes in my GERD symptoms immediately during this time. Over the course of those two months, I had absolutely no GERD symptoms. If I had smoked once in the morning, I still wouldn't have symptoms by the next morning, even after eating trigger foods (which was everything at this point) and sleeping flat. It was an absolute miracle.
I wasn't actually sure if it was the marijuana until a few days ago. I've been putting in job applications so I stopped smoking so I could detox for a drug test. It's been five days and my GERD is back in full force. I'm absolutely positive that it's the weed that temporarily cured my reflux. Every strain I've tried has worked just the same as any other.
I've been glancing around on Google and there doesn't seem to be a lot of anecdotal evidence and what's on various websites seems sketchy at best, so I honestly don't have anything to back this up with except my word. I won't tell you to do anything illegal, but if marijuana is legal in your locale or you have access to a doctor who can refer you to a center which might be able to give you a patient card for medical marijuana, you should consider it. I've experienced nothing but good things from it.</t>
        </is>
      </c>
      <c r="D1432" t="n">
        <v>3</v>
      </c>
      <c r="E1432" t="n">
        <v>12</v>
      </c>
      <c r="F1432">
        <f>HYPERLINK("https://www.reddit.com/r/GERD/comments/bw3b03/medical_marijuana_and_gerd/")</f>
        <v/>
      </c>
      <c r="G1432" t="inlineStr">
        <is>
          <t>2019-06-02 15:41:26</t>
        </is>
      </c>
      <c r="H1432" t="inlineStr"/>
    </row>
    <row r="1433">
      <c r="A1433" t="inlineStr">
        <is>
          <t>bw4nef</t>
        </is>
      </c>
      <c r="B1433" t="inlineStr">
        <is>
          <t>Where do I go to get tested for H. Pylori?</t>
        </is>
      </c>
      <c r="C1433" t="inlineStr">
        <is>
          <t>Leaving no stone unturned. Figured I'd try and get tested just in case. I wasn't sure where I'd go for this though. Can I just go to a walk-in clinic?</t>
        </is>
      </c>
      <c r="D1433" t="n">
        <v>2</v>
      </c>
      <c r="E1433" t="n">
        <v>7</v>
      </c>
      <c r="F1433">
        <f>HYPERLINK("https://www.reddit.com/r/GERD/comments/bw4nef/where_do_i_go_to_get_tested_for_h_pylori/")</f>
        <v/>
      </c>
      <c r="G1433" t="inlineStr">
        <is>
          <t>2019-06-02 17:57:50</t>
        </is>
      </c>
      <c r="H1433" t="inlineStr"/>
    </row>
    <row r="1434">
      <c r="A1434" t="inlineStr">
        <is>
          <t>bw4p8l</t>
        </is>
      </c>
      <c r="B1434" t="inlineStr">
        <is>
          <t>Almond Milk, Bananas, Oatmeal...</t>
        </is>
      </c>
      <c r="C1434" t="inlineStr">
        <is>
          <t>These 3 foods I feel help a lot with GERD, especially for breakfast.  Has anyone moved their diet to more alkaline and noticed any changes?  I've also increased my salmon intake.  What works for one person obviously may not work for others...</t>
        </is>
      </c>
      <c r="D1434" t="n">
        <v>10</v>
      </c>
      <c r="E1434" t="n">
        <v>11</v>
      </c>
      <c r="F1434">
        <f>HYPERLINK("https://www.reddit.com/r/GERD/comments/bw4p8l/almond_milk_bananas_oatmeal/")</f>
        <v/>
      </c>
      <c r="G1434" t="inlineStr">
        <is>
          <t>2019-06-02 18:03:11</t>
        </is>
      </c>
      <c r="H1434" t="inlineStr"/>
    </row>
    <row r="1435">
      <c r="A1435" t="inlineStr">
        <is>
          <t>bw5psx</t>
        </is>
      </c>
      <c r="B1435" t="inlineStr">
        <is>
          <t>Itchy ears</t>
        </is>
      </c>
      <c r="C1435" t="inlineStr">
        <is>
          <t>My ears are SO itchy these past few weeks. Has anyone experienced this with LPR?</t>
        </is>
      </c>
      <c r="D1435" t="n">
        <v>0</v>
      </c>
      <c r="E1435" t="n">
        <v>6</v>
      </c>
      <c r="F1435">
        <f>HYPERLINK("https://www.reddit.com/r/GERD/comments/bw5psx/itchy_ears/")</f>
        <v/>
      </c>
      <c r="G1435" t="inlineStr">
        <is>
          <t>2019-06-02 19:50:28</t>
        </is>
      </c>
      <c r="H1435" t="inlineStr"/>
    </row>
    <row r="1436">
      <c r="A1436" t="inlineStr">
        <is>
          <t>bw6ako</t>
        </is>
      </c>
      <c r="B1436" t="inlineStr">
        <is>
          <t>Does eating a safe food before a trigger food mitigate the reaction caused by the trigger food?</t>
        </is>
      </c>
      <c r="C1436" t="inlineStr">
        <is>
          <t>Thoughts?</t>
        </is>
      </c>
      <c r="D1436" t="n">
        <v>2</v>
      </c>
      <c r="E1436" t="n">
        <v>4</v>
      </c>
      <c r="F1436">
        <f>HYPERLINK("https://www.reddit.com/r/GERD/comments/bw6ako/does_eating_a_safe_food_before_a_trigger_food/")</f>
        <v/>
      </c>
      <c r="G1436" t="inlineStr">
        <is>
          <t>2019-06-02 20:52:45</t>
        </is>
      </c>
      <c r="H1436" t="inlineStr"/>
    </row>
    <row r="1437">
      <c r="A1437" t="inlineStr">
        <is>
          <t>bw6g1z</t>
        </is>
      </c>
      <c r="B1437" t="inlineStr">
        <is>
          <t>3 month post Linx</t>
        </is>
      </c>
      <c r="C1437" t="inlineStr">
        <is>
          <t>I see lots and lots of great success stories on Linx, but not often mention of the rough times. So here's my encouragement.
I've had reflux for at least 15 years, didn't know I had a hiatal hernia (2 or 3 cm). I was taking 2x the max dose of Omeprazole and still breaking thru. I had a chronic cough that was so bad I could barely control bladder, no, really couldn't control more than I could. Gastro docs (multiple) insisted there was no way my cough was from reflux. ("There are studies!!" they'd say) GP was sure they were wrong. Pulmonary doc cleared me, he thought reflux related also. So GP sent me to a surgeon - who specializes in weight loss: he is the only guy that does Linx in the area.
Multiple horrible tests later (swallow test was the hardest) he 100% confirmed GERD and hernia. Surgery scheduled.
The weeks after surgery were much harder than I thought. Rib pain and gas pain in shoulder and back were pretty horrific. I didn't have the same trouble with my gallbladder and girl things - but I think it's because of the infiltration of my diaphragm area (or so I assume)
Doc had me wean slowly of PPIs (didn't want rebound)
The first thing I noticed, NONE MORE COUGH. At all. (Which was merciful whole recovering from surgery pain)
The day of surgery has been the last day of reflux. NONE RECURRENCES.
The doc is very adamant that I eat every 2-3 hours - esophageal rehab. Keep flexing that scar tissue! It's hard to remember. I try to keep an alarm on my phone going. Even if it's a handful of nuts, or some apple slices, or granola - just something of firm substance.
The first 2 months I would get bouts of dysphasia, generally the first bite of my first meal, or if I didn't chew thoroughly, or ate too many bites close together. It was like a bite got stuck and my esophagus spasmed around it. Generally that bite would come back up. 
This past month it's happened only a few times, and the bites end up going down. I think calm, and walk a little.
I started getting a cough again, tho significantly smaller. The doc said it's that saliva doesn't trigger the swallow mechanism and that once the scar tissue settles down, it'll go away. It's not enough to bother me.
This past week I experienced something new. I guess it's some sort of full-on esophageal spam, I really thought I was having a heart attack. Intense chest pain, up into the left side of my neck. Scared the ever loving crap out of me. EKG was clear, surgeon put me on a dose pack of steroids. I'm on the 3rd day and the pain of virtually gone. PHEW.
I still have NONE REGRETS. 
Your diet isn't the cause of GERD. Your diet can't suddenly make your LES start working again.
The Linx device cured me. 
I have NONE REGRETS.
My bones thank me I'm sure.
TL;DR: Had the surgery. Some days suck, a lot. But it's getting better. I'd do it again. 100% recommend. It's worth it. No pain no gain.</t>
        </is>
      </c>
      <c r="D1437" t="n">
        <v>10</v>
      </c>
      <c r="E1437" t="n">
        <v>5</v>
      </c>
      <c r="F1437">
        <f>HYPERLINK("https://www.reddit.com/r/GERD/comments/bw6g1z/3_month_post_linx/")</f>
        <v/>
      </c>
      <c r="G1437" t="inlineStr">
        <is>
          <t>2019-06-02 21:10:13</t>
        </is>
      </c>
      <c r="H1437" t="inlineStr"/>
    </row>
    <row r="1438">
      <c r="A1438" t="inlineStr">
        <is>
          <t>bwaiua</t>
        </is>
      </c>
      <c r="B1438" t="inlineStr">
        <is>
          <t>I think I've discovered how to stop my (suspected) hiatal hernia causing reflux, and it's stupidly simple</t>
        </is>
      </c>
      <c r="C1438" t="inlineStr">
        <is>
          <t>I just want to preface this by saying that I guess my hernia, if that's even what I have, might be on the small or less severe side, and that just because this appears to have worked for me *doesn't mean it will definitely work for you.* 
And sorry if this is at all rambly or comes off like gloating; I know a lot of you are suffering and for many this will be of no help. I just felt like I needed to share this and I hope it might help someone reading who has a similar hernia to mine.  
So I have a long history of pretty bad heartburn that comes in episodes that correlate most heavily with singing (I've come to assume that for me the abdominal work involved exacerbates a hiatal hernia, but have never had that checked or diagnosed). Since an incident of burning in my throat 7 months ago things have gotten worse, as on top of the moderately frequent heartburn I've had acid coming up into my mouth and damaging my teeth almost every day , as well as frequent nausea.  
More or less every article I've read about hiatal hernias has always just included the bog standard advice about controlling GERD symptoms, all of which I've followed for the past 7 months. I quit vaping and caffeine, kept a food diary and stopped eating apparent trigger foods, I bought a wedge to sleep at an incline, have gone through countless bottles of gaviscon, have tried courses of omeprazole, nothing seemed to help much at all.  
I *had* also come across the chiropractic advice for fixing a hernia; pulling the stomach down with your hands, drinking a bunch of warm water and jumping up and down, but those did nothing for me either. Then, a few days ago I was reading an [article](https://americanpostureinstitute.com/your-heartburn-isnt-just-from-your-food-its-from-your-posture/) that wasn't even specifically about hiatal hernias. It was about how posture affects reflux, and it included some exercises for better posture, including:
&amp;amp;#x200B;
&amp;gt; **Hanging Stretch**  
&amp;gt;  
&amp;gt;Stretching exercises loosen and strengthen abdominal and supportive muscles, while helping to promote the alignment of the spine and chest cavity. When you have incorrect posture it can cause portions of the stomach to slide in and out of the hiatus. When the stomach is herniating into the hiatus, the esophageal sphincter can’t close properly. Stretch with one arm placed up to a ledge or bar, grab on and allow your body to hang and stretch. Let your body hang loosely and **stretch your torso as much as possible**. **Repeat this several times a day to encourage protruded portions of your stomach to slide back into your abdominal cavity**, and increasing proper posture.
I couldn't really visualize exactly what they meant by  *"stretch with one arm placed up to a ledge or bar"*, so I just focused on *"stretch your torso as much as possible"*. I grabbed on to the top of a door frame with both hands, let my body hang loose so my arms were taking most of my weight and pushed down until I felt an intense stretch in my torso. I kept it going until my arms turned to jelly and I couldn't hold on anymore, and went to bed, not particularly hopeful.  
I continued doing the stretch intermittently throughout each day and I sh\*t you not, since the first time I did I've had **zero symptoms** (having also continued to avoid any bending, straining, and heavy lifting). I also noticed I can breathe deeply again without that sharp pain in my back which I'd previously been unsure was related. I even tempted fate and started drinking coffee again and ate some chocolate brownies, nothing!  I have had periods of no symptoms like this in the past, which over the years got shorter and short and fewer and fewer in between. In hindsight I guess over time with repeated herniations it became easier for it to happen and more stubborn to come back down?  
I should be elated but I guess I'm kind of in disbelief still. I feel kind of stupid; this simple fix was available to me all this time and maybe it should've been an obvious thing to try. But then again this was the first time I'd seen this suggested. Most things I read seemed to be based on the presupposition that the stomach is sliding in and out of the hiatus throughout each day, causing symptoms when it does so? Perhaps that is the case for most, but for me it seemed to get stuck up there for months on end causing practically constant symptoms, and it needed help coming down.  
I'm sure I've not seen the last of this and that it will herniate again, as over these past 7 months even the slightest bit of singing or bending over forward made things much worse, but I'm cautiously optimistic that I've finally found some control over the damn thing and that this stretch might always work to bring it back down rather swiftly.   
It's only been 3 days, so of course it could be a fluke. If anyone's interested I'll perhaps come back in a month or so and let you know how things are going. I'm particularly anxious to try gently and cautiously to get back into singing, with doing the stretch afterwards each time to see if I can get away with it that way. I'm apprehensive though. I really miss singing it but it's also always been my biggest trigger, and I wonder if I pick it up again will the hernia continue to get worse until this no longer works to fix it?</t>
        </is>
      </c>
      <c r="D1438" t="n">
        <v>23</v>
      </c>
      <c r="E1438" t="n">
        <v>23</v>
      </c>
      <c r="F1438">
        <f>HYPERLINK("https://www.reddit.com/r/GERD/comments/bwaiua/i_think_ive_discovered_how_to_stop_my_suspected/")</f>
        <v/>
      </c>
      <c r="G1438" t="inlineStr">
        <is>
          <t>2019-06-03 06:14:06</t>
        </is>
      </c>
      <c r="H1438" t="inlineStr"/>
    </row>
    <row r="1439">
      <c r="A1439" t="inlineStr">
        <is>
          <t>bwbh8b</t>
        </is>
      </c>
      <c r="B1439" t="inlineStr">
        <is>
          <t>Can I lift 35lbs (15 kgs) everyday at work 10 months after Nissen fundoplication?</t>
        </is>
      </c>
      <c r="C1439" t="inlineStr">
        <is>
          <t>Hello, I just wanted to ask if it’s possible without any damage to the wrap. I started working recently (I was at home, without a job for a year doing nothing) and after few days, my reflux is back as it was before the surgery. I am going to have gastroscopy tomorrow, barium swallow the next day.  Is it possible that the reflux is back because I wasn’t used to work and the wrap is okay? This is the most important question to me. I know I’ll have the results tomorrow, but I’m just stressed. Thank you for every tip and answer!</t>
        </is>
      </c>
      <c r="D1439" t="n">
        <v>2</v>
      </c>
      <c r="E1439" t="n">
        <v>10</v>
      </c>
      <c r="F1439">
        <f>HYPERLINK("https://www.reddit.com/r/GERD/comments/bwbh8b/can_i_lift_35lbs_15_kgs_everyday_at_work_10/")</f>
        <v/>
      </c>
      <c r="G1439" t="inlineStr">
        <is>
          <t>2019-06-03 07:46:42</t>
        </is>
      </c>
      <c r="H1439" t="inlineStr"/>
    </row>
    <row r="1440">
      <c r="A1440" t="inlineStr">
        <is>
          <t>bwbpcy</t>
        </is>
      </c>
      <c r="B1440" t="inlineStr">
        <is>
          <t>Do I have GERD?</t>
        </is>
      </c>
      <c r="C1440" t="inlineStr">
        <is>
          <t>I got sick on Friday(5/31/19) and I had the stomach flu and my vomiting episode lasted for 24 hours. I’ve tried to eat, but the middle of my chest keeps burning and I wake up in the middle of the night with same pain. I was thinking maybe I don’t have enough stomach acid, at least that’s what I researched. This is the first time this has ever happened when I got sick. Sometimes liquids in my stomach shoot up and it hurts so bad.</t>
        </is>
      </c>
      <c r="D1440" t="n">
        <v>1</v>
      </c>
      <c r="E1440" t="n">
        <v>1</v>
      </c>
      <c r="F1440">
        <f>HYPERLINK("https://www.reddit.com/r/GERD/comments/bwbpcy/do_i_have_gerd/")</f>
        <v/>
      </c>
      <c r="G1440" t="inlineStr">
        <is>
          <t>2019-06-03 08:06:43</t>
        </is>
      </c>
      <c r="H1440" t="inlineStr"/>
    </row>
    <row r="1441">
      <c r="A1441" t="inlineStr">
        <is>
          <t>bwf4op</t>
        </is>
      </c>
      <c r="B1441" t="inlineStr">
        <is>
          <t>Confused about some symptoms.</t>
        </is>
      </c>
      <c r="C1441" t="inlineStr">
        <is>
          <t>So I've had GERD for I don't know how many years, maybe a few? It never bothered me enough to worry about it until the last year or so. I would get the usual symptoms; burping and feeling the burning sensation around my sternum instantly, but that was usually it. I'm currently on ranitidine, 300 mg twice a day and it's definitely lessened my symptoms. Rather than have the burn burping each night or every other night I might get it once a week if I'm being a good boy foodwise; or twice if I'm being bad. 
Anyways I've been on it since near the end of February and around that time, just before even, up until now I get these kinds of feelings in my chest. Not my throat mind you but in my chest, right under the breastbone. It comes and goes and kinda feels like my chest(esophagus I suppose) is "hollow" or dry? It's kinda hard to describe I feel. I cough but it's just a quick nothing cough and I might do that two times a day if any. I don't have a sore throat, I don't regurgitate, I don't feel a lump in my throat, I don't get food stuck or anything. I know those are common LPR issues but I feel like it's not that. I do also get that sensation where I wanna take a deep breath but can't take it as deep as I'd like, but that's more rare. I definitely don't have any heart or lung issues I know that. Is this just simply GERD and my LES area making me feel this way? I tends to linger and is more annoying than anything but it makes me think about it because I feel like if I'm taking the medicine and I'm being better about my intake then I at least shouldn't have these funny feelings in my esophagus. When I was having the burning burps I wasn't having these issues at all. So it just seems weird to me.
Anyways sorry for the wall of text but hopefully someone out that can shed some light on this.  Thanks!</t>
        </is>
      </c>
      <c r="D1441" t="n">
        <v>1</v>
      </c>
      <c r="E1441" t="n">
        <v>2</v>
      </c>
      <c r="F1441">
        <f>HYPERLINK("https://www.reddit.com/r/GERD/comments/bwf4op/confused_about_some_symptoms/")</f>
        <v/>
      </c>
      <c r="G1441" t="inlineStr">
        <is>
          <t>2019-06-03 12:52:44</t>
        </is>
      </c>
      <c r="H1441" t="inlineStr"/>
    </row>
    <row r="1442">
      <c r="A1442" t="inlineStr">
        <is>
          <t>bwffp0</t>
        </is>
      </c>
      <c r="B1442" t="inlineStr">
        <is>
          <t>Do I have acid reflux?</t>
        </is>
      </c>
      <c r="C1442" t="inlineStr">
        <is>
          <t>A couple hours after I eat I can feel something in my throat. It doesn’t come up on it’s own I have to force it up. If I don’t force it up it causes this burning feeling in my throat and stomach. :( I don’t want to get a upper gi or endoscopy is there a way to get rid of this annoying condition? I have had medications before but they didn’t fully solve it.</t>
        </is>
      </c>
      <c r="D1442" t="n">
        <v>1</v>
      </c>
      <c r="E1442" t="n">
        <v>1</v>
      </c>
      <c r="F1442">
        <f>HYPERLINK("https://www.reddit.com/r/GERD/comments/bwffp0/do_i_have_acid_reflux/")</f>
        <v/>
      </c>
      <c r="G1442" t="inlineStr">
        <is>
          <t>2019-06-03 13:16:57</t>
        </is>
      </c>
      <c r="H1442" t="inlineStr"/>
    </row>
    <row r="1443">
      <c r="A1443" t="inlineStr">
        <is>
          <t>bwfty2</t>
        </is>
      </c>
      <c r="B1443" t="inlineStr">
        <is>
          <t>GERD and Breathing Issues</t>
        </is>
      </c>
      <c r="C1443" t="inlineStr">
        <is>
          <t>How does GERD impact your breathing specifically?  Do you have shortness of breath in an asthmatic way or do you periodically have to take deep breaths?</t>
        </is>
      </c>
      <c r="D1443" t="n">
        <v>2</v>
      </c>
      <c r="E1443" t="n">
        <v>3</v>
      </c>
      <c r="F1443">
        <f>HYPERLINK("https://www.reddit.com/r/GERD/comments/bwfty2/gerd_and_breathing_issues/")</f>
        <v/>
      </c>
      <c r="G1443" t="inlineStr">
        <is>
          <t>2019-06-03 13:49:45</t>
        </is>
      </c>
      <c r="H1443" t="inlineStr"/>
    </row>
    <row r="1444">
      <c r="A1444" t="inlineStr">
        <is>
          <t>bwhxs0</t>
        </is>
      </c>
      <c r="B1444" t="inlineStr">
        <is>
          <t>Need advice. Reflux or anxiety?</t>
        </is>
      </c>
      <c r="C1444" t="inlineStr">
        <is>
          <t>Hello!  I’m hoping someone has a similar experience or can offer some advice. 8 months ago I had severe shortness of breath, weird throat sensations and chest pain. After going to my primary numerous times and being sent to a cardiologist and pulmonologist and a stint at the ER... seasonal allergies, asthma, heart condition, and blood clot were all ruled out. Most of these doctors suggested that it sounded like anxiety. I definitely have some anxiety, but most of it revolves around these symptoms and not having an answer for them.  I went to an ENT and they said it was acid reflux and said they saw moderate reflux damage. I was put on pantoprazole. At my three month check I wasn’t seeing a ton of improvement, but definitely was passed the heart attack feelings I was getting. My ENT sent me to a gastroenterologist, where I had an endoscopy done.  They took some biopsies and those results came back negative. They also monitored my ph levels for four days (two days off meds and two days on) and they said they saw no significant signs of reflux. I was advised I could go off the pantoprazole and that was it. I’ve now been weaning off of the medicine, taking it every other day (40mg pills). Ever since I have been experiencing a severe dry throat that is so uncomfortable. I’m confused as to if it was too early for me to be off the medicine? Or am I experiencing anxiety like some of my doctors suggested?  Am I going off the PPI wrong because the nurse I saw honestly was pretty unhelpful in advice. I called my gastro today, but haven’t received a response back yet. I just don’t know where to seek help next and medical bills are racking up.   If you read all of this thank you!  Any advice or insight would be amazing cause I can’t keep paying to see doctors for two minutes of their time.</t>
        </is>
      </c>
      <c r="D1444" t="n">
        <v>8</v>
      </c>
      <c r="E1444" t="n">
        <v>12</v>
      </c>
      <c r="F1444">
        <f>HYPERLINK("https://www.reddit.com/r/GERD/comments/bwhxs0/need_advice_reflux_or_anxiety/")</f>
        <v/>
      </c>
      <c r="G1444" t="inlineStr">
        <is>
          <t>2019-06-03 16:59:25</t>
        </is>
      </c>
      <c r="H1444" t="inlineStr"/>
    </row>
    <row r="1445">
      <c r="A1445" t="inlineStr">
        <is>
          <t>bwiuaj</t>
        </is>
      </c>
      <c r="B1445" t="inlineStr">
        <is>
          <t>I have an upper Endoscopy tomorrow</t>
        </is>
      </c>
      <c r="C1445" t="inlineStr">
        <is>
          <t>The title says it all. Anybody got any good advice to give me? I'm jittery with anxiety. What if they find Barrett's Esophagus? What if I have an allergic reaction to the sedation and die? All the worst case scenarios are coming to the forefront.</t>
        </is>
      </c>
      <c r="D1445" t="n">
        <v>2</v>
      </c>
      <c r="E1445" t="n">
        <v>9</v>
      </c>
      <c r="F1445">
        <f>HYPERLINK("https://www.reddit.com/r/GERD/comments/bwiuaj/i_have_an_upper_endoscopy_tomorrow/")</f>
        <v/>
      </c>
      <c r="G1445" t="inlineStr">
        <is>
          <t>2019-06-03 18:28:33</t>
        </is>
      </c>
      <c r="H1445" t="inlineStr"/>
    </row>
    <row r="1446">
      <c r="A1446" t="inlineStr">
        <is>
          <t>bwl27e</t>
        </is>
      </c>
      <c r="B1446" t="inlineStr">
        <is>
          <t>Fundoplication &amp;amp; gas</t>
        </is>
      </c>
      <c r="C1446" t="inlineStr">
        <is>
          <t>I’m now scheduled for a partial fundoplication on July 17! But I’m wondering: will I truly have to foreswear carbonated drinks and gas-inducing vegetables (cabbage, broccoli, etc) and fermented things like kimchi forever? Or will I be able to handle small amounts of those some day? I feel like I could give up carbonation (I don’t drink soda anyway, but do like flavored sparkling water). But I am keen on growing good gut flora, plus I genuinely like brassicas, sauerkraut, kimchi, and other healthy-but-gas-producing things.</t>
        </is>
      </c>
      <c r="D1446" t="n">
        <v>3</v>
      </c>
      <c r="E1446" t="n">
        <v>6</v>
      </c>
      <c r="F1446">
        <f>HYPERLINK("https://www.reddit.com/r/GERD/comments/bwl27e/fundoplication_gas/")</f>
        <v/>
      </c>
      <c r="G1446" t="inlineStr">
        <is>
          <t>2019-06-03 22:29:28</t>
        </is>
      </c>
      <c r="H1446" t="inlineStr"/>
    </row>
    <row r="1447">
      <c r="A1447" t="inlineStr">
        <is>
          <t>bwp04y</t>
        </is>
      </c>
      <c r="B1447" t="inlineStr">
        <is>
          <t>How long are everyone's flare ups? So fed up at the minute.</t>
        </is>
      </c>
      <c r="C1447" t="inlineStr">
        <is>
          <t>Hi, I've been putting a while to cure my anxiety, but sometimes lurking just makes me worse. So, I have a long history of digestive issues, heartburn and indigestion, gastritis, I had my gallbladder removed due to fatty foods. However, I suffer every now and again with really bad flare ups.  I also have a long history with anxiety and depression just to add to this mix!
The current flare up is now going into a week, strangely it disappeared for 1 week, then came back with a vengeance. 
The week it came back, it was pretty sudden pain near my diaphragm right in the middle. Following day, I felt a fire had been burning in my stomach and throat all evening as I slept. So, I started on the Omeprazole I've had hanging round from previous flare ups. 
Unfortunately, I feel no better even though I've completely changed my diet the last 2 weeks, I'm losing weight yet the misery of the flare up is taking its toll. 
I have pain in right in the middle under my breastbone, some days I eat fine, some days I feel it's uncomfortable swallowing, someday it's fine, pain I'm my back, sore throat that's lasted for a week now (I had a visit to the ENT in 2016 - he said I was suffering from reflux), I also have discomfort in my ears, and recently my voice has been cracking, and I constantly have to clear it.  I'm feeling so shitty in a period of my life where I should feel really happy!
I keep thinking I'll call the Doc at the end of the week, but how I feel now, I don't know if I'll be able to wait that long. 
This is quite cathartic as an anxious, OCD, clinical depressed Reddit lurker.</t>
        </is>
      </c>
      <c r="D1447" t="n">
        <v>3</v>
      </c>
      <c r="E1447" t="n">
        <v>9</v>
      </c>
      <c r="F1447">
        <f>HYPERLINK("https://www.reddit.com/r/GERD/comments/bwp04y/how_long_are_everyones_flare_ups_so_fed_up_at_the/")</f>
        <v/>
      </c>
      <c r="G1447" t="inlineStr">
        <is>
          <t>2019-06-04 06:58:28</t>
        </is>
      </c>
      <c r="H1447" t="inlineStr"/>
    </row>
    <row r="1448">
      <c r="A1448" t="inlineStr">
        <is>
          <t>bwr8pg</t>
        </is>
      </c>
      <c r="B1448" t="inlineStr">
        <is>
          <t>Exercise...</t>
        </is>
      </c>
      <c r="C1448" t="inlineStr">
        <is>
          <t>Hi sub. I'm in my mid twenties, have been out of touch with real physical fitness since college (about three years ago) and I really want to get back into it. I've been riding a stationary bike at home and it feels good when I do that but I want to make sure I'm really getting something out of it. Funny enough, I took inspiration while re watching One Punch Man Season 1. After seeing the episode where Saitama lists his "daily workout" I thought man I need to get back into doing some basic physical exercise (sit ups, push ups, squats).
I'm interested in hearing from those of you that have maintained and/or continued to include physical fitness in your daily life while dealing with GERD and other stomach issues. What problems have you run into? How do you keep yourself motivated and headstrong? 
Im just trying to stay positive as much as possible. Thank you so much for any information/experiences shared. Happy Tuesday, everyone!</t>
        </is>
      </c>
      <c r="D1448" t="n">
        <v>3</v>
      </c>
      <c r="E1448" t="n">
        <v>13</v>
      </c>
      <c r="F1448">
        <f>HYPERLINK("https://www.reddit.com/r/GERD/comments/bwr8pg/exercise/")</f>
        <v/>
      </c>
      <c r="G1448" t="inlineStr">
        <is>
          <t>2019-06-04 10:12:40</t>
        </is>
      </c>
      <c r="H1448" t="inlineStr"/>
    </row>
    <row r="1449">
      <c r="A1449" t="inlineStr">
        <is>
          <t>bwsutc</t>
        </is>
      </c>
      <c r="B1449" t="inlineStr">
        <is>
          <t>Constant throwing up</t>
        </is>
      </c>
      <c r="C1449" t="inlineStr">
        <is>
          <t>I am a 23 Yo F who has been dealing with GERD for 4 years on and off now. At times if I don’t eat enough during the day I will wake up in the early morning and throw up everything until I’m dry heaving (or if I drink alcohol or have too much acidic foods). Then I have to try and force food down and hope I don’t throw it up. If I try to eat or drink water in between throwing up (usually I will throw up 10-12 times and it lasts 5-6 hrs) I will throw it all up. Is there any advice or has anyone dealt with anything like this?</t>
        </is>
      </c>
      <c r="D1449" t="n">
        <v>2</v>
      </c>
      <c r="E1449" t="n">
        <v>11</v>
      </c>
      <c r="F1449">
        <f>HYPERLINK("https://www.reddit.com/r/GERD/comments/bwsutc/constant_throwing_up/")</f>
        <v/>
      </c>
      <c r="G1449" t="inlineStr">
        <is>
          <t>2019-06-04 12:26:16</t>
        </is>
      </c>
      <c r="H1449" t="inlineStr"/>
    </row>
    <row r="1450">
      <c r="A1450" t="inlineStr">
        <is>
          <t>bwtyu1</t>
        </is>
      </c>
      <c r="B1450" t="inlineStr">
        <is>
          <t>My symptoms changed?</t>
        </is>
      </c>
      <c r="C1450" t="inlineStr">
        <is>
          <t>Hi!
Last year i was diagnosed with GERD. I had heartburn and was burping ALL the time.
But now i don't have heartburn and i'm not burping that much anymore.
The problem is: Since 2 weeks ago, every time i eat or drink and lay down on my bed i start coughing, not a lot but it bothers me.
Is this Just the GERD? What can i do to stop this?</t>
        </is>
      </c>
      <c r="D1450" t="n">
        <v>2</v>
      </c>
      <c r="E1450" t="n">
        <v>2</v>
      </c>
      <c r="F1450">
        <f>HYPERLINK("https://www.reddit.com/r/GERD/comments/bwtyu1/my_symptoms_changed/")</f>
        <v/>
      </c>
      <c r="G1450" t="inlineStr">
        <is>
          <t>2019-06-04 13:56:33</t>
        </is>
      </c>
      <c r="H1450" t="inlineStr"/>
    </row>
    <row r="1451">
      <c r="A1451" t="inlineStr">
        <is>
          <t>bwuk0n</t>
        </is>
      </c>
      <c r="B1451" t="inlineStr">
        <is>
          <t>I had my endoscopy today.</t>
        </is>
      </c>
      <c r="C1451" t="inlineStr">
        <is>
          <t xml:space="preserve"> I posted this yesterday:
[https://www.reddit.com/r/GERD/comments/bwiuaj/i\_have\_an\_upper\_endoscopy\_tomorrow/](https://www.reddit.com/r/GERD/comments/bwiuaj/i_have_an_upper_endoscopy_tomorrow/) 
I thought I'd share my results with this subreddit. There were no gross lesions in the esophagus but biopsies were taken anyway. My stomach and duodenum came back normal. Is all that a good sign? I'm still very worried about the biopsy results. What if I test positive for dysplasia and Barrett's Esophagus? What if they find some other horrible disease? Or am I worrying over nothing? I talked to two doctors and all they said was that the results were "good". I don't know what that means, though.</t>
        </is>
      </c>
      <c r="D1451" t="n">
        <v>3</v>
      </c>
      <c r="E1451" t="n">
        <v>7</v>
      </c>
      <c r="F1451">
        <f>HYPERLINK("https://www.reddit.com/r/GERD/comments/bwuk0n/i_had_my_endoscopy_today/")</f>
        <v/>
      </c>
      <c r="G1451" t="inlineStr">
        <is>
          <t>2019-06-04 14:46:04</t>
        </is>
      </c>
      <c r="H1451" t="inlineStr"/>
    </row>
    <row r="1452">
      <c r="A1452" t="inlineStr">
        <is>
          <t>bwvv2s</t>
        </is>
      </c>
      <c r="B1452" t="inlineStr">
        <is>
          <t>Mild fleeting chest pain but blood work + ECG normal. Feel some burning sensation in chest and throat area. Could it be GERD ?</t>
        </is>
      </c>
      <c r="C1452" t="inlineStr">
        <is>
          <t>I am a healthy 31 year old guy and I have been experiencing mild fleeting chest pain over the last few days. The pain seems to move though. Sometimes I feel it in the chest (left side) and other times in my upper back (again left side).
I don't feel any other discomfort though. Infact when I exercise, the pain goes away and I feel good.
I got my bloodwork and ECG done and everything came out normal.
But since earlier today, I am also feeling a burning sensation from my chest to the throat. Strangely this burning sensation comes when the pain goes away. And when the pain returns, the burning goes away. 
I just ate half an apple right now because it's alkaline and I feel cooler and better in my throat and chest area already. 
Could these be symptoms of GERD ?</t>
        </is>
      </c>
      <c r="D1452" t="n">
        <v>1</v>
      </c>
      <c r="E1452" t="n">
        <v>1</v>
      </c>
      <c r="F1452">
        <f>HYPERLINK("https://www.reddit.com/r/GERD/comments/bwvv2s/mild_fleeting_chest_pain_but_blood_work_ecg/")</f>
        <v/>
      </c>
      <c r="G1452" t="inlineStr">
        <is>
          <t>2019-06-04 16:45:27</t>
        </is>
      </c>
      <c r="H1452" t="inlineStr"/>
    </row>
    <row r="1453">
      <c r="A1453" t="inlineStr">
        <is>
          <t>bwwnd5</t>
        </is>
      </c>
      <c r="B1453" t="inlineStr">
        <is>
          <t>Warning: Your Gerd could be something else entirely.</t>
        </is>
      </c>
      <c r="C1453" t="inlineStr">
        <is>
          <t>It will be a year next month that I found out I have had Gerd, but the symptoms was happening sometime this month I believe. I been taking Omep until they switched it out for pantoprazole and I been taking it awhile now. I have also been taking two zantacs a day, but it still persisted. A few weeks ago I had to take a blood test and they found out my liver enzymes were high, so a week later I had to take another test. Just in a week, my liver enzymes doubled, so my doctor told me to get a ultrasound done that very day, and to get tested for hepatitis. Randomly, the side of my abdomen was painful throughout the day, till this day still. Once I took the ultrasound, the doctor got the results an hour later, that’s when I went over there for the hepatitis test, but ended up not having it down at all. My doctor was positive it was gallstones that we’re creating the Gerd, the pain on my right side, and the high liver enzymes. She made me go to the ER that day also, since I was moving out of state the next day, and she didn’t want it to be an emergency when I was pretty much nowhere. The ER was a four hour visit, I had another blood test done there which ended up fine, and a CT Scan done, but it found nothing strange. The doctor there pretty much called it Fatty Liver, even though I’m barely overweight, and I don’t drink or eat much bad things. I traveled from Arizona, through California, and finally Oregon, in three days, with pain on my right and left side, and sometimes in the middle of my abdomen, and back. Sometimes the pain was just uncomfortable to a 5 or 6. I had to take a four day detour to visit family, then after those four days, I ended up where I am now. None of my family members believed that I had Fatty liver, especially those who had Gallstones before. I didn’t know what was going on, but I’ve felt that there was something wrong for a few months now. Nausea and indigestion pain but it actually wasn’t. The pain has heartburn like pain all over the place and lasts hours or days, and that is still the worst pain. I haven’t been eating for awhile either because I don’t feel hungry. Friday I finally went to a better ER since the pain was worsening, I had a blood test done yet again, and I found out at the end of the visit that the blood test was fine yet again. Before the results came, I had a ultrasound done. A while later and the results came: I did in fact of Gallstones. They gave me a prescription for the nausea until I could get a surgeon. They told me to eat nothing fried and etc, so the gallbladder won’t get used. My pain in two days have been a lot better but still there, and I will have my gallbladder removed Thursday. After that, I can find out if it caused my Gerd, which it is known to do. If that is the case, they have been dealing with the symptoms, but not the cause of it, since Gallstones is hard to detect because they always think it’s something else entirely. If you don’t think it’s just Gerd or it won’t go away, if you have pain like that, or etc. Make sure you know for sure that it is just Gerd, because Gerd is a symptom for a lot of problems.</t>
        </is>
      </c>
      <c r="D1453" t="n">
        <v>12</v>
      </c>
      <c r="E1453" t="n">
        <v>17</v>
      </c>
      <c r="F1453">
        <f>HYPERLINK("https://www.reddit.com/r/GERD/comments/bwwnd5/warning_your_gerd_could_be_something_else_entirely/")</f>
        <v/>
      </c>
      <c r="G1453" t="inlineStr">
        <is>
          <t>2019-06-04 18:04:56</t>
        </is>
      </c>
      <c r="H1453" t="inlineStr"/>
    </row>
    <row r="1454">
      <c r="A1454" t="inlineStr">
        <is>
          <t>bwwrle</t>
        </is>
      </c>
      <c r="B1454" t="inlineStr">
        <is>
          <t>Tips and Insight Welcome</t>
        </is>
      </c>
      <c r="C1454" t="inlineStr">
        <is>
          <t>Hello, r/GERD.  I’m new here and posting because I’m desperate for some new tips and insight.  
I’m unable to lay down or even recline without wheezing and having a wet cough.  First, it was once a night, then every four hours, but now it’s almost immediately after laying down.  An urgent care physician said it’s acid reflux.
I have started sleeping with a 7” tall wedge pillow.  I’ve tried sleeping on my back and both sides.  I cut out gluten, meat, dairy, citrus foods, caffeine, chocolate, fatty foods, and smoking marijuana.  I’ve been eating plain potatoes, salad, melons, almonds, and almond yogurt.  I take probiotics and ginger pills.  I tried taking Zantac, but it seemed to make everything worse, so I’ve started taking Prilosec OTC a few days ago.
I slowly eat small meals throughout the day, I don’t eat 3-4 hours before bed, and I walk my dog at least 30 minutes a day.
My appointment with my gastroenterologist isn’t for another week and sleep deprivation is getting to me.  My symptoms have only gotten worse since I’ve started treating them.  
Am I missing something?  Thank you in advance!</t>
        </is>
      </c>
      <c r="D1454" t="n">
        <v>2</v>
      </c>
      <c r="E1454" t="n">
        <v>0</v>
      </c>
      <c r="F1454">
        <f>HYPERLINK("https://www.reddit.com/r/GERD/comments/bwwrle/tips_and_insight_welcome/")</f>
        <v/>
      </c>
      <c r="G1454" t="inlineStr">
        <is>
          <t>2019-06-04 18:16:59</t>
        </is>
      </c>
      <c r="H1454" t="inlineStr"/>
    </row>
    <row r="1455">
      <c r="A1455" t="inlineStr">
        <is>
          <t>bwxd7j</t>
        </is>
      </c>
      <c r="B1455" t="inlineStr">
        <is>
          <t>Can amitryptiline improve symptoms of GERD/LPR/Esophageal hypersensitivity?</t>
        </is>
      </c>
      <c r="C1455" t="inlineStr">
        <is>
          <t>Hi, so I got my first dose of AMT at 10 mg from my GI doctor after having unresolved issues with what she calls "esophageal hypersensitivity."  
I still consider them as GERD/LPR because I have the current symptoms: postnasal drip, mucus in my throat after meals (which I have to spit), chest pains (not the burning type).
I already did the endoscopy and 24 hour ph ambulatory test.  My GI doctor said that endoscopy was okay (but some inflammation present), my acid levels were normal, and the lower esophageal sphincter pressure is normal too which is why she cannot exactly correlate where the symptoms are coming from.  Her final impression was esophageal hypersensitivity, or hypersensitive nerves.
We did trials of PPI in the past (September-december) but without improvement.  I also lost weight from 130 to 112 pounds, but still no changes in symptoms.  I am currently on famotidine (acid reducer) and ursodiol (for bile reflux) which worked great at first but stopped working recently.  That's when she recommended amitryptiline as the last result.
I really want to feel better-- this condition is making me depressed which also worsens it altogether.  But I am scared to take this drug due to the side effects I was warned with.  I am 27 and she thinks I am healthy enough to tolerate it.
Do any of you have any experience with amytriptiline to treat gerd/lpr/esophageal hypersensitivity?  Is it worth it?  Can I wean from it when I start to feel better?  What kind of diet should I have with it?
Thanks a lot!</t>
        </is>
      </c>
      <c r="D1455" t="n">
        <v>1</v>
      </c>
      <c r="E1455" t="n">
        <v>4</v>
      </c>
      <c r="F1455">
        <f>HYPERLINK("https://www.reddit.com/r/GERD/comments/bwxd7j/can_amitryptiline_improve_symptoms_of/")</f>
        <v/>
      </c>
      <c r="G1455" t="inlineStr">
        <is>
          <t>2019-06-04 19:19:08</t>
        </is>
      </c>
      <c r="H1455" t="inlineStr"/>
    </row>
    <row r="1456">
      <c r="A1456" t="inlineStr">
        <is>
          <t>bwxo0o</t>
        </is>
      </c>
      <c r="B1456" t="inlineStr">
        <is>
          <t>Inquiry</t>
        </is>
      </c>
      <c r="C1456" t="inlineStr">
        <is>
          <t>Hello. First time poster on this thread looking for some info. I am a 35 year old male who has been taking rabeprazole for 8 years due due to Heart burn. If i missed a day not taking a pill i would feel heartburn the next day. About 6 months i started to feel bloated. This bloating has lead to non stop belching which then leads to nausea and vomiting. This happens at least 3 days a week. Once the bloating starts the symptoms stick around all day. I have tried to determine what foods cause this - no luck as sometimes it starts after i eat eggs one day then not the next e tc. Sometime is starts 30 minutes after i wake up without eating or drinking anything. I did some reading thay long term use of rabeprazole can lead to decreases stomach acids. Any one else have the same experience?</t>
        </is>
      </c>
      <c r="D1456" t="n">
        <v>2</v>
      </c>
      <c r="E1456" t="n">
        <v>1</v>
      </c>
      <c r="F1456">
        <f>HYPERLINK("https://www.reddit.com/r/GERD/comments/bwxo0o/inquiry/")</f>
        <v/>
      </c>
      <c r="G1456" t="inlineStr">
        <is>
          <t>2019-06-04 19:50:53</t>
        </is>
      </c>
      <c r="H1456" t="inlineStr"/>
    </row>
    <row r="1457">
      <c r="A1457" t="inlineStr">
        <is>
          <t>bwy9h6</t>
        </is>
      </c>
      <c r="B1457" t="inlineStr">
        <is>
          <t>iQoro - Anyone ever used this?</t>
        </is>
      </c>
      <c r="C1457" t="inlineStr">
        <is>
          <t>Hi all,
&amp;amp;#x200B;
Been struggling with GERD / Silent Reflux symptoms for about a year now. I saw this little device called iQoro, which is supposed to help retrain the throat muscles throughout the swallowing process to get the sphincters working correctly again. I would have just bought it to try it out, but it's only sold/shipped in parts of Europe, and I'm in the US.
&amp;amp;#x200B;
Just wondering if anyone has ever come across this? Seems worth a shot at least, since nothing else seems to really be helping my symptoms.
&amp;amp;#x200B;
Cheers</t>
        </is>
      </c>
      <c r="D1457" t="n">
        <v>7</v>
      </c>
      <c r="E1457" t="n">
        <v>15</v>
      </c>
      <c r="F1457">
        <f>HYPERLINK("https://www.reddit.com/r/GERD/comments/bwy9h6/iqoro_anyone_ever_used_this/")</f>
        <v/>
      </c>
      <c r="G1457" t="inlineStr">
        <is>
          <t>2019-06-04 20:57:53</t>
        </is>
      </c>
      <c r="H1457" t="inlineStr"/>
    </row>
    <row r="1458">
      <c r="A1458" t="inlineStr">
        <is>
          <t>bwze52</t>
        </is>
      </c>
      <c r="B1458" t="inlineStr">
        <is>
          <t>GERD and vocal cords</t>
        </is>
      </c>
      <c r="C1458" t="inlineStr">
        <is>
          <t>Hi there, I wanna hear if any of you have been experiencing the following and what it was like for you;
I've had GERD for approx. 4-5 years now (maybe longer undiagnosed). Been on pantoprazole ever since. Some months ago I had a somewhat hard case of reflux while sleeping. It had filled my throat and I woke up almost choking on it. Bad times.
After this I got control over my reflux again but have been having this pain in my throat ever since, some times it got better but then it worsened again.
Doctors feel nothing on the outside when feeling for swellings/lumps/etc., infection numbers were fine, blood samples fine. But then  when they looked into my throat the only thing that stood out was irritation on/around my vocal cords.
I've been in swallowing-pain and having sleep problems due to the pain for some weeks now and it's starting to give me anxiety because I have no clue what to do. So I would love for someone to chime in maybe with some sharing of experiences or advice.
Tl;Dr: Pain in vocal cords bcus reflux damage, any advice/experiences?
Thanks!!</t>
        </is>
      </c>
      <c r="D1458" t="n">
        <v>2</v>
      </c>
      <c r="E1458" t="n">
        <v>7</v>
      </c>
      <c r="F1458">
        <f>HYPERLINK("https://www.reddit.com/r/GERD/comments/bwze52/gerd_and_vocal_cords/")</f>
        <v/>
      </c>
      <c r="G1458" t="inlineStr">
        <is>
          <t>2019-06-04 23:21:26</t>
        </is>
      </c>
      <c r="H1458" t="inlineStr"/>
    </row>
    <row r="1459">
      <c r="A1459" t="inlineStr">
        <is>
          <t>bx03ni</t>
        </is>
      </c>
      <c r="B1459" t="inlineStr">
        <is>
          <t>H Pylori, antibiotic or natural treatment?</t>
        </is>
      </c>
      <c r="C1459" t="inlineStr">
        <is>
          <t>H pylori and other bacteria/pathogens came up high in my GI map. I went to see a gastro doctor who prescribed me quadruple therapy for 7 days consisting of:
1. Amoxicillin 
2. Metronidazole
3. Tetracycline
4. Omeprazole 
Though my nutritionist who ordered the GI map test wants me to take the natural route of treatment (which is longer and way more expensive).
I'm so confused what to do, I'm worried about taking so many antibiotics as I have ibs and daily severe nausea so I'm not sure I can handle them. At the same time I'm skeptical of natural treatment. 
Does anyone have experience of either natural or antibiotic therapy? How did you get on?</t>
        </is>
      </c>
      <c r="D1459" t="n">
        <v>3</v>
      </c>
      <c r="E1459" t="n">
        <v>18</v>
      </c>
      <c r="F1459">
        <f>HYPERLINK("https://www.reddit.com/r/GERD/comments/bx03ni/h_pylori_antibiotic_or_natural_treatment/")</f>
        <v/>
      </c>
      <c r="G1459" t="inlineStr">
        <is>
          <t>2019-06-05 01:05:03</t>
        </is>
      </c>
      <c r="H1459" t="inlineStr"/>
    </row>
    <row r="1460">
      <c r="A1460" t="inlineStr">
        <is>
          <t>bx1pab</t>
        </is>
      </c>
      <c r="B1460" t="inlineStr">
        <is>
          <t>Food tastes so bland!</t>
        </is>
      </c>
      <c r="C1460" t="inlineStr">
        <is>
          <t>Help! I tried to stop eating chili sauce but then the veggies taste sooo bland!!! Now my staple food are pumpkins cuz I only need to add some stevia on it!! Is it worth doing this? Cuz pumpkins really calm my stomach
&amp;amp;#x200B;
Can anyone give me an example of a typical day menu?</t>
        </is>
      </c>
      <c r="D1460" t="n">
        <v>2</v>
      </c>
      <c r="E1460" t="n">
        <v>2</v>
      </c>
      <c r="F1460">
        <f>HYPERLINK("https://www.reddit.com/r/GERD/comments/bx1pab/food_tastes_so_bland/")</f>
        <v/>
      </c>
      <c r="G1460" t="inlineStr">
        <is>
          <t>2019-06-05 04:56:16</t>
        </is>
      </c>
      <c r="H1460" t="inlineStr"/>
    </row>
    <row r="1461">
      <c r="A1461" t="inlineStr">
        <is>
          <t>bx2fld</t>
        </is>
      </c>
      <c r="B1461" t="inlineStr">
        <is>
          <t>Hitting calorie mark with GERD</t>
        </is>
      </c>
      <c r="C1461" t="inlineStr">
        <is>
          <t>I, 24M, have a hiatus hernia. I am 130 pounds, 5’9”. Even though my weight and BMI is normal for my age and height, it’s on low end. I have been trying to build a little muscle and with that I need to be getting as many calories. How do you fit in as many throughout the day if you can’t eat 3 large meals?</t>
        </is>
      </c>
      <c r="D1461" t="n">
        <v>2</v>
      </c>
      <c r="E1461" t="n">
        <v>8</v>
      </c>
      <c r="F1461">
        <f>HYPERLINK("https://www.reddit.com/r/GERD/comments/bx2fld/hitting_calorie_mark_with_gerd/")</f>
        <v/>
      </c>
      <c r="G1461" t="inlineStr">
        <is>
          <t>2019-06-05 06:15:53</t>
        </is>
      </c>
      <c r="H1461" t="inlineStr"/>
    </row>
    <row r="1462">
      <c r="A1462" t="inlineStr">
        <is>
          <t>bx2h02</t>
        </is>
      </c>
      <c r="B1462" t="inlineStr">
        <is>
          <t>Staying hydrated w reflux</t>
        </is>
      </c>
      <c r="C1462" t="inlineStr">
        <is>
          <t>Hello! I am wondering what you all do to stay hydrated. I have laryngopharyngeal reflux and even water comes up on me. Hence, I don’t drink enough of it.
What do you all do to stay properly hydrated?</t>
        </is>
      </c>
      <c r="D1462" t="n">
        <v>1</v>
      </c>
      <c r="E1462" t="n">
        <v>9</v>
      </c>
      <c r="F1462">
        <f>HYPERLINK("https://www.reddit.com/r/GERD/comments/bx2h02/staying_hydrated_w_reflux/")</f>
        <v/>
      </c>
      <c r="G1462" t="inlineStr">
        <is>
          <t>2019-06-05 06:19:44</t>
        </is>
      </c>
      <c r="H1462" t="inlineStr"/>
    </row>
    <row r="1463">
      <c r="A1463" t="inlineStr">
        <is>
          <t>bx4g9n</t>
        </is>
      </c>
      <c r="B1463" t="inlineStr">
        <is>
          <t>Question about vocal chord endoscopy</t>
        </is>
      </c>
      <c r="C1463" t="inlineStr">
        <is>
          <t>I just got out of the doctors office where I was given my first endoscopy to look at my vocal chords (I’m a singer with silent reflux,) and that was honestly the most pain I have ever felt in my entire life. I was almost passing out from the pain, and she had sprayed numbing spray in there too. I’m currently in my car having a near panic attack because I am embarrassed and freaking out from what just happened. I read that the only thing I was supposed to feel was slight discomfort so I was ready for that, but what I experienced was nothing like that at all. 
Can anyone offer insight to why that happened? She said my nasal cavity was quite small so is that why?</t>
        </is>
      </c>
      <c r="D1463" t="n">
        <v>3</v>
      </c>
      <c r="E1463" t="n">
        <v>5</v>
      </c>
      <c r="F1463">
        <f>HYPERLINK("https://www.reddit.com/r/GERD/comments/bx4g9n/question_about_vocal_chord_endoscopy/")</f>
        <v/>
      </c>
      <c r="G1463" t="inlineStr">
        <is>
          <t>2019-06-05 09:18:52</t>
        </is>
      </c>
      <c r="H1463" t="inlineStr"/>
    </row>
    <row r="1464">
      <c r="A1464" t="inlineStr">
        <is>
          <t>bx59fr</t>
        </is>
      </c>
      <c r="B1464" t="inlineStr">
        <is>
          <t>I just wanted to share some quick tips.</t>
        </is>
      </c>
      <c r="C1464" t="inlineStr">
        <is>
          <t>Hey y’all - first time poster. I’ve had trouble with GERD now for about 5 years on and off. I got really bad last year so I decided to try and nix it. Nexium and Mylanta seemed to do the trick for a while but I didn’t want to stay on those meds for an extended period of time. I got an endoscopy showing that I may have so esophagus allergies and was given Sucralfate and an inhaler. This seemed to just push the pain down into my stomach and intestines so I resorted to natural remedies. I did 3-4 sessions of acupuncture and tried apple cider vinegar and coconut water. Apple cider vinegar I take a teaspoon in water first thing in the morning  and coconut water I drink half an hour after every meal (or try to). I feel like I’m a little kid again - barely any discomfort ; not sure which angle is working best but in short:
Get an endoscopy
Try acupuncture
Drink a teaspoon of ACV
Drink coconut water 30 min after meals 
Hope this helps some of you out there!</t>
        </is>
      </c>
      <c r="D1464" t="n">
        <v>5</v>
      </c>
      <c r="E1464" t="n">
        <v>3</v>
      </c>
      <c r="F1464">
        <f>HYPERLINK("https://www.reddit.com/r/GERD/comments/bx59fr/i_just_wanted_to_share_some_quick_tips/")</f>
        <v/>
      </c>
      <c r="G1464" t="inlineStr">
        <is>
          <t>2019-06-05 10:26:38</t>
        </is>
      </c>
      <c r="H1464" t="inlineStr"/>
    </row>
    <row r="1465">
      <c r="A1465" t="inlineStr">
        <is>
          <t>bx5bii</t>
        </is>
      </c>
      <c r="B1465" t="inlineStr">
        <is>
          <t>My doctor keeps telling me that endoscopies are dangerous because the esophagus or stomach could get punctured.</t>
        </is>
      </c>
      <c r="C1465" t="inlineStr">
        <is>
          <t>Is he right?</t>
        </is>
      </c>
      <c r="D1465" t="n">
        <v>4</v>
      </c>
      <c r="E1465" t="n">
        <v>9</v>
      </c>
      <c r="F1465">
        <f>HYPERLINK("https://www.reddit.com/r/GERD/comments/bx5bii/my_doctor_keeps_telling_me_that_endoscopies_are/")</f>
        <v/>
      </c>
      <c r="G1465" t="inlineStr">
        <is>
          <t>2019-06-05 10:31:20</t>
        </is>
      </c>
      <c r="H1465" t="inlineStr"/>
    </row>
    <row r="1466">
      <c r="A1466" t="inlineStr">
        <is>
          <t>bx675n</t>
        </is>
      </c>
      <c r="B1466" t="inlineStr">
        <is>
          <t>Food allergies</t>
        </is>
      </c>
      <c r="C1466" t="inlineStr">
        <is>
          <t>Has anyone noticed any link between reflux and food allergies and intolerances?</t>
        </is>
      </c>
      <c r="D1466" t="n">
        <v>2</v>
      </c>
      <c r="E1466" t="n">
        <v>3</v>
      </c>
      <c r="F1466">
        <f>HYPERLINK("https://www.reddit.com/r/GERD/comments/bx675n/food_allergies/")</f>
        <v/>
      </c>
      <c r="G1466" t="inlineStr">
        <is>
          <t>2019-06-05 11:43:31</t>
        </is>
      </c>
      <c r="H1466" t="inlineStr"/>
    </row>
    <row r="1467">
      <c r="A1467" t="inlineStr">
        <is>
          <t>bx6e40</t>
        </is>
      </c>
      <c r="B1467" t="inlineStr">
        <is>
          <t>GERD without pain?</t>
        </is>
      </c>
      <c r="C1467" t="inlineStr">
        <is>
          <t>Hi friends, 
I was diagnosed with gerd four years ago but I have atypical symptoms. 
My GERD mostly manifests itself as a sense of gnawing hunger. It isn't even that painful. It just keeps me up at night. For almost a year, I never slept through the night because my stomach hurt so badly. The only thing that made it better was eating, so I went from 125 lbs to 160 lbs in under a year.
I tried Zantac and Prilosec but the side effects made me kind of miserable even though they stopped my heartburn, so I went with Nexium.
I have the same trigger foods as a lot of people: spicy foods, tomatoes, peppers, and some fried foods, but there are a lot of things that don't bother me at all, like fries, ice cream, and citrus. Is that normal?
Basically, I don't know whether I actually have GERD or not. I know it isn't bile because I tried taking bile-blocking drugs and they did nothing.</t>
        </is>
      </c>
      <c r="D1467" t="n">
        <v>2</v>
      </c>
      <c r="E1467" t="n">
        <v>11</v>
      </c>
      <c r="F1467">
        <f>HYPERLINK("https://www.reddit.com/r/GERD/comments/bx6e40/gerd_without_pain/")</f>
        <v/>
      </c>
      <c r="G1467" t="inlineStr">
        <is>
          <t>2019-06-05 11:59:08</t>
        </is>
      </c>
      <c r="H1467" t="inlineStr"/>
    </row>
    <row r="1468">
      <c r="A1468" t="inlineStr">
        <is>
          <t>bx782b</t>
        </is>
      </c>
      <c r="B1468" t="inlineStr">
        <is>
          <t>How would a Canadian get a procedure like Stretta or GERDx?</t>
        </is>
      </c>
      <c r="C1468" t="inlineStr">
        <is>
          <t>We seem to be living in the dark ages up here with the only thing available being fundopilication, and they only do that if you are pre-cancerous.</t>
        </is>
      </c>
      <c r="D1468" t="n">
        <v>10</v>
      </c>
      <c r="E1468" t="n">
        <v>24</v>
      </c>
      <c r="F1468">
        <f>HYPERLINK("https://www.reddit.com/r/GERD/comments/bx782b/how_would_a_canadian_get_a_procedure_like_stretta/")</f>
        <v/>
      </c>
      <c r="G1468" t="inlineStr">
        <is>
          <t>2019-06-05 13:07:55</t>
        </is>
      </c>
      <c r="H1468" t="inlineStr"/>
    </row>
    <row r="1469">
      <c r="A1469" t="inlineStr">
        <is>
          <t>bx8nvc</t>
        </is>
      </c>
      <c r="B1469" t="inlineStr">
        <is>
          <t>Holistic/Alternative Vs Western medicine. What works better for you to manage gerd symtoms?</t>
        </is>
      </c>
      <c r="C1469" t="inlineStr">
        <is>
          <t>First a little about me... I have been experiencing daily indigestion, acid reflux, and occasional irritation of the stomach lining/esophogus as a result of that for about 3 years now. I have changed many aspects of my life to try and manage these symtoms. I have changed my diet completely, avoiding trigger foods and eating late in the evening. Ive quit smoking tobacco products, drinking alcohol/soda, and ceased taking drugs of all kinds. Ive been exercising daily and also doing things to keep my stress low. Recently I have found that my Omeperozole and Ranitidine are no longer working effectively and I think they are making me magnesium and calcium deficent. I have been taking DGL Licorice root extract as well as aloe vera meat mixed with honey for a couple months and I think the homiopathic remedies are working much better. The doctors all say I should keep taking their meds but I am 90% sure they are full of crap. My insurance wont cover a homeopathic doctor and most of the stuff you find online is contradictory. I am looking for some testomonials of people suffering from these symtoms for long periods of time. I would like to know what changes you made to overcome this. Im sure many of you may feel the same, but it is just so frustrating constantly removing things from your diet until you are living off of basically the same old bland foods every day. Something has got to change.</t>
        </is>
      </c>
      <c r="D1469" t="n">
        <v>1</v>
      </c>
      <c r="E1469" t="n">
        <v>0</v>
      </c>
      <c r="F1469">
        <f>HYPERLINK("https://www.reddit.com/r/GERD/comments/bx8nvc/holisticalternative_vs_western_medicine_what/")</f>
        <v/>
      </c>
      <c r="G1469" t="inlineStr">
        <is>
          <t>2019-06-05 15:10:07</t>
        </is>
      </c>
      <c r="H1469" t="inlineStr"/>
    </row>
    <row r="1470">
      <c r="A1470" t="inlineStr">
        <is>
          <t>bxakeo</t>
        </is>
      </c>
      <c r="B1470" t="inlineStr">
        <is>
          <t>Cramping feeling under left rib cage while lying on side?</t>
        </is>
      </c>
      <c r="C1470" t="inlineStr">
        <is>
          <t xml:space="preserve">
For the past few days, I've been getting a really uncomfortable cramping feeling that starts right under the bottom of my left ribcage, right at my stomach, and if I don't move, it starts to slowly move up to under the top of my ribcage at my chest. It's a very familiar feeling and I am fairly certain I've gotten it multiple times throughout my life, but it's been much more prominent lately. I rarely feel it during the day while sitting and standing, however if I sleep or lie down on one of my sides, I can feel it within 5 minutes. It feels almost exactly like a cramp you would get in your abdomen except this one is under my ribcage. It feels like there is a large knot inside of me and it's not necessary painful unless it gets further up into my chest and I can't for the love of god find anyone else with the same symptom, let alone try and figure out what's wrong.
Some symptoms that may be related are that I am having a lot of gas recently and am belching throughout the day more than I would normally. I do believe I have GERD, however I have not yet been to my gastroenterologist so I'm waiting on that. I also feel bloated in my abdomen sometimes and occasionally feel a little nauseous. I also have a bit of dizziness, fatigue and arm pain, however I attribute most of these last symptoms to anxiety because I've been more anxious/stressed in the past month than in the past 2 years combined, and I also recently dislocated my left shoulder so I believe that is contributing to the arm pain (it feels like tendonitis).
I've gotten 3 EKG's in the past month, a blood test and a chest x-ray that all came back normal, so I'm sure it's not my heart. I'm also fairly certain it's not pancreas related because it does not get worse with eating and it also goes away as soon as I sit up-right. 
Does this sound like a hiatal hernia? Or maybe just excessive gas in my stomach? Has anyone experienced something similar?</t>
        </is>
      </c>
      <c r="D1470" t="n">
        <v>1</v>
      </c>
      <c r="E1470" t="n">
        <v>1</v>
      </c>
      <c r="F1470">
        <f>HYPERLINK("https://www.reddit.com/r/GERD/comments/bxakeo/cramping_feeling_under_left_rib_cage_while_lying/")</f>
        <v/>
      </c>
      <c r="G1470" t="inlineStr">
        <is>
          <t>2019-06-05 18:12:43</t>
        </is>
      </c>
      <c r="H1470" t="inlineStr"/>
    </row>
    <row r="1471">
      <c r="A1471" t="inlineStr">
        <is>
          <t>bxal2l</t>
        </is>
      </c>
      <c r="B1471" t="inlineStr">
        <is>
          <t>What habbits help you from eating too much at night?</t>
        </is>
      </c>
      <c r="C1471" t="inlineStr">
        <is>
          <t>I usually eat several meals throughout the day and try to eat more durring the morning/day. I try to have my dinner around 5 or 6pm. I stay up until about 10-12pm and by 9 pm I almost always get hungry again. If I eat at that point I can't go to sleep because my gut bubbles and eventually burns when I lie down. What do you guys do keep yourself from eating or drinking too close to bed</t>
        </is>
      </c>
      <c r="D1471" t="n">
        <v>3</v>
      </c>
      <c r="E1471" t="n">
        <v>5</v>
      </c>
      <c r="F1471">
        <f>HYPERLINK("https://www.reddit.com/r/GERD/comments/bxal2l/what_habbits_help_you_from_eating_too_much_at/")</f>
        <v/>
      </c>
      <c r="G1471" t="inlineStr">
        <is>
          <t>2019-06-05 18:14:23</t>
        </is>
      </c>
      <c r="H1471" t="inlineStr"/>
    </row>
    <row r="1472">
      <c r="A1472" t="inlineStr">
        <is>
          <t>bxb4ff</t>
        </is>
      </c>
      <c r="B1472" t="inlineStr">
        <is>
          <t>Anyone Tried Dexilant? How Toxic Is It Overall?</t>
        </is>
      </c>
      <c r="C1472" t="inlineStr">
        <is>
          <t>My GI doctor gave me a big bag of Dexilant (she said it's expensive so I was grateful for the samples &amp;amp; prescription) but I'm seeing some scary-ish reviews online.  How does it differ from Prilosec &amp;amp; other PPIs pharmacologically?  (If at all?)  They told me it was slow-release, but beyond that I can't figure out much about it.  
If you've taken both Prilosec &amp;amp; Dexilant, did you find them to be similar?  I'm currently on 40mg Prilosec per day but am willing to switch if this one doesn't carry some unknown risk of organ damage or smtg.  
Thanks!</t>
        </is>
      </c>
      <c r="D1472" t="n">
        <v>1</v>
      </c>
      <c r="E1472" t="n">
        <v>10</v>
      </c>
      <c r="F1472">
        <f>HYPERLINK("https://www.reddit.com/r/GERD/comments/bxb4ff/anyone_tried_dexilant_how_toxic_is_it_overall/")</f>
        <v/>
      </c>
      <c r="G1472" t="inlineStr">
        <is>
          <t>2019-06-05 19:07:30</t>
        </is>
      </c>
      <c r="H1472" t="inlineStr"/>
    </row>
    <row r="1473">
      <c r="A1473" t="inlineStr">
        <is>
          <t>bxbh6j</t>
        </is>
      </c>
      <c r="B1473" t="inlineStr">
        <is>
          <t>Do I really have GERD?</t>
        </is>
      </c>
      <c r="C1473" t="inlineStr">
        <is>
          <t>Hi All,
Sorry if this seems long (It is) but here goes.  
I am 47 Years old. I have a larger body structure and have been overweight most of my life. I am a Computer Tech by day which involves mostly sitting but I am a DJ 3-4 nights a week where I am very active. I got fat from chips and pizza and pasta type foods not Burger Joints. I smoked for 27 years and switched to Vaping 4 years ago. I only drink maybe 8-10 times a year.
About 18 Months ago I was experiencing discomfort around my nipple area. This seemed to be the time that my mind started to think about getting older and death. Some days I think about it way to often. Doctor sent me for a Mammogram (I'm Male). Tests came back and Doctor called me and said because of my weight I was developing breast tissue and the discomfort would go away if I lost weight. 
A little over a year ago I weighed in at 317 after returning from a Mexico trip.
I started weight watchers in April 2018. As I started to lose weight the discomfort around the nipple went away. This is when my issues began and my doctor said I had GERD. I was experiencing a racing heart and not a pain but a discomfort in my chest. not quite centre chest more to the right or left chest area. I spent a night at the ER and the EKG was fine but my blood pressure was up. As the night went on and as I sat in the waiting room for 12 hours my heart racing went away and the feeling from high blood pressure did as well. I left the hospital and went to my doctor at the Walk in the next day. My Doctor sent me for Blood work (All ok), Barium Test (Ok), EKG (Ok)  
The Doctor said I have GERD and gave me Raperpouzle 10mg to take once a day. Issues were still happening so she increased to 10mg twice per day and now 20mg twice per day. I have been on these for 10 months now. Every so often I feel the discomfort and take a Zantac 150 to combat it and sometimes it goes away. I am experiencing light headed and a cloud type feeling which is a side effect from the PPI I am reading. If I stop taking it the symptoms go away.  
My Dr tried me on Dexilant and it made the symptoms worse and store bought Nexium makes it worse as well.  
I have now lost 40lbs. I am careful with what I eat. I'm finding trigger foods are better for me foods believe it or not. I cannot eat baked chips, veggie chip snacks, raw carrots, Whole wheat or high grain breads plus other better for me options. If I eat real chips, white bread and such I don't get any triggers. I stay away from citrus fruits and tomtato type sauces (Mostly) but don't avoid onions and have the occasional Diet Pepsi. My wifes a chef so she mostly tries and be careful with what she gives me. The weight is coming off slow but I know I am in a better place then a year ago.  
I still have the occasional heart racing, sometimes I get what feels like a panic attack. Doctor sent me for additional blood work to check some stuff and all fine. My Blood pressure is on the high side of normal. I do not get any sensation of Heartburn, no issues swallowing, no burping more then normal, no upset stomach. Only the chest discomfort and heart racing.  
Here is the thing. When I lay in bed at night sometimes I think about my issues and it seems to cause a panic attack with heart racing but my fitbit doesn't register a higher bpm. When I do finally fall asleep I feel great. I do not feel any symptoms and when I wake up in the morning for the first 30 mins or so I feel perfect. I have gone several days as well with zero symptoms and the longest I remember was 3 weeks around Christmas time.  
We have a really crappy free health system where I live in Canada. There is a Doctor shortage and I am lucky if I get 10 mins with my doctor when I am able to get in and see them. I have to write things on paper so I can fit as much in to the 10 mins. She keeps pushing the PPI and insisting if I keep losing weight the symptoms will go away. I told her I was concerned about long term usage and she says those effects outweigh getting cancer if its not controlled.   
I have health coverage at work so I went to a Natropath and she just kept throwing things at me like Magnesium Pills, vitamins, black licorice type pills and more. I have stopped seeing her cause the coverage ran out and anything she threw at me just made me feel worse. She did however say that there is a chance I either have low stomach acid, bad gut bacteria or a Hiatle (Spelling) hernia. She did say that if my bacteria is wrong in my stomach whenever I eat good choices vs bad choices would explain why the good choices trigger symptoms.  
Could all this be anxiety stemming from my initial nipple discomfort? Could it really be a weird case of GERD? I've read alot of the posts in here and I have ordered the Acid Watchers Diet book but I'm concerned it could be something else. I write this tonight because I am having a bad day with this and I feel I have no avenue to go. I have no stress in my life outside of this. I have a good job and two successful businesses I run. No debt. Kids are out of the house. I go on 3 vacations away a year. My mom who passed away and my sister had/have anxiety to my knowledge.  
It just sucks none of the GERD like symptoms started until after I started losing weight.  
Sorry for the long read and any insight would be appreciated. I'm willing to do anything at this point.</t>
        </is>
      </c>
      <c r="D1473" t="n">
        <v>1</v>
      </c>
      <c r="E1473" t="n">
        <v>4</v>
      </c>
      <c r="F1473">
        <f>HYPERLINK("https://www.reddit.com/r/GERD/comments/bxbh6j/do_i_really_have_gerd/")</f>
        <v/>
      </c>
      <c r="G1473" t="inlineStr">
        <is>
          <t>2019-06-05 19:43:03</t>
        </is>
      </c>
      <c r="H1473" t="inlineStr"/>
    </row>
    <row r="1474">
      <c r="A1474" t="inlineStr">
        <is>
          <t>bxd51y</t>
        </is>
      </c>
      <c r="B1474" t="inlineStr">
        <is>
          <t>Oxycodone is relieving some of my symptoms?</t>
        </is>
      </c>
      <c r="C1474" t="inlineStr">
        <is>
          <t>This is something that really sounds like “yeah, duh”, but I am legitimately curious about what might be going on here.
I have had bad reflux for years, and for the last two-ish years have had symptoms of:
Heart Burn
Bloating
Raspy Voice
Difficulty Swallowing
Shortness of Breath
Fullness in Stomach
Sensation of Fullness in throat
Gasping awake as I fall asleep
Last Friday I had surgery to get my deviated septum and some other nasal issues fixed.  The doctor prescribed me oxycodone for recovery and I have noticed when I take it one of my biggest symptoms almost completely disappears:  the bloating.
I can actually feel gas moving through my system and even my wife comments on how loud my belly rumbles.  I have had 0 symptoms during this time (or at least I can’t feel them).
What is it about the oxy that is helping the bloat?  As far as I knew opioids were supposed to slow the digestive system down?  Could this maybe be a sign that I am too stressed out and that being this relaxed is good for my GERD?</t>
        </is>
      </c>
      <c r="D1474" t="n">
        <v>0</v>
      </c>
      <c r="E1474" t="n">
        <v>3</v>
      </c>
      <c r="F1474">
        <f>HYPERLINK("https://www.reddit.com/r/GERD/comments/bxd51y/oxycodone_is_relieving_some_of_my_symptoms/")</f>
        <v/>
      </c>
      <c r="G1474" t="inlineStr">
        <is>
          <t>2019-06-05 22:53:19</t>
        </is>
      </c>
      <c r="H1474" t="inlineStr"/>
    </row>
    <row r="1475">
      <c r="A1475" t="inlineStr">
        <is>
          <t>bxf2cn</t>
        </is>
      </c>
      <c r="B1475" t="inlineStr">
        <is>
          <t>Lpr and crazy stomach noises at night?</t>
        </is>
      </c>
      <c r="C1475" t="inlineStr">
        <is>
          <t>So I have been suffering with serious LPR for over a year now. 29 year old with very healthy lifestyle so it’s really thrown me for a loop. Tried PPI’s which did not work and now I’m trying the supplement route + gaviscon advance. Nothing seems to work and despite changing my diet (super low acid, no caffeine and alcohol) and lifestyle entirely it almost seems like it’s worsening.
Something that has recently started is serious stomach sounds when I lay down (on my wedge pillow) at night. It sounds like when you are hungry but amplified and I feel a lot of activity in my stomach. I don’t eat for over 3 hours before bed and generally don’t have this when I’m not going to bed so I’m stumped. I also often wake up in the morning to the same sounds. I also get gurgling sounds in the back of my throat that are pretty load. Since this has started my sleep quality has gotten worse and so has the sore throat the next day. I’m super concerned about the way this is progressing and my gastro has not been much help outside of continuing to push PPI’s which actually landed me where I am today in a worse state. 
Does anyone have any tips for this or insights on what could be causing it? I’m wondering if I need to try HCL because my digestion is not working properly?</t>
        </is>
      </c>
      <c r="D1475" t="n">
        <v>1</v>
      </c>
      <c r="E1475" t="n">
        <v>15</v>
      </c>
      <c r="F1475">
        <f>HYPERLINK("https://www.reddit.com/r/GERD/comments/bxf2cn/lpr_and_crazy_stomach_noises_at_night/")</f>
        <v/>
      </c>
      <c r="G1475" t="inlineStr">
        <is>
          <t>2019-06-06 03:18:30</t>
        </is>
      </c>
      <c r="H1475" t="inlineStr"/>
    </row>
    <row r="1476">
      <c r="A1476" t="inlineStr">
        <is>
          <t>bxgon6</t>
        </is>
      </c>
      <c r="B1476" t="inlineStr">
        <is>
          <t>Exercise, weight gain, and GERD</t>
        </is>
      </c>
      <c r="C1476" t="inlineStr">
        <is>
          <t>Weird title - bear with me please. I’m trying to put on weight without eating 3 large meals (calorie supplements, snacks high in calories, protein shakes, etc). I always feel bad that I will take a hike on a weekend and burn a lot of calories. I feel I’m being counterproductive. How do I shake off these stupid feelings?</t>
        </is>
      </c>
      <c r="D1476" t="n">
        <v>3</v>
      </c>
      <c r="E1476" t="n">
        <v>32</v>
      </c>
      <c r="F1476">
        <f>HYPERLINK("https://www.reddit.com/r/GERD/comments/bxgon6/exercise_weight_gain_and_gerd/")</f>
        <v/>
      </c>
      <c r="G1476" t="inlineStr">
        <is>
          <t>2019-06-06 06:23:46</t>
        </is>
      </c>
      <c r="H1476" t="inlineStr"/>
    </row>
    <row r="1477">
      <c r="A1477" t="inlineStr">
        <is>
          <t>bxht5n</t>
        </is>
      </c>
      <c r="B1477" t="inlineStr">
        <is>
          <t>Constant Epigastric Pain</t>
        </is>
      </c>
      <c r="C1477" t="inlineStr">
        <is>
          <t>I have pain in my middle upper abdomen (epigastric). It is rather consistent (dull/sore/burning in the morning), worse after eating, and is normally accompanied by horrible abdomen bloating. Sometimes I feel a bit nauseous. Sometimes it radiates to the back. It can be uncomfortable enough where it consumes my thoughts/activities.
About ten months ago (September 2018) I had esophagitis (assumed at an emergency room, given two weeks of carafate, Zantac, and Nexium) which has since healed but I haven’t fully recovered When it comes to my stomach. Some days I have no problems at all and others, I suffer. 
It has been suggested that it might be a gluten intolerance of some sort but with that stay isolated to the middle of the epigastric section (with the exception of all of her bloat).  
Does this sound familiar to anyone? Can anyone relate. I’m waiting to get into the doctor but something to relieve my mind in the meantime would be great!</t>
        </is>
      </c>
      <c r="D1477" t="n">
        <v>2</v>
      </c>
      <c r="E1477" t="n">
        <v>9</v>
      </c>
      <c r="F1477">
        <f>HYPERLINK("https://www.reddit.com/r/GERD/comments/bxht5n/constant_epigastric_pain/")</f>
        <v/>
      </c>
      <c r="G1477" t="inlineStr">
        <is>
          <t>2019-06-06 08:09:13</t>
        </is>
      </c>
      <c r="H1477" t="inlineStr"/>
    </row>
    <row r="1478">
      <c r="A1478" t="inlineStr">
        <is>
          <t>bxi244</t>
        </is>
      </c>
      <c r="B1478" t="inlineStr">
        <is>
          <t>Eating habits/schedule/routine needs to change... Any suggestions?</t>
        </is>
      </c>
      <c r="C1478" t="inlineStr">
        <is>
          <t>Ok so I worked nights for a few years and so my body is stuck in a weird meal schedule where I can't/don't want to eat in the morning and my first meal isn't until around 1:30-2:00 in the afternoon. Now that Im back to a standard 9-5 schedule I need to re-adjust my meal times back to match up to big meals early in the day and not so much at night since I'm sure at this point that it's contributing to my symptoms. Does anyone have any experience with this? Is there an easy way to do this? Should I just fast for a couple days and then set myself up to eat a good breakfast after that? Can I eat Saltine Crackers or something similar in the meantime to keep the hunger at bay? Any info helps. Thanks, Everyone!</t>
        </is>
      </c>
      <c r="D1478" t="n">
        <v>2</v>
      </c>
      <c r="E1478" t="n">
        <v>1</v>
      </c>
      <c r="F1478">
        <f>HYPERLINK("https://www.reddit.com/r/GERD/comments/bxi244/eating_habitsscheduleroutine_needs_to_change_any/")</f>
        <v/>
      </c>
      <c r="G1478" t="inlineStr">
        <is>
          <t>2019-06-06 08:31:02</t>
        </is>
      </c>
      <c r="H1478" t="inlineStr"/>
    </row>
    <row r="1479">
      <c r="A1479" t="inlineStr">
        <is>
          <t>bxicv6</t>
        </is>
      </c>
      <c r="B1479" t="inlineStr">
        <is>
          <t>26 Year Old GERD Sufferer Seeking Advice</t>
        </is>
      </c>
      <c r="C1479" t="inlineStr">
        <is>
          <t>Hello. I'm 26 years old and I've had severe GERD issues for about 3-4 years now. It all began when my doctor prescribed me medication for my migraines and turns out those medications did quite a lot of damage on my stomach. From there, I got off the migraine medications since I knew my trigger but I have NOT been able to get off my acid reflux medication. 
&amp;amp;#x200B;
I've taken it all from Omeprazole, Famotidine, Prilosec to Dexilant which is what I am now on. I've tried a lot of things and it has seemingly gotten worse and worse over the years. I'm now on crossroads. I don't know if I should be taking different meds, natural supplements or going through surgery. My doctor keeps pointing me to surgery but tells me it's extremely serious, which worries me. I also don't want to be on meds forever because I know they have bad side effects. I know I'm on the younger side so I was wondering if there is anything I can do to fix this and what your best advice would be. Thanks in advance!</t>
        </is>
      </c>
      <c r="D1479" t="n">
        <v>3</v>
      </c>
      <c r="E1479" t="n">
        <v>13</v>
      </c>
      <c r="F1479">
        <f>HYPERLINK("https://www.reddit.com/r/GERD/comments/bxicv6/26_year_old_gerd_sufferer_seeking_advice/")</f>
        <v/>
      </c>
      <c r="G1479" t="inlineStr">
        <is>
          <t>2019-06-06 08:56:50</t>
        </is>
      </c>
      <c r="H1479" t="inlineStr"/>
    </row>
    <row r="1480">
      <c r="A1480" t="inlineStr">
        <is>
          <t>bxj28r</t>
        </is>
      </c>
      <c r="B1480" t="inlineStr">
        <is>
          <t>Sore throat?</t>
        </is>
      </c>
      <c r="C1480" t="inlineStr">
        <is>
          <t>My throat is sore almost all the time. I've only been on priolec for about a month. 
Does anyone have any insight?</t>
        </is>
      </c>
      <c r="D1480" t="n">
        <v>2</v>
      </c>
      <c r="E1480" t="n">
        <v>4</v>
      </c>
      <c r="F1480">
        <f>HYPERLINK("https://www.reddit.com/r/GERD/comments/bxj28r/sore_throat/")</f>
        <v/>
      </c>
      <c r="G1480" t="inlineStr">
        <is>
          <t>2019-06-06 09:56:34</t>
        </is>
      </c>
      <c r="H1480" t="inlineStr"/>
    </row>
    <row r="1481">
      <c r="A1481" t="inlineStr">
        <is>
          <t>bxjgk8</t>
        </is>
      </c>
      <c r="B1481" t="inlineStr">
        <is>
          <t>How do you take your mind off of your symptoms?</t>
        </is>
      </c>
      <c r="C1481" t="inlineStr">
        <is>
          <t>I was recently diagnosed with acid reflux/GERD and my primary symptoms are usually in my throat. Dryness, tightness, trouble swallowing. It’s literally all I think about. Is there any tips you guys recommended to preoccupy yourself when you flare up?</t>
        </is>
      </c>
      <c r="D1481" t="n">
        <v>8</v>
      </c>
      <c r="E1481" t="n">
        <v>16</v>
      </c>
      <c r="F1481">
        <f>HYPERLINK("https://www.reddit.com/r/GERD/comments/bxjgk8/how_do_you_take_your_mind_off_of_your_symptoms/")</f>
        <v/>
      </c>
      <c r="G1481" t="inlineStr">
        <is>
          <t>2019-06-06 10:29:55</t>
        </is>
      </c>
      <c r="H1481" t="inlineStr"/>
    </row>
    <row r="1482">
      <c r="A1482" t="inlineStr">
        <is>
          <t>bxl7sy</t>
        </is>
      </c>
      <c r="B1482" t="inlineStr">
        <is>
          <t>How long does it take for the effects of PPI to be out of the system?</t>
        </is>
      </c>
      <c r="C1482" t="inlineStr">
        <is>
          <t>I have been suffering for 4 months but symptoms have gone down a lot and i am only taking 15mg lanzoperazole every 3 days.  Used to take 30mg daily and Zantac 300mg daily.  Have been on current dose for 2-3 weeks now.
Wondering if my symptoms have gone down due to actual recovery or is it still being masked by the PPI.</t>
        </is>
      </c>
      <c r="D1482" t="n">
        <v>3</v>
      </c>
      <c r="E1482" t="n">
        <v>4</v>
      </c>
      <c r="F1482">
        <f>HYPERLINK("https://www.reddit.com/r/GERD/comments/bxl7sy/how_long_does_it_take_for_the_effects_of_ppi_to/")</f>
        <v/>
      </c>
      <c r="G1482" t="inlineStr">
        <is>
          <t>2019-06-06 12:57:51</t>
        </is>
      </c>
      <c r="H1482" t="inlineStr"/>
    </row>
    <row r="1483">
      <c r="A1483" t="inlineStr">
        <is>
          <t>bxm62s</t>
        </is>
      </c>
      <c r="B1483" t="inlineStr">
        <is>
          <t>Surgery questions</t>
        </is>
      </c>
      <c r="C1483" t="inlineStr">
        <is>
          <t>Hi, 
I am having an open nissen fundoplication surgery in a few weeks to repair a hiatus hernia. Due to previous scar tissues from a diaphramatic hernia repair when I was born I am not suitable for keyhole (larascopic) surgery. 
How much weight will I lose and will I keep this weight of permanently? 
I have nasty farts on PPI. Will these get worse after surgery or will they just become more frequent and leas smelly? Serious question 
Can I ever lift weights again?
How much time will I need off work from a desk job? 
Is it worth it? I don’t like the idea of having a id burning my throat forever and always being on PPI’s 
Thank you and good luck to you</t>
        </is>
      </c>
      <c r="D1483" t="n">
        <v>4</v>
      </c>
      <c r="E1483" t="n">
        <v>6</v>
      </c>
      <c r="F1483">
        <f>HYPERLINK("https://www.reddit.com/r/GERD/comments/bxm62s/surgery_questions/")</f>
        <v/>
      </c>
      <c r="G1483" t="inlineStr">
        <is>
          <t>2019-06-06 14:21:07</t>
        </is>
      </c>
      <c r="H1483" t="inlineStr"/>
    </row>
    <row r="1484">
      <c r="A1484" t="inlineStr">
        <is>
          <t>bxoa72</t>
        </is>
      </c>
      <c r="B1484" t="inlineStr">
        <is>
          <t>Burt stuck/ lung in throat</t>
        </is>
      </c>
      <c r="C1484" t="inlineStr">
        <is>
          <t>Hey! Nice to have found this /r
21 M, had heartburn every now and then, but lately i have the feeling of a lump in my throat, like theres a burp stuck in there. I can burp but it feels like there is more air trapped with liquid, its weird. I dont have heartburn anymore, just the feeling like the food is coming up my esophagus.
My dr said i should take Ensoprazol 40mg twice a day but reading all the treatments in here it looked like too much so im only taking one pill of 40mg at the morning before breakfast.
Has anyone felt like this, and have any tips? I will take this pill for 2 weeks and cut them out.
Sorry for my english and thanks</t>
        </is>
      </c>
      <c r="D1484" t="n">
        <v>2</v>
      </c>
      <c r="E1484" t="n">
        <v>6</v>
      </c>
      <c r="F1484">
        <f>HYPERLINK("https://www.reddit.com/r/GERD/comments/bxoa72/burt_stuck_lung_in_throat/")</f>
        <v/>
      </c>
      <c r="G1484" t="inlineStr">
        <is>
          <t>2019-06-06 17:41:01</t>
        </is>
      </c>
      <c r="H1484" t="inlineStr"/>
    </row>
    <row r="1485">
      <c r="A1485" t="inlineStr">
        <is>
          <t>bxpble</t>
        </is>
      </c>
      <c r="B1485" t="inlineStr">
        <is>
          <t>Breathing in Spices?</t>
        </is>
      </c>
      <c r="C1485" t="inlineStr">
        <is>
          <t>Maybe I’m just overthinking this but I have had my GERD under control for almost a year. I was even completely off my meds. I recently starting working with an Indian (Punjabi) family as a child therapist and I spend a couple hours in their home 6 days/week. During this time, they are either cooking or making teas and I’ve noticed that the strong scent of spices will irritate my throat to the point where it starts burning. Along with that, my GERD symptoms are returning. I’ve been getting heartburn almost non stop (unless I take acid reducer pills,) my regurgitation is severe and I can’t stop burping. Could it just be a coincidence or could the spices be causing this?</t>
        </is>
      </c>
      <c r="D1485" t="n">
        <v>0</v>
      </c>
      <c r="E1485" t="n">
        <v>1</v>
      </c>
      <c r="F1485">
        <f>HYPERLINK("https://www.reddit.com/r/GERD/comments/bxpble/breathing_in_spices/")</f>
        <v/>
      </c>
      <c r="G1485" t="inlineStr">
        <is>
          <t>2019-06-06 19:29:43</t>
        </is>
      </c>
      <c r="H1485" t="inlineStr"/>
    </row>
    <row r="1486">
      <c r="A1486" t="inlineStr">
        <is>
          <t>bxqiy5</t>
        </is>
      </c>
      <c r="B1486" t="inlineStr">
        <is>
          <t>Is anyone on a pureed diet to cure GERD?</t>
        </is>
      </c>
      <c r="C1486" t="inlineStr">
        <is>
          <t>If so how is it?</t>
        </is>
      </c>
      <c r="D1486" t="n">
        <v>2</v>
      </c>
      <c r="E1486" t="n">
        <v>2</v>
      </c>
      <c r="F1486">
        <f>HYPERLINK("https://www.reddit.com/r/GERD/comments/bxqiy5/is_anyone_on_a_pureed_diet_to_cure_gerd/")</f>
        <v/>
      </c>
      <c r="G1486" t="inlineStr">
        <is>
          <t>2019-06-06 21:40:25</t>
        </is>
      </c>
      <c r="H1486" t="inlineStr"/>
    </row>
    <row r="1487">
      <c r="A1487" t="inlineStr">
        <is>
          <t>bxrxmj</t>
        </is>
      </c>
      <c r="B1487" t="inlineStr">
        <is>
          <t>Did a barium swallow today and it came back I guess good? The minor pooling bit is confusing me and I cant see my doctor for awhile can anyone help</t>
        </is>
      </c>
      <c r="C1487" t="inlineStr">
        <is>
          <t>[here's a photo of the report ](https://i.imgur.com/FoXdKi5.jpg)</t>
        </is>
      </c>
      <c r="D1487" t="n">
        <v>2</v>
      </c>
      <c r="E1487" t="n">
        <v>11</v>
      </c>
      <c r="F1487">
        <f>HYPERLINK("https://www.reddit.com/r/GERD/comments/bxrxmj/did_a_barium_swallow_today_and_it_came_back_i/")</f>
        <v/>
      </c>
      <c r="G1487" t="inlineStr">
        <is>
          <t>2019-06-07 01:03:32</t>
        </is>
      </c>
      <c r="H1487" t="inlineStr"/>
    </row>
    <row r="1488">
      <c r="A1488" t="inlineStr">
        <is>
          <t>bxskhd</t>
        </is>
      </c>
      <c r="B1488" t="inlineStr">
        <is>
          <t>Did anyone try the Harvard Medical School GERD Relief guide?</t>
        </is>
      </c>
      <c r="C1488" t="inlineStr">
        <is>
          <t>I'm talking about this one. It's paid, btw:
https://www.health.harvard.edu/promotions/sumo/cooling-heartburn</t>
        </is>
      </c>
      <c r="D1488" t="n">
        <v>3</v>
      </c>
      <c r="E1488" t="n">
        <v>6</v>
      </c>
      <c r="F1488">
        <f>HYPERLINK("https://www.reddit.com/r/GERD/comments/bxskhd/did_anyone_try_the_harvard_medical_school_gerd/")</f>
        <v/>
      </c>
      <c r="G1488" t="inlineStr">
        <is>
          <t>2019-06-07 02:34:31</t>
        </is>
      </c>
      <c r="H1488" t="inlineStr"/>
    </row>
    <row r="1489">
      <c r="A1489" t="inlineStr">
        <is>
          <t>bxtl08</t>
        </is>
      </c>
      <c r="B1489" t="inlineStr">
        <is>
          <t>Endoscopy rules</t>
        </is>
      </c>
      <c r="C1489" t="inlineStr">
        <is>
          <t>I have an endoscopy today scheduled for 11 (well, 11am arrival, but then paperwork and prep, etc...) and the rules they gave me said stop drinking liquids 4hrs before and said coffee is ok but no dairy. 
Well, my coffee creamer is non-dairy so I thought it’d be ok. I drank about 1/4 of a teaspoon before I was like- shit, maybe it’s not okay. 
Will they reschedule or cancel my endoscopy because of this? Anyone with a similar experience? They don’t open for an hour so I can’t call and also I’m scared to call cause I really don’t want to reschedule! I’m already freaked out about the IV for sedation and it’s taken me months just to get the courage to schedule this one! 
Thanks for any thoughts or advice!</t>
        </is>
      </c>
      <c r="D1489" t="n">
        <v>1</v>
      </c>
      <c r="E1489" t="n">
        <v>4</v>
      </c>
      <c r="F1489">
        <f>HYPERLINK("https://www.reddit.com/r/GERD/comments/bxtl08/endoscopy_rules/")</f>
        <v/>
      </c>
      <c r="G1489" t="inlineStr">
        <is>
          <t>2019-06-07 04:39:41</t>
        </is>
      </c>
      <c r="H1489" t="inlineStr"/>
    </row>
    <row r="1490">
      <c r="A1490" t="inlineStr">
        <is>
          <t>bxtwwu</t>
        </is>
      </c>
      <c r="B1490" t="inlineStr">
        <is>
          <t>After eating in the morning specifically, I will continuously cough up phlegm for hours?</t>
        </is>
      </c>
      <c r="C1490" t="inlineStr">
        <is>
          <t>Hi.
I just found this subreddit, but I've had GERD for many years now. 
I don't understand why this happens, but for the past 4 year I have completely avoided breakfast. Even the smallest snack will cause me to have heavy symptoms. However, if I eat at anytime after 11:00 I am perfectly fine; not even the slightest hint of symptoms. 
My doctor has run all the tests, and he says that its related to GERD. Does anyone else experience this? Any foods that lets you bypass this symptoms?</t>
        </is>
      </c>
      <c r="D1490" t="n">
        <v>1</v>
      </c>
      <c r="E1490" t="n">
        <v>2</v>
      </c>
      <c r="F1490">
        <f>HYPERLINK("https://www.reddit.com/r/GERD/comments/bxtwwu/after_eating_in_the_morning_specifically_i_will/")</f>
        <v/>
      </c>
      <c r="G1490" t="inlineStr">
        <is>
          <t>2019-06-07 05:15:57</t>
        </is>
      </c>
      <c r="H1490" t="inlineStr"/>
    </row>
    <row r="1491">
      <c r="A1491" t="inlineStr">
        <is>
          <t>bxvium</t>
        </is>
      </c>
      <c r="B1491" t="inlineStr">
        <is>
          <t>Can GERD affect my breathing</t>
        </is>
      </c>
      <c r="C1491" t="inlineStr">
        <is>
          <t>I've been diagnosed with mild sleep apnea with an AHI rating of 7.5 . And i have GERD as well . So basically 24/7 sore throat and i feel very uncomfortable when drinking stuffs with gaz . I'm wondering if GERD contributes to my sleep apnea or not . I feel very tired after waking up and even more tired when napping in the afternoon . Doctor said that my septum is deviated btw</t>
        </is>
      </c>
      <c r="D1491" t="n">
        <v>7</v>
      </c>
      <c r="E1491" t="n">
        <v>8</v>
      </c>
      <c r="F1491">
        <f>HYPERLINK("https://www.reddit.com/r/GERD/comments/bxvium/can_gerd_affect_my_breathing/")</f>
        <v/>
      </c>
      <c r="G1491" t="inlineStr">
        <is>
          <t>2019-06-07 07:53:08</t>
        </is>
      </c>
      <c r="H1491" t="inlineStr"/>
    </row>
    <row r="1492">
      <c r="A1492" t="inlineStr">
        <is>
          <t>bxynkr</t>
        </is>
      </c>
      <c r="B1492" t="inlineStr">
        <is>
          <t>Questions about GERD, regarding people who have been properly diagnosed or misdiagnosed with GERD/reflux.</t>
        </is>
      </c>
      <c r="C1492" t="inlineStr">
        <is>
          <t>Hey, all. TL;DR at the end, but if you've been diagnosed/misdiagnosed with GERD, I'd really, truly appreciate you reading and weighing in.
___
For the last eight months I have been struggling within a hell of bloating - or the feeling of bloating - irritability, and burning down the line of my throat, from my esophagus to my gut.
But that's not all I have; there's a sharp, arbitrary pain right below my breastbone, and arbitrary sharp sensations in my abdomen. I have occasional bloody/black-flecked stools, not sure when they started. 
Finally - though I do not think it's related to any of this - I have swimming lights whenever I try to lie down. Makes it difficult to sleep.
I've been to eye doctors for the above, and as to my symptoms...
I've been to Asthmaologists and General Docss and ENTS and GIs, latter most recently. Confirmed I don't have asthma or allergies, or breathing issues, though I'll confess I just can't trust any doctors like I want to. My primary doc suggested stress anxiety, but -
I've kept a log of when flare-ups occur. It's random, whether I'm happy or sad, busy or idle, stressed or relaxed, with days of relaxation ahead. I've tried raising my bed, using a wedge pillow. I eat healthy, tried cutting down my diet to water, apples, honey, yoghurt - no dice.
For kicks, I tried drinking three-24 oz. cups of coffee every day to see if I got substantially more symptoms; nope. I'm 30, male, in good health. All my vitals are good, bloodwork is normal.
Most recently, just saw a Gastroentologist who said my bloody stool was 'very concerning' and I 'absolutely needed' to see a surgeon about an endoscopy. Well, because I'm a dumb meathead I listened - they said the endoscopy came back clean, no sign of GERD or a hernia or anything else in the endoscopy + biopsies. 
I was told to keep taking omeprazole, which I've taken for months with zero effect, and not sweat it despite my repeated insistence that the hassle - not the pain - have been ruining my life.
Discussed going off omeprazole with my GI, who blankly suggested cranking up to like eighty mg. I understand that omeprazole works really well for those it works for, but it hasn't helped me *at* all. I feel like I'm going crazy, or just terrible at communicating.
To keep things moving, since every doctor always has their eye on the clock, I've printed out the bullet points of this for the doctors I've seen, but they don't even care. And my primary idly commented, as an afterthought for something else, that an endoscopy isn't even reliable, apparently, for GERD and I should 'really pursue stress management.'
Lemme tell ya, it's far more stressful to hear glib comments like that and wonder why the surgeon just ushered me on home without mentioning, oh, endoscopies are effin' useless mate, here's a bill for 2k quid you can get $20 back from your insurance company, if they're feeling nice. xD
The entire savings of the last decade of my life are gone. I'm so tired of not knowing what to say to doctors; I try to avoid saying, I think I have X, and they'll say 'oh, do you think you have GERD?' 'oh, do you think you have Y?" because they want to push something, I guess. I dunno! It's just -
This really is ruining my life. I wish if you were unsatisfied with a doctor, you could get a refund, but - even as glum as I am, I'm pretty sure I can see how that'd lead to abuse, haha.
___
TL;DR. I've tried all the popular/recommended/bunk science ways of dealing with this. None of them have been effective. Going off omeprazole now, managing the reflux-reflux (aha) with sodium bicarbonate. 
Should I be pursuing some other kind of test? For those of you who were pushed onto omeprazole + variants and it didn't help, is there a line I can use to get my doctors to listen to me? Is there any light at the end of the tunnel? xD
Listen, if you've made it this far, thanks. Life sucks, and people are terrible, but you aren't. Lemme know your favourite music genre in your reply, and I'll recommend a song at you. :)</t>
        </is>
      </c>
      <c r="D1492" t="n">
        <v>3</v>
      </c>
      <c r="E1492" t="n">
        <v>7</v>
      </c>
      <c r="F1492">
        <f>HYPERLINK("https://www.reddit.com/r/GERD/comments/bxynkr/questions_about_gerd_regarding_people_who_have/")</f>
        <v/>
      </c>
      <c r="G1492" t="inlineStr">
        <is>
          <t>2019-06-07 12:21:05</t>
        </is>
      </c>
      <c r="H1492" t="inlineStr"/>
    </row>
    <row r="1493">
      <c r="A1493" t="inlineStr">
        <is>
          <t>by0cuz</t>
        </is>
      </c>
      <c r="B1493" t="inlineStr">
        <is>
          <t>Prescriptions for functional problems?</t>
        </is>
      </c>
      <c r="C1493" t="inlineStr">
        <is>
          <t>I remember someone posting names of the drugs they were prescribed for treating GERD-like symptoms.
What are the names again? I remember them being used to treat psychological issues.</t>
        </is>
      </c>
      <c r="D1493" t="n">
        <v>2</v>
      </c>
      <c r="E1493" t="n">
        <v>3</v>
      </c>
      <c r="F1493">
        <f>HYPERLINK("https://www.reddit.com/r/GERD/comments/by0cuz/prescriptions_for_functional_problems/")</f>
        <v/>
      </c>
      <c r="G1493" t="inlineStr">
        <is>
          <t>2019-06-07 14:52:52</t>
        </is>
      </c>
      <c r="H1493" t="inlineStr"/>
    </row>
    <row r="1494">
      <c r="A1494" t="inlineStr">
        <is>
          <t>by17dh</t>
        </is>
      </c>
      <c r="B1494" t="inlineStr">
        <is>
          <t>3 years of GERD, many tests later I decided to take a gastroscopy, turns out I have a small hole in my diaphragm, so I finally know what the cause of my gerd is</t>
        </is>
      </c>
      <c r="C1494" t="inlineStr">
        <is>
          <t>Stool test for helicobacter pilory and many blood tests and we found nothing, my doctor said a gastroscopy is a horrible experience but I said I want answers so we have to do it. I watched some videos and saw that its an ok experience. BUT NO I thought I was prepared for this but I was so wrong.
So the sedation wasnt applied with a spray but it was applied over the entire tube that they put in my mouth, so the initial insertion was with a lot of gagging and after that it felt like somebody trying to put a shovel inside of my upper body, lot's of burping because of air being pumped and lots of drooling. 
They found a hole in my diaphragm, thats how my acid easily can flow out of my stomach, theres nothing I can do about it, I have no idea how that hole has even appeared there. I just have to lose some weight so my fat doesnt push my stomach up and sleep lifted. Its weird because im not super fat where it pushes my stomach up, but Ill still try it out</t>
        </is>
      </c>
      <c r="D1494" t="n">
        <v>26</v>
      </c>
      <c r="E1494" t="n">
        <v>8</v>
      </c>
      <c r="F1494">
        <f>HYPERLINK("https://www.reddit.com/r/GERD/comments/by17dh/3_years_of_gerd_many_tests_later_i_decided_to/")</f>
        <v/>
      </c>
      <c r="G1494" t="inlineStr">
        <is>
          <t>2019-06-07 16:12:26</t>
        </is>
      </c>
      <c r="H1494" t="inlineStr"/>
    </row>
    <row r="1495">
      <c r="A1495" t="inlineStr">
        <is>
          <t>by3lwz</t>
        </is>
      </c>
      <c r="B1495" t="inlineStr">
        <is>
          <t>Can pregnancy make GERD better?</t>
        </is>
      </c>
      <c r="C1495" t="inlineStr">
        <is>
          <t>Just curious. I am on the fence about having children, for many reasons. One of them being that I am 34 and have had GERD for a decade. When I have people questioning me about the possibility that I will not have children, and I list GERD as one of the reasons for not wanting to be pregnant, I cannot even tell you how many people have responded with something along the lines of, “Sometimes pregnancy makes health issues BETTER! Maybe it would make your GERD better!”
There is no part of me that can imagine a scenario where GERD gets BETTER with pregnancy. 
However, I suppose I am curious. Any ladies out there who had GERD before they got pregnant and had the experience that it got better during/after pregnancy?</t>
        </is>
      </c>
      <c r="D1495" t="n">
        <v>1</v>
      </c>
      <c r="E1495" t="n">
        <v>3</v>
      </c>
      <c r="F1495">
        <f>HYPERLINK("https://www.reddit.com/r/GERD/comments/by3lwz/can_pregnancy_make_gerd_better/")</f>
        <v/>
      </c>
      <c r="G1495" t="inlineStr">
        <is>
          <t>2019-06-07 20:38:26</t>
        </is>
      </c>
      <c r="H1495" t="inlineStr"/>
    </row>
    <row r="1496">
      <c r="A1496" t="inlineStr">
        <is>
          <t>by42ni</t>
        </is>
      </c>
      <c r="B1496" t="inlineStr">
        <is>
          <t>Is it dangerous to take H2 blockers like famotidine daily long term?</t>
        </is>
      </c>
      <c r="C1496" t="inlineStr">
        <is>
          <t>I've had acid reflux for years but it wasn't until the past couple months that it's started to get bad enough to interfere with my life.
I've noticed famotidine is highly effective at alleviating the symptoms I encounter.
My mother has been trying to warn me that I shouldn't famotidine all the time because it can "burn a hole in your stomach". The thing is, I'm almost certain she's thinking of aspirin and related painkillers, not H2 blockers. But I could be wrong.
I tried googling this, but Google's algorithm just pulls up articles about PPIs. I can't find any studies indicating risks of H2 blockers long term other than side effects.
Does anyone know if Famotidine is safe to take long term?</t>
        </is>
      </c>
      <c r="D1496" t="n">
        <v>2</v>
      </c>
      <c r="E1496" t="n">
        <v>10</v>
      </c>
      <c r="F1496">
        <f>HYPERLINK("https://www.reddit.com/r/GERD/comments/by42ni/is_it_dangerous_to_take_h2_blockers_like/")</f>
        <v/>
      </c>
      <c r="G1496" t="inlineStr">
        <is>
          <t>2019-06-07 21:32:17</t>
        </is>
      </c>
      <c r="H1496" t="inlineStr"/>
    </row>
    <row r="1497">
      <c r="A1497" t="inlineStr">
        <is>
          <t>by4x8r</t>
        </is>
      </c>
      <c r="B1497" t="inlineStr">
        <is>
          <t>Update on my GERD</t>
        </is>
      </c>
      <c r="C1497" t="inlineStr">
        <is>
          <t>So I have identified a couple of things ever since my doctor diagnosed me with GERD. 
Omeprazole works for me. It helps when I take it for the days that I have to battle it out with flare ups. 
My flare ups usually happen in the evening. Especially after dinner. If I eat something light it will not start. 
Since I am pre-diabetic, when I have high blood sugars I tend to get flare ups after eating. Usually I will feel somewhat dizzy, hard to focus and pressure rising in my chest which can lead to a panic attack.
I suffer from panic attacks since September and I am finding that the same pressure and chest pain I get from GERD, causes my panic attacks. When I have one, I get dizzy, I throw up, I get nauseous and feel a fast heartbeat. These symptoms happened on a 5 hour flight (not fun holding the restroom on the plane for 50min because my stupid self ate shake shack). 
Lipitor that I have taken for almost two years now has recently been hard for me to take since it gives me nasty heartburn. 
Foods I eat that are fine for my stomach: bananas, oatmeal, blueberries, strawberries, apples, avocados and anything that is low on fat, sugars or acidity. When I buy meat or chicken I make sure I select lean meats with no fat on them. 
Foods that irritate me: fatty foods, sugary/high carb foods and coffee. 
I drink a lot of water now. Sometimes it is hard since I forget since I get busy at work.</t>
        </is>
      </c>
      <c r="D1497" t="n">
        <v>7</v>
      </c>
      <c r="E1497" t="n">
        <v>8</v>
      </c>
      <c r="F1497">
        <f>HYPERLINK("https://www.reddit.com/r/GERD/comments/by4x8r/update_on_my_gerd/")</f>
        <v/>
      </c>
      <c r="G1497" t="inlineStr">
        <is>
          <t>2019-06-07 23:06:35</t>
        </is>
      </c>
      <c r="H1497" t="inlineStr"/>
    </row>
    <row r="1498">
      <c r="A1498" t="inlineStr">
        <is>
          <t>by70f5</t>
        </is>
      </c>
      <c r="B1498" t="inlineStr">
        <is>
          <t>LPR and Eustachian Tube Disfunction — any luck in resolving symptoms?</t>
        </is>
      </c>
      <c r="C1498" t="inlineStr">
        <is>
          <t>I have been suffering from LPR since the summer of 2015. Underwent the slew of tests, a couple endoscopies and bravo. Had globus sensation, extremely sore throat, chronic cough, sinus problems, and ear fullness/pain. At this point, I have all but gotten rid of ear pain and some sinus issues. 
Lately, the ear fullness has been driving me up the wall. Has anyone had luck in resolving ear pain/fullness completely? Or at least to a manageable extent? Granted, my diet has not been strict lately (coffee and alcohol being my worst slip ups), so I am looking forward to starting that up again. I may try FODMAP or the Fast Track Diet.</t>
        </is>
      </c>
      <c r="D1498" t="n">
        <v>1</v>
      </c>
      <c r="E1498" t="n">
        <v>0</v>
      </c>
      <c r="F1498">
        <f>HYPERLINK("https://www.reddit.com/r/GERD/comments/by70f5/lpr_and_eustachian_tube_disfunction_any_luck_in/")</f>
        <v/>
      </c>
      <c r="G1498" t="inlineStr">
        <is>
          <t>2019-06-08 04:23:37</t>
        </is>
      </c>
      <c r="H1498" t="inlineStr"/>
    </row>
    <row r="1499">
      <c r="A1499" t="inlineStr">
        <is>
          <t>by7o2c</t>
        </is>
      </c>
      <c r="B1499" t="inlineStr">
        <is>
          <t>Relaxed LES, hiatal hernia and GERD, considering surgery?</t>
        </is>
      </c>
      <c r="C1499" t="inlineStr">
        <is>
          <t>The chest pain/heaviness/tightness caused by the above has been driving me crazy, coupled with the trapped burps in the hernia. It’s been almost a year now and I’ve been on and off the pills, visiting a lot of doctors who would prescribe Nexium or another PPI for months then stopping it, eating and not eating, I just want some relief to be honest. Would a surgery be the answer?</t>
        </is>
      </c>
      <c r="D1499" t="n">
        <v>1</v>
      </c>
      <c r="E1499" t="n">
        <v>2</v>
      </c>
      <c r="F1499">
        <f>HYPERLINK("https://www.reddit.com/r/GERD/comments/by7o2c/relaxed_les_hiatal_hernia_and_gerd_considering/")</f>
        <v/>
      </c>
      <c r="G1499" t="inlineStr">
        <is>
          <t>2019-06-08 05:51:05</t>
        </is>
      </c>
      <c r="H1499" t="inlineStr"/>
    </row>
    <row r="1500">
      <c r="A1500" t="inlineStr">
        <is>
          <t>by9eda</t>
        </is>
      </c>
      <c r="B1500" t="inlineStr">
        <is>
          <t>I've been dealing with mild yet persistent GERD/Acid Reflux for 3 months now. I'm looking for advice.</t>
        </is>
      </c>
      <c r="C1500" t="inlineStr">
        <is>
          <t>Around the beginning of March, my stomach rebelled against something I ate and emptied it's contents in the course of 3 hours. About 2 weeks later, I started to get some very annoying chest pain coupled with acid reflux. I was considering going to a hospital/urgent care clinic and would've if the U.S. healthcare system wasn't an absolute nightmare. I did some online research and picked up a 14-day course of Target's generic Prilosec OTC. After 2 days on the Prilosec my symptoms were gone.
&amp;amp;#x200B;
I finished the full course halfway through a trip to Vietnam/South Korea. No symptoms for a week or 2, with absolutely no dietary considerations. Once I got back to work, my symptoms started again. They haven't been as severe (the only chest pain is centered around the esophageal sphincter). I took another 2 week course of the same generic Prilosec, which reduced the symptoms but didn't eliminate them completely. For the last month, the only meds I've been taking are Tums and Alka-Seltzer.
&amp;amp;#x200B;
Currently, my main symptoms are an acidic taste in my mouth, some burning in my throat, and an almost ammonia-like feeling in my nose. I also burp a lot.
&amp;amp;#x200B;
My diet's definitely a problem. When I look at the list of possible GERD triggers, all I see is stuff I enjoy immensely. I have a caffeine dependency. I love the taste of beer and good liquor (the saddest excuse for budding alcoholism). I could order Fernet-Branca by the case. I'd rather die than live in a world without garlic or hot sauce. I'm Florida born and raised so don't get between me and my support of our dying citrus industry.
&amp;amp;#x200B;
I'ma 6'2", 190 pound man with a beer gut. That needs to go for a lot of reasons, but especially since it pushes in on me when I sit. Sure, my symptoms came around a lot later than the belly, but it's definitely not helping.
&amp;amp;#x200B;
My goal this coming week is to cut out beer, switch from coffee to green tea, and start reducing my portion sizes. I also need to pick up a bottle of apple cider vinegar, it seemed to work for me for the few days these last 3 months that I've been home. I've been travelling for work a lot and flying isn't conductive to having a suite of homeopathic remedies.
&amp;amp;#x200B;
I'm going to see a doctor soon for a general check up and to talk about this, but between that and now I'd love some advice for minimizing my issues.</t>
        </is>
      </c>
      <c r="D1500" t="n">
        <v>1</v>
      </c>
      <c r="E1500" t="n">
        <v>5</v>
      </c>
      <c r="F1500">
        <f>HYPERLINK("https://www.reddit.com/r/GERD/comments/by9eda/ive_been_dealing_with_mild_yet_persistent/")</f>
        <v/>
      </c>
      <c r="G1500" t="inlineStr">
        <is>
          <t>2019-06-08 08:59:16</t>
        </is>
      </c>
      <c r="H1500" t="inlineStr"/>
    </row>
    <row r="1501">
      <c r="A1501" t="inlineStr">
        <is>
          <t>by9g7a</t>
        </is>
      </c>
      <c r="B1501" t="inlineStr">
        <is>
          <t>Options other than H2O</t>
        </is>
      </c>
      <c r="C1501" t="inlineStr">
        <is>
          <t>I love water, but sometimes I want something a little different. Share with me all of your favorites! I would love some other juice or infused water alternatives.</t>
        </is>
      </c>
      <c r="D1501" t="n">
        <v>4</v>
      </c>
      <c r="E1501" t="n">
        <v>12</v>
      </c>
      <c r="F1501">
        <f>HYPERLINK("https://www.reddit.com/r/GERD/comments/by9g7a/options_other_than_h2o/")</f>
        <v/>
      </c>
      <c r="G1501" t="inlineStr">
        <is>
          <t>2019-06-08 09:04:06</t>
        </is>
      </c>
      <c r="H1501" t="inlineStr"/>
    </row>
    <row r="1502">
      <c r="A1502" t="inlineStr">
        <is>
          <t>by9hg1</t>
        </is>
      </c>
      <c r="B1502" t="inlineStr">
        <is>
          <t>How do you take care of your diet when you are travelling for several days and have no option but to eat outside ?</t>
        </is>
      </c>
      <c r="C1502" t="inlineStr">
        <is>
          <t>I will be travelling in the next few days and will constantly be on the move going to several places. Because of this I likely will be forced to eat outside all the time, and the last thing I want is for my GERD to flare up during travel. 
I know I can probably find some simple salad bars and stuff along the way where I can get and maybe pack my meals, but just in case I don't, I may have to eat at Chinese buffets, Mexican, Indian restaurants etc. 
I have read about the harmful effects of antacids long term so I have been extra careful of my diet in recent times eating mainly limited alkaline foods like oatmeal, bananas, almonds etc. which seems to be helping me a little to reduce the frequency of those medicines.  I sometimes chew a Gelusil or take a Zantac  if I feel anxious about a flare up coming. Of course I will be carrying these with me, but I can't guarantee all the alkaline foods will be easily available at hand to me during the travel. 
Do you have any tips on how I can survive this trip without GERD acting up ?</t>
        </is>
      </c>
      <c r="D1502" t="n">
        <v>5</v>
      </c>
      <c r="E1502" t="n">
        <v>6</v>
      </c>
      <c r="F1502">
        <f>HYPERLINK("https://www.reddit.com/r/GERD/comments/by9hg1/how_do_you_take_care_of_your_diet_when_you_are/")</f>
        <v/>
      </c>
      <c r="G1502" t="inlineStr">
        <is>
          <t>2019-06-08 09:07:15</t>
        </is>
      </c>
      <c r="H1502" t="inlineStr"/>
    </row>
    <row r="1503">
      <c r="A1503" t="inlineStr">
        <is>
          <t>bybm1i</t>
        </is>
      </c>
      <c r="B1503" t="inlineStr">
        <is>
          <t>Really worried. I have burning on the tip of my toungue and on the roof of my above.</t>
        </is>
      </c>
      <c r="C1503" t="inlineStr">
        <is>
          <t>Is this familiar? Any advice appreciated. What causes this?</t>
        </is>
      </c>
      <c r="D1503" t="n">
        <v>5</v>
      </c>
      <c r="E1503" t="n">
        <v>1</v>
      </c>
      <c r="F1503">
        <f>HYPERLINK("https://www.reddit.com/r/GERD/comments/bybm1i/really_worried_i_have_burning_on_the_tip_of_my/")</f>
        <v/>
      </c>
      <c r="G1503" t="inlineStr">
        <is>
          <t>2019-06-08 12:30:43</t>
        </is>
      </c>
      <c r="H1503" t="inlineStr"/>
    </row>
    <row r="1504">
      <c r="A1504" t="inlineStr">
        <is>
          <t>bybm9s</t>
        </is>
      </c>
      <c r="B1504" t="inlineStr">
        <is>
          <t>Will probiotics help?</t>
        </is>
      </c>
      <c r="C1504" t="inlineStr">
        <is>
          <t>So about 4 weeks ago i drank about a cup of salt and vinegar. Then I had bad stomach pain and nausea for like 3 weeks then most recently I started getting reflux 24/. It has even woke me up from sleep. I've adjusted my diet heavily to go much lower carbs, and completely cut out irritating foods. But I'm still having issues. Today I was even coughing and felt a hoarseness in my throat from the stomach acid burning me.   
Could I have gotten this issue with gerd cuz of the bacterium in my stomach getting all monkied up, perhaps killed from the salt and vinegar? Trying to take some probiotics starting today, wondering if anyone has any similar experience or advice what could be causing this nightmare.</t>
        </is>
      </c>
      <c r="D1504" t="n">
        <v>2</v>
      </c>
      <c r="E1504" t="n">
        <v>1</v>
      </c>
      <c r="F1504">
        <f>HYPERLINK("https://www.reddit.com/r/GERD/comments/bybm9s/will_probiotics_help/")</f>
        <v/>
      </c>
      <c r="G1504" t="inlineStr">
        <is>
          <t>2019-06-08 12:31:15</t>
        </is>
      </c>
      <c r="H1504" t="inlineStr"/>
    </row>
    <row r="1505">
      <c r="A1505" t="inlineStr">
        <is>
          <t>bydbkv</t>
        </is>
      </c>
      <c r="B1505" t="inlineStr">
        <is>
          <t>[PRO TIP] PubChem- for drug info and side effects</t>
        </is>
      </c>
      <c r="C1505" t="inlineStr">
        <is>
          <t>Tired of searching for articles on PubMed for drug side effects?
PubMed might be quicker and more concise.   
[https://pubchem.ncbi.nlm.nih.gov/](https://pubchem.ncbi.nlm.nih.gov/)</t>
        </is>
      </c>
      <c r="D1505" t="n">
        <v>1</v>
      </c>
      <c r="E1505" t="n">
        <v>0</v>
      </c>
      <c r="F1505">
        <f>HYPERLINK("https://www.reddit.com/r/GERD/comments/bydbkv/pro_tip_pubchem_for_drug_info_and_side_effects/")</f>
        <v/>
      </c>
      <c r="G1505" t="inlineStr">
        <is>
          <t>2019-06-08 15:19:46</t>
        </is>
      </c>
      <c r="H1505" t="inlineStr"/>
    </row>
    <row r="1506">
      <c r="A1506" t="inlineStr">
        <is>
          <t>bydyf1</t>
        </is>
      </c>
      <c r="B1506" t="inlineStr">
        <is>
          <t>What medication worked the best for your reflux?</t>
        </is>
      </c>
      <c r="C1506" t="inlineStr">
        <is>
          <t>What's the dosage?
I'm using Esomeprazole and i really don't think it's working....</t>
        </is>
      </c>
      <c r="D1506" t="n">
        <v>6</v>
      </c>
      <c r="E1506" t="n">
        <v>28</v>
      </c>
      <c r="F1506">
        <f>HYPERLINK("https://www.reddit.com/r/GERD/comments/bydyf1/what_medication_worked_the_best_for_your_reflux/")</f>
        <v/>
      </c>
      <c r="G1506" t="inlineStr">
        <is>
          <t>2019-06-08 16:26:49</t>
        </is>
      </c>
      <c r="H1506" t="inlineStr"/>
    </row>
    <row r="1507">
      <c r="A1507" t="inlineStr">
        <is>
          <t>byeg44</t>
        </is>
      </c>
      <c r="B1507" t="inlineStr">
        <is>
          <t>LPR symptoms due to burping HELP</t>
        </is>
      </c>
      <c r="C1507" t="inlineStr">
        <is>
          <t>hi so basically i’ve come to the conclusion that my lpr exists and is made worse due to burping. i was always a burper and then one day my throat just felt like something was stuck in it and i’ve just gotten so much worse. 
my symptoms are extremely tight throat, feels dry, hard to swallow, and when i’m lying down and swallow, there is a gurgle/bubbly squeak sound that comes through my mouth every single time. i also burp immediately after meals.
been 2 months as i’ve had this issue and i’ve been trying ppi’s snd everything and i’ve had periods where the symptoms calmed down (maybe 2.5 weeks in the entire 2 months it was sort of okay) but it still flared when i was on ppi’s and the only thing that caused it to flare - burping. ppi’s caused other crappy symptoms eg nausea and heartburn once i tried weaning off ages ago but currently i’m weaning off more slowly to try and get rid of the nausea and prevent rebound acid. 
i’m lost as to how i should tackle this now that i’ve given up on the ppi’s. i’ve been following s low acid diet but i get really bad flare ups even after eating the healthiest things and i burp. is there anything that can protect myself from burping and let my throat heal??? 
i’ve been taking dgl like once a day before one of my meals, zinc, magnesium and probiotics every other day. i’ve ordered d-limonene but will try it once i’m completely off the ppi and have also ordered digestive enzymes - would taking that with every meal help as well maybe with decreasing the burping???
i’d be grateful for any insight or advice that could help me tackle this burping issue(other than the basic acid reflux things because like i’ve avoided all that “no go” food and acidic food and all those things and it literally doesn’t make a difference)</t>
        </is>
      </c>
      <c r="D1507" t="n">
        <v>2</v>
      </c>
      <c r="E1507" t="n">
        <v>5</v>
      </c>
      <c r="F1507">
        <f>HYPERLINK("https://www.reddit.com/r/GERD/comments/byeg44/lpr_symptoms_due_to_burping_help/")</f>
        <v/>
      </c>
      <c r="G1507" t="inlineStr">
        <is>
          <t>2019-06-08 17:19:30</t>
        </is>
      </c>
      <c r="H1507" t="inlineStr"/>
    </row>
    <row r="1508">
      <c r="A1508" t="inlineStr">
        <is>
          <t>byf5v3</t>
        </is>
      </c>
      <c r="B1508" t="inlineStr">
        <is>
          <t>Does this sound more like GERD or LPR?</t>
        </is>
      </c>
      <c r="C1508" t="inlineStr">
        <is>
          <t>Hi all, 
Been dealing with some form of reflux over the past 6 months after I was prescribed antibiotics for an unrelated condition last fall. The symptoms are a little weird and don't quite fit either classic GERD or LPR. Mostly, I get a fair amount of mucus in my throat after eating, a "raw" feeling in my voice box, and a "puffy" sensation in my chest after eating. 
I don't get heartburn as such, at least not as experienced as a burning pain in my chest. This happens VERY infrequently. The "burning", when it does happen, feels like hot lava coming up in to my throat. 
Otherwise, it mostly feels like my voice box has been charred as if I drank something too hot and burned the tissue or was yelling for a while (my vocal cords are much, much more sensitive to raising my voice these days). The sensations are mostly limited to the indentation just between my collarbone (don't know the specific name of this area) and the very upper part of my chest, just below my clavicle. Before omeprazole treatment some months ago I had some burning behind my sternum; this is mostly absent now. 
PCP initially diagnosed me with esophagitis at first. Didn't order an endoscopy and said a cursory glance of my voice box looked OK. Omeprazole and some dietary changes helped but some symptoms persist. He's got me on ranintidine 150mg until my annual physical in a couple of weeks; I've upped that to 300mg a day so I can still eat/drink certain foods. 
What do you think? Anyone here have similar symptoms?</t>
        </is>
      </c>
      <c r="D1508" t="n">
        <v>2</v>
      </c>
      <c r="E1508" t="n">
        <v>1</v>
      </c>
      <c r="F1508">
        <f>HYPERLINK("https://www.reddit.com/r/GERD/comments/byf5v3/does_this_sound_more_like_gerd_or_lpr/")</f>
        <v/>
      </c>
      <c r="G1508" t="inlineStr">
        <is>
          <t>2019-06-08 18:37:12</t>
        </is>
      </c>
      <c r="H1508" t="inlineStr"/>
    </row>
    <row r="1509">
      <c r="A1509" t="inlineStr">
        <is>
          <t>byfc0g</t>
        </is>
      </c>
      <c r="B1509" t="inlineStr">
        <is>
          <t>Felt like heart attacks, Dr said GERD, questions...</t>
        </is>
      </c>
      <c r="C1509" t="inlineStr">
        <is>
          <t>So, after a few times of horrible chest pains which then triggered anxiety attacks I talked to the Dr about possibly having GERD. He pressed under my ribs/sternum and asked how that felt. Immediately hurt and I started burping. He gave me 40mg esomeprazole which made me feel like complete shit. I went to Walmart and got 20mg esomeprazole and take it 2x a day which makes me feel not as bad. Esomeprazole works though as I don't have the pains in my chest and stomach as much as before. 
There's still days like today that I feel like shit and still have mild burning though. 
I guess my questions are where do I go from here? I haven't felt like I'm having a heart attack lately which is great but I don't know what I don't know about GERD. Anyone have any resources or starting points they'd recommend??? 
Thanks to everyone in advance</t>
        </is>
      </c>
      <c r="D1509" t="n">
        <v>7</v>
      </c>
      <c r="E1509" t="n">
        <v>7</v>
      </c>
      <c r="F1509">
        <f>HYPERLINK("https://www.reddit.com/r/GERD/comments/byfc0g/felt_like_heart_attacks_dr_said_gerd_questions/")</f>
        <v/>
      </c>
      <c r="G1509" t="inlineStr">
        <is>
          <t>2019-06-08 18:56:53</t>
        </is>
      </c>
      <c r="H1509" t="inlineStr"/>
    </row>
    <row r="1510">
      <c r="A1510" t="inlineStr">
        <is>
          <t>byh01h</t>
        </is>
      </c>
      <c r="B1510" t="inlineStr">
        <is>
          <t>What do you do when you feel like you need to constantly clear throat?</t>
        </is>
      </c>
      <c r="C1510" t="inlineStr">
        <is>
          <t>If I try to resist, the longer I wait it gets more and more uncomfortable and difficult to breathe until I have to.
If I clear throat too much, eventually it gets try, and if I try to clear it then, it feels like I can't and it hurts, so I have to drink water.
I need to have water with me everywhere just in case. So I go into a meeting, or even just to someone else's desk to talk, I feel like I need to bring a bottle of water with me. Driving somewhere? Gotta bring a bottle of water with.</t>
        </is>
      </c>
      <c r="D1510" t="n">
        <v>5</v>
      </c>
      <c r="E1510" t="n">
        <v>1</v>
      </c>
      <c r="F1510">
        <f>HYPERLINK("https://www.reddit.com/r/GERD/comments/byh01h/what_do_you_do_when_you_feel_like_you_need_to/")</f>
        <v/>
      </c>
      <c r="G1510" t="inlineStr">
        <is>
          <t>2019-06-08 22:22:39</t>
        </is>
      </c>
      <c r="H1510" t="inlineStr"/>
    </row>
    <row r="1511">
      <c r="A1511" t="inlineStr">
        <is>
          <t>byh6rg</t>
        </is>
      </c>
      <c r="B1511" t="inlineStr">
        <is>
          <t>Acid reflux GERD</t>
        </is>
      </c>
      <c r="C1511" t="inlineStr">
        <is>
          <t>Why did my Dr say I have acid reflux when I never experience any of that. Closest o cane up with and self diagnoses is GERD cause I feel a crackling in my throat like has escaping.
But no acid no heartburn..   do I have it?
We didn't discuss anything he was dismissive</t>
        </is>
      </c>
      <c r="D1511" t="n">
        <v>3</v>
      </c>
      <c r="E1511" t="n">
        <v>11</v>
      </c>
      <c r="F1511">
        <f>HYPERLINK("https://www.reddit.com/r/GERD/comments/byh6rg/acid_reflux_gerd/")</f>
        <v/>
      </c>
      <c r="G1511" t="inlineStr">
        <is>
          <t>2019-06-08 22:48:44</t>
        </is>
      </c>
      <c r="H1511" t="inlineStr"/>
    </row>
    <row r="1512">
      <c r="A1512" t="inlineStr">
        <is>
          <t>byhbcd</t>
        </is>
      </c>
      <c r="B1512" t="inlineStr">
        <is>
          <t>Is it possible that side effects of ppi show not at the beginning but after weeks ?</t>
        </is>
      </c>
      <c r="C1512" t="inlineStr">
        <is>
          <t>I didn't had any side effects until 2-3 weeks but now my tinnitus got much worse in the last week.  I try to pinpoint the cause. I know meds can influence it.
Any toughts ?</t>
        </is>
      </c>
      <c r="D1512" t="n">
        <v>2</v>
      </c>
      <c r="E1512" t="n">
        <v>2</v>
      </c>
      <c r="F1512">
        <f>HYPERLINK("https://www.reddit.com/r/GERD/comments/byhbcd/is_it_possible_that_side_effects_of_ppi_show_not/")</f>
        <v/>
      </c>
      <c r="G1512" t="inlineStr">
        <is>
          <t>2019-06-08 23:07:52</t>
        </is>
      </c>
      <c r="H1512" t="inlineStr"/>
    </row>
    <row r="1513">
      <c r="A1513" t="inlineStr">
        <is>
          <t>byi09p</t>
        </is>
      </c>
      <c r="B1513" t="inlineStr">
        <is>
          <t>How to stop drinking coffee?</t>
        </is>
      </c>
      <c r="C1513" t="inlineStr">
        <is>
          <t>It seems coffee aggravated my reflux, I'm a mom so it's the only thing I look forward to recently, has anyone been able to cut it out? Any substitutes? My throat is so sore.</t>
        </is>
      </c>
      <c r="D1513" t="n">
        <v>3</v>
      </c>
      <c r="E1513" t="n">
        <v>18</v>
      </c>
      <c r="F1513">
        <f>HYPERLINK("https://www.reddit.com/r/GERD/comments/byi09p/how_to_stop_drinking_coffee/")</f>
        <v/>
      </c>
      <c r="G1513" t="inlineStr">
        <is>
          <t>2019-06-09 00:59:28</t>
        </is>
      </c>
      <c r="H1513" t="inlineStr"/>
    </row>
    <row r="1514">
      <c r="A1514" t="inlineStr">
        <is>
          <t>bym7ex</t>
        </is>
      </c>
      <c r="B1514" t="inlineStr">
        <is>
          <t>Gerd..help!</t>
        </is>
      </c>
      <c r="C1514" t="inlineStr">
        <is>
          <t>I have been diagnosed with GERD and have had it for a few months. I am on pantoprazole and honestly it does not seem to be working to much, still getting the heartburn daily. The last 2 months I have been experiencing chest pain, it is their daily and does not go away but at times can be not as harsh. Barium swallow was done and I was told everything looked okay, yet my chest pain is still their..what should I do?</t>
        </is>
      </c>
      <c r="D1514" t="n">
        <v>3</v>
      </c>
      <c r="E1514" t="n">
        <v>9</v>
      </c>
      <c r="F1514">
        <f>HYPERLINK("https://www.reddit.com/r/GERD/comments/bym7ex/gerdhelp/")</f>
        <v/>
      </c>
      <c r="G1514" t="inlineStr">
        <is>
          <t>2019-06-09 09:47:56</t>
        </is>
      </c>
      <c r="H1514" t="inlineStr"/>
    </row>
    <row r="1515">
      <c r="A1515" t="inlineStr">
        <is>
          <t>byn3xa</t>
        </is>
      </c>
      <c r="B1515" t="inlineStr">
        <is>
          <t>Desperate for help...</t>
        </is>
      </c>
      <c r="C1515" t="inlineStr">
        <is>
          <t>&amp;amp;#x200B;
I have had mild GERD symptoms for the past year, and found out I have an intolerance for onions (alliums) which cause these issues, I stay far away from them now... but things have gotten out of control again. Last week I had to call out of work because of major stomach pains that felt like gas, but ended up being some sort of acid reflux pain. This week is a whole other issue. The past 3 days I have had major throat issues, waking up with a completely sore throat to the point that on the first day I thought I was sick with strep throat of some sort. After a while I realized I had a burning sensation in my throat and burps, which caused me to realized I was having acid reflux. I have been taking 2 - 150 Zantac for the past 2 days and I assured myself that it would pass. But, to no avail - I woke up on this 3rd day barely being able to talk and I am on my 4th glass of tea at 1:00pm. I have called a doctor, hoping to get a visit in soon... but my quality of life has taken a toll on me and I feel COMPLETELY lost. I am sitting up at night to sleep and keeping a humidifier on all night. But WHAT else can I do, can some of you steer me in the right direction to improve and heal my acid sore throat?</t>
        </is>
      </c>
      <c r="D1515" t="n">
        <v>2</v>
      </c>
      <c r="E1515" t="n">
        <v>12</v>
      </c>
      <c r="F1515">
        <f>HYPERLINK("https://www.reddit.com/r/GERD/comments/byn3xa/desperate_for_help/")</f>
        <v/>
      </c>
      <c r="G1515" t="inlineStr">
        <is>
          <t>2019-06-09 11:07:48</t>
        </is>
      </c>
      <c r="H1515" t="inlineStr"/>
    </row>
    <row r="1516">
      <c r="A1516" t="inlineStr">
        <is>
          <t>byo3z6</t>
        </is>
      </c>
      <c r="B1516" t="inlineStr">
        <is>
          <t>For NF surgery, how long did it take you to get an appt.?</t>
        </is>
      </c>
      <c r="C1516" t="inlineStr">
        <is>
          <t>Just curious! I'm sure it varies, but I'm wondering how long it took other people in the U.S. to schedule and have the surgery. I've never had any sort of surgery before.
I'm trying to plan things around the upcoming two years of grad school and part-time work.</t>
        </is>
      </c>
      <c r="D1516" t="n">
        <v>2</v>
      </c>
      <c r="E1516" t="n">
        <v>6</v>
      </c>
      <c r="F1516">
        <f>HYPERLINK("https://www.reddit.com/r/GERD/comments/byo3z6/for_nf_surgery_how_long_did_it_take_you_to_get_an/")</f>
        <v/>
      </c>
      <c r="G1516" t="inlineStr">
        <is>
          <t>2019-06-09 12:36:12</t>
        </is>
      </c>
      <c r="H1516" t="inlineStr"/>
    </row>
    <row r="1517">
      <c r="A1517" t="inlineStr">
        <is>
          <t>bypeu5</t>
        </is>
      </c>
      <c r="B1517" t="inlineStr">
        <is>
          <t>Diagnosed with GERD, had an endoscopy about 8 months ago with no strictures but found a small hiatal hernia.</t>
        </is>
      </c>
      <c r="C1517" t="inlineStr">
        <is>
          <t>I’m a 24 year old healthy active male. 
Here for about the last 2 weeks I feel like I constantly have something stuck in my throat, I’ve had an endoscopy done before and was diagnosed with a hiatal hernia which he said was small and not a big deal, I just started a PPI (omeprazole 20mg) everyday for about a week now, but no relief. I am literally afraid/irritated to eat any type of food Bc it brings on anxiety Bc I think it’s going to get stuck or I get the sensation that something is stuck in my throat and it’s uncomfortable along with having to clear my throat constantly. I feel like my throat muscles are tight or something it’s weird, I know anxiety can cause this but it’s never got to the point where I don’t want to eat. Best way I can explain it is as having something stuck in your throat but you’re still able to swallow and eat but it sucks to eat, noticeably worse when I don’t eat, I think I have LPR which is the silent reflux because I don’t get heartburn often, but I clear my throat every time I eat like a 100x.</t>
        </is>
      </c>
      <c r="D1517" t="n">
        <v>0</v>
      </c>
      <c r="E1517" t="n">
        <v>0</v>
      </c>
      <c r="F1517">
        <f>HYPERLINK("https://www.reddit.com/r/GERD/comments/bypeu5/diagnosed_with_gerd_had_an_endoscopy_about_8/")</f>
        <v/>
      </c>
      <c r="G1517" t="inlineStr">
        <is>
          <t>2019-06-09 14:33:03</t>
        </is>
      </c>
      <c r="H1517" t="inlineStr"/>
    </row>
    <row r="1518">
      <c r="A1518" t="inlineStr">
        <is>
          <t>byqxe3</t>
        </is>
      </c>
      <c r="B1518" t="inlineStr">
        <is>
          <t>LPR symptom question...please tell me if you can relate</t>
        </is>
      </c>
      <c r="C1518" t="inlineStr">
        <is>
          <t>I'm newly diagnosed with LPR. I had all the normal symptoms everyone talks about...lump, dry throat, hoarseness. Most of those symptoms have gone away or improved, but what concerns me most are symptoms that I don't ever come across and I'm wondering if they are LPR related or if my ENT is overlooking anything. The worst is this weird sensation that comes across my collar bones...not really pain, but discomfort and it happens throughout the day. This hasn't improved. I also get a "pleurisy" type sensation sometimes when I take a deep breath in. Also, a feeling of swollen lymph nodes around neck when they aren't actually swollen (had soft tissue neck ultrasound to confirm). These symptoms are bothering me so bad...when I tried to describe them to my ENT, he basically cut me off and confirmed this is all "normal" but I've searched all over online and can't find anyone else describing these other weird symptoms wth their LPR. Is there anyone else that can relate to this?</t>
        </is>
      </c>
      <c r="D1518" t="n">
        <v>3</v>
      </c>
      <c r="E1518" t="n">
        <v>4</v>
      </c>
      <c r="F1518">
        <f>HYPERLINK("https://www.reddit.com/r/GERD/comments/byqxe3/lpr_symptom_questionplease_tell_me_if_you_can/")</f>
        <v/>
      </c>
      <c r="G1518" t="inlineStr">
        <is>
          <t>2019-06-09 16:57:26</t>
        </is>
      </c>
      <c r="H1518" t="inlineStr"/>
    </row>
    <row r="1519">
      <c r="A1519" t="inlineStr">
        <is>
          <t>bys4sh</t>
        </is>
      </c>
      <c r="B1519" t="inlineStr">
        <is>
          <t>Acid Watcher Diet</t>
        </is>
      </c>
      <c r="C1519" t="inlineStr">
        <is>
          <t>Is anyone else doing this diet?  I was recommended this book by someone on reddit and found it extremely helpful, I read it in a day. I’m on day two of the diet and I’m not sure if I’m doing it right and how much wiggle room I have with it. Currently I’ve been following the recipes to a tee, but for example since it says you can have organic peanut butter and you can have whole wheat bread.... does that mean I can have a peanut butter sandwich??? Or do I need to stick to only the recipes given to me?  I’m finding it hard to keep up with all of the cooking and dishes and wish that some of the lunches and dinners were a bit easier like a simple peanut butter sandwich.
My other question is about quantity. I’m finding myself not satisfied after meals and wanting more. Is it fine to have a handful of nuts or an extra power bar if I’m starving, but already had my snack?  I’ve been sticking to the three meals and two snacks only and I’m hungry!!!  (Note: i am 117ibs so I’m not dieting for weight loss. I know weight can be a contributing factor for reflux)
Side note..... I miss coffee and chocolate so bad!</t>
        </is>
      </c>
      <c r="D1519" t="n">
        <v>1</v>
      </c>
      <c r="E1519" t="n">
        <v>8</v>
      </c>
      <c r="F1519">
        <f>HYPERLINK("https://www.reddit.com/r/GERD/comments/bys4sh/acid_watcher_diet/")</f>
        <v/>
      </c>
      <c r="G1519" t="inlineStr">
        <is>
          <t>2019-06-09 19:04:01</t>
        </is>
      </c>
      <c r="H1519" t="inlineStr"/>
    </row>
    <row r="1520">
      <c r="A1520" t="inlineStr">
        <is>
          <t>bythrp</t>
        </is>
      </c>
      <c r="B1520" t="inlineStr">
        <is>
          <t>Alternating Zantac and Pepcid every other day?</t>
        </is>
      </c>
      <c r="C1520" t="inlineStr">
        <is>
          <t>Hey all.  In trying to taper down my PPI I've been relying more on the H2 blockers.  But I keep reading horror stories about tolerance and that they can lose effectiveness if used every day.  Would alternating them every other day help stop this from happening?  Let me know your experiences.</t>
        </is>
      </c>
      <c r="D1520" t="n">
        <v>2</v>
      </c>
      <c r="E1520" t="n">
        <v>7</v>
      </c>
      <c r="F1520">
        <f>HYPERLINK("https://www.reddit.com/r/GERD/comments/bythrp/alternating_zantac_and_pepcid_every_other_day/")</f>
        <v/>
      </c>
      <c r="G1520" t="inlineStr">
        <is>
          <t>2019-06-09 21:32:20</t>
        </is>
      </c>
      <c r="H1520" t="inlineStr"/>
    </row>
    <row r="1521">
      <c r="A1521" t="inlineStr">
        <is>
          <t>byyo9v</t>
        </is>
      </c>
      <c r="B1521" t="inlineStr">
        <is>
          <t>Has anyone successfully reduced their GERD symptoms by getting rid of their belly fat?</t>
        </is>
      </c>
      <c r="C1521" t="inlineStr">
        <is>
          <t>I have a lot of the classic symptoms, burping constantly after meals, a lump in the throat feeling, some bloating depending on what I eat. The main problem is the burping and mucous production in my throat that makes me always have to clear it. I’ve also begun having a lot of gas in the form of flatulence, especially if I drink any beer or anything heavy in eggs or milk. All of these problems seemingly came out of nowhere and distinctly started with the burping, which suddenly happened one week where there had been nothing like that before. I remember exactly when it started. It’s been close to a year ago. 
I noticed though that since then I’ve put on more weight than I’ve ever had in my life. It’s not a huge amount, probably between 10-15 pounds over the course of a couple years, but I’ve noticed that my body has a tendency to store fat almost entirely around my stomach. I also tend to subconsciously try to hide it at work all day by kind of holding it in so it’s not so obvious, and I wonder if this contributes to my symptoms. I wonder if maybe I’ve built up visceral fat around my gut and if that has been the cause of this issue.
I had an endoscopy recently and it came back negative for H. Pylori and negative for anything serious, and there was nothing but mild inflammation that the doctor said was relatively normal. 
I’m wondering if anyone has experienced a reduction in symptoms after losing their belly fat. I’m hoping this is the case because it’s my next goal. I’m doing intermittent fasting and trying to reduce alcohol intake as much as possible and to keep my calories low until I’m back down to the weight I was at before.</t>
        </is>
      </c>
      <c r="D1521" t="n">
        <v>6</v>
      </c>
      <c r="E1521" t="n">
        <v>11</v>
      </c>
      <c r="F1521">
        <f>HYPERLINK("https://www.reddit.com/r/GERD/comments/byyo9v/has_anyone_successfully_reduced_their_gerd/")</f>
        <v/>
      </c>
      <c r="G1521" t="inlineStr">
        <is>
          <t>2019-06-10 07:42:36</t>
        </is>
      </c>
      <c r="H1521" t="inlineStr"/>
    </row>
    <row r="1522">
      <c r="A1522" t="inlineStr">
        <is>
          <t>byzr38</t>
        </is>
      </c>
      <c r="B1522" t="inlineStr">
        <is>
          <t>Have you had serious-feeling GERD/LPR symptoms only to have an endoscopy reveal not much going on?</t>
        </is>
      </c>
      <c r="C1522" t="inlineStr">
        <is>
          <t>Hi all, 
I've been dealing with GERD/LPR symptoms for about 6 months now. PCP didn't seem terribly concerned; had me on omeprazole 2x daily for about 2 months, then Zantac 150mg for the past month or so. Those helped to an extent but I occasionally get symptoms from trigger foods, which I'm still trying to get a hold on. I hadn't been thinking about it too much until I dropped a couple of pounds over the past few weeks; I'm down 8-9 pounds overall since my initial flare-up back in December of last year.
I'm switching PCPs this summer and will discuss my concerns with the new PCP, hoping to get a GI referral to have an endoscopy done so as to rule out anything serious once and for all. 
Just wondering if there's anyone out there who has dealt with serious-feeling symptoms but received clean endoscopy results? Trying to figure out how much of my symptoms are exacerbated by anxiety, which admittedly has been worse lately for a variety of factors. Thanks!</t>
        </is>
      </c>
      <c r="D1522" t="n">
        <v>9</v>
      </c>
      <c r="E1522" t="n">
        <v>17</v>
      </c>
      <c r="F1522">
        <f>HYPERLINK("https://www.reddit.com/r/GERD/comments/byzr38/have_you_had_seriousfeeling_gerdlpr_symptoms_only/")</f>
        <v/>
      </c>
      <c r="G1522" t="inlineStr">
        <is>
          <t>2019-06-10 09:14:43</t>
        </is>
      </c>
      <c r="H1522" t="inlineStr"/>
    </row>
    <row r="1523">
      <c r="A1523" t="inlineStr">
        <is>
          <t>bz1e8l</t>
        </is>
      </c>
      <c r="B1523" t="inlineStr">
        <is>
          <t>2 weeks before endoscopy</t>
        </is>
      </c>
      <c r="C1523" t="inlineStr">
        <is>
          <t>Hi guys
The doctors booked an appointment in 9 days and told me I can take 40mg Omeprozole a day all the way up to my endoscopy. They said that is has changed this year? Why has it changed?
They said I can be sedated or have a spray to numb my throat. What's best?
Thanks</t>
        </is>
      </c>
      <c r="D1523" t="n">
        <v>1</v>
      </c>
      <c r="E1523" t="n">
        <v>7</v>
      </c>
      <c r="F1523">
        <f>HYPERLINK("https://www.reddit.com/r/GERD/comments/bz1e8l/2_weeks_before_endoscopy/")</f>
        <v/>
      </c>
      <c r="G1523" t="inlineStr">
        <is>
          <t>2019-06-10 11:27:57</t>
        </is>
      </c>
      <c r="H1523" t="inlineStr"/>
    </row>
    <row r="1524">
      <c r="A1524" t="inlineStr">
        <is>
          <t>bz1i5c</t>
        </is>
      </c>
      <c r="B1524" t="inlineStr">
        <is>
          <t>Crushing Chest Pain when I Lean Forward</t>
        </is>
      </c>
      <c r="C1524" t="inlineStr">
        <is>
          <t>I've been diagnosed with gerd (1 year), recently I have been experiencing a excruciating crushing pain in the center/right of my chest when I lean forward.
This is accompanied by shortness of breath and dry mouth (regular symptoms in my experience).
The pain only happens sporadically on some days and goes away after some time.
Is this a regular symptom or should I visit the ER?</t>
        </is>
      </c>
      <c r="D1524" t="n">
        <v>3</v>
      </c>
      <c r="E1524" t="n">
        <v>1</v>
      </c>
      <c r="F1524">
        <f>HYPERLINK("https://www.reddit.com/r/GERD/comments/bz1i5c/crushing_chest_pain_when_i_lean_forward/")</f>
        <v/>
      </c>
      <c r="G1524" t="inlineStr">
        <is>
          <t>2019-06-10 11:36:37</t>
        </is>
      </c>
      <c r="H1524" t="inlineStr"/>
    </row>
    <row r="1525">
      <c r="A1525" t="inlineStr">
        <is>
          <t>bz48lc</t>
        </is>
      </c>
      <c r="B1525" t="inlineStr">
        <is>
          <t>Please take your GERD seriously!</t>
        </is>
      </c>
      <c r="C1525" t="inlineStr">
        <is>
          <t>I've had problems with acid reflux for years.  I was taking prescription Nexium for it as needed and using Tums/Pepto Bismol as well.  A fee weeks ago I passed out and vomited a lot of blood.  At the hospital they did an endoscopy and found a carcinoma in my esophagus near the stomach entrance.  My doctor says it's likely the AR caused it.  I'm having additional tests done to determine the extent of it and future treatment options.</t>
        </is>
      </c>
      <c r="D1525" t="n">
        <v>31</v>
      </c>
      <c r="E1525" t="n">
        <v>35</v>
      </c>
      <c r="F1525">
        <f>HYPERLINK("https://www.reddit.com/r/GERD/comments/bz48lc/please_take_your_gerd_seriously/")</f>
        <v/>
      </c>
      <c r="G1525" t="inlineStr">
        <is>
          <t>2019-06-10 15:24:18</t>
        </is>
      </c>
      <c r="H1525" t="inlineStr"/>
    </row>
    <row r="1526">
      <c r="A1526" t="inlineStr">
        <is>
          <t>bz7czh</t>
        </is>
      </c>
      <c r="B1526" t="inlineStr">
        <is>
          <t>Is GERD also triggered by chronic gluten intolerance?</t>
        </is>
      </c>
      <c r="C1526" t="inlineStr">
        <is>
          <t>I have a couple of gastrointestinal problems. Found out I might be gluten intolerant and it makes sense because I experience some symptoms of the celiac disease. Does anyone of you also suffer with gluten allergy? What did you cut from your diet and how long before you started seeing results?</t>
        </is>
      </c>
      <c r="D1526" t="n">
        <v>2</v>
      </c>
      <c r="E1526" t="n">
        <v>2</v>
      </c>
      <c r="F1526">
        <f>HYPERLINK("https://www.reddit.com/r/GERD/comments/bz7czh/is_gerd_also_triggered_by_chronic_gluten/")</f>
        <v/>
      </c>
      <c r="G1526" t="inlineStr">
        <is>
          <t>2019-06-10 20:21:03</t>
        </is>
      </c>
      <c r="H1526" t="inlineStr"/>
    </row>
    <row r="1527">
      <c r="A1527" t="inlineStr">
        <is>
          <t>bz94lf</t>
        </is>
      </c>
      <c r="B1527" t="inlineStr">
        <is>
          <t>Constant throat clearing is driving me crazy.</t>
        </is>
      </c>
      <c r="C1527" t="inlineStr">
        <is>
          <t>Hi all, this is my first time posting here. I’ve had self-diagnosed LPR symptoms on and off for the past 4 years. I’ve never been diagnosed because the doctors have pegged me as anxious and think I just have globus sensation and occasional acid reflux, and haven’t taken it super seriously since then. The only test I’ve gotten is the H. Pylori breath test which came back negative. I kept asking for other tests but they said there aren’t any others they can do without sending me to a gastro doctor, which of course they don’t want to do. Ugh. I’ve been on and off of PPIs but they give me terrible gas and stomach cramps, so I only go on them when things get really bad. Things have been terrible lately but I am a bit afraid of having to fight with the doctors to get answers. 
Sorry for the long backstory! I don’t know what I’m looking for here, I guess some affirmation and maybe some advice. I am certain I have LPR because I get burning in my throat and mouth in the mornings, my voice is hoarse, and I clear my throat what feels like hundreds of times a day. I used to have the sensation of a lump in my throat, but I haven’t had that in awhile. The weird part is the lack of consistency. I can have terrible symptoms for a while month, and then it will almost disappear for a few weeks. It goes in random cycles like that. But it has been consistently bad lately. 
Recently I have been most concerned about all of the phlegm and throat clearing. I think I’m getting acid in my lungs because I have a little crackle when I breathe because of the phlegm in there. I know it’s not deep in my lungs but closer to the top because I don’t really have to cough to get it out, I just have to clear my throat really hard. I just don’t like that it has progressed to an airway problem now as well as being a GI problem.
I could really use some advice as to what to say to my doctors so that they will take me seriously, what kinds of tests to ask for, and more about what I can do in terms of treating myself in the meantime. Thank you!!</t>
        </is>
      </c>
      <c r="D1527" t="n">
        <v>9</v>
      </c>
      <c r="E1527" t="n">
        <v>4</v>
      </c>
      <c r="F1527">
        <f>HYPERLINK("https://www.reddit.com/r/GERD/comments/bz94lf/constant_throat_clearing_is_driving_me_crazy/")</f>
        <v/>
      </c>
      <c r="G1527" t="inlineStr">
        <is>
          <t>2019-06-10 23:47:04</t>
        </is>
      </c>
      <c r="H1527" t="inlineStr"/>
    </row>
    <row r="1528">
      <c r="A1528" t="inlineStr">
        <is>
          <t>bza0af</t>
        </is>
      </c>
      <c r="B1528" t="inlineStr">
        <is>
          <t>Some questions about GERD and doctor visits</t>
        </is>
      </c>
      <c r="C1528" t="inlineStr">
        <is>
          <t>A short background:
&amp;amp;#x200B;
I'm underweight.
&amp;amp;#x200B;
In my teenage years.
&amp;amp;#x200B;
I don't smoke or drink.
&amp;amp;#x200B;
Have a ton of stress.
&amp;amp;#x200B;
Food sometimes struggles to get down into my stomach but it's very, very rare.
&amp;amp;#x200B;
I've had SEVERE reflux (Not necessarily GERD): for the past few years | This means that I have an "air bubble" every second even after I force a burp consecutively 10 times in a row, It'll come back in less than a second with the same consistency. This has lasted for the past few years for every second of every day.
&amp;amp;#x200B;
My reflux issues were likely caused due to the obsessive amount of gas I had in my stomach. I had to hold in my farts eventually because it became stupidly obsessive and eventually I had a jolt of pain in where I believe my sphincter for my stomach is located. 
&amp;amp;#x200B;
I almost never have heartburn.
&amp;amp;#x200B;
I've tried all sorts of acid-suppressive and INCREASING remedies/medication and had little to no help.
&amp;amp;#x200B;
The type of food I eat rarely have any noticeable conflicts with my reflux (probably because it's already a nightmare).
&amp;amp;#x200B;
\_\_\_\_\_\_\_\_\_
&amp;amp;#x200B;
Anyways, one of the first questions I had was about a tube I had that went into my nose and down into my throat (this was a year ago, I'm making a new appointment later this month). What exactly is this called and what all can it find? All I got from the test was that I have gastritis and inflammation. 
&amp;amp;#x200B;
Going alongside the first question, I keep hearing about endoscopies which I don't think I had? This is because I keep hearing about being sedated for endoscopies and it being able to show the state of your stomach. Do endoscopies require you to go through anesthesia to the point where you need an IV?
&amp;amp;#x200B;
Should I expect/prepare to get a colonoscopy or is this irrelevant for people with GERD/reflux?
&amp;amp;#x200B;
Lastly, I've heard about people with NERD which is basically a non-erosive version of GERD which I think is closer to what I have compared to GERD. I've basically had this reflux left untreated for the majority of my life for the past year and a half. The earliest doctor appointment is a bit far away and I'm anxious. What are some things that I can expect to have for someone who's had excessive reflux for the past few years? I'm afraid that I'll have Barrett's esophagus or maybe something more unfortunate such as pre-cancerous symptoms.</t>
        </is>
      </c>
      <c r="D1528" t="n">
        <v>5</v>
      </c>
      <c r="E1528" t="n">
        <v>1</v>
      </c>
      <c r="F1528">
        <f>HYPERLINK("https://www.reddit.com/r/GERD/comments/bza0af/some_questions_about_gerd_and_doctor_visits/")</f>
        <v/>
      </c>
      <c r="G1528" t="inlineStr">
        <is>
          <t>2019-06-11 01:48:31</t>
        </is>
      </c>
      <c r="H1528" t="inlineStr"/>
    </row>
    <row r="1529">
      <c r="A1529" t="inlineStr">
        <is>
          <t>bza84x</t>
        </is>
      </c>
      <c r="B1529" t="inlineStr">
        <is>
          <t>Any remedies for sore throat?</t>
        </is>
      </c>
      <c r="C1529" t="inlineStr">
        <is>
          <t>Avoiding triggers and all the gerd guidelines. Antacids and PPIs are not helping. Anything I can use to help with the throat pain?.</t>
        </is>
      </c>
      <c r="D1529" t="n">
        <v>2</v>
      </c>
      <c r="E1529" t="n">
        <v>2</v>
      </c>
      <c r="F1529">
        <f>HYPERLINK("https://www.reddit.com/r/GERD/comments/bza84x/any_remedies_for_sore_throat/")</f>
        <v/>
      </c>
      <c r="G1529" t="inlineStr">
        <is>
          <t>2019-06-11 02:19:23</t>
        </is>
      </c>
      <c r="H1529" t="inlineStr"/>
    </row>
    <row r="1530">
      <c r="A1530" t="inlineStr">
        <is>
          <t>bzanwo</t>
        </is>
      </c>
      <c r="B1530" t="inlineStr">
        <is>
          <t>Any LPR success stories out there?</t>
        </is>
      </c>
      <c r="C1530" t="inlineStr">
        <is>
          <t>I’ve had brutal LPR for a year made worse by PPI’s. Have a sore throat every morning, trouble swallowing, hoarse voice, bad taste in mouth, coughing, sinus and ear issues etc. I’m struggling to find a solution and successful treatment and worried about damage this could be doing, it seems all the things typically suggested for acid reflux (diet &amp;amp; lifestyle changes, PPI’s) are having zero effect on my symptoms and my gastro maintains that I need to go on an even higher dose of PPI’s. I am only 29 and extremely healthy, fit and active so this is bizarre to me, would love to hear from anyone out there who has had similar LPR issues what helped them!!</t>
        </is>
      </c>
      <c r="D1530" t="n">
        <v>9</v>
      </c>
      <c r="E1530" t="n">
        <v>23</v>
      </c>
      <c r="F1530">
        <f>HYPERLINK("https://www.reddit.com/r/GERD/comments/bzanwo/any_lpr_success_stories_out_there/")</f>
        <v/>
      </c>
      <c r="G1530" t="inlineStr">
        <is>
          <t>2019-06-11 03:16:39</t>
        </is>
      </c>
      <c r="H1530" t="inlineStr"/>
    </row>
    <row r="1531">
      <c r="A1531" t="inlineStr">
        <is>
          <t>bzb0ew</t>
        </is>
      </c>
      <c r="B1531" t="inlineStr">
        <is>
          <t>Any way to quit being on medication regularly?</t>
        </is>
      </c>
      <c r="C1531" t="inlineStr">
        <is>
          <t>Since 2015 (freshman year in college), I was diagnosed with GERD and hiatal hernia. I've had a few flares in freshman and junior years, with one trip landing me to the hospital for severe heartburn. 
I am on Zantac 2x a day 150mg. I have since stopped to only take it when I need it (which is very rarely) and once a night. I hate being on medication forever and it seems like there's an option to get hiatal hernia surgery when I'm older (25+ years old). I was wondering if there are any other options other than surgery.
Regarding my symptoms, I normally never feel the acid burning up my throat the next morning but my bf says my mouth smells like shit lol. I also never eat sweets/sugar but end up having around 8 cavities a year due to the acid. My freshmen year I was diligent and took Zantac normally with Prilosec and used Listerine every night. It resulted in no cavities that year which I'm very proud of, and something I hope to achieve again.</t>
        </is>
      </c>
      <c r="D1531" t="n">
        <v>5</v>
      </c>
      <c r="E1531" t="n">
        <v>13</v>
      </c>
      <c r="F1531">
        <f>HYPERLINK("https://www.reddit.com/r/GERD/comments/bzb0ew/any_way_to_quit_being_on_medication_regularly/")</f>
        <v/>
      </c>
      <c r="G1531" t="inlineStr">
        <is>
          <t>2019-06-11 04:00:07</t>
        </is>
      </c>
      <c r="H1531" t="inlineStr"/>
    </row>
    <row r="1532">
      <c r="A1532" t="inlineStr">
        <is>
          <t>bzctkq</t>
        </is>
      </c>
      <c r="B1532" t="inlineStr">
        <is>
          <t>Anyone's reflux flare up seasonally with allergies?</t>
        </is>
      </c>
      <c r="C1532" t="inlineStr">
        <is>
          <t>Hi all, 
My reflux seems to be worse the past few days; pollen levels are increasing where I live and it's become hard to tell which mucus is from reflux and which is from allergies. 
Is there a correlation? Has anyone else with seasonal allergies noticed their reflux symptoms worsening during, say, times of peak pollen?</t>
        </is>
      </c>
      <c r="D1532" t="n">
        <v>2</v>
      </c>
      <c r="E1532" t="n">
        <v>3</v>
      </c>
      <c r="F1532">
        <f>HYPERLINK("https://www.reddit.com/r/GERD/comments/bzctkq/anyones_reflux_flare_up_seasonally_with_allergies/")</f>
        <v/>
      </c>
      <c r="G1532" t="inlineStr">
        <is>
          <t>2019-06-11 06:58:07</t>
        </is>
      </c>
      <c r="H1532" t="inlineStr"/>
    </row>
    <row r="1533">
      <c r="A1533" t="inlineStr">
        <is>
          <t>bzgmyj</t>
        </is>
      </c>
      <c r="B1533" t="inlineStr">
        <is>
          <t>"Stuck in Throat" feeling?</t>
        </is>
      </c>
      <c r="C1533" t="inlineStr">
        <is>
          <t>Hello all, 
I have not officially been diagnosed with GERD, however review of the symptoms, several family members with the condition, and frequent acid refluc leads me to believe that my issue is likely GERD related.  I still plan on seeing a doctor for this, so I'm not relying on you all for a diagnosis here.  
My current symptom consists of a feeling deep in my throat, almost at the collarbone level.  It's almost as if I'm choking on something, or like I've got a pill stuck in my throat.  I know this is not the case, and am able to intake food and liquid ok, breathing is normal.  I've noticed this seems to feel related to gas and burping, but can't quite pin things down.  
&amp;amp;#x200B;
Wondering if anyone has any experience with this type of discomfort, and or relief suggestions?  Again, I'll still be consulting with a doctor later.</t>
        </is>
      </c>
      <c r="D1533" t="n">
        <v>3</v>
      </c>
      <c r="E1533" t="n">
        <v>21</v>
      </c>
      <c r="F1533">
        <f>HYPERLINK("https://www.reddit.com/r/GERD/comments/bzgmyj/stuck_in_throat_feeling/")</f>
        <v/>
      </c>
      <c r="G1533" t="inlineStr">
        <is>
          <t>2019-06-11 11:59:10</t>
        </is>
      </c>
      <c r="H1533" t="inlineStr"/>
    </row>
    <row r="1534">
      <c r="A1534" t="inlineStr">
        <is>
          <t>bzix1x</t>
        </is>
      </c>
      <c r="B1534" t="inlineStr">
        <is>
          <t>How to take Vitamin C supplement when it exacerbates my GERD</t>
        </is>
      </c>
      <c r="C1534" t="inlineStr">
        <is>
          <t>Hi everyone. I'm a 46 year old woman with GERD (Dx 2003) &amp;amp; very mild Barrett's (Dx 2016). I probably started having GERD symptoms in childhood...lots of burping after every meal, right until my GERD diagnosis in 2003.
Recently, due to a bunch of factors (including avoiding high-cholesterol foods) I've become iron anemic, and have relatively low B12 too. I was advised to take an iron supplement, so I chose iron bisglycinate because it's gentler on the stomach.
Then I read online that iron supplements don't work well unless I take a Vitamin C supplement at the same time. I can't tolerate Vitamin C tablets because of GERD, so I tried drinking limeade (from store-bought lime juice) with the supplement, thinking it's not as strong as a Vitamin C tablet, so it might not be as problematic. Unfortunately acid came right up to my throat and caused a bad bout of coughing.
So I can't drink limeade or lemonade, it seems. Will orange juice be less acidic? Or diluted OJ?
I read online that there's a gentler form of Vitamin C called calcium ascorbate, but because it has calcium in it, I can't take it with iron. Calcium prevents the absorption of iron.
Thanks in advance for any ideas you might have for how I can take some form of Vitamin C or citric acid along with my iron supplement, without aggravating my GERD.</t>
        </is>
      </c>
      <c r="D1534" t="n">
        <v>2</v>
      </c>
      <c r="E1534" t="n">
        <v>16</v>
      </c>
      <c r="F1534">
        <f>HYPERLINK("https://www.reddit.com/r/GERD/comments/bzix1x/how_to_take_vitamin_c_supplement_when_it/")</f>
        <v/>
      </c>
      <c r="G1534" t="inlineStr">
        <is>
          <t>2019-06-11 15:10:05</t>
        </is>
      </c>
      <c r="H1534" t="inlineStr"/>
    </row>
    <row r="1535">
      <c r="A1535" t="inlineStr">
        <is>
          <t>bzk7kg</t>
        </is>
      </c>
      <c r="B1535" t="inlineStr">
        <is>
          <t>ppi rebound - inflamed sore throat</t>
        </is>
      </c>
      <c r="C1535" t="inlineStr">
        <is>
          <t>so basically i’ve been taking ppi for 2 months now and most recently was taking 40mg a day for 3 weeks (was taking only 20 for the rest) so i’ve gone down to 20 last week and 3 days later i woke up with an extremely sore throat that’s super tight and hard to swallow. it’s pretty red but not overly snd like the pain is in the back of my throat and also a bit further down too like down to the middle of my throat maybe. it’s super tight and i hear s loud gurgle through my mouth every time after i swallow (i’m assuming because the throat is so inflamed). my glands like near my jaw are super sensitive too. 
it’s not infection because its no pus or anything and the pain goes below my tonsils too leading me to believe it’s acid rebound. it’s like
knives are cutting me as i swallow. never had these symptoms before and wanted to lower my ppi because 40mg was giving me extreme nausea and then this happened! wtf is going on? is it just rebound? will it heal over time?? anyone else got rebound symptoms like this?? i just want off the ppi’s</t>
        </is>
      </c>
      <c r="D1535" t="n">
        <v>4</v>
      </c>
      <c r="E1535" t="n">
        <v>15</v>
      </c>
      <c r="F1535">
        <f>HYPERLINK("https://www.reddit.com/r/GERD/comments/bzk7kg/ppi_rebound_inflamed_sore_throat/")</f>
        <v/>
      </c>
      <c r="G1535" t="inlineStr">
        <is>
          <t>2019-06-11 17:10:46</t>
        </is>
      </c>
      <c r="H1535" t="inlineStr"/>
    </row>
    <row r="1536">
      <c r="A1536" t="inlineStr">
        <is>
          <t>bzlj8e</t>
        </is>
      </c>
      <c r="B1536" t="inlineStr">
        <is>
          <t>GERD - TIPS?</t>
        </is>
      </c>
      <c r="C1536" t="inlineStr">
        <is>
          <t>Hi! I have been suffering from terrible GERD. Every single day every minute of the day. 
It’s awful. Can you please post tips on how to manage or cure? Has anyone successfully gotten rid of GERD using a low carb diet? How long did it take to see results? Thanks in advance!</t>
        </is>
      </c>
      <c r="D1536" t="n">
        <v>5</v>
      </c>
      <c r="E1536" t="n">
        <v>25</v>
      </c>
      <c r="F1536">
        <f>HYPERLINK("https://www.reddit.com/r/GERD/comments/bzlj8e/gerd_tips/")</f>
        <v/>
      </c>
      <c r="G1536" t="inlineStr">
        <is>
          <t>2019-06-11 19:24:51</t>
        </is>
      </c>
      <c r="H1536" t="inlineStr"/>
    </row>
    <row r="1537">
      <c r="A1537" t="inlineStr">
        <is>
          <t>bzlp7x</t>
        </is>
      </c>
      <c r="B1537" t="inlineStr">
        <is>
          <t>I have most symptoms of LPR</t>
        </is>
      </c>
      <c r="C1537" t="inlineStr">
        <is>
          <t>Constant feeling of mucus stuck in the back of my throat. Chronic throat clearing for many years. It lately got worse, I try to swallow whatever is in my throat but its not going away. It gets worse after eating and sometimes I get voice hoarseness. Can someone with LPR confirm their throat looks like mine? 
https://imgur.com/a/VKvACmv</t>
        </is>
      </c>
      <c r="D1537" t="n">
        <v>5</v>
      </c>
      <c r="E1537" t="n">
        <v>2</v>
      </c>
      <c r="F1537">
        <f>HYPERLINK("https://www.reddit.com/r/GERD/comments/bzlp7x/i_have_most_symptoms_of_lpr/")</f>
        <v/>
      </c>
      <c r="G1537" t="inlineStr">
        <is>
          <t>2019-06-11 19:41:52</t>
        </is>
      </c>
      <c r="H1537" t="inlineStr"/>
    </row>
    <row r="1538">
      <c r="A1538" t="inlineStr">
        <is>
          <t>bzoz7u</t>
        </is>
      </c>
      <c r="B1538" t="inlineStr">
        <is>
          <t>No heartburn, but the lump in my throat is driving me crazy</t>
        </is>
      </c>
      <c r="C1538" t="inlineStr">
        <is>
          <t>I got diagnosed with GERD because I kept feeling like there was a dry spot in my throat. My Dr prescribed Protonix, after which things got a lot worse. (No idea if it's actually the drug tho). Now I have a lump in my throat that I am constantly feeling like I need to swallow, and I've barely slept for 5 days.
I have a referral to a gastroenterologist but I'm waiting for insurance pre-authorization, which may take a week or do. Is there ANYTHING I can do in the meantime to make this stop/get some sleep? Should I see my PCP again?</t>
        </is>
      </c>
      <c r="D1538" t="n">
        <v>2</v>
      </c>
      <c r="E1538" t="n">
        <v>3</v>
      </c>
      <c r="F1538">
        <f>HYPERLINK("https://www.reddit.com/r/GERD/comments/bzoz7u/no_heartburn_but_the_lump_in_my_throat_is_driving/")</f>
        <v/>
      </c>
      <c r="G1538" t="inlineStr">
        <is>
          <t>2019-06-12 02:22:25</t>
        </is>
      </c>
      <c r="H1538" t="inlineStr"/>
    </row>
    <row r="1539">
      <c r="A1539" t="inlineStr">
        <is>
          <t>bzqndl</t>
        </is>
      </c>
      <c r="B1539" t="inlineStr">
        <is>
          <t>Issues with GERD</t>
        </is>
      </c>
      <c r="C1539" t="inlineStr">
        <is>
          <t>Does anyone else starts getting their heartburn, chest pressure, some acid in throat like 2 hours after eating instead of getting it much sooner after eating?
Also I have this weird thing where heartburn gets worse when I sit straight in chair with my back having pressure from chair and it gets better when I slide down in chair. Does anyone else experience something similar?</t>
        </is>
      </c>
      <c r="D1539" t="n">
        <v>3</v>
      </c>
      <c r="E1539" t="n">
        <v>2</v>
      </c>
      <c r="F1539">
        <f>HYPERLINK("https://www.reddit.com/r/GERD/comments/bzqndl/issues_with_gerd/")</f>
        <v/>
      </c>
      <c r="G1539" t="inlineStr">
        <is>
          <t>2019-06-12 05:32:06</t>
        </is>
      </c>
      <c r="H1539" t="inlineStr"/>
    </row>
    <row r="1540">
      <c r="A1540" t="inlineStr">
        <is>
          <t>bzr0yh</t>
        </is>
      </c>
      <c r="B1540" t="inlineStr">
        <is>
          <t>Has anyone had an appointment with Dr Koufman of the acid reflux diet? Also, a question about Laryngeal Electromyography.</t>
        </is>
      </c>
      <c r="C1540" t="inlineStr">
        <is>
          <t>Hello! I have such terrible LPR and only found some relief after discovering Dr Koufman’s book, Dropping Acid. I am seriously considering traveling to NYC to actually be treated by her, as no doctors in my area have a f*#%ing (sorry, I am frustrated w all of the doctors in my area) clue about treating LPR. Has anyone here actually gone to see her?
I also read on her website that she uses something called Laryngeal Electromyography to do some diagnostics. It does not sound fun. Anyone here ever had it done to them?
Thanks!</t>
        </is>
      </c>
      <c r="D1540" t="n">
        <v>5</v>
      </c>
      <c r="E1540" t="n">
        <v>4</v>
      </c>
      <c r="F1540">
        <f>HYPERLINK("https://www.reddit.com/r/GERD/comments/bzr0yh/has_anyone_had_an_appointment_with_dr_koufman_of/")</f>
        <v/>
      </c>
      <c r="G1540" t="inlineStr">
        <is>
          <t>2019-06-12 06:09:08</t>
        </is>
      </c>
      <c r="H1540" t="inlineStr"/>
    </row>
    <row r="1541">
      <c r="A1541" t="inlineStr">
        <is>
          <t>bzv2gf</t>
        </is>
      </c>
      <c r="B1541" t="inlineStr">
        <is>
          <t>GERD for 5+ years; should I get an endoscopy?</t>
        </is>
      </c>
      <c r="C1541" t="inlineStr">
        <is>
          <t>For most of my adult life I had acid reflux. I remember being a little afraid when I was 20 in some college class, because we were learning about how acid reflux can lead to Barrett's Esophagus, etc. I'd had pretty serious heart burn at that point - and possibly before. About a year ago I went to the emergency room for some serious pain in my gut - turned out to be an ulcer. I started eating well after that and do not experience acid reflux anymore, for this whole past year. Well not completely - sometimes it will flare up, for instance after eating a huge grapefruit or something very acidic like that, but it's quickly quelled with a H2 blocker.
&amp;amp;#x200B;
Recently however I've been feeling some fluttering underneath my rib cage. It seems to be coming from my esophagus, or at least around that area. It's not my heart, as I've had a few EKGs and they have come back normal. Nor is it respiratory issues. I never have trouble breathing or eating, etc. However, trying to research this, I found someone mention that they had had that and it was related to their GERD and Barrett's Esophagus.
&amp;amp;#x200B;
So - (1) does anyone else have an issue like that? And (2) is it worth going and getting checked out for barrett's esophagus? Acid reflux was really the only symptom of GERDS I had, but I had it nearly every day and for a number of years.</t>
        </is>
      </c>
      <c r="D1541" t="n">
        <v>5</v>
      </c>
      <c r="E1541" t="n">
        <v>7</v>
      </c>
      <c r="F1541">
        <f>HYPERLINK("https://www.reddit.com/r/GERD/comments/bzv2gf/gerd_for_5_years_should_i_get_an_endoscopy/")</f>
        <v/>
      </c>
      <c r="G1541" t="inlineStr">
        <is>
          <t>2019-06-12 11:50:09</t>
        </is>
      </c>
      <c r="H1541" t="inlineStr"/>
    </row>
    <row r="1542">
      <c r="A1542" t="inlineStr">
        <is>
          <t>bzxhg4</t>
        </is>
      </c>
      <c r="B1542" t="inlineStr">
        <is>
          <t>Does Anyone Get Side Affects From Their GERD That Would Normally Appear Unrelated?</t>
        </is>
      </c>
      <c r="C1542" t="inlineStr">
        <is>
          <t>I got my diagnosis with GERD about a year ago and I’m on a PPI once a day since I got the diagnosis. Lately I’ve been having severe pain in my lower abdominal area radiating into my flank and middle lower back, which when I stand up for too long causes hot flashes and committing. I’ve had blood work done, CTs, all sorts of tests because my urologist was convinced it was a kidney stone cause my pain. All of them came back like I was in perfect health, the most frustrating “good news” to receive when you’re so sick and in so much pain.
Now, the past few days my GERD has flared up so so badly, I feel the lump in my throat and every single thing I eat makes me incredibly nauseous, even the safe foods. What is going on?! :(</t>
        </is>
      </c>
      <c r="D1542" t="n">
        <v>3</v>
      </c>
      <c r="E1542" t="n">
        <v>10</v>
      </c>
      <c r="F1542">
        <f>HYPERLINK("https://www.reddit.com/r/GERD/comments/bzxhg4/does_anyone_get_side_affects_from_their_gerd_that/")</f>
        <v/>
      </c>
      <c r="G1542" t="inlineStr">
        <is>
          <t>2019-06-12 15:08:33</t>
        </is>
      </c>
      <c r="H1542" t="inlineStr"/>
    </row>
    <row r="1543">
      <c r="A1543" t="inlineStr">
        <is>
          <t>bzxy8w</t>
        </is>
      </c>
      <c r="B1543" t="inlineStr">
        <is>
          <t>Gerd symptoms</t>
        </is>
      </c>
      <c r="C1543" t="inlineStr">
        <is>
          <t>I was diagnosed with GERD a while back. Since then I have had to deal with constant acid reflux so was given pantoprazole and the last 2 months I have had constant chest pain in my chest and shoots into my middle back. Now I am also having these breathing problems, it feels like I cant breathe normally, hard to explain it feels like its shallow breathing..I have had ECG and Barium swallow and both show fine. What is going on?</t>
        </is>
      </c>
      <c r="D1543" t="n">
        <v>1</v>
      </c>
      <c r="E1543" t="n">
        <v>2</v>
      </c>
      <c r="F1543">
        <f>HYPERLINK("https://www.reddit.com/r/GERD/comments/bzxy8w/gerd_symptoms/")</f>
        <v/>
      </c>
      <c r="G1543" t="inlineStr">
        <is>
          <t>2019-06-12 15:49:13</t>
        </is>
      </c>
      <c r="H1543" t="inlineStr"/>
    </row>
    <row r="1544">
      <c r="A1544" t="inlineStr">
        <is>
          <t>bzy0s9</t>
        </is>
      </c>
      <c r="B1544" t="inlineStr">
        <is>
          <t>How do you deal with Gerd-induced nausea when away from home?</t>
        </is>
      </c>
      <c r="C1544" t="inlineStr">
        <is>
          <t>Sometimes in the afternoon I'll get bad nausea and a feeling that something is in my throat. This makes me scared to drive home because I'll be  on the verge of throwing up, and I worry about what happens if it happens while I'm driving, most roads are busy and don't have shoulders or anywhere to pull over.
I'm trying to see a doctor but there weren't any available for 2 weeks. Tried taking famotidine and eating a safe diet but it still happens.
How do you deal with this?</t>
        </is>
      </c>
      <c r="D1544" t="n">
        <v>2</v>
      </c>
      <c r="E1544" t="n">
        <v>17</v>
      </c>
      <c r="F1544">
        <f>HYPERLINK("https://www.reddit.com/r/GERD/comments/bzy0s9/how_do_you_deal_with_gerdinduced_nausea_when_away/")</f>
        <v/>
      </c>
      <c r="G1544" t="inlineStr">
        <is>
          <t>2019-06-12 15:55:22</t>
        </is>
      </c>
      <c r="H1544" t="inlineStr"/>
    </row>
    <row r="1545">
      <c r="A1545" t="inlineStr">
        <is>
          <t>c001zg</t>
        </is>
      </c>
      <c r="B1545" t="inlineStr">
        <is>
          <t>Gerd almost sent me to the hospital (I'll explain)</t>
        </is>
      </c>
      <c r="C1545" t="inlineStr">
        <is>
          <t>My friend just had his pre-wedding ceremony. I was happy for him, and people will think I was nervous about going to the event to attend the ceremony (But i'm not). I'm not anti-social as people think I am. This gerd issue makes me into a lesser human being. So I'm driving me and mom to the event, and suddenly the gerd symptoms come in full force (and I'll admit I was feeling very out of it/dehydrated/flared up) the whole day. Once I started driving my throat nerves where being inflamed, and the back of my head was so numb (probably from the inflammation) I was trying to breath to calm myself down, but then I got a numb sensation in my stomach, and then my hands were shaking. So I stopped the car and my mom was nervous. While I was dealing with this numbness in my head sensation, so I walked, and I burped a little bit and I unbutton my suit shirt a little bit just so I can get some air. I don't get nervous from events, gerd makes me nervous because of the pain it gives me. So I cooled down after 15 minutes, and I told my mom to drive to the event. I carried on with my night, and still had some of the symptoms I mentioned before but I pretended like It wasn't bothering me. I was really dehydrated during the party as well. Can somebody explain that numbing feeling in the back of my head was it because of the throat tightness? Gerd symptoms?</t>
        </is>
      </c>
      <c r="D1545" t="n">
        <v>1</v>
      </c>
      <c r="E1545" t="n">
        <v>19</v>
      </c>
      <c r="F1545">
        <f>HYPERLINK("https://www.reddit.com/r/GERD/comments/c001zg/gerd_almost_sent_me_to_the_hospital_ill_explain/")</f>
        <v/>
      </c>
      <c r="G1545" t="inlineStr">
        <is>
          <t>2019-06-12 19:15:06</t>
        </is>
      </c>
      <c r="H1545" t="inlineStr"/>
    </row>
    <row r="1546">
      <c r="A1546" t="inlineStr">
        <is>
          <t>c00rfe</t>
        </is>
      </c>
      <c r="B1546" t="inlineStr">
        <is>
          <t>GERD Sufferers who also have GAD.(Generalized Anxiety Disorder.)</t>
        </is>
      </c>
      <c r="C1546" t="inlineStr">
        <is>
          <t>Around the summer of 14’ I got diagnosed in the ER for Generalized Anxiety Disorder and a few months after that GERD. As a 26 year old it’s hard battling with both especially when they are similar. The feeling of something stuck in your throat, the antsy/anxiousness, the fatigue, insomnia, as well as the dry hoarse/clearing of the throat is the absolute worst. I’ve been off my daily antidepressant (citalopram)  a few months now and I feel like my GERD has gotten way worse. I’m prescribed 40mg omperazole but haven’t gotten that filled so I’ve been buying it at local pharmacies. Tums and Rolaids help for a certain amount of time but I try not to take more than 3 a day. I’m at the point where I gotta carry a water bottle with me everywhere I go due to clearing my throat in public which is embarrassing. June 17th I have a doctors appointment since not having seeing one in over a year. To be quite frank I’m exited to get to the bottom of this and if being off my antidepressant made my GERD worse or not. I would love to hear your guys stories if you suffer from the same problems that I have and what PPIs helped you.</t>
        </is>
      </c>
      <c r="D1546" t="n">
        <v>3</v>
      </c>
      <c r="E1546" t="n">
        <v>21</v>
      </c>
      <c r="F1546">
        <f>HYPERLINK("https://www.reddit.com/r/GERD/comments/c00rfe/gerd_sufferers_who_also_have_gadgeneralized/")</f>
        <v/>
      </c>
      <c r="G1546" t="inlineStr">
        <is>
          <t>2019-06-12 20:26:54</t>
        </is>
      </c>
      <c r="H1546" t="inlineStr"/>
    </row>
    <row r="1547">
      <c r="A1547" t="inlineStr">
        <is>
          <t>c01cek</t>
        </is>
      </c>
      <c r="B1547" t="inlineStr">
        <is>
          <t>Does probiotics help you?</t>
        </is>
      </c>
      <c r="C1547" t="inlineStr">
        <is>
          <t>Been suggested probiotics by a friend to help with digestion and hence to lessen gerd symptoms and I thought it's just supplement, nothing to lpse, so I've been taking it last 3 days and suddenly got cramp gas and diarrhea. 
Apparently in the Internet it says they're common side effects but in the long term, I should get used to it and it should be good for the stomach and digestion system in general. I'm considering whether to continue using it or drop it.
What have been your experiences with probiotics? Thanks</t>
        </is>
      </c>
      <c r="D1547" t="n">
        <v>6</v>
      </c>
      <c r="E1547" t="n">
        <v>18</v>
      </c>
      <c r="F1547">
        <f>HYPERLINK("https://www.reddit.com/r/GERD/comments/c01cek/does_probiotics_help_you/")</f>
        <v/>
      </c>
      <c r="G1547" t="inlineStr">
        <is>
          <t>2019-06-12 21:30:27</t>
        </is>
      </c>
      <c r="H1547" t="inlineStr"/>
    </row>
    <row r="1548">
      <c r="A1548" t="inlineStr">
        <is>
          <t>c01xfr</t>
        </is>
      </c>
      <c r="B1548" t="inlineStr">
        <is>
          <t>PPI s no longer working</t>
        </is>
      </c>
      <c r="C1548" t="inlineStr">
        <is>
          <t>I’ ve been on Proton Pump inhibitors for over ten years, I’ve taken omeprazole  nexium and currently take Pantoprazole, this past week I feel like it’s no longer working. Has anyone switched from PPI s to H2 blockers? Thanks</t>
        </is>
      </c>
      <c r="D1548" t="n">
        <v>3</v>
      </c>
      <c r="E1548" t="n">
        <v>6</v>
      </c>
      <c r="F1548">
        <f>HYPERLINK("https://www.reddit.com/r/GERD/comments/c01xfr/ppi_s_no_longer_working/")</f>
        <v/>
      </c>
      <c r="G1548" t="inlineStr">
        <is>
          <t>2019-06-12 22:38:50</t>
        </is>
      </c>
      <c r="H1548" t="inlineStr"/>
    </row>
    <row r="1549">
      <c r="A1549" t="inlineStr">
        <is>
          <t>c03zr3</t>
        </is>
      </c>
      <c r="B1549" t="inlineStr">
        <is>
          <t>Doctor told me I had GERD, but I have never had any gastrointestinal problems</t>
        </is>
      </c>
      <c r="C1549" t="inlineStr">
        <is>
          <t>Ok so here's a story - 
On the 28th May 2019, I got a very strange fluttering feeling in my chest and stomach. At the time, there were many deadlines at work so I figured it was the stress and it would probably go away on its own. But it lingered on for several days and I started to develop some anxiety bearing in mind that I have never had problems with any mental health issues or GI problems prior to this. 
On 7th June 2019, I had a late night panic attack. Crying, heart beat was in 100s, and restlessness. I developed a temperature as well. I think it was caused by the fact that these symptoms were completely unknown to me and I began to worry a lot. 
On the same day, I went to urgent care and they said I had GERD and I felt all of the anxiety just leave my body. I was extremely relived because now I knew what was causing my symptoms. They have me some PPIs and I have been feeling a lot better lately. 
&amp;amp;#x200B;
So thats the background. The one thing I dont know is how GERD came about so suddenly? Then I remembered, oh damn. Before getting GERD, I was gorging on fast foods and sweets on an empty stomachs late at night almost every single day because of pressures at work. Never had time to cook. Usually, I eat very healthy and go to the gym 5-6 times a week but these work commitments got in the way and my diet went from healthy to all out disgusting.
&amp;amp;#x200B;
TLDR - Could it have been the drastic change in diet and lifestyle  that could have caused the GERD? Is there a chance of me getting it again if I don't go back to my unhealthy ways of eating fast food late at night every day for around 3 weeks?
&amp;amp;#x200B;
Sorry to sound really dumb - its just a thing I had in the back of my head</t>
        </is>
      </c>
      <c r="D1549" t="n">
        <v>2</v>
      </c>
      <c r="E1549" t="n">
        <v>1</v>
      </c>
      <c r="F1549">
        <f>HYPERLINK("https://www.reddit.com/r/GERD/comments/c03zr3/doctor_told_me_i_had_gerd_but_i_have_never_had/")</f>
        <v/>
      </c>
      <c r="G1549" t="inlineStr">
        <is>
          <t>2019-06-13 03:13:21</t>
        </is>
      </c>
      <c r="H1549" t="inlineStr"/>
    </row>
    <row r="1550">
      <c r="A1550" t="inlineStr">
        <is>
          <t>c05e69</t>
        </is>
      </c>
      <c r="B1550" t="inlineStr">
        <is>
          <t>Hands and head tingling plus dizziness</t>
        </is>
      </c>
      <c r="C1550" t="inlineStr">
        <is>
          <t>Did anyone experience this during a flare up? or is it specific to laryngopharyngeal reflux? They are somehow tied to the reflux. As soon as I belch, they disappear.
They started at the same time when my doctor put me on nexium again. A day after I got a sinus infection (been having sinusitis for some time now. I started experiencing it on Saturday/Sunday on the left maxillary sinus, and then I got the tingling on the same left side yesterday after I accidentaly paired paracetamol with green tea (drank one after another) and got the most awufl reflux in my life. literally, I was light-headed and had mild episodes of de-realisation. Until I drank some coke and burped and just fel lightheded from hunger (because I ate something and it went away).
I cross-checked the symptoms using this:  
[https://symptomchecker.webmd.com/multiple-symptoms?symptoms=heartburn%7Cnumbness-or-tingling%7Cnumbness-or-tingling%7Cnumbness-or-tingling&amp;amp;symptomids=117%7C164%7C164%7C164&amp;amp;locations=15%7C43%7C46%7C48](https://symptomchecker.webmd.com/multiple-symptoms?symptoms=heartburn%7Cnumbness-or-tingling%7Cnumbness-or-tingling%7Cnumbness-or-tingling&amp;amp;symptomids=117%7C164%7C164%7C164&amp;amp;locations=15%7C43%7C46%7C48)  
From the list there, heartburn is an option, as well as a panic attack, considering I started being anxious since I got the first heartburns. And spondylolysis runs in my family. Also, b12 could be a sign since this reflux diet made me eat only a handful of foods.
&amp;amp;#x200B;
I made a neurologist appointment tomorrow to my company's clinic, as the Otorhinolaryngologist wasn't available until next friday.
&amp;amp;#x200B;
I feel like shit and like my life will be like this forever, just suprise flare-ups that'll take the joy of life out of me.
&amp;amp;#x200B;
Also, I honestly believe it's all due to a SIBO, just **i don't know how to test it in Romania**. or how to convince my GI to take this in consideration. He just gave me nexium and trimebutine because of my IBS, but I still feel like shit. And it's hard to talk about it with anyone out of the hear of complaining.
&amp;amp;#x200B;
I just don't know where to turn to anymore. Just, don't know</t>
        </is>
      </c>
      <c r="D1550" t="n">
        <v>2</v>
      </c>
      <c r="E1550" t="n">
        <v>3</v>
      </c>
      <c r="F1550">
        <f>HYPERLINK("https://www.reddit.com/r/GERD/comments/c05e69/hands_and_head_tingling_plus_dizziness/")</f>
        <v/>
      </c>
      <c r="G1550" t="inlineStr">
        <is>
          <t>2019-06-13 05:47:32</t>
        </is>
      </c>
      <c r="H1550" t="inlineStr"/>
    </row>
    <row r="1551">
      <c r="A1551" t="inlineStr">
        <is>
          <t>c05qsq</t>
        </is>
      </c>
      <c r="B1551" t="inlineStr">
        <is>
          <t>I've had pain on one side of my neck/throat for a few months, and sometimes the tonsil there is swollen. Could this be a caused by GERD?</t>
        </is>
      </c>
      <c r="C1551" t="inlineStr">
        <is>
          <t>For background, I'm 25F and have had GERD/gastritis since I was 19. GI doc put me on PPIs for a month and I've been using H2 blockers ever since (albeit not very religiously since it wasn't terrible until recently). I've been diligent about taking Zantac every night before bed this year, but in the morning I notice that my mouth tastes sour and my neck/throat to the right of my esophagus hurts. It feels like there's a lump there that makes it hard to swallow sometimes. When I look at the back of my throat, I see that my tonsil is enlarged only on that side.
My PCP dismissed my concerns because I'm young, thin, and high-strung, but it's been going on for months and only seems to get worse over time. My voice is hoarse and it hurts to talk/sing for too long now, which sucks because my hobby is singing. Have any of you had experience with this in relation to GERD? If I'm already taking medicine and watching my diet at night, I don't know what else to do.</t>
        </is>
      </c>
      <c r="D1551" t="n">
        <v>1</v>
      </c>
      <c r="E1551" t="n">
        <v>3</v>
      </c>
      <c r="F1551">
        <f>HYPERLINK("https://www.reddit.com/r/GERD/comments/c05qsq/ive_had_pain_on_one_side_of_my_neckthroat_for_a/")</f>
        <v/>
      </c>
      <c r="G1551" t="inlineStr">
        <is>
          <t>2019-06-13 06:20:52</t>
        </is>
      </c>
      <c r="H1551" t="inlineStr"/>
    </row>
    <row r="1552">
      <c r="A1552" t="inlineStr">
        <is>
          <t>c06hnz</t>
        </is>
      </c>
      <c r="B1552" t="inlineStr">
        <is>
          <t>Trouble Swallowing / Excessive Burping</t>
        </is>
      </c>
      <c r="C1552" t="inlineStr">
        <is>
          <t>Hello! Is it pretty common to have difficulty swallowing with GERD? I'm a 29 y/o male and I'm a healthy wait and fairly active. I was diagnosed with gerd when I was 21, and I've dealt with the symptoms intermittently since then. I did have an upper endoscopy when I was 21, and it was normal. It's been worse over the past few months, particularly with belching. I've stopped eating and drinking the things that trigger it, so hopefully that will help. I'm curious about the difficulty swallowing, however. It seems mainly noticeable when I've finished eating something. It doesn't all go down and I have to drink water to remedy it. Is this common? Thanks!</t>
        </is>
      </c>
      <c r="D1552" t="n">
        <v>4</v>
      </c>
      <c r="E1552" t="n">
        <v>8</v>
      </c>
      <c r="F1552">
        <f>HYPERLINK("https://www.reddit.com/r/GERD/comments/c06hnz/trouble_swallowing_excessive_burping/")</f>
        <v/>
      </c>
      <c r="G1552" t="inlineStr">
        <is>
          <t>2019-06-13 07:28:04</t>
        </is>
      </c>
      <c r="H1552" t="inlineStr"/>
    </row>
    <row r="1553">
      <c r="A1553" t="inlineStr">
        <is>
          <t>c073yh</t>
        </is>
      </c>
      <c r="B1553" t="inlineStr">
        <is>
          <t>Almost there, but not quite....</t>
        </is>
      </c>
      <c r="C1553" t="inlineStr">
        <is>
          <t>I've had ongoing issues with reflux for years (more the "silent" laryngeal kind than the heartburn kind), but I've recently started making dietary and lifestyle changes to deal with it. Elevated wedge pillow, light dinner, avoiding known food triggers, no food 4+ hours before lying down, alkaline water throughout the day etc. Things are much better now -- and yet sometimes I still sense a little sour taste or throat irritation when I first wake up in the morning. I'm thinking about sleeping semi-upright in a recliner to see if I just need a little help from gravity. 
Any thoughts or ideas that might take me the rest of the way toward a zero-reflux life? Or is this maybe one those situations where 90 percent success is about as good as it's gonna get?</t>
        </is>
      </c>
      <c r="D1553" t="n">
        <v>2</v>
      </c>
      <c r="E1553" t="n">
        <v>6</v>
      </c>
      <c r="F1553">
        <f>HYPERLINK("https://www.reddit.com/r/GERD/comments/c073yh/almost_there_but_not_quite/")</f>
        <v/>
      </c>
      <c r="G1553" t="inlineStr">
        <is>
          <t>2019-06-13 08:19:40</t>
        </is>
      </c>
      <c r="H1553" t="inlineStr"/>
    </row>
    <row r="1554">
      <c r="A1554" t="inlineStr">
        <is>
          <t>c0abfn</t>
        </is>
      </c>
      <c r="B1554" t="inlineStr">
        <is>
          <t>Results from endoscopy, manometry, ph study, pathology</t>
        </is>
      </c>
      <c r="C1554" t="inlineStr">
        <is>
          <t>Hello friends at r/GERD
I had my third endoscopy last week and it was the first one in nearly three years. During that time I had been taking 2x daily PPI with breakthrough symptoms lasting months at a time with periods of remission. My endoscopy was ordered due to medicinal failure and to determine if I'm a good surgical candidate - my symptoms were not being controlled by the PPI. I also don't respond to Tums, Gaviscon Advance, etc.
I tapered off my PPIs for about two months, replacing the 40mg PPI with 300mg ranitidine. I also started taking mirtazapine 15mg for anxiety. A week before my endoscopy, I was totally off all GERD medications but was still taking Mirtazapine. My symptoms actually went away when I started the mirtazapine during my taper off PPis! After tapering off all reflux meds, my symptoms were present, but not unbearable. But they had started returning a week or two before going totally off my meds, so that could be unrelated.
Well, the interesting thing was that most of my tests were normal. A normal to low amount of reflux shown on the ph study (which shocked me), normal biopsy results with the exception of a little gastropathy which is apparently not uncommon (thank goodness because I was worried about Barrett's), a small sliding hiatal hernia that the GI doctor suspected was not the cause of my symptoms, and the manometry study showed that I have a very very slight esophageal spasm when I swallow that she didn't seem super concerned about.
My doctor decided that because my reflux levels are normal and my biopsy showed no damage to the tissues, that I do not need a Nissen Fundoplication. I am really happy about that because I have read a lot of horror stories. She thinks that I have Functional Heartburn, meaning my esophageal nerves are just very very sensitive. She suggested staying on ranitidine with 2 week breaks every month or so as you can develop a tolerance to the drug. This would be to control the normal level of acid exposure that seems to be causing my symptoms, and it seems to work better for me than PPIs ever did. She also suggested trying some different types of antidepressants that also work for people with functional heartburn.
The most confusing part is that on my second endoscopy three years ago, there were mild reactive changes on some of my lower esophageal tissue, which to me seems like it would be a damaging amount of reflux. That doctor also noted that I could possibly have short segment Barrett's, but the biopsy came back negative. My new doctor did not seem concerned about those results at all.
Anyway, the good news is that I feel like I'm closer to getting answers and relief. I am SO HAPPY that I do not need surgery and that my esophageal tissue is healthy. I no longer have to stress about getting Barrett's, surgery, or cancer. And I am so glad to be off PPIs.
Hopefully, my experience helps someone. Make sure to always get a second opinion if your answers are unclear.</t>
        </is>
      </c>
      <c r="D1554" t="n">
        <v>9</v>
      </c>
      <c r="E1554" t="n">
        <v>10</v>
      </c>
      <c r="F1554">
        <f>HYPERLINK("https://www.reddit.com/r/GERD/comments/c0abfn/results_from_endoscopy_manometry_ph_study/")</f>
        <v/>
      </c>
      <c r="G1554" t="inlineStr">
        <is>
          <t>2019-06-13 12:36:45</t>
        </is>
      </c>
      <c r="H1554" t="inlineStr"/>
    </row>
    <row r="1555">
      <c r="A1555" t="inlineStr">
        <is>
          <t>c0bb4i</t>
        </is>
      </c>
      <c r="B1555" t="inlineStr">
        <is>
          <t>Surgery options? Those of you that have had either TIF or LINX (or any other surgery!) what has been your experience? I am considering surgery.</t>
        </is>
      </c>
      <c r="C1555" t="inlineStr">
        <is>
          <t>Hello! I have had LPR for 10+ years and am finally so desperate that I am considering surgery. I know there are a few options out there. Just curious about the experiences of others. Definitely don’t want a Nissen. Considering TIF vs Linx. If there is any other surgery out there I should look at, let me know! 
Thanks :)</t>
        </is>
      </c>
      <c r="D1555" t="n">
        <v>3</v>
      </c>
      <c r="E1555" t="n">
        <v>4</v>
      </c>
      <c r="F1555">
        <f>HYPERLINK("https://www.reddit.com/r/GERD/comments/c0bb4i/surgery_options_those_of_you_that_have_had_either/")</f>
        <v/>
      </c>
      <c r="G1555" t="inlineStr">
        <is>
          <t>2019-06-13 13:58:08</t>
        </is>
      </c>
      <c r="H1555" t="inlineStr"/>
    </row>
    <row r="1556">
      <c r="A1556" t="inlineStr">
        <is>
          <t>c0c3ex</t>
        </is>
      </c>
      <c r="B1556" t="inlineStr">
        <is>
          <t>Waiting on biopsy results is killing me!</t>
        </is>
      </c>
      <c r="C1556" t="inlineStr">
        <is>
          <t>I can't get it out of my head that I have Barrett's Esophagus. I had an endoscopy recently. The stomach and duodenal were completely normal. There were no gross lesions of the esophagus, but it was biopsied anyway. After I woke up from the sedation, two doctors told me my results looked "good". Why would they have biopsied my esophagus if they didn't think I had Barrett's Esophagus? I don't know what I'd do with myself if I have Barrett's Esophagus. The idea that I might have Barrett's Esophagus gives me very dark thoughts; suicidal thoughts in fact. I looked at the pictures of my esophagus, and it looks a little red. I thought the esophagus was suppose to be light pink!!!!! Is that a sign of Barrett's Esophagus? I'm only nineteen years old! Should I go ahead and write my will?</t>
        </is>
      </c>
      <c r="D1556" t="n">
        <v>2</v>
      </c>
      <c r="E1556" t="n">
        <v>2</v>
      </c>
      <c r="F1556">
        <f>HYPERLINK("https://www.reddit.com/r/GERD/comments/c0c3ex/waiting_on_biopsy_results_is_killing_me/")</f>
        <v/>
      </c>
      <c r="G1556" t="inlineStr">
        <is>
          <t>2019-06-13 15:04:29</t>
        </is>
      </c>
      <c r="H1556" t="inlineStr"/>
    </row>
    <row r="1557">
      <c r="A1557" t="inlineStr">
        <is>
          <t>c0cwr4</t>
        </is>
      </c>
      <c r="B1557" t="inlineStr">
        <is>
          <t>Weaning 40mg omeprazole (on it for 3 months) to 20mg</t>
        </is>
      </c>
      <c r="C1557" t="inlineStr">
        <is>
          <t>Hi guys, i'm finally going to try to kick my ppi to the curb.  I dont' know how my lpr issues started exactly, i got a new job and it seemed my desk at work caused me to sit in a weird posture (i kind of leaned forward) and i would notice my stomach would hurt (bloated + pain) while I was there.  I was also drinking alot more coffee than ever when I went low carb to try to lose weight. This went on for months, and in March of this year I developed a sore throat.  Went to my doc, and he did a throat scope, saw my larynx was inflamed, and put me on omeprazole 40mg for 3 months.  After 2 weeks on it, I felt better - it was like a flipped switch. I continuned a low fat/acid diet and things seemed ok.  After a month, i was starting to eat normally again no problems. Occasionally i would feel some throat symptoms and ear pressure but it was SUPER mild.
&amp;amp;#x200B;
I saw him last 2 weeks ago, and he didn't make a follow up appointment, just told me to keep taking omeprazole til the 3 months were up.  Well that has come, and this week I started weaning off of it.  Instead of taking 1 - 40mg pill in the morning. I now take an OTC 20mg one, and right away - the same day even I could notice the rebound effect.
&amp;amp;#x200B;
I feel "mild" throat globus, pain sometimes and ear sensitivity - not as bad as before I started, but my question is - is this going to get worse before it gets better?
&amp;amp;#x200B;
Has anyone had a similar dosage and timeframe and was able to wean off successfully?  I want to hear from both sides- anyone had to go back on it?
&amp;amp;#x200B;
I want to try to conceive sometime soon, so I want to be drug free.
&amp;amp;#x200B;
&amp;amp;#x200B;
Thank you!!</t>
        </is>
      </c>
      <c r="D1557" t="n">
        <v>4</v>
      </c>
      <c r="E1557" t="n">
        <v>18</v>
      </c>
      <c r="F1557">
        <f>HYPERLINK("https://www.reddit.com/r/GERD/comments/c0cwr4/weaning_40mg_omeprazole_on_it_for_3_months_to_20mg/")</f>
        <v/>
      </c>
      <c r="G1557" t="inlineStr">
        <is>
          <t>2019-06-13 16:19:34</t>
        </is>
      </c>
      <c r="H1557" t="inlineStr"/>
    </row>
    <row r="1558">
      <c r="A1558" t="inlineStr">
        <is>
          <t>c0e7mw</t>
        </is>
      </c>
      <c r="B1558" t="inlineStr">
        <is>
          <t>I got my biopsy results</t>
        </is>
      </c>
      <c r="C1558" t="inlineStr">
        <is>
          <t>I've been so nervous about the results from my esophageal biopsy, and that led me to call the GI clinic. I explained to them how worried I was about Barrett's Esophagus. I was put in touch wit the on-call gastro-enterologist. He said that all the biopsy found was evidence of "chronic GERD". He said the endoscopy showed no damage, and that the biopsies showed no signs of Eosinophilic Esophagitis or Barrett's Esophagus. The main concern at this point is to "manage symptoms".
This is terribly confusing. The GI doctor I'm seeing originally said she thought it was Esophageal Hypersensitivity. I've tried every medication in the book, but nothing was working. I have risen the head of my bed, but that doesn't work. I'm not overweight, I don't smoke, I don't drink alcohol, I don't eat a lot of junk food, and I get a lot of exercise. How can there be no damage if I have chronic acid reflux? Well, no, there must be damage if the biopsy showed GERD. I cut out soy, dairy, meat, gluten, and wheat, but nothing worked. I'm now cutting out garlic. 
I'm at my wit's end with this mess. Can anybody give me any good advice? I could use it right now.</t>
        </is>
      </c>
      <c r="D1558" t="n">
        <v>7</v>
      </c>
      <c r="E1558" t="n">
        <v>13</v>
      </c>
      <c r="F1558">
        <f>HYPERLINK("https://www.reddit.com/r/GERD/comments/c0e7mw/i_got_my_biopsy_results/")</f>
        <v/>
      </c>
      <c r="G1558" t="inlineStr">
        <is>
          <t>2019-06-13 18:33:36</t>
        </is>
      </c>
      <c r="H1558" t="inlineStr"/>
    </row>
    <row r="1559">
      <c r="A1559" t="inlineStr">
        <is>
          <t>c0ferx</t>
        </is>
      </c>
      <c r="B1559" t="inlineStr">
        <is>
          <t>Shortness of breath</t>
        </is>
      </c>
      <c r="C1559" t="inlineStr">
        <is>
          <t>Have you experienced shortness of breath without cough? If so what do you think triggers it or helps it?
I have alot 9f other lpr/Gerd symptoms but I find this one the most alarming</t>
        </is>
      </c>
      <c r="D1559" t="n">
        <v>1</v>
      </c>
      <c r="E1559" t="n">
        <v>11</v>
      </c>
      <c r="F1559">
        <f>HYPERLINK("https://www.reddit.com/r/GERD/comments/c0ferx/shortness_of_breath/")</f>
        <v/>
      </c>
      <c r="G1559" t="inlineStr">
        <is>
          <t>2019-06-13 20:46:04</t>
        </is>
      </c>
      <c r="H1559" t="inlineStr"/>
    </row>
    <row r="1560">
      <c r="A1560" t="inlineStr">
        <is>
          <t>c0g6el</t>
        </is>
      </c>
      <c r="B1560" t="inlineStr">
        <is>
          <t>Newly diagnosed with GERD</t>
        </is>
      </c>
      <c r="C1560" t="inlineStr">
        <is>
          <t>Hi!
Unfortunate to meet you all here, however, I was looking to get a timeline on various people's experiences with GERD. I'm wondering how long being on an alkaline diet and taking omeprazole would I begin to be able to weave in regular foods and alcohol here and there? I'm 22 years old and a huge beer enthusiast which I've accepted that I can no longer drink like I used to, however, I have a concert coming up and would love to drink there. I've done some research, and it seems that gin, vodka, rum and whiskey are the route to go but I'd like some opinions on this (I know it's preferred to avoid alcohol but ya know). I'm also looking for alternatives to oil and butter. I tried almond oil which upset my stomach and I used a little chicken stock to cook my filet mignon on the stove before putting it in the oven (came out great, thanks for asking). I'm surprisingly happy to have been diagnosed with GERD because I finally have answers to problems I've been facing since I was little. I also find this to be challenging, yet, exciting because of the different meals I've been creating in my head and making that are not upsetting me. ALSO, for those coffee lovers like me there is hope!! I read that cold brews are less acidic and Starbucks has a cold brew sold at gas stations that I've found not to hurt me or give much reflux! Any other tips and/or input would be greatly appreciated!</t>
        </is>
      </c>
      <c r="D1560" t="n">
        <v>3</v>
      </c>
      <c r="E1560" t="n">
        <v>4</v>
      </c>
      <c r="F1560">
        <f>HYPERLINK("https://www.reddit.com/r/GERD/comments/c0g6el/newly_diagnosed_with_gerd/")</f>
        <v/>
      </c>
      <c r="G1560" t="inlineStr">
        <is>
          <t>2019-06-13 22:08:24</t>
        </is>
      </c>
      <c r="H1560" t="inlineStr"/>
    </row>
    <row r="1561">
      <c r="A1561" t="inlineStr">
        <is>
          <t>c0hvj8</t>
        </is>
      </c>
      <c r="B1561" t="inlineStr">
        <is>
          <t>Gaviscon is causing burning sensation on the right side of my upper chest ?</t>
        </is>
      </c>
      <c r="C1561" t="inlineStr">
        <is>
          <t>I have had acid reflux for a few years. Currently, I’m taking Pantoloc 40mg twice a day and gaviscon twice. As stated in the title, is it normal for Gavi to cause burning sensation in the oesophagus ? I was supposed to neutralize stomach acid ?</t>
        </is>
      </c>
      <c r="D1561" t="n">
        <v>2</v>
      </c>
      <c r="E1561" t="n">
        <v>2</v>
      </c>
      <c r="F1561">
        <f>HYPERLINK("https://www.reddit.com/r/GERD/comments/c0hvj8/gaviscon_is_causing_burning_sensation_on_the/")</f>
        <v/>
      </c>
      <c r="G1561" t="inlineStr">
        <is>
          <t>2019-06-14 02:00:55</t>
        </is>
      </c>
      <c r="H1561" t="inlineStr"/>
    </row>
    <row r="1562">
      <c r="A1562" t="inlineStr">
        <is>
          <t>c0imj3</t>
        </is>
      </c>
      <c r="B1562" t="inlineStr">
        <is>
          <t>Does this sound like LPR? Or something else?</t>
        </is>
      </c>
      <c r="C1562" t="inlineStr">
        <is>
          <t>I've had phlegm issues since I was little. I'm 29 years old now, and over the past year or two my symptoms have grown to the point of constant phlegm while eating. Even if I drink water I get phlegm.. It is worse with chocolate (which I don't eat much of) and also ice cream, or coffee like lattes. But it is there regardless.. Then after I eat, I'm clearing my throat for up to 30 minutes before I'm back to normal. Sometimes I have random issues with phlegm too, where it just hits when I wake or am trying to sleep. 
I am planning to see my doctor soon, but was trying to get an idea of what it could be?! I've had allergies all of my life (mold &amp;amp; dust mites) and received allergy shots for quite some time but not for 15yrs now), and I do suffer from anxiety, but no other health issues.. 
I've read on LPR and it really seems to fit my symptoms most closely. I should also add that I'm not one to get much heartburn, maybe once every 2 months honestly it's rare. I was thinking of trying something over the counter like Zantac to test, but I don't even know if that'd help. I definitely could drink more water and could eat better but I'm not the worst. Besides all that, I'm not sure what's going on.. I'd gladly change my diet if it meant helping me, like cutting out coffee and chocolate etc. I also read on someone saying a Vitamin D supplement was life changing for their symptoms. Anyone have a similiar situation or any thoughts? I'm just ready to get better!
Thank you and thanks for reading this! :)</t>
        </is>
      </c>
      <c r="D1562" t="n">
        <v>1</v>
      </c>
      <c r="E1562" t="n">
        <v>2</v>
      </c>
      <c r="F1562">
        <f>HYPERLINK("https://www.reddit.com/r/GERD/comments/c0imj3/does_this_sound_like_lpr_or_something_else/")</f>
        <v/>
      </c>
      <c r="G1562" t="inlineStr">
        <is>
          <t>2019-06-14 03:43:44</t>
        </is>
      </c>
      <c r="H1562" t="inlineStr"/>
    </row>
    <row r="1563">
      <c r="A1563" t="inlineStr">
        <is>
          <t>c0iw5u</t>
        </is>
      </c>
      <c r="B1563" t="inlineStr">
        <is>
          <t>Has anyone tried the LPR Refluxgate Blueprint guide?</t>
        </is>
      </c>
      <c r="C1563" t="inlineStr">
        <is>
          <t>It's this one:
https://www.refluxgate.com/lpr-solution-blueprint
Kind of pricey, but I am willing to try anything now tbh.</t>
        </is>
      </c>
      <c r="D1563" t="n">
        <v>1</v>
      </c>
      <c r="E1563" t="n">
        <v>6</v>
      </c>
      <c r="F1563">
        <f>HYPERLINK("https://www.reddit.com/r/GERD/comments/c0iw5u/has_anyone_tried_the_lpr_refluxgate_blueprint/")</f>
        <v/>
      </c>
      <c r="G1563" t="inlineStr">
        <is>
          <t>2019-06-14 04:16:44</t>
        </is>
      </c>
      <c r="H1563" t="inlineStr"/>
    </row>
    <row r="1564">
      <c r="A1564" t="inlineStr">
        <is>
          <t>c0ki0w</t>
        </is>
      </c>
      <c r="B1564" t="inlineStr">
        <is>
          <t>Sympathetic Nerve Entrapment Point Injection as an Antireflux Procedure for Refractory Laryngopharyngeal Reflux: A First Case Report of Innovative Autonomic Regulation</t>
        </is>
      </c>
      <c r="C1564" t="inlineStr">
        <is>
          <t xml:space="preserve"> **Abstract**
&amp;gt;Surgical  treatment is not suitable for laryngopharyngeal reflux that is  refractory to proton pump inhibitors. We present a case of proton pump  inhibitor-refractory laryngopharyngeal reflux that was successfully  treated with sympathetic nerve entrapment point injection. The patient  had previously been diagnosed with laryngopharyngeal reflux and treated  with proton pump inhibitors for six months without substantial  improvement. After sympathetic nerve entrapment point injection  treatment, her reflux symptom index improved from 15 points to 1 point,  and this response was maintained for six months. Hyperexcitability of T5  and T6 sympathetic preganglionic fibers appears to be the main cause of  laryngopharyngeal reflux. Sympathetic nerve entrapment point injection  may represent an alternative to anti-reflux procedures.
&amp;amp;#x200B;
So, more evidence that LPR can be caused by nerve damage. Furthermore in the article, there's a more thorough explanation. I started lifting a few months before my first episodes. And I have a job that involves deskwork. Hm.</t>
        </is>
      </c>
      <c r="D1564" t="n">
        <v>14</v>
      </c>
      <c r="E1564" t="n">
        <v>20</v>
      </c>
      <c r="F1564">
        <f>HYPERLINK("https://www.reddit.com/r/GERD/comments/c0ki0w/sympathetic_nerve_entrapment_point_injection_as/")</f>
        <v/>
      </c>
      <c r="G1564" t="inlineStr">
        <is>
          <t>2019-06-14 07:07:28</t>
        </is>
      </c>
      <c r="H1564" t="inlineStr"/>
    </row>
    <row r="1565">
      <c r="A1565" t="inlineStr">
        <is>
          <t>c0kwmy</t>
        </is>
      </c>
      <c r="B1565" t="inlineStr">
        <is>
          <t>Any experience with SIBO?</t>
        </is>
      </c>
      <c r="C1565" t="inlineStr">
        <is>
          <t>So after years of seeing different gastroenterologists about my acid reflux, I decided to see a a doctor that specializes in integrative medicine. The doctor that I am seeing can prescribe medication, but focuses on symptoms by looking at the whole picture, not just one area. After asking many questions about my lifestyle, the doctor brought up SIBO (Small Intestine Bacteria Overgrowth). SIBO is a health condition in which there are too many bacteria in the upper portion of the small intestine. Prior to my appointment, I never heard of this before. For years now, I am constantly burping, even when I wake up in the morning with an empty stomach. If I’m not taking a PPI or H2 blocker, it’s usually followed by acid reflux in my chest. I have to take a breath test that checks for the presence of hydrogen or methane in the breath. The doctor thinks that gas produced by this bacteria is putting more pressure on the small intestine which can then push acid from the stomach into the esophagus. The more pressure on the LES, the more issues a person has. Has anyone here ever been diagnosed with SIBO? I’m curious to see if anyone else has received information like this.</t>
        </is>
      </c>
      <c r="D1565" t="n">
        <v>1</v>
      </c>
      <c r="E1565" t="n">
        <v>11</v>
      </c>
      <c r="F1565">
        <f>HYPERLINK("https://www.reddit.com/r/GERD/comments/c0kwmy/any_experience_with_sibo/")</f>
        <v/>
      </c>
      <c r="G1565" t="inlineStr">
        <is>
          <t>2019-06-14 07:43:26</t>
        </is>
      </c>
      <c r="H1565" t="inlineStr"/>
    </row>
    <row r="1566">
      <c r="A1566" t="inlineStr">
        <is>
          <t>c0o5ww</t>
        </is>
      </c>
      <c r="B1566" t="inlineStr">
        <is>
          <t>Acid reflux without medicine?</t>
        </is>
      </c>
      <c r="C1566" t="inlineStr">
        <is>
          <t>Hi all,
 A few weeks back I developed acid reflux and started taking zantac. It worked for a while before coming back again. Recently I got prescribed some type of PPI from my doctor but I'm not sure if I should take it or not. My symptoms don't seem to be severe. I had a few instances of heart burn and stomach pain but those seem to have faded away the last couple of days. The only downsides I'm experiencing now is a lot of gas which causes burping. It also occasionally comes up to the upper chest which makes me feel uncomfortable. I also had feeling that food is stuck in my throat  but that has also improved. 
My question is mainly whether acid reflux could disappear without medicine? I couldn't seem to find a clear answer on that. Also am I at any risk for developing cancer for not taking the prescribed medication?
&amp;amp;#x200B;
Thanks</t>
        </is>
      </c>
      <c r="D1566" t="n">
        <v>3</v>
      </c>
      <c r="E1566" t="n">
        <v>4</v>
      </c>
      <c r="F1566">
        <f>HYPERLINK("https://www.reddit.com/r/GERD/comments/c0o5ww/acid_reflux_without_medicine/")</f>
        <v/>
      </c>
      <c r="G1566" t="inlineStr">
        <is>
          <t>2019-06-14 12:24:29</t>
        </is>
      </c>
      <c r="H1566" t="inlineStr"/>
    </row>
    <row r="1567">
      <c r="A1567" t="inlineStr">
        <is>
          <t>c0qglf</t>
        </is>
      </c>
      <c r="B1567" t="inlineStr">
        <is>
          <t>Does anyone else get it bad at night after brushing their teeth?</t>
        </is>
      </c>
      <c r="C1567" t="inlineStr">
        <is>
          <t>I’ve noticed recently that after I do my teeth at night I have that horrendous feeling of needing to clear my throat constantly so much it hurts my chest. 
The last week I’ve started doing my teeth in the morning and in the evening rather than before bed and at nights it’s not been so bad 
Does anyone else get that?</t>
        </is>
      </c>
      <c r="D1567" t="n">
        <v>7</v>
      </c>
      <c r="E1567" t="n">
        <v>6</v>
      </c>
      <c r="F1567">
        <f>HYPERLINK("https://www.reddit.com/r/GERD/comments/c0qglf/does_anyone_else_get_it_bad_at_night_after/")</f>
        <v/>
      </c>
      <c r="G1567" t="inlineStr">
        <is>
          <t>2019-06-14 15:57:59</t>
        </is>
      </c>
      <c r="H1567" t="inlineStr"/>
    </row>
    <row r="1568">
      <c r="A1568" t="inlineStr">
        <is>
          <t>c0shcg</t>
        </is>
      </c>
      <c r="B1568" t="inlineStr">
        <is>
          <t>Do I have Non-Erosive Reflux Disease and IBS? Possibly SIBO?</t>
        </is>
      </c>
      <c r="C1568" t="inlineStr">
        <is>
          <t>I know strangers on the internet can't answer that question for me. I just need a little advice. I had an endoscopy recently. My esophagus, stomach and duodenum all looked normal, but they biopsied my esophagus. I called the local hospital to talk to the on-call GI doctor because I was in a very depressed state. I told him I was terrified that I had Barrett's Esophagus. He assured me that I had neither Barrett's Esophagus nor Eosinophilic Esophagitis. All the biopsies showed  was "chronic GERD"; there was no damage to my esophagus. 
I don't understand. How could there be no damage if the biopsies showed "Chronic Gerd"? I've tried every heartburn medication modern medicine has created, but nothing worked. The only thing that's helped, I think, has been the Low Fodmap diet. The Low Fodmap diet, however, comes with a bunch of other symptoms: tremors, severe constipation, severe fatigue, brain fog, severe stomach pain. I would rather commit suicide than follow the Low Fodmap diet for the rest of my life. I've tried cutting out each kind of food individually, but the symptoms persist. It's only when I cut out virtually EVERYTHING (soy, dairy, wheat, gluten, garlic, onion, broccoli, cauliflower, apples, cashews, barley, rye, beans, etc.). 
My doctor now thinks I have IBS. I think she's nuts. I WASN'T HAVING BOWEL PROBLEMS UNTIL SHE PUT ME ON THIS DIET. It was just the heartburn. So, I either have to choose to loosen my diet in order to have energy and pass regular bowel movements but suffer burning chest pain from dawn to dusk, or forgo my energy and laxative-free bowel movements in order to be free of chest pain and replace it with severe stomach pain and tremors. 
Isn't the LOW Fodmap Diet suppose to HELP those with IBS??! If I have IBS, why does this diet replace one or two symptoms with four or five new ones?
 I'm so angry at the universe. I know the universe doesn't care; I know I'm not exempt from pain and suffering. I know the universe doesn't owe me anything. I could just as easily be hit by a car or be struck down with cancer. I know my time must come. I feel like death; sometimes I just sit in my apartment waiting for the Reaper to knock on my door. I am only nineteen years old, and I've learned to accept any chances I had for a long, prosperous life are long gone. 
I just want to hear from the outside world now and then. Do these symptoms ring any bells for you? Does the title sound accurate, or have I forgotten something? How do you deal with being close enough to death to hear his beck and call but alive enough to wake up every morning regardless? How does one prepare to live and to die at the same time?</t>
        </is>
      </c>
      <c r="D1568" t="n">
        <v>3</v>
      </c>
      <c r="E1568" t="n">
        <v>4</v>
      </c>
      <c r="F1568">
        <f>HYPERLINK("https://www.reddit.com/r/GERD/comments/c0shcg/do_i_have_nonerosive_reflux_disease_and_ibs/")</f>
        <v/>
      </c>
      <c r="G1568" t="inlineStr">
        <is>
          <t>2019-06-14 19:37:42</t>
        </is>
      </c>
      <c r="H1568" t="inlineStr"/>
    </row>
    <row r="1569">
      <c r="A1569" t="inlineStr">
        <is>
          <t>c0tf21</t>
        </is>
      </c>
      <c r="B1569" t="inlineStr">
        <is>
          <t>5 years after pantoprazol ppi, I believe I was misdiagnosed.</t>
        </is>
      </c>
      <c r="C1569" t="inlineStr">
        <is>
          <t>Had terrible panic attacks, shortness of breath, burping to relieve pressure, constant gas for a year, but no acid reflux. It was diagnosed as gerds. Which I believe was misdiagnosed. I was put on pAntoporazol ppi. Which helped a little. But never cured until I was finally put in an anti anxiety pill which completely helped. Now I’m trying to get off panto and I am have super acid reflux and try to push through. Help!!!</t>
        </is>
      </c>
      <c r="D1569" t="n">
        <v>1</v>
      </c>
      <c r="E1569" t="n">
        <v>11</v>
      </c>
      <c r="F1569">
        <f>HYPERLINK("https://www.reddit.com/r/GERD/comments/c0tf21/5_years_after_pantoprazol_ppi_i_believe_i_was/")</f>
        <v/>
      </c>
      <c r="G1569" t="inlineStr">
        <is>
          <t>2019-06-14 21:27:55</t>
        </is>
      </c>
      <c r="H1569" t="inlineStr"/>
    </row>
    <row r="1570">
      <c r="A1570" t="inlineStr">
        <is>
          <t>c0tvgu</t>
        </is>
      </c>
      <c r="B1570" t="inlineStr">
        <is>
          <t>Is this GERD, is it dangerous, is it normal for it to appear every now and again in couple of months, and what causes it?</t>
        </is>
      </c>
      <c r="C1570" t="inlineStr">
        <is>
          <t>I’m an 18 year old, and I’m not sure if this is exactly GERD. I feel like I have symptoms of it. My throat randomly burns every now and then, like it feels like I got a slash inside my throat, and it tastes like blood, burns like hell and my ear starts to hurt as well. Right now, I woke up with a really bad sore throat. Everything hurts it right now, and I’m guessing it’s GERD. I keep getting gassy, I build up burps, but they can never come out! And when I can get them out, it’s REALLY big and long (PAUSE), it’s like a 5 second burp. I try to clear my throat by coughing really hard, but my throat’s really dry. Like the title says, I get this almost every 5-6 months. What even causes it? I have a feeling it has to do with spices, but I’m hispanic, our whole family is all about the hot stuff, and even then, I don’t eat it allllll the time...kinda. It also usually leads to a runny nose, stuffed nose, and then when the sore throat goes away, it evolves into a cough. Waking up with a sore throat is just a “ah shit, here I go getting sick again” I feel like tomorrow I’m gonna wake up not being able to breathe from my nostrils. So is this GERD? Am I showing symptoms? Should I ask a doctor about this? Or is this all just a sickness?</t>
        </is>
      </c>
      <c r="D1570" t="n">
        <v>1</v>
      </c>
      <c r="E1570" t="n">
        <v>0</v>
      </c>
      <c r="F1570">
        <f>HYPERLINK("https://www.reddit.com/r/GERD/comments/c0tvgu/is_this_gerd_is_it_dangerous_is_it_normal_for_it/")</f>
        <v/>
      </c>
      <c r="G1570" t="inlineStr">
        <is>
          <t>2019-06-14 22:25:44</t>
        </is>
      </c>
      <c r="H1570" t="inlineStr"/>
    </row>
    <row r="1571">
      <c r="A1571" t="inlineStr">
        <is>
          <t>c0ugps</t>
        </is>
      </c>
      <c r="B1571" t="inlineStr">
        <is>
          <t>Do I have GERD? Short of breath but no heartburn</t>
        </is>
      </c>
      <c r="C1571" t="inlineStr">
        <is>
          <t>Here’s my situation. One day about a month ago I got drunk at a party, later went home and lied down to go to sleep and realized I couldn’t get a satisfying breath. For the entire last month, I’ve been yawning to try and get a satisfying breath but no luck most of the time. 
I’ve also had the chest tightness feeling that I assumed was anxiety I’ve always had. But I’ve never had to the extent of getting a crazy chest tightness. I’ve been having this almost everyday on and off.
My Dyspnea (air hunger) only gets bad in the evening and beyond. Most mornings I don’t notice it.
The Dyspnea also always gets incredibly noticeably bad the day and days after I get drunk and drink a lot. 
Also I’ve  never had the sensation of heartburn happen.
Some back story, I’ve started noticing 3 months ago whenever I would have a cup of coffee, I would get the insane chest tightness feeling. I thought coffee was giving me anxiety so I stopped drinking that as much. 
Going farther back, 6 months ago I lost my voice for an entire 2 months after drinking a lot in Tokyo. There was 2 days in a row I threw up in my mouth, then the days after that is when I lost my voice. Could that have actually been GERD that caused my voice loss? It was really bad and couldn’t speak for 2 months and I thought I’d lost my voice forever. At the time I was drinking heavily and sleeping as unelevated as I ever had since I slept on the floor in Internet cafes famous in Tokyo.
I haven’t had any alcohol in 6 days and within the last 2 days I am finally taking satisfying breaths again (albeit, I still have to slightly struggle for them, but only when I’m conscious of it and I’m far less constantly aware of my breathing than days after I got drunk).
What y’all think? At first I thought it was my lungs, then heart, then caused from juul pens, then after researching that I don’t get shortness of breath from exertion (meaning I can still run 2 miles on the treadmill and have no further issue) that it must be a esophagus related issue after coming across that vital peive of info. Anyone with similar experience to mine?</t>
        </is>
      </c>
      <c r="D1571" t="n">
        <v>3</v>
      </c>
      <c r="E1571" t="n">
        <v>2</v>
      </c>
      <c r="F1571">
        <f>HYPERLINK("https://www.reddit.com/r/GERD/comments/c0ugps/do_i_have_gerd_short_of_breath_but_no_heartburn/")</f>
        <v/>
      </c>
      <c r="G1571" t="inlineStr">
        <is>
          <t>2019-06-14 23:41:38</t>
        </is>
      </c>
      <c r="H1571" t="inlineStr"/>
    </row>
    <row r="1572">
      <c r="A1572" t="inlineStr">
        <is>
          <t>c0vvcj</t>
        </is>
      </c>
      <c r="B1572" t="inlineStr">
        <is>
          <t>Does gluten allergy trigger GERD and does GERD trigger depression?</t>
        </is>
      </c>
      <c r="C1572" t="inlineStr">
        <is>
          <t>I have all these things so I was wondering if they are interrelated?</t>
        </is>
      </c>
      <c r="D1572" t="n">
        <v>3</v>
      </c>
      <c r="E1572" t="n">
        <v>5</v>
      </c>
      <c r="F1572">
        <f>HYPERLINK("https://www.reddit.com/r/GERD/comments/c0vvcj/does_gluten_allergy_trigger_gerd_and_does_gerd/")</f>
        <v/>
      </c>
      <c r="G1572" t="inlineStr">
        <is>
          <t>2019-06-15 03:19:58</t>
        </is>
      </c>
      <c r="H1572" t="inlineStr"/>
    </row>
    <row r="1573">
      <c r="A1573" t="inlineStr">
        <is>
          <t>c0xcnb</t>
        </is>
      </c>
      <c r="B1573" t="inlineStr">
        <is>
          <t>GERD right now!</t>
        </is>
      </c>
      <c r="C1573" t="inlineStr">
        <is>
          <t>My GF is having GERD right now and does not have her medicine. I'm wondering if there are any short-term/quick home remedy solutions for it for the time being?</t>
        </is>
      </c>
      <c r="D1573" t="n">
        <v>0</v>
      </c>
      <c r="E1573" t="n">
        <v>6</v>
      </c>
      <c r="F1573">
        <f>HYPERLINK("https://www.reddit.com/r/GERD/comments/c0xcnb/gerd_right_now/")</f>
        <v/>
      </c>
      <c r="G1573" t="inlineStr">
        <is>
          <t>2019-06-15 06:35:25</t>
        </is>
      </c>
      <c r="H1573" t="inlineStr"/>
    </row>
    <row r="1574">
      <c r="A1574" t="inlineStr">
        <is>
          <t>c0z3e7</t>
        </is>
      </c>
      <c r="B1574" t="inlineStr">
        <is>
          <t>Could tap water trigger GERD ?</t>
        </is>
      </c>
      <c r="C1574" t="inlineStr">
        <is>
          <t>I know this sounds ridiculous but over the last many days I have been feeling that whenever I drink water (mainly tap water) I start feeling that uncomfortable burning in my stomach and chest area. And I start getting all the usual GERD flare up symptoms. 
Tap water is generally considered very safe to drink where I am from so it's unlikely that it contains some major toxins. I did drink mineral bottled water too and it too caused these symptoms but to a much lower degree, so much so that I barely noticed them..
Why is water triggering my GERD ? This is a bit depressing.</t>
        </is>
      </c>
      <c r="D1574" t="n">
        <v>8</v>
      </c>
      <c r="E1574" t="n">
        <v>7</v>
      </c>
      <c r="F1574">
        <f>HYPERLINK("https://www.reddit.com/r/GERD/comments/c0z3e7/could_tap_water_trigger_gerd/")</f>
        <v/>
      </c>
      <c r="G1574" t="inlineStr">
        <is>
          <t>2019-06-15 09:24:39</t>
        </is>
      </c>
      <c r="H1574" t="inlineStr"/>
    </row>
    <row r="1575">
      <c r="A1575" t="inlineStr">
        <is>
          <t>c0z40s</t>
        </is>
      </c>
      <c r="B1575" t="inlineStr">
        <is>
          <t>New symptom: pain in center of chest when leaning over/breathing deeply</t>
        </is>
      </c>
      <c r="C1575" t="inlineStr">
        <is>
          <t>I’ve had GERD my whole life, had a few endoscopies and been on/off various medication. Currently on 150 Zantac 1x times a day or when I have symptoms. Most of my symptoms are heartburn.
The last few days have been bad days, I had a bad flare up two days ago and then was an idiot and didn’t take it seriously so I ate trigger foods yesterday (French fries and had some alcohol, I know I know). Last night had a very bad flare-up, but was able to baby it and feel better. I always sleep elevated on a wedge pillow.
This morning I woke up with a pressure in the center of my chest. I initially had some difficulty breathing, but when I stood up it was better. I took some Zantac as well and ate some yogurt.
The pressure is less intense but it’s still there. Whenever I lean over or inhale deeply I feel it. I don’t think it’s heart related because when I breath deeply I start burping uncontrollably.
I’ve had a lot of experience with GERD but never this symptom. It’s the weekend so I can’t call my doctor, I’m wondering if anyone else has this and if there’s anything I can do other than my usual treatment (elevate, take meds, drink tea)? Or do I need to be concerned and go into urgent care?</t>
        </is>
      </c>
      <c r="D1575" t="n">
        <v>1</v>
      </c>
      <c r="E1575" t="n">
        <v>0</v>
      </c>
      <c r="F1575">
        <f>HYPERLINK("https://www.reddit.com/r/GERD/comments/c0z40s/new_symptom_pain_in_center_of_chest_when_leaning/")</f>
        <v/>
      </c>
      <c r="G1575" t="inlineStr">
        <is>
          <t>2019-06-15 09:26:10</t>
        </is>
      </c>
      <c r="H1575" t="inlineStr"/>
    </row>
    <row r="1576">
      <c r="A1576" t="inlineStr">
        <is>
          <t>c0z5cw</t>
        </is>
      </c>
      <c r="B1576" t="inlineStr">
        <is>
          <t>GERD newbie here, could use some advice.</t>
        </is>
      </c>
      <c r="C1576" t="inlineStr">
        <is>
          <t>Hey everyone. I'll try to explain this as succinctly as possible, although it's kind of a long story.
I've had heartburn occasionally throughout my life, but never for more than a day or two. That changed on Tuesday the 4th.
I'm really into working out, and that particular day I was doing an exercise called the overhead press with a fairly heavy weight. I felt a strange sensation in my abdomen and thought that I may have injured myself. 2 days later I went to an urgent care clinic and the doctor there to my surprise diagnosed me with reflux. He put me on Prilosec and sent me on my way. Well about five days later I was feeling even worse so I went back to see him. He told me there wasn't much he could do for me because he had limited facilities, but he did order some tests to check for a bacteria called h-pylori and an abdominal x-ray to check for hiatal hernia. All the tests came back fine so as far as he can tell there's nothing wrong with my body that's super obvious.
It's worth noting that the abdominal x-ray that he did did not include a barium swallow, which means that if there's a small hiatal hernia it actually probably wouldn't have shown up.
It's also worth noting that in the days leading up to the fourth, my work schedule had been really crazy so I was drinking literally between 6 to 8 diet sodas or energy drinks a day, as well as coffee, and then to top it all off beer in the evenings.
The doctor suggested I double my dose of the Prilosec. Well in the meantime because I was feeling so much worse I started doing my own research. I read a book that's available on Kindle for only a few dollars called "Why Stomach Acid is Good for You". The guy who wrote the book is a naturopath, but also a medical doctor who graduated from Harvard Medical School.
In the book he claims that it is actually a lack of stomach acid that contributes to GERD and reflux, rather than an excess of stomach acid. The idea is that the lower esophageal sphincter does not get the trigger to close properly because the pH balance in the stomach as well as the level of acid is not correct. We then give patients powerful medications to suppress acid production, which further compounds the problem.
I decided to stop taking the Prilosec and I'm actually supplementing with hydrochloric acid in pill form, which is the same kind of acid your stomach normally produces. I'm also taking a variety of digestive herbs such as licorice and gentian root.
I certainly feel better than I did when I was on the Prilosec, but I obviously still have something wrong because I can feel burning in my chest and I keep refluxing acid and sometimes food contents into my mouth.
What I want to know from you guys is if anyone else has read this book or has any experience taking this kind of alternative treatment style for reflux and GERD?
Additionally I suffer from a high level of health anxiety, so even though the test seem to indicate there is no structural problem with my body, I can't get the idea out of my head that I might have somehow given myself a hiatal hernia while I was lifting weights. Does this seem at all possible to anybody?
In other words is it possible to have Gerd and reflux without having hiatal hernia?
My other symptoms essentially are getting full really quickly, a lump in the back of my throat sometimes, feeling as though food is sort of of "backing up", as in it doesn't have anywhere to go or it's not entering my stomach quickly enough, and just generally feeling like the whole digestive process from mouth to stomach is not working right. And of course I continue to have heartburn.
I have been stupid and have continued to drink sodas sometimes, a little coffee, and a couple of energy drinks since all this started. However at this point the only thing I am drinking aside from non-caffeinated tea is water.
So to sum it up: How likely is it that this is just a case of simple reflux that might go away on its own if I stop drinking such an absurd amount of soda and coffee? Also has anyone had success with the quote-unquote backwards version of treatment in which you not only don't decrease stomach acid production but increase it?
A final note about that book, most of the book is dedicated to talking about how you need stomach acid to produce a complicated chain of enzyme and protein reactions that allow you to actually absorb nutrients from your food. So it's not just about eliminating heartburn, it's about actually being able to get nutrients out of the food that you eat. According to the Doctor who the book, there are many other health conditions that have a direct link to having a lack of stomach acid because stomach acid is so important in the overall digestive process.
Thank you for reading all that hopefully one of you has some insight. I do have an appointment with my regular doctor coming up in a little over a week. I trust her more than some random doctor at a walk-in clinic, but I also worry that the only thing she's going to suggest he's putting me on Prilosec or something like that again.</t>
        </is>
      </c>
      <c r="D1576" t="n">
        <v>2</v>
      </c>
      <c r="E1576" t="n">
        <v>30</v>
      </c>
      <c r="F1576">
        <f>HYPERLINK("https://www.reddit.com/r/GERD/comments/c0z5cw/gerd_newbie_here_could_use_some_advice/")</f>
        <v/>
      </c>
      <c r="G1576" t="inlineStr">
        <is>
          <t>2019-06-15 09:29:29</t>
        </is>
      </c>
      <c r="H1576" t="inlineStr"/>
    </row>
    <row r="1577">
      <c r="A1577" t="inlineStr">
        <is>
          <t>c0zkb4</t>
        </is>
      </c>
      <c r="B1577" t="inlineStr">
        <is>
          <t>Pain in chest. Is it GERD?</t>
        </is>
      </c>
      <c r="C1577" t="inlineStr">
        <is>
          <t>Hey guys, I know there are tons of posts like this but I can't find any with this exact symptom. 
To start I'm a 25 yr old male, slightly overweight (205lb) but physically active at the gym and my job. About 2 months ago a noticed a slight pain below my sternum only if I pushed on it (I now know this is the spot where the esophagus and stomach meet). About 3 weeks ago I had acid reflux and heartburn for the first time in my life and went to see a doctor. They checked for a hiatal hernia and couldn't feel anything and told me it was probably GERD and that the pain I was feeling was probably inflammation. They gave me a Omeprazole prescription and sent me on my way.
The Omeprazole helped with the nauseous feeling and whatnot but the pain in my upper stomach and under my sternum was still as noticeable and would get worse after the gym or lifting things at work. A week after seeing the doctor I my chest was feeling sore and I pushed on it to see how bad it felt and felt like what I can only explain as bubbles moving/popping under my skin. It freaked me out so I went to the ER. I explained what was going on the past 2 months and they did a chest xray, EKG, urine test and a blood test. Everything came back 100% normal and they prescribed another acid reducer to take 3 times a day, before every meal. 
Since taking these medicines my stomach hasn't given me many issues, the only time it's upset now is if I get really hungry. However, the pain below my sternum still hasn't changed and I'm wondering if anyone else has experienced this pain. My best guess is that it's pain caused from extra acid damaging my esophagus/upper stomach for the 2 months that I didn't realize I had acid reflux. I haven't had any serious symptoms this whole time (headaches, dizziness, vomiting, diarrhea, dark stools, etc.) But I hate not having an answer to what's causing this.
My only plan is it wait a month to see if it gets better and then follow up with a specialist. 
Any ideas or advice?</t>
        </is>
      </c>
      <c r="D1577" t="n">
        <v>1</v>
      </c>
      <c r="E1577" t="n">
        <v>3</v>
      </c>
      <c r="F1577">
        <f>HYPERLINK("https://www.reddit.com/r/GERD/comments/c0zkb4/pain_in_chest_is_it_gerd/")</f>
        <v/>
      </c>
      <c r="G1577" t="inlineStr">
        <is>
          <t>2019-06-15 10:07:59</t>
        </is>
      </c>
      <c r="H1577" t="inlineStr"/>
    </row>
    <row r="1578">
      <c r="A1578" t="inlineStr">
        <is>
          <t>c17yy0</t>
        </is>
      </c>
      <c r="B1578" t="inlineStr">
        <is>
          <t>Flu/GERD and antibiotic</t>
        </is>
      </c>
      <c r="C1578" t="inlineStr">
        <is>
          <t>Hi, I had a sore throat a week and half ago, feeling like flu and had greenish sputum. So I took antibiotics but didn’t really work as my throat was still sore but worse I couldnt swallow, my ears were hurting also when I tried. Since then I can’t sleep. 
So I went to the doctor telling her that it’s probably my reflux (I always thought that it was my stomach but I think now it’s GERD). She didn’t really care and said that I should continue taking stomach meds if I think it’s the reflux and gave me another antibiotic. 
My throat was fine as I tried to eat non acidic food. But yesterday I eat dinner pretty early and went for a walk and decided that I wouldnt eat till today as I try to loose weight. But apparently IF doesn’t go well with GERD. Couldn’t sleep even for 1 minute, feeling all dizzy especially my arms and legs and now I have my stomach burning. 
I feel really lost, should I continue the antibiotic? I have migraine and I even can’t take anti pain meds as it burns like hell. What should I eat, what should I do? I can’t bear it anymore. 
I will ask for an endoscopy to see what’s going on but I took Lansor (betablocker?) a few days ago when I could’nt sleep and apparently I shouldnt as it makes difficult to see if I have helicobactery I dont know if it’s true..
F/23 yo, I’m a little overweight and experience reflux for maybe 2 years specially when I’m stressed, but never as much as now.</t>
        </is>
      </c>
      <c r="D1578" t="n">
        <v>0</v>
      </c>
      <c r="E1578" t="n">
        <v>3</v>
      </c>
      <c r="F1578">
        <f>HYPERLINK("https://www.reddit.com/r/GERD/comments/c17yy0/flugerd_and_antibiotic/")</f>
        <v/>
      </c>
      <c r="G1578" t="inlineStr">
        <is>
          <t>2019-06-16 01:59:51</t>
        </is>
      </c>
      <c r="H1578" t="inlineStr"/>
    </row>
    <row r="1579">
      <c r="A1579" t="inlineStr">
        <is>
          <t>c1alb0</t>
        </is>
      </c>
      <c r="B1579" t="inlineStr">
        <is>
          <t>If this is going to be my life I'm not sure I'm willing to live it.</t>
        </is>
      </c>
      <c r="C1579" t="inlineStr">
        <is>
          <t>This all started 12 days ago and I'm already just about ready to shoot myself.
I know you're probably laughing because you've been dealing with it for years, to which my response is, "holy shit, how are you still alive?"
Every second of every day my stomach is bothering me. I can't even explain what I'm feeling. It doesn't burn as much as "heartburn" should. But when I take acid reducers, it gets slightly better, so that must be what it is.
I started taking omeprazole again yesterday, and not only did it not fix anything, I woke up with a *new* symptom this morning: a sore throat. Oh, and I also put my bed on an incline, and still got a sore throat.
It's supposed to be very difficult to give yourself a hiatal hernia from heavy lifting, but because I seem to have the weirdest fucking health problems, that's probably exactly what happened. 
So now my options are get a surgery that means I can't burp, puke, or lift anything over like 20 lbs for the *rest of my life*. Or drown in acid every second of every day for the rest of my life.
Yeah, not willing to do either of those. I'll go through their tests and take their medications, but when they inevitably tell me either "you have a hernia and we're going to staple your stomach shut to itself" or "we have no idea what's wrong", I'm probably not sticking around. Seriously, fuck this. Can't eat, can't breathe right, can't focus on anything else. This is no way to live. No rational animal would accept a lifetime of this. I'm 31 so I've got, what, another 40 - 60 years of this? Are you serious? No. No way. Not going to happen.</t>
        </is>
      </c>
      <c r="D1579" t="n">
        <v>2</v>
      </c>
      <c r="E1579" t="n">
        <v>48</v>
      </c>
      <c r="F1579">
        <f>HYPERLINK("https://www.reddit.com/r/GERD/comments/c1alb0/if_this_is_going_to_be_my_life_im_not_sure_im/")</f>
        <v/>
      </c>
      <c r="G1579" t="inlineStr">
        <is>
          <t>2019-06-16 07:39:34</t>
        </is>
      </c>
      <c r="H1579" t="inlineStr"/>
    </row>
    <row r="1580">
      <c r="A1580" t="inlineStr">
        <is>
          <t>c1b2fk</t>
        </is>
      </c>
      <c r="B1580" t="inlineStr">
        <is>
          <t>The worst part about watching your diet is other people. Social pressure.</t>
        </is>
      </c>
      <c r="C1580" t="inlineStr">
        <is>
          <t>Family inviting you over for dinner, friends wanting to eat out.  And you have to keep explaining to them, no I can't eat this because it's too acidic or too creamy or too fatty.  This tends to make them either weirded out or offended, like you think you're too good for their food.
And you want to yell at them: believe me, people.  I would love to eat that stuff if I could.  But I can't do it without wanting to die a few hours afterwards.  You have no idea what it's like, so shut the hell up.</t>
        </is>
      </c>
      <c r="D1580" t="n">
        <v>32</v>
      </c>
      <c r="E1580" t="n">
        <v>10</v>
      </c>
      <c r="F1580">
        <f>HYPERLINK("https://www.reddit.com/r/GERD/comments/c1b2fk/the_worst_part_about_watching_your_diet_is_other/")</f>
        <v/>
      </c>
      <c r="G1580" t="inlineStr">
        <is>
          <t>2019-06-16 08:23:54</t>
        </is>
      </c>
      <c r="H1580" t="inlineStr"/>
    </row>
    <row r="1581">
      <c r="A1581" t="inlineStr">
        <is>
          <t>c1dt2g</t>
        </is>
      </c>
      <c r="B1581" t="inlineStr">
        <is>
          <t>Anyone familiar with the EV Surgery done in Florida? (Esophageal Valvuloplasty for GERD)</t>
        </is>
      </c>
      <c r="C1581" t="inlineStr">
        <is>
          <t>To make a long story short I have had GERD and LPR for a lifetime. Nothing seems to have helped with it. 
I am thinking of getting a surgery and as many of you know there are two main options. These options include the Linx and the Nissen. I am not even going to bother with all of the complications because both have many. 
I spoke with someone who had a rare surgery done by a doctor in Florida named Farid Gharagozloo. He can supposedly fix GERD and LPR without adding a foreign body like the Linx or a potentially bad surgery like the Nissen. This guys accolades are very good and has supposedly been doing the surgery since the year 2000. He did a study and found that after 85 months 95% of patients were pretty much 100% reflux/symptom free. I am a skeptical man and the medical industry is extremely flawed as many of you know. Has anyone in here heard of the surgery or had this surgery. 
I am aware of the small Facebook group that this surgery has but they do not provide too much information. 
[Link to study](https://www.ncbi.nlm.nih.gov/pubmed/30500978)
#</t>
        </is>
      </c>
      <c r="D1581" t="n">
        <v>2</v>
      </c>
      <c r="E1581" t="n">
        <v>4</v>
      </c>
      <c r="F1581">
        <f>HYPERLINK("https://www.reddit.com/r/GERD/comments/c1dt2g/anyone_familiar_with_the_ev_surgery_done_in/")</f>
        <v/>
      </c>
      <c r="G1581" t="inlineStr">
        <is>
          <t>2019-06-16 12:25:39</t>
        </is>
      </c>
      <c r="H1581" t="inlineStr"/>
    </row>
    <row r="1582">
      <c r="A1582" t="inlineStr">
        <is>
          <t>c1dzxl</t>
        </is>
      </c>
      <c r="B1582" t="inlineStr">
        <is>
          <t>Is it okay to take Pepcid every day?</t>
        </is>
      </c>
      <c r="C1582" t="inlineStr">
        <is>
          <t>I’ve had acid reflux on and off for many years now and I was wondering if it’s okay to take Pepcid long-term every day or almost every day. I’ve eliminated all acid reflux-inducing foods from my diet, sleep with my head elevated, etc. and nothing has worked.</t>
        </is>
      </c>
      <c r="D1582" t="n">
        <v>3</v>
      </c>
      <c r="E1582" t="n">
        <v>3</v>
      </c>
      <c r="F1582">
        <f>HYPERLINK("https://www.reddit.com/r/GERD/comments/c1dzxl/is_it_okay_to_take_pepcid_every_day/")</f>
        <v/>
      </c>
      <c r="G1582" t="inlineStr">
        <is>
          <t>2019-06-16 12:42:01</t>
        </is>
      </c>
      <c r="H1582" t="inlineStr"/>
    </row>
    <row r="1583">
      <c r="A1583" t="inlineStr">
        <is>
          <t>c1guy2</t>
        </is>
      </c>
      <c r="B1583" t="inlineStr">
        <is>
          <t>Anyone else get food stuck in ribcage?Trapped Air?Stomach twitching?</t>
        </is>
      </c>
      <c r="C1583" t="inlineStr">
        <is>
          <t>Before i went on PPI,i had a really weird burning in my ribcage that made me nauseous cause it felt like undigested food or acid or something.It all started the day i ate pizza while laying down(Lol im dumb),I use to be able to eat anything as long as i had water to calm the acid,but its much more annoying now.I havent went to a gastrologist yet,but i have a feeling i had a hiatal hernia that i unknowingly made worse over the years or something.
I always feel the need to burp after i eat anything,like as if air is trapped there.And it makes me feel better when i do.I also feel food "dropping" under my diaphragm.Like...ill feel pressure there,then ill feel something drop.And when i rub my stomach next to my ribcage,i can feel alot of muscle twitching,like as if there was some left over stuff finally moving from where its stuck.It could also just be my sphincter or something lol.Its weird,but kinda satisfying.It makes the nauseous feeling go away lol.Im also doing hiatal hernia exercises,and tbh theyre making it easier for food to go down.Ive gotten a new small coughing symptom while eating,but more food is finally going down for once.</t>
        </is>
      </c>
      <c r="D1583" t="n">
        <v>8</v>
      </c>
      <c r="E1583" t="n">
        <v>1</v>
      </c>
      <c r="F1583">
        <f>HYPERLINK("https://www.reddit.com/r/GERD/comments/c1guy2/anyone_else_get_food_stuck_in_ribcagetrapped/")</f>
        <v/>
      </c>
      <c r="G1583" t="inlineStr">
        <is>
          <t>2019-06-16 17:09:16</t>
        </is>
      </c>
      <c r="H1583" t="inlineStr"/>
    </row>
    <row r="1584">
      <c r="A1584" t="inlineStr">
        <is>
          <t>c1iuuz</t>
        </is>
      </c>
      <c r="B1584" t="inlineStr">
        <is>
          <t>I was having acid reflux every day for a year, so I went to the doc and ended starting lanzoprazole 30mg. 3 months later, me and doc decided to try 15mg so i started taking only 15mg immediately. On 30mg, i never felt acid reflux once. Since going to 15, i feel acid reflux at times</t>
        </is>
      </c>
      <c r="C1584" t="inlineStr">
        <is>
          <t>This makes me scared that when i try to get off lanzoprazole for good, my acid reflux will either be as bad as it was or god forbid WORSE. I didnt really have acid reflux before but starting around a year or year and a half ago i started having it often and before getting fed up and seeing the doctor it was about all day every day, but mainly i would have little burps throughout the day and the acid reflux would flash up with the burp. 
The doc never said anything about gerd but ive read about it now and it makes me worried. I even read about barrets and possible esophageal cancer which scares the shit out of me too. But having acid reflux is a big anxiety causer and stressor in my life for the past while. The big mental anxiety from having acid reflux is that a few years ago i was having an issue where on a fee occasions i had food get stuck in my throat while eating and would have to spend hours trying to force it back out as it wouldnt go down and i couldnt swallow anything else. One day was really bad i couldnt get it out and ended up going to the hospital. After 12 hours sitting there not being able to swallow (but i managed to puke, oddly), they did a scope procedure and said they found scarring in my throat and asked my dad if i had ever accidentally swallowed chemicals or something as a kid and he nor i had no recollection (i doubt that would happen). Anyway they ended up prescribing me 30mg prevacid (lanzoprazole) i took it for 3 months and then just stopped when i was out and never called back the doc or anything (when i was leaving doc they said they would call me in 3 months to get another scope, they never called and i was too scared to call them because who would want that willingly, the whole hospital trip was a traumatic experience). So the past that scares me MOST about having acid reflux is the chance of it making food get stuck in my throat and going back to the hospital and it could happen anyplace anytime. But anyway that was 3 years ago and i dont remember having any acid problems again until around maybe a year or a year and a half ago, and i was getting acid more and more until all day everyday as mentioned before, so i went to the doc, explained everything, and got put back on prevacid and now for the past 2 weeks ive been on half dose and have been feeling acid reflux again which sucks. I dont remember having any acid problems at all as a kid and teen though, so why did this all start when i was 20 put of nowhere?</t>
        </is>
      </c>
      <c r="D1584" t="n">
        <v>2</v>
      </c>
      <c r="E1584" t="n">
        <v>9</v>
      </c>
      <c r="F1584">
        <f>HYPERLINK("https://www.reddit.com/r/GERD/comments/c1iuuz/i_was_having_acid_reflux_every_day_for_a_year_so/")</f>
        <v/>
      </c>
      <c r="G1584" t="inlineStr">
        <is>
          <t>2019-06-16 20:42:07</t>
        </is>
      </c>
      <c r="H1584" t="inlineStr"/>
    </row>
    <row r="1585">
      <c r="A1585" t="inlineStr">
        <is>
          <t>c1lxjr</t>
        </is>
      </c>
      <c r="B1585" t="inlineStr">
        <is>
          <t>Feel like I’ve been getting heartburn a lot more recently...</t>
        </is>
      </c>
      <c r="C1585" t="inlineStr">
        <is>
          <t>Bit of a back story...
30 years old, been on omeprazole 10mg/20mg since I was 24. I have a sliding hiatus hernia (seems to run in the family, dad, nan, brothers, all have it from a relatively young age). 
I’ve tried diets and all that but by midday I was always in agony. So after much thought, one omeprazole at 10mg a day in the morning seems to work the best and I can carry on with my life. 
Thing is, last few weeks my heartburn has been pretty shitty in the morning, like I haven’t even taken a tablet. Even exercising, I can start feeling that acid reflux coming up. Never used to be this way?
I have been eating porridge in the morning but Jesus wept, I don’t care if it’s meant to be “great” for heartburn it is definitely contributing, seem to be in agony afterwards. 
I guess I’m just asking for some help really, are the tablets not working as well anymore? Have I already done some damage being on them for 6/years? 
I don’t want to be on these tablets anymore anyway, they give me anxiety thinking about what could be in the future... but then I go back to remembering when I had to come off them for 2 weeks when I had to have a camera down the throat and that thought gives me the shivers.</t>
        </is>
      </c>
      <c r="D1585" t="n">
        <v>1</v>
      </c>
      <c r="E1585" t="n">
        <v>0</v>
      </c>
      <c r="F1585">
        <f>HYPERLINK("https://www.reddit.com/r/GERD/comments/c1lxjr/feel_like_ive_been_getting_heartburn_a_lot_more/")</f>
        <v/>
      </c>
      <c r="G1585" t="inlineStr">
        <is>
          <t>2019-06-17 03:27:50</t>
        </is>
      </c>
      <c r="H1585" t="inlineStr"/>
    </row>
    <row r="1586">
      <c r="A1586" t="inlineStr">
        <is>
          <t>c1mkup</t>
        </is>
      </c>
      <c r="B1586" t="inlineStr">
        <is>
          <t>Could surgically repairing a hiatal hernia help with GERD/LPR?</t>
        </is>
      </c>
      <c r="C1586" t="inlineStr">
        <is>
          <t>Hello! Silly question maybe, but I have read on the LINX Facebook group about people getting their hiatal hernia fixed during their LINX surgeries. My question is, would that alone be helpful for someone with LPR or GERD?
Has anyone here had their hiatal hernia repaired and NOT had another surgery done with it? I know it won’t magically make the esophagus work 100% correctly again...but I am curious if it would be beneficial on its own.</t>
        </is>
      </c>
      <c r="D1586" t="n">
        <v>1</v>
      </c>
      <c r="E1586" t="n">
        <v>28</v>
      </c>
      <c r="F1586">
        <f>HYPERLINK("https://www.reddit.com/r/GERD/comments/c1mkup/could_surgically_repairing_a_hiatal_hernia_help/")</f>
        <v/>
      </c>
      <c r="G1586" t="inlineStr">
        <is>
          <t>2019-06-17 04:49:34</t>
        </is>
      </c>
      <c r="H1586" t="inlineStr"/>
    </row>
    <row r="1587">
      <c r="A1587" t="inlineStr">
        <is>
          <t>c1oadw</t>
        </is>
      </c>
      <c r="B1587" t="inlineStr">
        <is>
          <t>Is intestinal metaplasia different from just metaplasia of the esophagus?</t>
        </is>
      </c>
      <c r="C1587" t="inlineStr">
        <is>
          <t>Hey guys, so I've had Barrett's esophagus since diagnosis 2 years ago. Since then, it's been confirmed that I have a hiatus hernia and an area of Barrett's.   
2 years ago my Barrett's was 1cm, I just had another gastroscopy a month ago and the results came a while back and said that it went down to 0.5cm. I was initially happy and thought that meant progress, but then it mentioned something about Intestinal Metaplasia being present. There was a part of my results that concerned me and I wasn't really sure how to interpret it.   
"The current BSG Guidelines for Barrett's Oesophagus would classify his risk as relatively low due to small size of columnar epithelium (&amp;lt; 3cm) however there is presence of intestinal metaplasia."  
Does that mean I would initially have a low risk however the presence of this metaplasia states otherwise?  
I've done a lot of research on this topic, there's loads of sources that say in order to definitively diagnose somebody with Barrett's, there must be presence of intestinal metaplasia, I've read other places that state that it doesn't have to have it, and I've seen some places that don't even mention Barrett's with metaplasia.  
Any bit of light shed on this would be greatly appreciated, the anxiety from the results have been killing me.</t>
        </is>
      </c>
      <c r="D1587" t="n">
        <v>5</v>
      </c>
      <c r="E1587" t="n">
        <v>16</v>
      </c>
      <c r="F1587">
        <f>HYPERLINK("https://www.reddit.com/r/GERD/comments/c1oadw/is_intestinal_metaplasia_different_from_just/")</f>
        <v/>
      </c>
      <c r="G1587" t="inlineStr">
        <is>
          <t>2019-06-17 07:39:06</t>
        </is>
      </c>
      <c r="H1587" t="inlineStr"/>
    </row>
    <row r="1588">
      <c r="A1588" t="inlineStr">
        <is>
          <t>c1oooa</t>
        </is>
      </c>
      <c r="B1588" t="inlineStr">
        <is>
          <t>Anyone else get pain/discomfort in the area between their collarbone?</t>
        </is>
      </c>
      <c r="C1588" t="inlineStr">
        <is>
          <t>Hi all, 
The epicenter of my reflux discomfort seems to be the little dip between my collarbone (manubrium/sternoclavicular joint). It seems a little too low for LPR and slightly too high for traditional GERD. The area seemed tender to the touch over the weekend when I was feeling around down there. 
Anyone else have this pain? Am I right that it's too low on the neck to be associated with LPR?</t>
        </is>
      </c>
      <c r="D1588" t="n">
        <v>3</v>
      </c>
      <c r="E1588" t="n">
        <v>9</v>
      </c>
      <c r="F1588">
        <f>HYPERLINK("https://www.reddit.com/r/GERD/comments/c1oooa/anyone_else_get_paindiscomfort_in_the_area/")</f>
        <v/>
      </c>
      <c r="G1588" t="inlineStr">
        <is>
          <t>2019-06-17 08:12:29</t>
        </is>
      </c>
      <c r="H1588" t="inlineStr"/>
    </row>
    <row r="1589">
      <c r="A1589" t="inlineStr">
        <is>
          <t>c1pyok</t>
        </is>
      </c>
      <c r="B1589" t="inlineStr">
        <is>
          <t>Time to see the doctor? Need advice</t>
        </is>
      </c>
      <c r="C1589" t="inlineStr">
        <is>
          <t>It’s so exhausting having your stomach dictate your life especially when anxiety is involved. I’m so sick of feeling sick! My backstory. I’ve always had anxiety and suffered an ulcer about 10 years ago when I was addicted to coffee and Advil. It was cured pretty quickly with prescription meds but since then it opened my eyes to how much my anxiety and stress is interlinked with my GI system. Especially because I suffer from emetophobia (fear of vomiting) so my anxiety keeps my hyper aware of my stomach at all times which in turn gives me more anxiety and nausea. The rollercoaster from hell for me.
Last year my anxiety was at its worst after suffering a ‘breakdown’ which resulted in round the clock panic attacks and in turn I spent a year with a restrictive eating disorder. It was absolute torturous hell. Thank God I got out of it with professional help. Throughout the year I noticed I would develop acid reflux and gastritis due to all my restriction but didn’t do anything about it. Then when I started getting medical help I was put on the AD Remeron (low dose of 7.5) and I gained weight back over night. Finally I had an appetite and eating felt great again. Fast forward a few months and the acid reflux was getting so severe I could feel it in my ears. This was in March when I decided it was time I had to do something about it. I took OTC Omeprazole not knowing you had to take it in the morning- I took it before dinner but it helped a little? I did it really sporadically and would sill suffer from symptoms so asked my doctor and that’s when I learned to take it before eating in the morning. I did so for all of April with the doctors okay and felt great! Finally! No more acid reflux or burning stomach I felt really great! Then my anxiety started to get bad again with horrible panic attacks so was told to up the dose of my AD medication. I stayed on the Prilosec a few more weeks but tried to stagger it out a bit so I could come off it easier. 
Then all hell broke loose. I went up in dose again this time too quickly and or/ at that higher dose the medication made me severely ill. I also was not taking the Prilosec for the first time in a while so (?) could have somewhat contributed to the stomach problems. But for a week straight I got violently ill and my poor stomach took a beating. It’s been two weeks at the now lowered dose of my AD I used to have no problems with and I just feel... off. Like I majorly messed my stomach up. I went back on the Prilosec with my doctors okay to see if it would help- and it honestly doesn’t feel much better. Although it’s so hard to tell because I have so much anxiety around my stomach which in turn creates stomach problems. But this morning I woke up with burning sensations feeling almost like ulcer pain and have had multiple loose BMs with general stomach pains. It could very well be that yesterday I ate a lot of trigger foods and did overeat- I have tried to be ‘good’ with my diet but I guess I have to be even more careful than I am normally.
I guess I just feel like I’m scared I messed up my stomach from all this medication I am trying. But on one hand- what am I supposed to do? I want to find the right antidepressant and dose for me so I can relieve my anxiety symptoms- as a huge part of my stomach problems are from anxiety. But I’m also worried about the inflammation from getting sick from the ADs. And was I on the Prilosec too long? I feel like 2 months give or take is okay? And would I feel rebound effects from 2 months? Now I feel scared to go off of them.
I guess it’s time I take all of this to the doctor. Sigh. Just want some support from others who may have been suffering the same...</t>
        </is>
      </c>
      <c r="D1589" t="n">
        <v>2</v>
      </c>
      <c r="E1589" t="n">
        <v>0</v>
      </c>
      <c r="F1589">
        <f>HYPERLINK("https://www.reddit.com/r/GERD/comments/c1pyok/time_to_see_the_doctor_need_advice/")</f>
        <v/>
      </c>
      <c r="G1589" t="inlineStr">
        <is>
          <t>2019-06-17 09:54:32</t>
        </is>
      </c>
      <c r="H1589" t="inlineStr"/>
    </row>
    <row r="1590">
      <c r="A1590" t="inlineStr">
        <is>
          <t>c1qdox</t>
        </is>
      </c>
      <c r="B1590" t="inlineStr">
        <is>
          <t>Does a reflux attack set your recovery back ?</t>
        </is>
      </c>
      <c r="C1590" t="inlineStr">
        <is>
          <t>I’ve been eating an extremely bland diet, no alcohol, caffeine, soda, preservatives, and with very little sugar. Definitely no trigger foods.
I had been doing okay the last two weeks with just a h2 blocker and now a ppi, and had few symptoms aside from a constant slight discomfort in my stomach and occasional mild throat burning. Prior I had felt nauseous 24/7 and was unable to eat for days at a time.
A few nights ago I ate too much close to bed and felt nauseous and like my stomach was on fire most of the night. I feel better now, just wondering if this will set back the progress I’ve made as I hear it can take months for the stomach to heal. 
I know gerd is a chronic illness, but I am newly diagnosed and my doctor gave me no information on possible healing/remission. If this is how I will feel the rest of my life there is no way I can deal with it</t>
        </is>
      </c>
      <c r="D1590" t="n">
        <v>5</v>
      </c>
      <c r="E1590" t="n">
        <v>8</v>
      </c>
      <c r="F1590">
        <f>HYPERLINK("https://www.reddit.com/r/GERD/comments/c1qdox/does_a_reflux_attack_set_your_recovery_back/")</f>
        <v/>
      </c>
      <c r="G1590" t="inlineStr">
        <is>
          <t>2019-06-17 10:26:17</t>
        </is>
      </c>
      <c r="H1590" t="inlineStr"/>
    </row>
    <row r="1591">
      <c r="A1591" t="inlineStr">
        <is>
          <t>c1qnh0</t>
        </is>
      </c>
      <c r="B1591" t="inlineStr">
        <is>
          <t>Is this GERD or something else?</t>
        </is>
      </c>
      <c r="C1591" t="inlineStr">
        <is>
          <t>I've been exceptionally underweight throughout my early adulthood. Can't gain weight.
When I eat, I feel full very quickly. I get this sense in my stomach like it's being twisted around. Feels like there's air trapped, like a burp that never comes. I sometimes feel drained and lightheaded during this.
Oftentimes (mostly at night) I'll get terrible attacks that last hours, where my esophagus feels like its on fire and I have trouble breathing. Fast heart rate. Laying down is impossible here or I can't breathe, it feels like there's pressure on my lungs that only subsides when I'm sitting up. But sitting upright makes the reflux worse and causes another round of burping. Sometimes I even burp up stomach acid and it splashes into the back of my mouth. I've tried going against my intuition and falling asleep during this but I always reflexively sit up and gasp for breath after a few minutes. I have to sit up, sometimes past exhaustion, for hours until it passes.
I've had every test in the book except an endoscopy because I'm too much of a wuss. All of them turned back nothing. Can't do things like fly in airplanes or go in car rides because they trigger bad episodes where I almost pass out and I go into panic. I've had many ER trips and scared my family a few times.</t>
        </is>
      </c>
      <c r="D1591" t="n">
        <v>1</v>
      </c>
      <c r="E1591" t="n">
        <v>4</v>
      </c>
      <c r="F1591">
        <f>HYPERLINK("https://www.reddit.com/r/GERD/comments/c1qnh0/is_this_gerd_or_something_else/")</f>
        <v/>
      </c>
      <c r="G1591" t="inlineStr">
        <is>
          <t>2019-06-17 10:47:52</t>
        </is>
      </c>
      <c r="H1591" t="inlineStr"/>
    </row>
    <row r="1592">
      <c r="A1592" t="inlineStr">
        <is>
          <t>c1r2da</t>
        </is>
      </c>
      <c r="B1592" t="inlineStr">
        <is>
          <t>Does anyone else have this type of Acid Reflex?</t>
        </is>
      </c>
      <c r="C1592" t="inlineStr">
        <is>
          <t>I never get heartburn but when I eat or drink a lot of acidic foods I will wake up in the middle of the night and have vomiting, liquid shit, and I will be better by like 11 and feel fine the rest of the day.</t>
        </is>
      </c>
      <c r="D1592" t="n">
        <v>1</v>
      </c>
      <c r="E1592" t="n">
        <v>6</v>
      </c>
      <c r="F1592">
        <f>HYPERLINK("https://www.reddit.com/r/GERD/comments/c1r2da/does_anyone_else_have_this_type_of_acid_reflex/")</f>
        <v/>
      </c>
      <c r="G1592" t="inlineStr">
        <is>
          <t>2019-06-17 11:20:52</t>
        </is>
      </c>
      <c r="H1592" t="inlineStr"/>
    </row>
    <row r="1593">
      <c r="A1593" t="inlineStr">
        <is>
          <t>c1ro2i</t>
        </is>
      </c>
      <c r="B1593" t="inlineStr">
        <is>
          <t>8 years on Omeprazole and finally got off</t>
        </is>
      </c>
      <c r="C1593" t="inlineStr">
        <is>
          <t>So I have a bad case of acid reflux. I've been on Prilosec (20mg) in the morning and 2 Zantac at night for years. I've had an endoscopy, it showed I have a hiatal hernia and I did a pressure test which showed my esophageal sphincter muscle has a very loose pressure of 0.5 (normal level is 5-35). It would cause me sleep issues occasionally.
If I didn't take my Prilosec every 24 hours, I could feel massive rebound acid. And if I tried to get off, I'd be vomiting up acid after 12 hours of no medicine.
But this time I had to get off, because I'm doing a bravo test. They put a device in your esophagus and it measures the pH level over the course of two days. And in order to do a proper study, I have to be off all acid reducing medication so it has a normal baseline.
And I did it. I actually got off, and it wasn't the nightmare I thought it would be. So how?
The week before - all bland non-acidic food. Nothing spicy. No tomato sauce. You get the drill.
The first day - I'm allowed to take Zantac up until 3 days before my test. So I take one zantac in the morning and have a small bland breakfast (egg whites, potatoes, etc). I eat six small meals total throughout the day, each with not a single acidic food. No extra sugar. No white bread. No red meat. Just bland chicken or salmon, salt, veggies, yogurt, etc. I'd take a 1-2 more Zantac during the day.
Honestly it's rough, everything I normally eat is acidic.
I'm on day 4 now, day 5 is tomorrow the day before my test. Today is the 2nd day with no Zantac. I can still take tums. And I can definitely feel some lingering acid. When I do - I do water and baking soda. It helps for an hour or so. Then some tums and milk etc.
I can't believe I actually was able to get off prilosec. We'll see after my test what my long term solution is.</t>
        </is>
      </c>
      <c r="D1593" t="n">
        <v>16</v>
      </c>
      <c r="E1593" t="n">
        <v>12</v>
      </c>
      <c r="F1593">
        <f>HYPERLINK("https://www.reddit.com/r/GERD/comments/c1ro2i/8_years_on_omeprazole_and_finally_got_off/")</f>
        <v/>
      </c>
      <c r="G1593" t="inlineStr">
        <is>
          <t>2019-06-17 12:08:59</t>
        </is>
      </c>
      <c r="H1593" t="inlineStr"/>
    </row>
    <row r="1594">
      <c r="A1594" t="inlineStr">
        <is>
          <t>c1ruqr</t>
        </is>
      </c>
      <c r="B1594" t="inlineStr">
        <is>
          <t>Pre-Workout supplement recommendations</t>
        </is>
      </c>
      <c r="C1594" t="inlineStr">
        <is>
          <t>I'm going to purchase a pre-workout supplement and would like some recommendations.  I've tried NO-xplode which upsets my stomach but gives me plenty of energy.  I'd like another supplement that doesn't cause stomach issues.</t>
        </is>
      </c>
      <c r="D1594" t="n">
        <v>2</v>
      </c>
      <c r="E1594" t="n">
        <v>2</v>
      </c>
      <c r="F1594">
        <f>HYPERLINK("https://www.reddit.com/r/GERD/comments/c1ruqr/preworkout_supplement_recommendations/")</f>
        <v/>
      </c>
      <c r="G1594" t="inlineStr">
        <is>
          <t>2019-06-17 12:23:55</t>
        </is>
      </c>
      <c r="H1594" t="inlineStr"/>
    </row>
    <row r="1595">
      <c r="A1595" t="inlineStr">
        <is>
          <t>c1tats</t>
        </is>
      </c>
      <c r="B1595" t="inlineStr">
        <is>
          <t>Trouble swallowing/anxiety</t>
        </is>
      </c>
      <c r="C1595" t="inlineStr">
        <is>
          <t>Please tell me I’m not the only one. Whenever I eat something fairly unhealthy I like can’t swallow anymore, it feels like I’m gonna choke. Then I get anxiety over it which doesn’t help at all. 
Right now, I also have a burp stuck in my throat that won’t come out. I have to go to work soon and it’s making me so fucking pissed off idk what to do.</t>
        </is>
      </c>
      <c r="D1595" t="n">
        <v>2</v>
      </c>
      <c r="E1595" t="n">
        <v>2</v>
      </c>
      <c r="F1595">
        <f>HYPERLINK("https://www.reddit.com/r/GERD/comments/c1tats/trouble_swallowinganxiety/")</f>
        <v/>
      </c>
      <c r="G1595" t="inlineStr">
        <is>
          <t>2019-06-17 14:21:02</t>
        </is>
      </c>
      <c r="H1595" t="inlineStr"/>
    </row>
    <row r="1596">
      <c r="A1596" t="inlineStr">
        <is>
          <t>c1v2uo</t>
        </is>
      </c>
      <c r="B1596" t="inlineStr">
        <is>
          <t>Vicious cycle</t>
        </is>
      </c>
      <c r="C1596" t="inlineStr">
        <is>
          <t>I’m losing so much weight because of this vicious cycle: wake up and eat nothing because I’m not hungry, finally eat something hours after being awake then I become extremely nauseous so I don’t eat, AND REPEAT.
I’ve lost around 15 lbs partially due to exercising but also because I haven’t had a “regular” diet or enough protein to keep me going recently. 
This has been going on for a few months, I’ve had a scope done— just GERD. I am also on ssris and suffer from anxiety so I know that does not help.
Has anyone else gone through similar thing? Any suggestions on how to break the cycle? Supplement recs besides licorice,
Slippery elm, and aloe gel (I’ve been using these on and off but definitely not enough)</t>
        </is>
      </c>
      <c r="D1596" t="n">
        <v>3</v>
      </c>
      <c r="E1596" t="n">
        <v>7</v>
      </c>
      <c r="F1596">
        <f>HYPERLINK("https://www.reddit.com/r/GERD/comments/c1v2uo/vicious_cycle/")</f>
        <v/>
      </c>
      <c r="G1596" t="inlineStr">
        <is>
          <t>2019-06-17 16:55:21</t>
        </is>
      </c>
      <c r="H1596" t="inlineStr"/>
    </row>
    <row r="1597">
      <c r="A1597" t="inlineStr">
        <is>
          <t>c1vg6w</t>
        </is>
      </c>
      <c r="B1597" t="inlineStr">
        <is>
          <t>To those who do ab workouts with GERD, how do you do it ?</t>
        </is>
      </c>
      <c r="C1597" t="inlineStr">
        <is>
          <t>Whenever I do ab workouts, my GERD flares up badly because of which I've had to quit doing them.
But it sucks because I feel my abs getting weaker and a weak core really affects everything right from posture to overall strength and ends up affecting other workouts too. 
Anybody here who do ab workouts despite having GERD ? What are some of the exercises you do ?</t>
        </is>
      </c>
      <c r="D1597" t="n">
        <v>5</v>
      </c>
      <c r="E1597" t="n">
        <v>3</v>
      </c>
      <c r="F1597">
        <f>HYPERLINK("https://www.reddit.com/r/GERD/comments/c1vg6w/to_those_who_do_ab_workouts_with_gerd_how_do_you/")</f>
        <v/>
      </c>
      <c r="G1597" t="inlineStr">
        <is>
          <t>2019-06-17 17:31:07</t>
        </is>
      </c>
      <c r="H1597" t="inlineStr"/>
    </row>
    <row r="1598">
      <c r="A1598" t="inlineStr">
        <is>
          <t>c1wpzg</t>
        </is>
      </c>
      <c r="B1598" t="inlineStr">
        <is>
          <t>PPI and antibiotics made my symptoms way worse</t>
        </is>
      </c>
      <c r="C1598" t="inlineStr">
        <is>
          <t>I have GERD and IBS, in 2018 my gastro put me on an indefinite script of PPI and also gave me a 3 week antibiotic treatment for h pylori. Shortly after I began to lose extreme weight, had intense mental fog, mood swings, and intense depression and anxiety like I’ve never had before. Now I’m working with a nutritionist. My life also fell apart in just about every way possible, and I’m dealing with the anxiety from that. But at least now I’m able to let go of all my past responsibilities and live as stress free as possible, minus the anxiety haunting me. But I really regret going to that gastro. Diet changed, life style changes, stress relief methods have allowed me to gain some of that weight back. The spitting from my gerd is still bad but my ibs hasn’t been too terrible from the diet changes. Worst thing is newly developed insomnia and the recurrent fevers/hot flashes and dizziness. I really regret going to a gastro for my condition. It’s scary asf rn.</t>
        </is>
      </c>
      <c r="D1598" t="n">
        <v>5</v>
      </c>
      <c r="E1598" t="n">
        <v>3</v>
      </c>
      <c r="F1598">
        <f>HYPERLINK("https://www.reddit.com/r/GERD/comments/c1wpzg/ppi_and_antibiotics_made_my_symptoms_way_worse/")</f>
        <v/>
      </c>
      <c r="G1598" t="inlineStr">
        <is>
          <t>2019-06-17 19:39:23</t>
        </is>
      </c>
      <c r="H1598" t="inlineStr"/>
    </row>
    <row r="1599">
      <c r="A1599" t="inlineStr">
        <is>
          <t>c1zjlv</t>
        </is>
      </c>
      <c r="B1599" t="inlineStr">
        <is>
          <t>Is GERD/LPR a result of low or high stomach acid?</t>
        </is>
      </c>
      <c r="C1599" t="inlineStr">
        <is>
          <t>Pls help. I have developed chronic coughing and throat clearing for years and only now that I got a diagnosis of LPR (Laryngophaegal Reflux) after the doctors listed down my symptoms. Took PPIs for 21 days but with no positive result. Then recently, I found these overwhelming amount of Youtube videos saying GERD might be because of very low stomach acid rather than too much. Have you experienced asking your doctors about this?</t>
        </is>
      </c>
      <c r="D1599" t="n">
        <v>7</v>
      </c>
      <c r="E1599" t="n">
        <v>8</v>
      </c>
      <c r="F1599">
        <f>HYPERLINK("https://www.reddit.com/r/GERD/comments/c1zjlv/is_gerdlpr_a_result_of_low_or_high_stomach_acid/")</f>
        <v/>
      </c>
      <c r="G1599" t="inlineStr">
        <is>
          <t>2019-06-18 01:10:14</t>
        </is>
      </c>
      <c r="H1599" t="inlineStr"/>
    </row>
    <row r="1600">
      <c r="A1600" t="inlineStr">
        <is>
          <t>c20i34</t>
        </is>
      </c>
      <c r="B1600" t="inlineStr">
        <is>
          <t>Theory on cause of gerd (for some or most)</t>
        </is>
      </c>
      <c r="C1600" t="inlineStr">
        <is>
          <t>Before I give my shirt theory, please advice I’m not a doctor and this is only a theory in my opinion and you should listen to your primary care physical/ specialist for your treatments.. 
Straight to the point.
Water &amp;amp; all other liquids, cause gerd for me, and possibly you too. 
I eat what I want, literally eat anything I want, well not anything obviously not a raw onion or MAJOR gerd stimulators like chocolate etc (haven’t tried to eat those foods because scared too)
Anyway, point being a cheeseburger , sushi, pasta, normal every day foods like those, I can eat without ANY sort of issue whatsoever. As soon as I get any time of liquid in my body, after my meal, doesn’t matter if it’s 10 minutes, 1 hour, or 2 hours. I get symptoms IMMEDIATELY after ingesting liquid. My stomach gets bloated and it’s almost like a toilet getting backed up and flooded type of an effect (pause) lol. 
Anyway, my point here is I believe people who have gerd triggers to LIQUIDS only, like my self, have an issue with our body not utilizing liquids correctly, or absorbing it. 
I did some research and I came across someone on quora who claims to be a ‘ healer’ type of guy, and no I don’t trust his claims yet, but it’s making a lot of sense. 
He has a hydration / dehydration cycle, I believe a 10 day cycle that is supposed to reset your system and help with this issue. Although the also mentions after ‘fixed’ you must not drink any liquid the entire day except for when you’re eating, and that you should have 1 glass of water with your meal and that’s it. 
Personally speaking, the days that I barely ingest any liquid are my least symptomatic days in other words no gerd symptoms.... not a coincidence. 
I’m not telling anyone to stop drinking water, but try it for yourself and leave feedback. I don’t have much else to say but I will leave an update on the hydration / dehydration cycle once I’m complete after 10 days. 
https://www.quora.com/profile/Rajinder-Bhalla-2</t>
        </is>
      </c>
      <c r="D1600" t="n">
        <v>0</v>
      </c>
      <c r="E1600" t="n">
        <v>2</v>
      </c>
      <c r="F1600">
        <f>HYPERLINK("https://www.reddit.com/r/GERD/comments/c20i34/theory_on_cause_of_gerd_for_some_or_most/")</f>
        <v/>
      </c>
      <c r="G1600" t="inlineStr">
        <is>
          <t>2019-06-18 03:17:58</t>
        </is>
      </c>
      <c r="H1600" t="inlineStr"/>
    </row>
    <row r="1601">
      <c r="A1601" t="inlineStr">
        <is>
          <t>c20wyj</t>
        </is>
      </c>
      <c r="B1601" t="inlineStr">
        <is>
          <t>Need Advice about playing sports</t>
        </is>
      </c>
      <c r="C1601" t="inlineStr">
        <is>
          <t>I have had acid reflux for a couple of weeks now, and been taking medications to suppress its effect. But one problem I am facing is feeling extremely nauseous when playing sports ( like soccer and body building). So I would appreciate any advice that could help with this problem</t>
        </is>
      </c>
      <c r="D1601" t="n">
        <v>3</v>
      </c>
      <c r="E1601" t="n">
        <v>5</v>
      </c>
      <c r="F1601">
        <f>HYPERLINK("https://www.reddit.com/r/GERD/comments/c20wyj/need_advice_about_playing_sports/")</f>
        <v/>
      </c>
      <c r="G1601" t="inlineStr">
        <is>
          <t>2019-06-18 04:07:48</t>
        </is>
      </c>
      <c r="H1601" t="inlineStr"/>
    </row>
    <row r="1602">
      <c r="A1602" t="inlineStr">
        <is>
          <t>c220pi</t>
        </is>
      </c>
      <c r="B1602" t="inlineStr">
        <is>
          <t>Prepping for vacation. Should I take Omeprazole 2x a day?</t>
        </is>
      </c>
      <c r="C1602" t="inlineStr">
        <is>
          <t>Hi everyone,
I was curious on your opinions and if this is a good idea or not. About 2 weeks ago I saw my Dr for my acid reflux. I'm currently on 20mg of Omeprazole a day. My Dr told me that I can take it up to 2x a day if it gets really bad. I'm going to a wedding this weekend and I was thinking that even though it's maintained well at the moment that I would just go ahead a take it 2x a day basically as a "just in case." Just  because I don't really know what's in the food that could possibly trigger my reflux, as I'm still learning what my triggers are. So far, it seems like fried foods and coffee ate my kryptonite. Also, admittedly, I want to indulge a bit. Will this help? Is this a terrible idea? Any other tips to consider?</t>
        </is>
      </c>
      <c r="D1602" t="n">
        <v>1</v>
      </c>
      <c r="E1602" t="n">
        <v>5</v>
      </c>
      <c r="F1602">
        <f>HYPERLINK("https://www.reddit.com/r/GERD/comments/c220pi/prepping_for_vacation_should_i_take_omeprazole_2x/")</f>
        <v/>
      </c>
      <c r="G1602" t="inlineStr">
        <is>
          <t>2019-06-18 06:06:04</t>
        </is>
      </c>
      <c r="H1602" t="inlineStr"/>
    </row>
    <row r="1603">
      <c r="A1603" t="inlineStr">
        <is>
          <t>c22qri</t>
        </is>
      </c>
      <c r="B1603" t="inlineStr">
        <is>
          <t>Are my headaches and dizziness from GERD?</t>
        </is>
      </c>
      <c r="C1603" t="inlineStr">
        <is>
          <t>I've been suffering from 6 months now, I got it diagnosed 4 months ago and I drank PLL for 2 months. During that time I think I got dizzy once or twice. My GERD got better and it was good for a month. A month later I got very dizzy suddenly. It got worse as it progressed but then a few days later it went again. But I had thought it was low blood pressure so I drank coffee and my GERD came back. I then drank a h2 blocker but it cauesed me a lot of headaches. I also felt dizzy the whole time. The headaches continued 4 days after I left it. The doctor then recommended me to get paroprazole so I started that. But now I occasionally get headhaces with dizziness again. 
1.I wanna know if the headaches/dizziness is  caused by GERD (it gets worse after eating)?
2. Or by medicine even tho I felt dizzy even without medicine(but no headaches)
3.Or another problem ?(because I had dizziness first before my gerd got worse again)</t>
        </is>
      </c>
      <c r="D1603" t="n">
        <v>2</v>
      </c>
      <c r="E1603" t="n">
        <v>1</v>
      </c>
      <c r="F1603">
        <f>HYPERLINK("https://www.reddit.com/r/GERD/comments/c22qri/are_my_headaches_and_dizziness_from_gerd/")</f>
        <v/>
      </c>
      <c r="G1603" t="inlineStr">
        <is>
          <t>2019-06-18 07:13:06</t>
        </is>
      </c>
      <c r="H1603" t="inlineStr"/>
    </row>
    <row r="1604">
      <c r="A1604" t="inlineStr">
        <is>
          <t>c2384l</t>
        </is>
      </c>
      <c r="B1604" t="inlineStr">
        <is>
          <t>What exercise is best for hiatus hernias?</t>
        </is>
      </c>
      <c r="C1604" t="inlineStr">
        <is>
          <t>I have just started with a physio who has warned me off cycling. Any views?</t>
        </is>
      </c>
      <c r="D1604" t="n">
        <v>2</v>
      </c>
      <c r="E1604" t="n">
        <v>3</v>
      </c>
      <c r="F1604">
        <f>HYPERLINK("https://www.reddit.com/r/GERD/comments/c2384l/what_exercise_is_best_for_hiatus_hernias/")</f>
        <v/>
      </c>
      <c r="G1604" t="inlineStr">
        <is>
          <t>2019-06-18 07:55:46</t>
        </is>
      </c>
      <c r="H1604" t="inlineStr"/>
    </row>
    <row r="1605">
      <c r="A1605" t="inlineStr">
        <is>
          <t>c23s43</t>
        </is>
      </c>
      <c r="B1605" t="inlineStr">
        <is>
          <t>What multivitamins do you take?</t>
        </is>
      </c>
      <c r="C1605" t="inlineStr">
        <is>
          <t>I've had GERD/IBS my whole life and I'm *still* trying to figure out the best diet for me (have done various elimination diets including the acid watchers and FODMAP diet, was helpful but hated how restrictive it was on both at the same time so trying to experiment with foods to see which are my triggers). I know I'm not the best at eating everything I should be, and I'm trying to do better. In the meantime, I think it's a good idea to take some vitamins to boost what I may be lacking.
I've tried taken multivitamins in the past but had an issue with them being so large they were hard to swallow or would make me feel nauseas after swallowing, like it was too much (I'm 4'11 115 pounds). I've been able to take some gummy vitamins in the past but I don't like those because of all the added sugar.
What multivitamins do you take that don't give you issues with your stomach?</t>
        </is>
      </c>
      <c r="D1605" t="n">
        <v>1</v>
      </c>
      <c r="E1605" t="n">
        <v>2</v>
      </c>
      <c r="F1605">
        <f>HYPERLINK("https://www.reddit.com/r/GERD/comments/c23s43/what_multivitamins_do_you_take/")</f>
        <v/>
      </c>
      <c r="G1605" t="inlineStr">
        <is>
          <t>2019-06-18 08:41:16</t>
        </is>
      </c>
      <c r="H1605" t="inlineStr"/>
    </row>
    <row r="1606">
      <c r="A1606" t="inlineStr">
        <is>
          <t>c24kwr</t>
        </is>
      </c>
      <c r="B1606" t="inlineStr">
        <is>
          <t>Breathing Issues</t>
        </is>
      </c>
      <c r="C1606" t="inlineStr">
        <is>
          <t>Hey everyone, I have been diagnosed with GERD for about 4 years now and for the last couple months I have been having what feels like trouble getting air in. I have had chest X-rays, blood clot tests, and all kinds of stuff but the doctor now believes it may be related to my acid reflux. I have been on Nexium for about a month and Zantac as needed but it hasn’t helped that much. Has anyone had any experience with the breathing issues and how to handle them? I go back to my stomach doctor Friday to see about changing up medicines.</t>
        </is>
      </c>
      <c r="D1606" t="n">
        <v>1</v>
      </c>
      <c r="E1606" t="n">
        <v>1</v>
      </c>
      <c r="F1606">
        <f>HYPERLINK("https://www.reddit.com/r/GERD/comments/c24kwr/breathing_issues/")</f>
        <v/>
      </c>
      <c r="G1606" t="inlineStr">
        <is>
          <t>2019-06-18 09:46:18</t>
        </is>
      </c>
      <c r="H1606" t="inlineStr"/>
    </row>
    <row r="1607">
      <c r="A1607" t="inlineStr">
        <is>
          <t>c253ts</t>
        </is>
      </c>
      <c r="B1607" t="inlineStr">
        <is>
          <t>Frequent stomach burn, but no heartburn. Could I have ulcer and not GERD ?</t>
        </is>
      </c>
      <c r="C1607" t="inlineStr">
        <is>
          <t>I am yet to get an endoscopy done and get an official diagnosis of my condition but I have noticed that over the last few days, I don't experience heartburn. I only experience bad stomach burn very often (almost everyday a few hours after meals)
I was thinking it is GERD, but could it actually be ulcer instead ? I have been eating alkaline foods but I still get the stomach burn. 
My stool is normal brown color with normal consistency though and I haven't noticed any blood or pus or anything like that. I have read that if you have ulcer, your stools get dark and diarrhea-like. So I want to rule out ulcer based on my stool color but can't be sure. 
I have been thinking a lot about this and even went to the extremes of thinking about stomach cancer. But I don't necessarily have any of the stomach cancer symptoms.</t>
        </is>
      </c>
      <c r="D1607" t="n">
        <v>3</v>
      </c>
      <c r="E1607" t="n">
        <v>4</v>
      </c>
      <c r="F1607">
        <f>HYPERLINK("https://www.reddit.com/r/GERD/comments/c253ts/frequent_stomach_burn_but_no_heartburn_could_i/")</f>
        <v/>
      </c>
      <c r="G1607" t="inlineStr">
        <is>
          <t>2019-06-18 10:27:10</t>
        </is>
      </c>
      <c r="H1607" t="inlineStr"/>
    </row>
    <row r="1608">
      <c r="A1608" t="inlineStr">
        <is>
          <t>c2574c</t>
        </is>
      </c>
      <c r="B1608" t="inlineStr">
        <is>
          <t>Mucus in throat every time after I eat</t>
        </is>
      </c>
      <c r="C1608" t="inlineStr">
        <is>
          <t>So within the past year, I've developed this problem where after I eat, I get mucus in my throat for about an hour after I eat--so much mucus that it affects my voice and I have to constantly clear my throat. It always happens after I eat like clockwork. Does anyone else experience this and/or know how to deal with this? It's awkward when I have to talk to someone right after and I sound like a frog.</t>
        </is>
      </c>
      <c r="D1608" t="n">
        <v>3</v>
      </c>
      <c r="E1608" t="n">
        <v>13</v>
      </c>
      <c r="F1608">
        <f>HYPERLINK("https://www.reddit.com/r/GERD/comments/c2574c/mucus_in_throat_every_time_after_i_eat/")</f>
        <v/>
      </c>
      <c r="G1608" t="inlineStr">
        <is>
          <t>2019-06-18 10:34:30</t>
        </is>
      </c>
      <c r="H1608" t="inlineStr"/>
    </row>
    <row r="1609">
      <c r="A1609" t="inlineStr">
        <is>
          <t>c25js2</t>
        </is>
      </c>
      <c r="B1609" t="inlineStr">
        <is>
          <t>Has anyone solved their GERD by dealing with a thyroid hormone imbalance?</t>
        </is>
      </c>
      <c r="C1609" t="inlineStr">
        <is>
          <t>I've recently been diagnosed with Barrett's on top of a vocal fold granuloma that won't go away. Esophagram shows that there's basically nothing holding anything in my stomach despite having had a Stretta a few years ago. My doc is recommending fundoplication, but I've recently read that thyroid hormones are critical for proper digestive function. Anyone know anything about this?</t>
        </is>
      </c>
      <c r="D1609" t="n">
        <v>7</v>
      </c>
      <c r="E1609" t="n">
        <v>6</v>
      </c>
      <c r="F1609">
        <f>HYPERLINK("https://www.reddit.com/r/GERD/comments/c25js2/has_anyone_solved_their_gerd_by_dealing_with_a/")</f>
        <v/>
      </c>
      <c r="G1609" t="inlineStr">
        <is>
          <t>2019-06-18 11:02:05</t>
        </is>
      </c>
      <c r="H1609" t="inlineStr"/>
    </row>
    <row r="1610">
      <c r="A1610" t="inlineStr">
        <is>
          <t>c265yj</t>
        </is>
      </c>
      <c r="B1610" t="inlineStr">
        <is>
          <t>Question about esophageal spasms/hiatal hernia</t>
        </is>
      </c>
      <c r="C1610" t="inlineStr">
        <is>
          <t>Hey guys! What do esophageal spasms feel like for you? Also, for those with a sliding hiatal hernia, can you ever feel it moving?
I was diagnosed last month with a sliding hiatal hernia and diffuse esophageal spasms after years of acid reflux, chest pain, and an ongoing chronic cough.
Despite my misgivings, my doctor told me my anxiety was causing the spasms and that was causing my reflux/cough. He prescriped Buspae, which has done nothing to help. I still have reflux and cough every single day. 
I do have a history of anxiety, but have not had problems in over a year since starting lexapro.</t>
        </is>
      </c>
      <c r="D1610" t="n">
        <v>3</v>
      </c>
      <c r="E1610" t="n">
        <v>2</v>
      </c>
      <c r="F1610">
        <f>HYPERLINK("https://www.reddit.com/r/GERD/comments/c265yj/question_about_esophageal_spasmshiatal_hernia/")</f>
        <v/>
      </c>
      <c r="G1610" t="inlineStr">
        <is>
          <t>2019-06-18 11:49:59</t>
        </is>
      </c>
      <c r="H1610" t="inlineStr"/>
    </row>
    <row r="1611">
      <c r="A1611" t="inlineStr">
        <is>
          <t>c27jm2</t>
        </is>
      </c>
      <c r="B1611" t="inlineStr">
        <is>
          <t>Do i have LPR?</t>
        </is>
      </c>
      <c r="C1611" t="inlineStr">
        <is>
          <t>For the past month I have had very bad shortness of breath that will last days on end. I have to breath super hard to get air down my throat. Other times im unable to breath air all the way into my lungs but there's no throat sensation. (idk what an asthma attack feels like but that has to be a similiar feeling.) I also have really bad post nasal drip that hasn't gone away since the shortness of breath started. When I swallow i feel like it is a bit harder and I have to hack up phelgm and saliva. For the past few days i've been getting very nauseous and vomiting. I'm not sure why, maybe because i eat so little, I only drink one small smoothie a day so I've lost 25 lbs in one month. 
&amp;amp;#x200B;
Originally they thought it was a hiatal hernia but I took a barium swallow and they said they found nothing. I've been taking PPI's and liquid benadryl. I'm not sure if my symptoms are improving. for the first two weeks i had non-stop shortness of breath but it started to fade away for a few days, coincidentally during the same time i had the barium test, but the breathing problems came back a few days later in full effect. Then the after few more days it went away again for probably a week and i've only had mild shortness of breath for small amounts of time since then.
&amp;amp;#x200B;
I was referred to a GI from an open door clinic so I thought I'd be able to talk to the doctor but they're just sending me straight to an endoscopy in 2 weeks. It's been an entire month during which time i went to the ER 3 times and open door like 5 times and i still havent been able to talk to anyone that could help diagnose me. I'm going again and will request a referral to an ENT because I see a lot of people talked to one to be diagnosed. 
&amp;amp;#x200B;
So.., basically I'm wondering if people with LPR would have non-stop post nasal drip and shortness of breath that lasts days on end, whether the GI will check for LPR during an upper GI, and if it would be a good idea to get in contact with an ENT.
&amp;amp;#x200B;
 things I've felt but might not be related: heart palpitations and shaky after eating sugary food, pressure under sternum, anxiety, acid reflux</t>
        </is>
      </c>
      <c r="D1611" t="n">
        <v>3</v>
      </c>
      <c r="E1611" t="n">
        <v>7</v>
      </c>
      <c r="F1611">
        <f>HYPERLINK("https://www.reddit.com/r/GERD/comments/c27jm2/do_i_have_lpr/")</f>
        <v/>
      </c>
      <c r="G1611" t="inlineStr">
        <is>
          <t>2019-06-18 13:39:20</t>
        </is>
      </c>
      <c r="H1611" t="inlineStr"/>
    </row>
    <row r="1612">
      <c r="A1612" t="inlineStr">
        <is>
          <t>c27tml</t>
        </is>
      </c>
      <c r="B1612" t="inlineStr">
        <is>
          <t>Inflamed throat behind tonsils (Anyone else suffer this?)</t>
        </is>
      </c>
      <c r="C1612" t="inlineStr">
        <is>
          <t>Sorry for the long post, but first the history! 
I've never been officially diagnosed as having GERD but last year I had these intense stomach pains in the upper central/left region of my stomach. It was a very sharp pain that pretty much left me immobile for a short amount of time, even breathing hurt. Usually the next day there would be some slight pain but I could do everything no problem. Then the next attack (Like 2-3 that year) was the worst. I felt bloated, general pain lasting many days and even bending over hurt. Doctor believed it was my duodenum and prescribed a dose of acid reducers. It didn't really seem to help but fast forward a year later I've dealt on and off with heartburn since then. Usually taking 2 tums a day and a Zantac in the morning, if not usually something like Ketchup will set me off all day with heartburn. 
Now I had a dentist appointment about a month ago and my dentist my throat looks irritated, I got home and looked in the mirror and it definitely looked like a sore throat but no symptoms like pain or feeling of a cold coming on. Come to present day and I've had a really sore throat since Saturday and went to the doctor and they suspect acid is the culprit (but swabbed for Strep which it didn't end up being). I was prescribed a PPI but so many concerns have arisen from that medication. Has anyone else had a similar issue with their throats behind the tonsils? They look just like red sores that are inflamed. I'm debating not taking the PPI but also thinking a 14 day trial to try and allow my throat to heal up would also be beneficial instead of using just tums and Zantac. 
[Picture of my nasty mouth!](https://imgur.com/a/BGZAM5u)</t>
        </is>
      </c>
      <c r="D1612" t="n">
        <v>0</v>
      </c>
      <c r="E1612" t="n">
        <v>0</v>
      </c>
      <c r="F1612">
        <f>HYPERLINK("https://www.reddit.com/r/GERD/comments/c27tml/inflamed_throat_behind_tonsils_anyone_else_suffer/")</f>
        <v/>
      </c>
      <c r="G1612" t="inlineStr">
        <is>
          <t>2019-06-18 14:01:41</t>
        </is>
      </c>
      <c r="H1612" t="inlineStr"/>
    </row>
    <row r="1613">
      <c r="A1613" t="inlineStr">
        <is>
          <t>c27y6d</t>
        </is>
      </c>
      <c r="B1613" t="inlineStr">
        <is>
          <t>Immediate relief for LPR/GERD Symptoms?</t>
        </is>
      </c>
      <c r="C1613" t="inlineStr">
        <is>
          <t>I can’t see my GI for another two days and I’m completely miserable, anything I eat or drink makes me so nauseous whether it’s a safe food or not, any time I eat or drink water I get really bad bubbles in my throat that when I open my mouth you can hear them popping as if I had been eating freaking pop rocks all day. Heartburn has been coming and going, but is always there when I lay down and when I wake up, and no I don’t eat before bed. My PPI seems to have just straight up stopped working after a year of being on it and I’m MISERABLE. 
I’m a 24/f and I haven’t been eating any trigger foods, no caffeine, no carbonation, not laying down after eating, and I’ve been taking Zofran and my PPI. 
I am at my wits end.</t>
        </is>
      </c>
      <c r="D1613" t="n">
        <v>4</v>
      </c>
      <c r="E1613" t="n">
        <v>5</v>
      </c>
      <c r="F1613">
        <f>HYPERLINK("https://www.reddit.com/r/GERD/comments/c27y6d/immediate_relief_for_lprgerd_symptoms/")</f>
        <v/>
      </c>
      <c r="G1613" t="inlineStr">
        <is>
          <t>2019-06-18 14:12:01</t>
        </is>
      </c>
      <c r="H1613" t="inlineStr"/>
    </row>
    <row r="1614">
      <c r="A1614" t="inlineStr">
        <is>
          <t>c2akaf</t>
        </is>
      </c>
      <c r="B1614" t="inlineStr">
        <is>
          <t>So I think I have GERD or developed some strange Acid Reflux in my esophagus.</t>
        </is>
      </c>
      <c r="C1614" t="inlineStr">
        <is>
          <t>Just to preface with some context, I have never had any issues with acid reflux nor have I noticed any issues at all until 2 weeks ago tomorrow. How this all started was over a salad funny enough which I bought from my local Walmart. It was a spinach and spring mix that I put a good bit of croutons, cheese, and French dressing. I happened to eat most of it and everything was fine for an hour or so afterwards. I suddenly thought I felt something stuck in esophagus so it put me in a big panic cause I’ve never experienced that before. Me not being as smart as I should’ve been in that situation decided if I make myself vomit I’d get whatever is in there out, that didn’t end well believe me. I went to the ER the next day due to it feeling like something was still there. I got X-rays done and made me drink this awful liquid to find out it’s all just acid reflux built up. Fast forward to now, I’m having issues eating certain foods that I usually go to. The swallowing feels really weird to me and it makes me a bit uncomfortable. I started taking Omeprazole a day ago cause I had a lot of close friends and family recommend me that. Any ideas on what it could be or how to work with it? Thank you if you took the time to read my post.</t>
        </is>
      </c>
      <c r="D1614" t="n">
        <v>3</v>
      </c>
      <c r="E1614" t="n">
        <v>3</v>
      </c>
      <c r="F1614">
        <f>HYPERLINK("https://www.reddit.com/r/GERD/comments/c2akaf/so_i_think_i_have_gerd_or_developed_some_strange/")</f>
        <v/>
      </c>
      <c r="G1614" t="inlineStr">
        <is>
          <t>2019-06-18 18:08:52</t>
        </is>
      </c>
      <c r="H1614" t="inlineStr"/>
    </row>
    <row r="1615">
      <c r="A1615" t="inlineStr">
        <is>
          <t>c2c49s</t>
        </is>
      </c>
      <c r="B1615" t="inlineStr">
        <is>
          <t>Is an EDG (endoscopy) worth it?</t>
        </is>
      </c>
      <c r="C1615" t="inlineStr">
        <is>
          <t>I get heartburn whenever i have caffeine, chocolate, coconut oil, and a few other things but not sure if getting an EDG would be worth it? Any benefits to getting it done?</t>
        </is>
      </c>
      <c r="D1615" t="n">
        <v>7</v>
      </c>
      <c r="E1615" t="n">
        <v>15</v>
      </c>
      <c r="F1615">
        <f>HYPERLINK("https://www.reddit.com/r/GERD/comments/c2c49s/is_an_edg_endoscopy_worth_it/")</f>
        <v/>
      </c>
      <c r="G1615" t="inlineStr">
        <is>
          <t>2019-06-18 20:45:56</t>
        </is>
      </c>
      <c r="H1615" t="inlineStr"/>
    </row>
    <row r="1616">
      <c r="A1616" t="inlineStr">
        <is>
          <t>c2kopm</t>
        </is>
      </c>
      <c r="B1616" t="inlineStr">
        <is>
          <t>Endoscopy revealed grade b esophagitis and medium amount of food in stomach despite 12-hour fast. Worried food in stomach is bigger issue than my doctor lead on</t>
        </is>
      </c>
      <c r="C1616" t="inlineStr">
        <is>
          <t>Three weeks ago I had an endoscopy because I’d been having chest pain for a few months. The endo revealed esophagitis which I kind of expected but also showed that the food is eaten the night before (12 hours prior) was still preset in my stomach. After the endo I went on omeprazole which seemed to almost immediate clear up my chest pain. 
However over the last week, my symptoms have returned and I’ve had a near constant cramping/pressure/fullness in my upper abdomen. 
I’m worried that this could be due to the delayed gastric emptying seen on the endoscopy. I understand this to be a pretty significant issue and possibly even the cause of my reflux to begin with so I was really surprised my doctor glossed over it even after I tried several times to bring it up. 
Biopsies came back fine and no other visual issues were found during the endo. 
Does anyone have any insight?</t>
        </is>
      </c>
      <c r="D1616" t="n">
        <v>3</v>
      </c>
      <c r="E1616" t="n">
        <v>10</v>
      </c>
      <c r="F1616">
        <f>HYPERLINK("https://www.reddit.com/r/GERD/comments/c2kopm/endoscopy_revealed_grade_b_esophagitis_and_medium/")</f>
        <v/>
      </c>
      <c r="G1616" t="inlineStr">
        <is>
          <t>2019-06-19 11:26:13</t>
        </is>
      </c>
      <c r="H1616" t="inlineStr"/>
    </row>
    <row r="1617">
      <c r="A1617" t="inlineStr">
        <is>
          <t>c2m7i0</t>
        </is>
      </c>
      <c r="B1617" t="inlineStr">
        <is>
          <t>smoking marajuana?</t>
        </is>
      </c>
      <c r="C1617" t="inlineStr">
        <is>
          <t>fairly certain i'm suffering from this and have been laying off smoking but had a bong hit here and there and haven't noticed ill effects like after certain foods, but can't be sure.  
i'm getting in to a doctor this week to get a diagnosis but would appreciate any insight.</t>
        </is>
      </c>
      <c r="D1617" t="n">
        <v>2</v>
      </c>
      <c r="E1617" t="n">
        <v>13</v>
      </c>
      <c r="F1617">
        <f>HYPERLINK("https://www.reddit.com/r/GERD/comments/c2m7i0/smoking_marajuana/")</f>
        <v/>
      </c>
      <c r="G1617" t="inlineStr">
        <is>
          <t>2019-06-19 13:26:17</t>
        </is>
      </c>
      <c r="H1617" t="inlineStr"/>
    </row>
    <row r="1618">
      <c r="A1618" t="inlineStr">
        <is>
          <t>c2n6z4</t>
        </is>
      </c>
      <c r="B1618" t="inlineStr">
        <is>
          <t>Anyone else experiencing these symptoms?</t>
        </is>
      </c>
      <c r="C1618" t="inlineStr">
        <is>
          <t>Hi,
Just curious if anyone else out there are having similar symptoms concerning acid reflux/GERD or whatever.
I have had the following symptoms off and on for about 10 years.  I did get scoped about 10 years ago and there was evidence of acid reflux but apparently, not enough to worry about.
I have “flare-ups” about once or twice a year where I have to crack down and not drink any alcohol, try to eat more alkaline foods, I sleep on a wedge… and do all the things you are supposed to do.
My symptoms are a stabbing pain in the upper back, more on the right side by my scapula.  Also, my chest, or esophagus, feels inflamed (but not really pain) but just heavy feeling.  Also, my voice is getting really hoarse.
These last symptoms, concerning the heaviness in my esophagus and radiating to the back, and hoarseness, seem to be getting worse, the last couple of days.  Although, it comes and goes…even within an hour.
I went to my doc a month ago and she told me to Neti pot twice a day (possibly post nasal drip not helping) and put me back on Omeprazole.  For the first two or three weeks, that seemed to help but now the last couple of days have been  the chest heaviness feeling and hoarseness, more so than before.
Allergies making things worse??? Not sure.
Anyway, just hoping to open a dialog here to gain some ammo to go back to my Dr.  
Thanks much and hope to hear from someone!!!</t>
        </is>
      </c>
      <c r="D1618" t="n">
        <v>2</v>
      </c>
      <c r="E1618" t="n">
        <v>3</v>
      </c>
      <c r="F1618">
        <f>HYPERLINK("https://www.reddit.com/r/GERD/comments/c2n6z4/anyone_else_experiencing_these_symptoms/")</f>
        <v/>
      </c>
      <c r="G1618" t="inlineStr">
        <is>
          <t>2019-06-19 14:46:43</t>
        </is>
      </c>
      <c r="H1618" t="inlineStr"/>
    </row>
    <row r="1619">
      <c r="A1619" t="inlineStr">
        <is>
          <t>c2p2qf</t>
        </is>
      </c>
      <c r="B1619" t="inlineStr">
        <is>
          <t>New to the Group, My GERD Story.</t>
        </is>
      </c>
      <c r="C1619" t="inlineStr">
        <is>
          <t>So glad I found this sub. I've read through several posts already, and I'm so grateful to have access to other people with similar issues. 
&amp;amp;#x200B;
Background: I'm a 35 year old female. I've had GI pain/issues for the last several years. Two years ago I was told by the ER that it was pancreatitis. I took some pain meds for a while and tried to do better about my diet. Things got better, and I got a little less strict on my diet. I couldn't get in to see a GI specialist at the time because I had crap insurance and no money. 
&amp;amp;#x200B;
About two months ago I had several serious episodes that scared me enough to make an appointment with GI specialist. I ate a soft pretzel and felt like I was choking. I seriously thought I was going to pass out. It happened again a few days later with a biscuit. Those were the worst, but I was also having stomach pains after eating. The doctor checked my ER records from before and told me that they were wrong. She was fairly certain I had GERD, not pancreatitis, and she scheduled an endoscopy. The endoscopy showed severe erosive gastritis and Barrett's Esophagus. 
After the endoscopy I cut out all gluten, sodas, and anything else acidic like citrus and tomatoes. It has definitely helped, especially the gluten. I haven't gotten the choking feeling since I cut it out. 
&amp;amp;#x200B;
My follow-up appointment with the GI specialist was today. She said that my stomach looked like a cat had gotten in there and scratched everything to pieces. My lower intestine and esophagus also showed damage. So, apparently I've had serious reflux going on for much longer than I've had serious symptoms. I'm taking 40mg of Omeprazole in the morning, and I have a follow-up again in six months. 
Doctor basically told me that the cause of my GERD could be from genetics (my dad has it too), stress, and diet, or a combination of all three. She approved the diet changes and said to keep with it, since it's helping. I'm hoping diet changes will be my key. I've already lost almost 10 pounds since cutting out gluten. There's still some pain after meals, but nothing like before. I have to keep reminding myself that my stomach, intestine, and esophagus all have damage to heal, as well as controlling reflux to prevent further damage, so this is not going to be an easy fix.</t>
        </is>
      </c>
      <c r="D1619" t="n">
        <v>12</v>
      </c>
      <c r="E1619" t="n">
        <v>5</v>
      </c>
      <c r="F1619">
        <f>HYPERLINK("https://www.reddit.com/r/GERD/comments/c2p2qf/new_to_the_group_my_gerd_story/")</f>
        <v/>
      </c>
      <c r="G1619" t="inlineStr">
        <is>
          <t>2019-06-19 17:32:39</t>
        </is>
      </c>
      <c r="H1619" t="inlineStr"/>
    </row>
    <row r="1620">
      <c r="A1620" t="inlineStr">
        <is>
          <t>c2wmpf</t>
        </is>
      </c>
      <c r="B1620" t="inlineStr">
        <is>
          <t>DO I HAVE LPR????!</t>
        </is>
      </c>
      <c r="C1620" t="inlineStr">
        <is>
          <t>I didn't mention to my GI doctor that two of my symptoms are chronic cough and hoarseness, especially after eating. I don't see her again. She said she doesn't feel like I need to keep getting poked and prodded. The barium swallow and endoscopy came back normal. I tested negative for H Pylori, my thyroid is normal, and all my blood tests came back normal. She said that my symptoms (heartburn, burping, hiccups, and a few other things) are stress related. Why didn't I mention the cough and hoarseness? What if I get cancer of the larynx??! I don't want to die!</t>
        </is>
      </c>
      <c r="D1620" t="n">
        <v>1</v>
      </c>
      <c r="E1620" t="n">
        <v>3</v>
      </c>
      <c r="F1620">
        <f>HYPERLINK("https://www.reddit.com/r/GERD/comments/c2wmpf/do_i_have_lpr/")</f>
        <v/>
      </c>
      <c r="G1620" t="inlineStr">
        <is>
          <t>2019-06-20 07:23:13</t>
        </is>
      </c>
      <c r="H1620" t="inlineStr"/>
    </row>
    <row r="1621">
      <c r="A1621" t="inlineStr">
        <is>
          <t>c2z1k9</t>
        </is>
      </c>
      <c r="B1621" t="inlineStr">
        <is>
          <t>What does it feel like when rantidine is working?</t>
        </is>
      </c>
      <c r="C1621" t="inlineStr">
        <is>
          <t>Have had all the typical symptoms of LPR for going on 3+ years now. Constant hacking up gunk in the back of my throat. Postnasal drip all the time, moreso after I eat. Gravelly voice. Sometimes coughing up phlegm.
Haven't gotten official diagnosis, and my lyrngoscopy showed nothing, but I may go under the endoscope soon just to see. Trying all the supplements to no avail: limonene, zinc carnosine, glyco-whatever, digestive tablets, alkaline water, etc. etc.
Then, just as I was about to set up my endo appointment, I remembered the prescription for rantidine my doc gave me a few months back that I never followed through on. So far, it seems to knock back the symptoms - although it's a bit confusing because I recently had the phlegm travel up into my sinuses which happens every few months. 
As I understand it, rantidine contains an antihistamine which has its own symptoms. But overall the postnasal drip is way way less, and instead I have quite a bit of phlegm getting caught in my sinuses. Not runny or clogged nose, more like what I'd have if I had a sinus infection (which I've gotten lots of since LPR started.) I'm going to keep up the low acid diet and rantidine for another month+, but I'm wondering: what did it feel like for people who had success on rantidine/H2 blockers?
Thanks,
\-Marcus</t>
        </is>
      </c>
      <c r="D1621" t="n">
        <v>2</v>
      </c>
      <c r="E1621" t="n">
        <v>2</v>
      </c>
      <c r="F1621">
        <f>HYPERLINK("https://www.reddit.com/r/GERD/comments/c2z1k9/what_does_it_feel_like_when_rantidine_is_working/")</f>
        <v/>
      </c>
      <c r="G1621" t="inlineStr">
        <is>
          <t>2019-06-20 10:39:18</t>
        </is>
      </c>
      <c r="H1621" t="inlineStr"/>
    </row>
    <row r="1622">
      <c r="A1622" t="inlineStr">
        <is>
          <t>c308rb</t>
        </is>
      </c>
      <c r="B1622" t="inlineStr">
        <is>
          <t>Neck muscles</t>
        </is>
      </c>
      <c r="C1622" t="inlineStr">
        <is>
          <t>Hiatus hernia, Gerd etc... we think. But my neck muscles - all round - are in pain, a lot of the time. Well, not pain - just 'tired and worn'. Is neck muscle a typical problem?</t>
        </is>
      </c>
      <c r="D1622" t="n">
        <v>5</v>
      </c>
      <c r="E1622" t="n">
        <v>10</v>
      </c>
      <c r="F1622">
        <f>HYPERLINK("https://www.reddit.com/r/GERD/comments/c308rb/neck_muscles/")</f>
        <v/>
      </c>
      <c r="G1622" t="inlineStr">
        <is>
          <t>2019-06-20 12:18:23</t>
        </is>
      </c>
      <c r="H1622" t="inlineStr"/>
    </row>
    <row r="1623">
      <c r="A1623" t="inlineStr">
        <is>
          <t>c30k35</t>
        </is>
      </c>
      <c r="B1623" t="inlineStr">
        <is>
          <t>Esophageal Manometry</t>
        </is>
      </c>
      <c r="C1623" t="inlineStr">
        <is>
          <t>Holy hell that sucked. Just wow. Curious if anyone here got answers from the test. I have three weeks until my scope and bravecto placement.</t>
        </is>
      </c>
      <c r="D1623" t="n">
        <v>3</v>
      </c>
      <c r="E1623" t="n">
        <v>4</v>
      </c>
      <c r="F1623">
        <f>HYPERLINK("https://www.reddit.com/r/GERD/comments/c30k35/esophageal_manometry/")</f>
        <v/>
      </c>
      <c r="G1623" t="inlineStr">
        <is>
          <t>2019-06-20 12:43:42</t>
        </is>
      </c>
      <c r="H1623" t="inlineStr"/>
    </row>
    <row r="1624">
      <c r="A1624" t="inlineStr">
        <is>
          <t>c31c74</t>
        </is>
      </c>
      <c r="B1624" t="inlineStr">
        <is>
          <t>Diet plans for reflux/LPR - does anyone have one or know of a good resource?</t>
        </is>
      </c>
      <c r="C1624" t="inlineStr">
        <is>
          <t>I've been doing some of my own research after 6 weeks of constant reflux (have to see a Gastro in a few months!!), but are having trouble locating a decent diet plan, list of does and don'ts or even some recipes. Why? Well, because everything I've tracked down always has such conflicting information. Eg, salmon can be acidic in one list, and alkaline on the next.
Any info would be helpful!</t>
        </is>
      </c>
      <c r="D1624" t="n">
        <v>6</v>
      </c>
      <c r="E1624" t="n">
        <v>8</v>
      </c>
      <c r="F1624">
        <f>HYPERLINK("https://www.reddit.com/r/GERD/comments/c31c74/diet_plans_for_refluxlpr_does_anyone_have_one_or/")</f>
        <v/>
      </c>
      <c r="G1624" t="inlineStr">
        <is>
          <t>2019-06-20 13:44:38</t>
        </is>
      </c>
      <c r="H1624" t="inlineStr"/>
    </row>
    <row r="1625">
      <c r="A1625" t="inlineStr">
        <is>
          <t>c31kuk</t>
        </is>
      </c>
      <c r="B1625" t="inlineStr">
        <is>
          <t>GERD Flare at night onlu</t>
        </is>
      </c>
      <c r="C1625" t="inlineStr">
        <is>
          <t>Been dealing with GERD/ Breathing issues related to heartburn since January. Had an endoscopy and Bravo placement. I definitely have GERD, but the only very bad flare ups I had were at night. I ate pretty much anything I wanted to when I had the Bravo and had no episodes during the day. 
Any course of action I should be taking? I already sleep with an adjustable base mattress with the head raised.</t>
        </is>
      </c>
      <c r="D1625" t="n">
        <v>3</v>
      </c>
      <c r="E1625" t="n">
        <v>3</v>
      </c>
      <c r="F1625">
        <f>HYPERLINK("https://www.reddit.com/r/GERD/comments/c31kuk/gerd_flare_at_night_onlu/")</f>
        <v/>
      </c>
      <c r="G1625" t="inlineStr">
        <is>
          <t>2019-06-20 14:03:38</t>
        </is>
      </c>
      <c r="H1625" t="inlineStr"/>
    </row>
    <row r="1626">
      <c r="A1626" t="inlineStr">
        <is>
          <t>c32r53</t>
        </is>
      </c>
      <c r="B1626" t="inlineStr">
        <is>
          <t>Highly recommend Aloe Vera Juice for GERD/LPR/etc.</t>
        </is>
      </c>
      <c r="C1626" t="inlineStr">
        <is>
          <t>[Stocked up on 4 today. ](https://m.imgur.com/a/i9D8Fgw)
Since Monday when I saw my doctor I’ve been on GERD type diet due to when I eat food I sometimes catch myself gagging or coughing it back up. I’ve been eating salads, yogurt, low fat ground beef, and lots of water.  
Aloe Vera Juice has been remarkably well for me rather than my PPI (Omeprazole 40mg) I usually drink it how it is but you can factor in juice if you’d like.</t>
        </is>
      </c>
      <c r="D1626" t="n">
        <v>1</v>
      </c>
      <c r="E1626" t="n">
        <v>1</v>
      </c>
      <c r="F1626">
        <f>HYPERLINK("https://www.reddit.com/r/GERD/comments/c32r53/highly_recommend_aloe_vera_juice_for_gerdlpretc/")</f>
        <v/>
      </c>
      <c r="G1626" t="inlineStr">
        <is>
          <t>2019-06-20 15:54:49</t>
        </is>
      </c>
      <c r="H1626" t="inlineStr"/>
    </row>
    <row r="1627">
      <c r="A1627" t="inlineStr">
        <is>
          <t>c3357n</t>
        </is>
      </c>
      <c r="B1627" t="inlineStr">
        <is>
          <t>A body reset?</t>
        </is>
      </c>
      <c r="C1627" t="inlineStr">
        <is>
          <t>So because the cost of Pantoprazole went up for me, I’m trying to manage my GERD differently. I’m pretty sure that caffeine is a trigger for me and I love my coffee.   (Currently dealing with a lack of caffeine headache.) I use low acid coffee and drink other high acid stuff (I’m looking at you bourbon) and I’m pretty sure it’s the caffeine. So my question is, has anyone had success taking a break from trigger foods and then adding them back in without the GERD returning?  
I should note that I drink espresso in the form of lattes and americanos.</t>
        </is>
      </c>
      <c r="D1627" t="n">
        <v>3</v>
      </c>
      <c r="E1627" t="n">
        <v>2</v>
      </c>
      <c r="F1627">
        <f>HYPERLINK("https://www.reddit.com/r/GERD/comments/c3357n/a_body_reset/")</f>
        <v/>
      </c>
      <c r="G1627" t="inlineStr">
        <is>
          <t>2019-06-20 16:51:04</t>
        </is>
      </c>
      <c r="H1627" t="inlineStr"/>
    </row>
    <row r="1628">
      <c r="A1628" t="inlineStr">
        <is>
          <t>c335vt</t>
        </is>
      </c>
      <c r="B1628" t="inlineStr">
        <is>
          <t>Doctor told me I have GERD yesterday.</t>
        </is>
      </c>
      <c r="C1628" t="inlineStr">
        <is>
          <t>Sunday night I became nauseous and when I woke up Monday I was extremely nauseous and puked. Later in the day I developed a bad migraine and heartburn. I’ve had the same symptoms ever since and have barely eaten. 
Do any of you guys experience migraines with GERD?
What are your best tips for fast relief? I can’t take any time off of work and it’s been a struggle since I’m an HVAC technician working in the heat of Florida.</t>
        </is>
      </c>
      <c r="D1628" t="n">
        <v>8</v>
      </c>
      <c r="E1628" t="n">
        <v>11</v>
      </c>
      <c r="F1628">
        <f>HYPERLINK("https://www.reddit.com/r/GERD/comments/c335vt/doctor_told_me_i_have_gerd_yesterday/")</f>
        <v/>
      </c>
      <c r="G1628" t="inlineStr">
        <is>
          <t>2019-06-20 16:53:52</t>
        </is>
      </c>
      <c r="H1628" t="inlineStr"/>
    </row>
    <row r="1629">
      <c r="A1629" t="inlineStr">
        <is>
          <t>c34ln0</t>
        </is>
      </c>
      <c r="B1629" t="inlineStr">
        <is>
          <t>Might have indigestion caused by medication - do my symptoms line up?</t>
        </is>
      </c>
      <c r="C1629" t="inlineStr">
        <is>
          <t>Hi!
I'm 18, and about three days ago, I started getting heartburn, belching, and nausea after every single meal. Sometimes, I get headaches as well. Accompanying it are shakiness, dizziness, and hot flashes, which are the three symptoms that I'm questioning a bit. Are those normally reported symptoms of acid reflux/indigestion, or should I be more concerned? With the dizziness comes fatigue and a sense of fogginess. It basically feels like I've got a killer stomach flu without the vomiting.
I believe that this may be due to the birth control that I began in April. This week, the full, positive effects of it began to show, and with it unfortunately came the indigestion. Its sudden appearance is a little too much of a coincidence to truly be one, I think.
Do my current symptoms fit those of indigestion/GERD, or is something else going on?
Thanks</t>
        </is>
      </c>
      <c r="D1629" t="n">
        <v>2</v>
      </c>
      <c r="E1629" t="n">
        <v>6</v>
      </c>
      <c r="F1629">
        <f>HYPERLINK("https://www.reddit.com/r/GERD/comments/c34ln0/might_have_indigestion_caused_by_medication_do_my/")</f>
        <v/>
      </c>
      <c r="G1629" t="inlineStr">
        <is>
          <t>2019-06-20 18:56:43</t>
        </is>
      </c>
      <c r="H1629" t="inlineStr"/>
    </row>
    <row r="1630">
      <c r="A1630" t="inlineStr">
        <is>
          <t>c38wv5</t>
        </is>
      </c>
      <c r="B1630" t="inlineStr">
        <is>
          <t>Constipation</t>
        </is>
      </c>
      <c r="C1630" t="inlineStr">
        <is>
          <t>Wondering if anyone else has had issues with constipation after being diagnosed with GERD? I had a awful flare up in February and shortly after in May I started having awful constipation regardless of water and fiber intake? Is it possible they're related?</t>
        </is>
      </c>
      <c r="D1630" t="n">
        <v>8</v>
      </c>
      <c r="E1630" t="n">
        <v>13</v>
      </c>
      <c r="F1630">
        <f>HYPERLINK("https://www.reddit.com/r/GERD/comments/c38wv5/constipation/")</f>
        <v/>
      </c>
      <c r="G1630" t="inlineStr">
        <is>
          <t>2019-06-21 03:25:24</t>
        </is>
      </c>
      <c r="H1630" t="inlineStr"/>
    </row>
    <row r="1631">
      <c r="A1631" t="inlineStr">
        <is>
          <t>c3bjxb</t>
        </is>
      </c>
      <c r="B1631" t="inlineStr">
        <is>
          <t>Anyone experience this from Esophagitis?</t>
        </is>
      </c>
      <c r="C1631" t="inlineStr">
        <is>
          <t>I started having reflux issues about 5 months ago, went to doctor and he prescribed me Omeprazole plus another chewable pill any time I felt reflux. My Symptoms initially were a little trouble swallowing bread and some fruits, they wouldn’t go past my throat, lump feeling in throat, acid reflux and stomach discomfort and lots of burping.
Later started feeling better and I stoped drinking meds and went on eating whatever, two months later I was having a sandwich when I felt discomfort in my chest while swallowing which freaked the hell out of me (9 years with anxiety disorder doesn’t help either) the swallowing discomfort kept happening next day but not as intense but still there.
In my mind I immediately thought “this is my GERD fucking things up with my esophagus” started taking nexium but it makes me feel horrible so I went back to Omeprazole which right now I don’t feel like it’s helping but making things worse ? 
I don’t have the throat lump feeling any more and I’m fine swallowing through it but now is my esophagus and is making miserable and paranoid, I get what I believe are spasms sometimes and needle like pain that goes all through my chest wall, feeling like a pulled muscle at times.
I’m eating everything bland, mostly vegetable soups and easy to swallow salads, chicken and turkey not to irritate my esophagus any further, been 2 weeks on Omeprazole plus the diet but I don’t see any improvements.
Anyone experienced the esophagus discomfort/pain thing ? 
I’ll be going again to my doctor if things don’t get any better.
Thanks</t>
        </is>
      </c>
      <c r="D1631" t="n">
        <v>2</v>
      </c>
      <c r="E1631" t="n">
        <v>10</v>
      </c>
      <c r="F1631">
        <f>HYPERLINK("https://www.reddit.com/r/GERD/comments/c3bjxb/anyone_experience_this_from_esophagitis/")</f>
        <v/>
      </c>
      <c r="G1631" t="inlineStr">
        <is>
          <t>2019-06-21 07:53:21</t>
        </is>
      </c>
      <c r="H1631" t="inlineStr"/>
    </row>
    <row r="1632">
      <c r="A1632" t="inlineStr">
        <is>
          <t>c3cqsp</t>
        </is>
      </c>
      <c r="B1632" t="inlineStr">
        <is>
          <t>GERD and alcohol.</t>
        </is>
      </c>
      <c r="C1632" t="inlineStr">
        <is>
          <t>So every time I eat greasy food or drink pop or beer my stomach gets all weird and can throb and gets gassy. (not a painful throb) I end up having to spit up stomach contents as it builds up in the bottom of my throat. I take nexium for it. 
As I don't want to drink beer anymore, is there any kind of alcohol you guys find is easy on the stomach? I'll quit alcohol if I have too as I'm only a recreational drinker, but something that'd be easy on the belly would be great if i could find it.</t>
        </is>
      </c>
      <c r="D1632" t="n">
        <v>6</v>
      </c>
      <c r="E1632" t="n">
        <v>9</v>
      </c>
      <c r="F1632">
        <f>HYPERLINK("https://www.reddit.com/r/GERD/comments/c3cqsp/gerd_and_alcohol/")</f>
        <v/>
      </c>
      <c r="G1632" t="inlineStr">
        <is>
          <t>2019-06-21 09:24:35</t>
        </is>
      </c>
      <c r="H1632" t="inlineStr"/>
    </row>
    <row r="1633">
      <c r="A1633" t="inlineStr">
        <is>
          <t>c3e1op</t>
        </is>
      </c>
      <c r="B1633" t="inlineStr">
        <is>
          <t>Recommended Probiotic?</t>
        </is>
      </c>
      <c r="C1633" t="inlineStr">
        <is>
          <t>Hi all,
I’m looking for recommendations for a probiotic that may alleviate my harsh gas pains and occasional bloating. I’ve seen several different types and brands of probiotics for these things and general digestive health, and I’ve experimented with a few with some success, but not to the extent I was hoping for (still getting sharp gas pains and minor constipation from time to time). 
I maintain a healthy diet with cheating here and there. 
I’ve heard the natural probiotics are the way to go, but I’m very curious to hear any thoughts you folks have on your recommendation. 
Thank you!</t>
        </is>
      </c>
      <c r="D1633" t="n">
        <v>4</v>
      </c>
      <c r="E1633" t="n">
        <v>14</v>
      </c>
      <c r="F1633">
        <f>HYPERLINK("https://www.reddit.com/r/GERD/comments/c3e1op/recommended_probiotic/")</f>
        <v/>
      </c>
      <c r="G1633" t="inlineStr">
        <is>
          <t>2019-06-21 11:01:19</t>
        </is>
      </c>
      <c r="H1633" t="inlineStr"/>
    </row>
    <row r="1634">
      <c r="A1634" t="inlineStr">
        <is>
          <t>c3ghov</t>
        </is>
      </c>
      <c r="B1634" t="inlineStr">
        <is>
          <t>Should I Quit My PPI Before Endoscopy To Reduce Infection Risk? (Please Read)</t>
        </is>
      </c>
      <c r="C1634" t="inlineStr">
        <is>
          <t>I recently read [an article stating] (https://www.hopkinsmedicine.org/news/newsroom/news-releases/infection-rates-after-colonoscopy-endoscopy-at-us-specialty-centers-are-far-higher-than-previously-thought) that infection after endoscopy &amp;amp; colonoscopy is much higher than previously thought, particularly for endoscopy.  It's well known that proton pump inhibitors increase the risk for infections like C. diff by decreasing stomach acid.  I take 60mg Dexilant daily.  I know C. diff is an intestinal infection but still.  I'd rather not take the chance with ANY nasty bug if I can help it.  I have a mortal phobia of stomach illness.
**Do you think it'd be wise to quit my PPI before endoscopy?**  I'm aware of the risk of rebound reflux &amp;amp; all that.  I've quit many times &amp;amp; it's not that bad with all the other meds I have on hand (Carafate, Ranitidine, chewable antacids, etc).  Just asking from an infection standpoint.  **If so, how long in advance should I quit?**
My procedure is scheduled for July 18th.  I'm nervous af.  I survived LASIK &amp;amp; the insertion of tear duct plugs with 9" long needles WHILE AWAKE... will endoscopy be worse than that do you think?  I'm getting propofol they said.  Just terrified of waking up with that machine in my throat.  That absolutely cannot happen.  
Thanks for any input!</t>
        </is>
      </c>
      <c r="D1634" t="n">
        <v>6</v>
      </c>
      <c r="E1634" t="n">
        <v>15</v>
      </c>
      <c r="F1634">
        <f>HYPERLINK("https://www.reddit.com/r/GERD/comments/c3ghov/should_i_quit_my_ppi_before_endoscopy_to_reduce/")</f>
        <v/>
      </c>
      <c r="G1634" t="inlineStr">
        <is>
          <t>2019-06-21 14:09:17</t>
        </is>
      </c>
      <c r="H1634" t="inlineStr"/>
    </row>
    <row r="1635">
      <c r="A1635" t="inlineStr">
        <is>
          <t>c3l8ne</t>
        </is>
      </c>
      <c r="B1635" t="inlineStr">
        <is>
          <t>Thank You To This Sub (And My Doctor)</t>
        </is>
      </c>
      <c r="C1635" t="inlineStr">
        <is>
          <t>Hey GERD Sub, though I haven’t actually posted in here much I have roamed this sub for some time how. From the questions people ask to the amazing love &amp;amp; support from the community has helped me fix my acid reflux in some way. Though I’m still overweight I’ve been exercising &amp;amp; eating better and now have lost 15lbs in almost a month. Also stopped drinking coffee &amp;amp; of course stopped fried food (hard but I did it). To those currently suffering there is hope so never give up. Yes reflux sucks but just know it gets better. ❤️❤️❤️❤️</t>
        </is>
      </c>
      <c r="D1635" t="n">
        <v>8</v>
      </c>
      <c r="E1635" t="n">
        <v>7</v>
      </c>
      <c r="F1635">
        <f>HYPERLINK("https://www.reddit.com/r/GERD/comments/c3l8ne/thank_you_to_this_sub_and_my_doctor/")</f>
        <v/>
      </c>
      <c r="G1635" t="inlineStr">
        <is>
          <t>2019-06-21 21:28:02</t>
        </is>
      </c>
      <c r="H1635" t="inlineStr"/>
    </row>
    <row r="1636">
      <c r="A1636" t="inlineStr">
        <is>
          <t>c3mz4o</t>
        </is>
      </c>
      <c r="B1636" t="inlineStr">
        <is>
          <t>Hypochlorhydria</t>
        </is>
      </c>
      <c r="C1636" t="inlineStr">
        <is>
          <t>Could hypochlorhydria give hypersalivation?</t>
        </is>
      </c>
      <c r="D1636" t="n">
        <v>2</v>
      </c>
      <c r="E1636" t="n">
        <v>2</v>
      </c>
      <c r="F1636">
        <f>HYPERLINK("https://www.reddit.com/r/GERD/comments/c3mz4o/hypochlorhydria/")</f>
        <v/>
      </c>
      <c r="G1636" t="inlineStr">
        <is>
          <t>2019-06-22 00:52:48</t>
        </is>
      </c>
      <c r="H1636" t="inlineStr"/>
    </row>
    <row r="1637">
      <c r="A1637" t="inlineStr">
        <is>
          <t>c3pcgk</t>
        </is>
      </c>
      <c r="B1637" t="inlineStr">
        <is>
          <t>Has anyone here been taking Nexium long term?</t>
        </is>
      </c>
      <c r="C1637" t="inlineStr">
        <is>
          <t>I've been taking Nexium for the past 3.5 years, probably about once a year I would stop and my heartburn/acid reflux would come back and I'd feel miserable. I'm also just now learning about a ton of dangerous long term side affects from taking PPI's and now I'm scared out of my mind. I'm in my mid 20's and I don't want to live my life taking PPI'S once a day. 
Who else took Nexium and got off of it? I'd like to know how it can be done safely and without having symptoms come back, I'm scared for my future. Any advice is appreciated, thank you</t>
        </is>
      </c>
      <c r="D1637" t="n">
        <v>10</v>
      </c>
      <c r="E1637" t="n">
        <v>13</v>
      </c>
      <c r="F1637">
        <f>HYPERLINK("https://www.reddit.com/r/GERD/comments/c3pcgk/has_anyone_here_been_taking_nexium_long_term/")</f>
        <v/>
      </c>
      <c r="G1637" t="inlineStr">
        <is>
          <t>2019-06-22 05:51:46</t>
        </is>
      </c>
      <c r="H1637" t="inlineStr"/>
    </row>
    <row r="1638">
      <c r="A1638" t="inlineStr">
        <is>
          <t>c3qooa</t>
        </is>
      </c>
      <c r="B1638" t="inlineStr">
        <is>
          <t>Can nightmares or stressful dreams trigger reflux?</t>
        </is>
      </c>
      <c r="C1638" t="inlineStr">
        <is>
          <t>I've been controlling my overnight reflux pretty well lately. Last night i woke up at about 3am to go the bathroom, and noticed that everything felt fine. A couple of hours later, i had an extremely stressful dream. When I woke up in the morning, I noticed some relfux-y throat symptoms.
I've heard that reflux can trigger bad dreams. But is the reverse also true?</t>
        </is>
      </c>
      <c r="D1638" t="n">
        <v>1</v>
      </c>
      <c r="E1638" t="n">
        <v>1</v>
      </c>
      <c r="F1638">
        <f>HYPERLINK("https://www.reddit.com/r/GERD/comments/c3qooa/can_nightmares_or_stressful_dreams_trigger_reflux/")</f>
        <v/>
      </c>
      <c r="G1638" t="inlineStr">
        <is>
          <t>2019-06-22 08:01:24</t>
        </is>
      </c>
      <c r="H1638" t="inlineStr"/>
    </row>
    <row r="1639">
      <c r="A1639" t="inlineStr">
        <is>
          <t>c3sf55</t>
        </is>
      </c>
      <c r="B1639" t="inlineStr">
        <is>
          <t>how long for ulcers to heal?</t>
        </is>
      </c>
      <c r="C1639" t="inlineStr">
        <is>
          <t>In mid-April after struggling with nausea/vomiting/abdominal pain for months I got an endoscopy/colonoscopy which found that I had a hiatal hernia and a few ulcers (I believe 2). Since then, I’ve been taking pantoprazole daily and Zantac or tums when I need it, but I still find that I’m having pain and feeling nauseous/refluxy after eating. I’ve avoided alcohol and acidic foods/drinks but I’m having what feels like a pretty bad flare up right now.
I also have hashimotos so thinking of going on the autoimmune protocol. Any other tips for managing? Also how long did it take for your ulcers to go away? Thanks for all insight!!</t>
        </is>
      </c>
      <c r="D1639" t="n">
        <v>2</v>
      </c>
      <c r="E1639" t="n">
        <v>5</v>
      </c>
      <c r="F1639">
        <f>HYPERLINK("https://www.reddit.com/r/GERD/comments/c3sf55/how_long_for_ulcers_to_heal/")</f>
        <v/>
      </c>
      <c r="G1639" t="inlineStr">
        <is>
          <t>2019-06-22 10:30:08</t>
        </is>
      </c>
      <c r="H1639" t="inlineStr"/>
    </row>
    <row r="1640">
      <c r="A1640" t="inlineStr">
        <is>
          <t>c3vkn5</t>
        </is>
      </c>
      <c r="B1640" t="inlineStr">
        <is>
          <t>Hiatal hernia</t>
        </is>
      </c>
      <c r="C1640" t="inlineStr">
        <is>
          <t>Hey I was wondering if anyone has had Nissen Fundoplication surgery before. I have been diagnosed with hiatal hernia. I have had constant lump in my throat for 7 months and also shortness of breath, pains in my back and chest. I also was waking up from reflux. The doctor put me on some medicine and it helped with the reflux as I don’t wake up or have it at all anymore and my pain have gotten less. However the lump feeling in my throat will not go away and I still have pains occasionally as well as some shortness of breaths. Has anyone ever had the surgery and if so did it help with these kinds of symptoms ? Thanks</t>
        </is>
      </c>
      <c r="D1640" t="n">
        <v>2</v>
      </c>
      <c r="E1640" t="n">
        <v>24</v>
      </c>
      <c r="F1640">
        <f>HYPERLINK("https://www.reddit.com/r/GERD/comments/c3vkn5/hiatal_hernia/")</f>
        <v/>
      </c>
      <c r="G1640" t="inlineStr">
        <is>
          <t>2019-06-22 15:22:33</t>
        </is>
      </c>
      <c r="H1640" t="inlineStr"/>
    </row>
    <row r="1641">
      <c r="A1641" t="inlineStr">
        <is>
          <t>c3vr6f</t>
        </is>
      </c>
      <c r="B1641" t="inlineStr">
        <is>
          <t>Is there a light at the end of the tunnel?</t>
        </is>
      </c>
      <c r="C1641" t="inlineStr">
        <is>
          <t>I started having burning chest pains a little over a year ago. My PCP told me it was GERD, and gave me PPIs. The PPIs worked; I also went vegetarian around the same time, because I read that cutting out meat is helpful to those with acid reflux. After a few months, the chest pain went away completely, so I stopped taking the PPIS and added meat back into my diet. The chest pain came back around Christmas time, and my PCP finally referred me to the GI doctor. 
Along with the GI doctor's tests (fecal sample to look for H Pylori, fecal sample to look for GI inflammation, barium swallow, endoscopy with biopsies from the stomach and esophagus, and numerous blood tests to look for things like an overactive thyroid and celiac disease), I've been to the hospital several times over the past few months and they have run many tests of their own. The GI doctor also put me on the Low Fodmap diet, but it made me feel even worse. 
I had a followup with her a few days ago. She said that "stress" and "anxiety" are causing my symptoms. She said that she doesn't want to have to continue putting me through a bunch of tests, because that in itself can cause stress. She said I can follow up with my PCP if necessary. 
I went to the PCP a few days ago because I began noticing that I cough a lot during and after meals. The PCP told me I need to "calm down" and if the GI clinic gave me the all-clear, the issue is clearly psychosomatic or, perhaps, seasonal allergies. The irony, of course, is that I keep getting sick. I had an attack of Anterior Uveitis a few weeks ago, and angry at my PCP, I went to the walk-in clinic down the street, and guess what? I have strep throat!
Strep Throat might explain the throat irritation, but Strep Throat does NOT cause coughing. I'm wondering if it's Bronchitis or laryngitis, or LPR. I do suffer from seasonal allergies, but that wouldn't explain why I cough when I ingest food. I'm so angry because nobody seems to be taking me seriously. I'm certain they doctors have overlooked something, but do I have a medical degree? No? Then shut up! 
Then are days when I just want to die due to all these symptoms. I contemplate suicide almost daily. I know I'm sick, but no one can FIND ANYTHING. I am always astonished when I wake up in the morning. How is it I didn't die in my sleep? This is my twenty-first year of existence. Young people are suppose to be vibrant and full of energy. I have no energy and all I want is to die. Life is not worth living anymore...</t>
        </is>
      </c>
      <c r="D1641" t="n">
        <v>11</v>
      </c>
      <c r="E1641" t="n">
        <v>17</v>
      </c>
      <c r="F1641">
        <f>HYPERLINK("https://www.reddit.com/r/GERD/comments/c3vr6f/is_there_a_light_at_the_end_of_the_tunnel/")</f>
        <v/>
      </c>
      <c r="G1641" t="inlineStr">
        <is>
          <t>2019-06-22 15:39:17</t>
        </is>
      </c>
      <c r="H1641" t="inlineStr"/>
    </row>
    <row r="1642">
      <c r="A1642" t="inlineStr">
        <is>
          <t>c3xi30</t>
        </is>
      </c>
      <c r="B1642" t="inlineStr">
        <is>
          <t>Hey. So I had Nissen Fundoplication surgery 5 days ago, and something has been bothering more everyday....</t>
        </is>
      </c>
      <c r="C1642" t="inlineStr">
        <is>
          <t>So far I'm down about 10 pounds, and still can't have anything more solid than applesauce, or more than half a cup without severe pain.  The problem is that my stomach is huge.  With a stockiness like Costanza, I always was thicker, but it was all over. Now I'm like a snake swallowed a beach ball.  It's hard to the touch, bigger than ever, and growing. I know a doctor's visit is a must, but I'm curious as to What I should be expecting?
Thanks!</t>
        </is>
      </c>
      <c r="D1642" t="n">
        <v>1</v>
      </c>
      <c r="E1642" t="n">
        <v>16</v>
      </c>
      <c r="F1642">
        <f>HYPERLINK("https://www.reddit.com/r/GERD/comments/c3xi30/hey_so_i_had_nissen_fundoplication_surgery_5_days/")</f>
        <v/>
      </c>
      <c r="G1642" t="inlineStr">
        <is>
          <t>2019-06-22 18:31:40</t>
        </is>
      </c>
      <c r="H1642" t="inlineStr"/>
    </row>
    <row r="1643">
      <c r="A1643" t="inlineStr">
        <is>
          <t>c3y5kq</t>
        </is>
      </c>
      <c r="B1643" t="inlineStr">
        <is>
          <t>How to wean off Nexium?</t>
        </is>
      </c>
      <c r="C1643" t="inlineStr">
        <is>
          <t>24 hour pH test shows no reflux, so the doctor told me to get rid of Nexium. Been on PPI for like two years.</t>
        </is>
      </c>
      <c r="D1643" t="n">
        <v>2</v>
      </c>
      <c r="E1643" t="n">
        <v>2</v>
      </c>
      <c r="F1643">
        <f>HYPERLINK("https://www.reddit.com/r/GERD/comments/c3y5kq/how_to_wean_off_nexium/")</f>
        <v/>
      </c>
      <c r="G1643" t="inlineStr">
        <is>
          <t>2019-06-22 19:40:19</t>
        </is>
      </c>
      <c r="H1643" t="inlineStr"/>
    </row>
    <row r="1644">
      <c r="A1644" t="inlineStr">
        <is>
          <t>c3y6vu</t>
        </is>
      </c>
      <c r="B1644" t="inlineStr">
        <is>
          <t>Help.</t>
        </is>
      </c>
      <c r="C1644" t="inlineStr">
        <is>
          <t>22F. I couldn’t think of a better title. I know this is going to sound melodramatic but I seriously can’t function like this. 2 weeks tomorrow I got what I thought was a stomach bug, throwing up for a day and a half non stop. Finally I went to urgent care and they gave me fluids and antibiotics. 2 days later I’m still puking so I go to the ER and they tell me I have a UTI, the antibiotics will help, and to rest. 2 days later I’m still puking so I go to urgent care and they refer me to the ER, who now tells me I’m allergic to the antibiotics. Once I stopped taking them the puking eased but I’m still nauseous and puke 1-3 times a day, generally in the morning. I went to a doctor who said I have acid reflux (which I had problems with as a child) and gave me 20mg Omeprazole and told me to research the diet etc. I’ve been only eating bland food that I can and water and chamomile tea. I stopped smoking cigarettes, although I’ve been using weed as I did before (it helps with my anxiety so I never needed medication) and stopped drinking, I was a pretty heavy drinker before. 
So now I am barely able to work, I can’t sleep longer than 5 hours a night, I throw up 1-3 times a day and I just can never get nausea or acid relief. Nothing has made a big enough difference, and I’ve been trying pepto, Alka seltzer, ginger pills and gum, tums, you name it. The only things than help a bit are the sea band and ginger gum, although the texture of the gum has made me puke a couple times. 
This morning I woke up feeling like I was having a heart attack. I couldn’t catch my breath and i felt so sick, it felt like someone was on my chest. I have had horrible anxiety all day which is making me puke and i don’t know how to pull out of this. Im absolutely miserable, I’m a mess. No one understands in my life and I don’t know what to do. I took a couple supplements yesterday for anxiety but it just upset my stomach more so I didn’t today. I also am concerned weed is making me more anxious but I don’t want to just stop for fear of withdrawals or anything before I got advice. Sorry this is so long, I just can’t find relief physically and mentally and I just don’t know what to do. Every time I try to even talk about being sick I start uncontrollably weeping. This is the lowest I’ve ever felt in my life and while I’m not going to hurt myself, I keep thinking I can’t deal with feeling this way for that long. Please help me.</t>
        </is>
      </c>
      <c r="D1644" t="n">
        <v>1</v>
      </c>
      <c r="E1644" t="n">
        <v>21</v>
      </c>
      <c r="F1644">
        <f>HYPERLINK("https://www.reddit.com/r/GERD/comments/c3y6vu/help/")</f>
        <v/>
      </c>
      <c r="G1644" t="inlineStr">
        <is>
          <t>2019-06-22 19:44:06</t>
        </is>
      </c>
      <c r="H1644" t="inlineStr"/>
    </row>
    <row r="1645">
      <c r="A1645" t="inlineStr">
        <is>
          <t>c3yp9l</t>
        </is>
      </c>
      <c r="B1645" t="inlineStr">
        <is>
          <t>Recently diagnosed with GERD - extremely frustrated.</t>
        </is>
      </c>
      <c r="C1645" t="inlineStr">
        <is>
          <t>This is probably going to be a long ramble. I'll start at the beginning.   
I smoked weed (with a vape) for about 3 years, and was a "light" regular cigarette smoker for just shy of 2 of those years. I quit smoking maybe two months ago, and after I quit I took up vaping to try and assist.   
After 2 or 3 weeks of vaping, I started getting this horrible wheeze in my throat area - not my lungs - and it felt like there was a lump. 
I stopped smoking and vaping cold turkey and went to see my doctor.   
I've had two ultrasounds on my neck/thyroid - they originally thought it could be a goiter.   
Turns out i have a small cyst on my thyroid, but its "not medically relevant" and all of my thyroid stuff came up normal.   
I had blood tests for it as well.   
I went to see an ENT who did (in about 20 seconds not taking me seriously) - a scope through my nose and down my throat and said there is nothing of concern.   
I asked my doctor if the ENT would have been able to see my vocal chords in doing that scope - because my voice has been hoarse and i still have the lump in the throat feeling almost constantly.   
I was also recently diagnosed with PTSD - so my doctor is convinced that this is all GERD, caused by my mental illness symptoms. I've had an extremely hard two years.   
Hes just been telling me to calm down, try to lose a few pounds (Im F, size 14-18), Ive been taking Zantac 150 for almost a month now, twice a day. It helps but only about 60% Id say. 
Ive been on Prozac for my mental health only for a week, but I have noticed that help a bit too.   
But I still feel awful and at times it really feels like Im dying.   
It hurts to breathe sometimes. I told my doctor this and he wants me to wait on the prozac, zantac and calming down before doing anything further :/
Ive been getting numbness in the left side of my face sometimes, not sure if its related at all. I also get pain in my ears now, which I never experienced much before- (I have tinnitus too though, but never felt outright PAIN before all of this).
Sometimes it feels like my throat is totally closing up. When Im not even feeling particularly anxious.   
Now, Im not concerned about getting back onto smoking here - and im not bringing this up to justify it - but i have had one or two cigarettes over the course of the 2 months not having them regularly.   
I have no intention of starting up again, but I want to know why it is when I have a cigarette - my throat IMMEDIATELY feels tight, my neck tenses up, i get a pain in my chest and the lump feeling gets worse.   
I know that nicotine can cause acid reflux, it just seems odd to me that I would be THAT bothered by it THAT quickly.   
Through all of this - Im really worried Ive damaged my esophagus (Ive only been lurking this comm for a day, but Ive read multiple people saying they have damaged sphincters?)   
I thought maybe if I had damaged my esophagus that it might come up in the ultrasound/scope that was done. Im not sure what if any other specific tests I should be asking for.   
I dont know if its hyperbolic for me to be so worried - but I keep picturing myself needing one of those holes in my neck if ive done enough damage to the inside of my throat/esophagus.   
I want to go back to my doctor and talk to him more about my esophagus and see a better ENT (this one was a prick) - but Im exhausted of not being taken seriously :( Im currently off work because of all this and it feels like its never going to end. 
&amp;amp;#x200B;
Any insight/help/advice/kind words would be GREATLY appreciated.</t>
        </is>
      </c>
      <c r="D1645" t="n">
        <v>4</v>
      </c>
      <c r="E1645" t="n">
        <v>14</v>
      </c>
      <c r="F1645">
        <f>HYPERLINK("https://www.reddit.com/r/GERD/comments/c3yp9l/recently_diagnosed_with_gerd_extremely_frustrated/")</f>
        <v/>
      </c>
      <c r="G1645" t="inlineStr">
        <is>
          <t>2019-06-22 20:38:29</t>
        </is>
      </c>
      <c r="H1645" t="inlineStr"/>
    </row>
    <row r="1646">
      <c r="A1646" t="inlineStr">
        <is>
          <t>c3zdwj</t>
        </is>
      </c>
      <c r="B1646" t="inlineStr">
        <is>
          <t>Years of suffering.. Experiencing new symptoms</t>
        </is>
      </c>
      <c r="C1646" t="inlineStr">
        <is>
          <t>Hello everyone! I want to shed some light on my GERD story. I’m currently 19 years old and have been suffering from GERD since I was 15. I have these burning symptoms daily, especially when I go to bed and try laying flat (which I haven’t done in ages since all the acid will come up). I’ve tried things like Zantac and PPIs and still get reflux. Now when I eat food I get really bloated and have this very odd pain in my stomach and esophagus, I would almost describe it as trapped gas. It’s even become hard for me to pass gas or belch. I’m setting up an appointment with my GP next week. I just want this all to end.. I’m tired of this endless suffering. It’s like nobody understands how much pain I feel going through this and how much of a distraction it is in my life. Any advice will be really appreciated. Thank you all for listening to my rant.</t>
        </is>
      </c>
      <c r="D1646" t="n">
        <v>2</v>
      </c>
      <c r="E1646" t="n">
        <v>8</v>
      </c>
      <c r="F1646">
        <f>HYPERLINK("https://www.reddit.com/r/GERD/comments/c3zdwj/years_of_suffering_experiencing_new_symptoms/")</f>
        <v/>
      </c>
      <c r="G1646" t="inlineStr">
        <is>
          <t>2019-06-22 21:54:29</t>
        </is>
      </c>
      <c r="H1646" t="inlineStr"/>
    </row>
    <row r="1647">
      <c r="A1647" t="inlineStr">
        <is>
          <t>c41dru</t>
        </is>
      </c>
      <c r="B1647" t="inlineStr">
        <is>
          <t>Stomach pain every night in the early morning hours</t>
        </is>
      </c>
      <c r="C1647" t="inlineStr">
        <is>
          <t>I get pretty consistent stomach pain around 3-5 AM every early morning. I’m on omeprazole and not sure what this could be. Goes away after being upright when I get up. I am an after dinner eater, which I’m trying to stop. Any thoughts?</t>
        </is>
      </c>
      <c r="D1647" t="n">
        <v>1</v>
      </c>
      <c r="E1647" t="n">
        <v>4</v>
      </c>
      <c r="F1647">
        <f>HYPERLINK("https://www.reddit.com/r/GERD/comments/c41dru/stomach_pain_every_night_in_the_early_morning/")</f>
        <v/>
      </c>
      <c r="G1647" t="inlineStr">
        <is>
          <t>2019-06-23 02:02:11</t>
        </is>
      </c>
      <c r="H1647" t="inlineStr"/>
    </row>
    <row r="1648">
      <c r="A1648" t="inlineStr">
        <is>
          <t>c42j2d</t>
        </is>
      </c>
      <c r="B1648" t="inlineStr">
        <is>
          <t>Worse Esophageal irritation with cold</t>
        </is>
      </c>
      <c r="C1648" t="inlineStr">
        <is>
          <t>So for starters I’ve had GERD and esophagitis for roughly 8 years now. The last 2 and a half it’s been cranked up on high gear and has been a battle indeed. So usually I’m pretty manageable, I take protonix in the morning and occasionally a Zantac here and there when needed. But the last two times I was under the weather, I noticed I felt like I was being rammed in the throat with mucus and almost a gagging during the sore throat part of being sick. Has anyone else noticed this?</t>
        </is>
      </c>
      <c r="D1648" t="n">
        <v>1</v>
      </c>
      <c r="E1648" t="n">
        <v>3</v>
      </c>
      <c r="F1648">
        <f>HYPERLINK("https://www.reddit.com/r/GERD/comments/c42j2d/worse_esophageal_irritation_with_cold/")</f>
        <v/>
      </c>
      <c r="G1648" t="inlineStr">
        <is>
          <t>2019-06-23 03:41:11</t>
        </is>
      </c>
      <c r="H1648" t="inlineStr"/>
    </row>
    <row r="1649">
      <c r="A1649" t="inlineStr">
        <is>
          <t>c49w97</t>
        </is>
      </c>
      <c r="B1649" t="inlineStr">
        <is>
          <t>What are the medications you survive with?</t>
        </is>
      </c>
      <c r="C1649" t="inlineStr">
        <is>
          <t>For me, Protonix is my savior. I tried omeprazole, but it gave me the worst headaches imaginable and I didn’t touch PPI’s after that. But recently my doctor told me that protonix is a different group of PPI, so I took a chance and tried it. Holy fuck has it given me my life back. When protonix doesn’t work that day and I’ve got a little more reflux than I’m comfortable with, I’ll take a Zantac. If I’m in bed and having some reflux, I’ll drink some alka seltzer. Those three keep me going and without them I probably would have gotten a surgery or killed myself.</t>
        </is>
      </c>
      <c r="D1649" t="n">
        <v>3</v>
      </c>
      <c r="E1649" t="n">
        <v>24</v>
      </c>
      <c r="F1649">
        <f>HYPERLINK("https://www.reddit.com/r/GERD/comments/c49w97/what_are_the_medications_you_survive_with/")</f>
        <v/>
      </c>
      <c r="G1649" t="inlineStr">
        <is>
          <t>2019-06-23 12:12:14</t>
        </is>
      </c>
      <c r="H1649" t="inlineStr"/>
    </row>
    <row r="1650">
      <c r="A1650" t="inlineStr">
        <is>
          <t>c4e1hv</t>
        </is>
      </c>
      <c r="B1650" t="inlineStr">
        <is>
          <t>How long does it usually take for PPIs to start working?</t>
        </is>
      </c>
      <c r="C1650" t="inlineStr">
        <is>
          <t>Started Takecab recently and not sure it’s doing much. I have an appointment for an endoscopy coming up. My esophagus is highly vocal (loud involuntary belch-like almost choking fits, especially at night, in the morning when I first get up, or after eating), and both it and my intestines burn. I’m being careful to avoid triggers. 
How long does it usually take for a PPI to start doing its job? 
Any recommendations/things I should ask my doctor about? Thanks in advance.</t>
        </is>
      </c>
      <c r="D1650" t="n">
        <v>4</v>
      </c>
      <c r="E1650" t="n">
        <v>28</v>
      </c>
      <c r="F1650">
        <f>HYPERLINK("https://www.reddit.com/r/GERD/comments/c4e1hv/how_long_does_it_usually_take_for_ppis_to_start/")</f>
        <v/>
      </c>
      <c r="G1650" t="inlineStr">
        <is>
          <t>2019-06-23 16:08:49</t>
        </is>
      </c>
      <c r="H1650" t="inlineStr"/>
    </row>
    <row r="1651">
      <c r="A1651" t="inlineStr">
        <is>
          <t>c4iq35</t>
        </is>
      </c>
      <c r="B1651" t="inlineStr">
        <is>
          <t>Protonix for 13 years</t>
        </is>
      </c>
      <c r="C1651" t="inlineStr">
        <is>
          <t>I’ve been on protonix for 13 years. After reading all the scary stuff about cancer and kidney issues I tried to switch to Zantac and then everything else otc and nothing has worked. 
Is there really anything to worry about taking protonix or is it something I want to stay away from?
Thank you all</t>
        </is>
      </c>
      <c r="D1651" t="n">
        <v>2</v>
      </c>
      <c r="E1651" t="n">
        <v>3</v>
      </c>
      <c r="F1651">
        <f>HYPERLINK("https://www.reddit.com/r/GERD/comments/c4iq35/protonix_for_13_years/")</f>
        <v/>
      </c>
      <c r="G1651" t="inlineStr">
        <is>
          <t>2019-06-23 22:25:30</t>
        </is>
      </c>
      <c r="H1651" t="inlineStr"/>
    </row>
    <row r="1652">
      <c r="A1652" t="inlineStr">
        <is>
          <t>c4jbiu</t>
        </is>
      </c>
      <c r="B1652" t="inlineStr">
        <is>
          <t>Side effects from pantoprazole and esomeprazole. How long for them to go away after stopping?</t>
        </is>
      </c>
      <c r="C1652" t="inlineStr">
        <is>
          <t>Hello everyone,
I took esomeprazole (Nexium) for a week about six weeks ago with two antibiotics for h pylori treatment. For a month after I didn't take any antacids or PPI and for the most part was okay with occasional stomach pains that were greatest when I was hungry and some bouts of acidity. 
Went back to the doctor to get prescribed something to stop the acidity and she put me on pantoprazole. I took it for a week and a half and the side effect of indigestion and nausea was unbearable. On top of that it didn't really help with the acid as I was still taking Mylanta or Tums occasionally when needed. At the worst, food didn't feel like it was getting digested at all and it felt like the food was just sitting in my stomach even after four or five hours after.
I've since stopped taking any PPIs for three days now but my stomach is still sensitive and I am still quite nauseated. Stomach isn't really acidic anymore but still queasy. Now I'm anxious about eating anything.
How long do side effects from PPIs normally last?</t>
        </is>
      </c>
      <c r="D1652" t="n">
        <v>3</v>
      </c>
      <c r="E1652" t="n">
        <v>10</v>
      </c>
      <c r="F1652">
        <f>HYPERLINK("https://www.reddit.com/r/GERD/comments/c4jbiu/side_effects_from_pantoprazole_and_esomeprazole/")</f>
        <v/>
      </c>
      <c r="G1652" t="inlineStr">
        <is>
          <t>2019-06-23 23:36:42</t>
        </is>
      </c>
      <c r="H1652" t="inlineStr"/>
    </row>
    <row r="1653">
      <c r="A1653" t="inlineStr">
        <is>
          <t>c4tbqy</t>
        </is>
      </c>
      <c r="B1653" t="inlineStr">
        <is>
          <t>PPI rebound?</t>
        </is>
      </c>
      <c r="C1653" t="inlineStr">
        <is>
          <t>So I just stopped Nexium 20mg cold turkey and this 2 weeks (after stopping it) I have some severe heartburn which I didn't have before and worse reflux. Is ppi acid rebound supposed to last this long?</t>
        </is>
      </c>
      <c r="D1653" t="n">
        <v>2</v>
      </c>
      <c r="E1653" t="n">
        <v>10</v>
      </c>
      <c r="F1653">
        <f>HYPERLINK("https://www.reddit.com/r/GERD/comments/c4tbqy/ppi_rebound/")</f>
        <v/>
      </c>
      <c r="G1653" t="inlineStr">
        <is>
          <t>2019-06-24 11:47:37</t>
        </is>
      </c>
      <c r="H1653" t="inlineStr"/>
    </row>
    <row r="1654">
      <c r="A1654" t="inlineStr">
        <is>
          <t>c4u8w2</t>
        </is>
      </c>
      <c r="B1654" t="inlineStr">
        <is>
          <t>Dysphagia 10 months after Nissen fundoplication</t>
        </is>
      </c>
      <c r="C1654" t="inlineStr">
        <is>
          <t>Not sure if anyone else has experienced this. It takes very long to eat anything. I have to take small knitted and chew everything really fine. Even then I get the stuck feeling and have to wait a bit for it to go down before I can continue. I stay away from many types of food and haven't felt an improvement since month 3 after the surgery.
I've had a dilatation which helped for a week but then it came back. I'm going for another endoscopy next week and my doctor has mentioned that I might need another operation with a looser fundoplication.
&amp;amp;#x200B;
Has anyone else experienced this? Should I just be patient and then it will get better? I've googled this and have read a great deal about this but would appreciate a personal experience.</t>
        </is>
      </c>
      <c r="D1654" t="n">
        <v>2</v>
      </c>
      <c r="E1654" t="n">
        <v>2</v>
      </c>
      <c r="F1654">
        <f>HYPERLINK("https://www.reddit.com/r/GERD/comments/c4u8w2/dysphagia_10_months_after_nissen_fundoplication/")</f>
        <v/>
      </c>
      <c r="G1654" t="inlineStr">
        <is>
          <t>2019-06-24 12:40:32</t>
        </is>
      </c>
      <c r="H1654" t="inlineStr"/>
    </row>
    <row r="1655">
      <c r="A1655" t="inlineStr">
        <is>
          <t>c4uwf2</t>
        </is>
      </c>
      <c r="B1655" t="inlineStr">
        <is>
          <t>Has anyone ever gotten rid of symptoms?</t>
        </is>
      </c>
      <c r="C1655" t="inlineStr">
        <is>
          <t>Has anyone here been succesful at keeping their symptoms away for long periods of time? I haven't smoked in almost 4 weeks, only drank (lightly) once in the last month, and have been staying away from 99% of trigger foods, yet with 2x a day nexium I'm still occasionally having symptoms (primarly acid taste in mouth). Worried this won't ever go away and I'll never be able to drink or indulge as I always could. super annoying</t>
        </is>
      </c>
      <c r="D1655" t="n">
        <v>2</v>
      </c>
      <c r="E1655" t="n">
        <v>7</v>
      </c>
      <c r="F1655">
        <f>HYPERLINK("https://www.reddit.com/r/GERD/comments/c4uwf2/has_anyone_ever_gotten_rid_of_symptoms/")</f>
        <v/>
      </c>
      <c r="G1655" t="inlineStr">
        <is>
          <t>2019-06-24 13:17:53</t>
        </is>
      </c>
      <c r="H1655" t="inlineStr"/>
    </row>
    <row r="1656">
      <c r="A1656" t="inlineStr">
        <is>
          <t>c4vk0i</t>
        </is>
      </c>
      <c r="B1656" t="inlineStr">
        <is>
          <t>Anyone suffer from a burning/acidic feel in stomach? On Protonix/Famotidine</t>
        </is>
      </c>
      <c r="C1656" t="inlineStr">
        <is>
          <t>Hello, everyone. I’m a 23-year-old male who has suffered with heartburn my whole life. Two year ago I was diagnosed with possible GERD without the throat backup or something. Anyways, I was put on Protonix and Famotidine and it helped greatly! I also took papaya which helped! I am scheduled to have an EDG next month. But here recently I’ve not been having a lot of problems with pain but this acidic feeling in my stomach. It doesn’t burn...but it just feels weird. Maybe it is a slight burning? Idk. It’s weird tho. Has anyone else experienced this? It feels better when I burp, too. 
One doctor thought I might have an ulcer, so that’s what they’re going to look for. Just wondered if this is a GERD thing or an ulcer. Thanks for your time if you read this. Hope everyone feels better, too!</t>
        </is>
      </c>
      <c r="D1656" t="n">
        <v>4</v>
      </c>
      <c r="E1656" t="n">
        <v>3</v>
      </c>
      <c r="F1656">
        <f>HYPERLINK("https://www.reddit.com/r/GERD/comments/c4vk0i/anyone_suffer_from_a_burningacidic_feel_in/")</f>
        <v/>
      </c>
      <c r="G1656" t="inlineStr">
        <is>
          <t>2019-06-24 13:55:40</t>
        </is>
      </c>
      <c r="H1656" t="inlineStr"/>
    </row>
    <row r="1657">
      <c r="A1657" t="inlineStr">
        <is>
          <t>c4wlb2</t>
        </is>
      </c>
      <c r="B1657" t="inlineStr">
        <is>
          <t>Can a hiatal hernia feel like heart-related issues (and what has been most helpful)?</t>
        </is>
      </c>
      <c r="C1657" t="inlineStr">
        <is>
          <t>Hi, everyone:
I wanted to ask if anyone has experienced what feels like heart issues/arrhythmia at first only to discover it's a hiatal hernia instead.
At the height of my reflux (it's been managed and has almost vanished a year and a half later), I'd experience these spasms in my abdomen. I was initially worried it was my heart, especially since my breathing felt labored (but there was no pain involved, and I never rain out of air--just a lot of discomfort). But I started to notice that a trigger would be getting in and out of bed, and also bending over--basically when there was pressure on my abdomen. 
I've been on a small dose of omeprazole for maybe a year and a half, and I rarely have reflux any more. Yet I still occasionally feel pressure seemingly out of nowhere on my abdomen. There's sometimes a flip flop feeling when I stand up or sit down. While I know blood pressure changes with elevation, I also am wondering if this could be caused by a hiatal hernia or an esophageal problem instead. Have any of you had experience with this?
I hope to lose weight, though now that I'm older the process is a lot more slow-going than it used to be. I gained maybe 15-20 lbs in my last year or so at university, and I'm wondering if rapid weight gain itself could be responsible for this issue. 
TL;DR: Has anyone confused esophageal or hiatal hernia for heart issues instead (discomfort and spasming in abdomen)? Could this be related to weight gain and has losing weight been enough to solve the issue?</t>
        </is>
      </c>
      <c r="D1657" t="n">
        <v>2</v>
      </c>
      <c r="E1657" t="n">
        <v>3</v>
      </c>
      <c r="F1657">
        <f>HYPERLINK("https://www.reddit.com/r/GERD/comments/c4wlb2/can_a_hiatal_hernia_feel_like_heartrelated_issues/")</f>
        <v/>
      </c>
      <c r="G1657" t="inlineStr">
        <is>
          <t>2019-06-24 14:56:33</t>
        </is>
      </c>
      <c r="H1657" t="inlineStr"/>
    </row>
    <row r="1658">
      <c r="A1658" t="inlineStr">
        <is>
          <t>c4wnlt</t>
        </is>
      </c>
      <c r="B1658" t="inlineStr">
        <is>
          <t>Joint pain while taking PPI?</t>
        </is>
      </c>
      <c r="C1658" t="inlineStr">
        <is>
          <t>I am a late 20-something with possible GERD or gastritis and I was recently given PPI (omeprazole). I've been noticing some joint pains that I haven't noticed before in my hands and elbows. I was wondering if anyone has had this effect and was it something that concerned you to the point of seeing a doctor? Other than that, I seem to be doing okay.</t>
        </is>
      </c>
      <c r="D1658" t="n">
        <v>4</v>
      </c>
      <c r="E1658" t="n">
        <v>14</v>
      </c>
      <c r="F1658">
        <f>HYPERLINK("https://www.reddit.com/r/GERD/comments/c4wnlt/joint_pain_while_taking_ppi/")</f>
        <v/>
      </c>
      <c r="G1658" t="inlineStr">
        <is>
          <t>2019-06-24 15:00:16</t>
        </is>
      </c>
      <c r="H1658" t="inlineStr"/>
    </row>
    <row r="1659">
      <c r="A1659" t="inlineStr">
        <is>
          <t>c4yk5w</t>
        </is>
      </c>
      <c r="B1659" t="inlineStr">
        <is>
          <t>Looking for encouragement and ideas</t>
        </is>
      </c>
      <c r="C1659" t="inlineStr">
        <is>
          <t>I had a cold in February. After 5 days I was better except I had what I thought was constant postnatal drainage. After months of doctors, antibiotics and allergy tests, I was diagnosed with LPR (silent reflux). The diagnosis made perfect sense when I read about it.
For the past month I have taken 1 Prilosec OTR as told to do by dr.
I have cut out eating or drinking anything after dinner. I cut out all alcohol. I lost 5 pounds (now close to ideal weight). I sleep on a wedge pillow. I cut out all onions, tomatoes, spicy food and citrus. I cut coffee to one cup per day (low acid blend). I’ve always eaten very healthy. I do not drink carbonated beverages or eat fried foods at all often, and I have had none in the past month. I have never smoked. 
Having done all of the above, I really don’t feel any different.
Hope or suggestions are appreciated.</t>
        </is>
      </c>
      <c r="D1659" t="n">
        <v>2</v>
      </c>
      <c r="E1659" t="n">
        <v>4</v>
      </c>
      <c r="F1659">
        <f>HYPERLINK("https://www.reddit.com/r/GERD/comments/c4yk5w/looking_for_encouragement_and_ideas/")</f>
        <v/>
      </c>
      <c r="G1659" t="inlineStr">
        <is>
          <t>2019-06-24 16:56:58</t>
        </is>
      </c>
      <c r="H1659" t="inlineStr"/>
    </row>
    <row r="1660">
      <c r="A1660" t="inlineStr">
        <is>
          <t>c50ol4</t>
        </is>
      </c>
      <c r="B1660" t="inlineStr">
        <is>
          <t>Solved my 'GERD' issues - for now, at least</t>
        </is>
      </c>
      <c r="C1660" t="inlineStr">
        <is>
          <t>Keep in mind this won't be of help to everyone, isn't some miracle cure, etc - but given how much misdiagnosing goes on, I wanted to share what worked for me, ESPECIALLY since I was so skeptical about trying it.
So, apparently Candidia - yeast infections, but the internal kind - go chronically under-diagnosed. This makes sense, because most of the time they're harmless! Buuuut. My 'GERD' symptoms appeared ***after a large course of antibiotics;*** the first course I'd had in roughly twenty-two years.
I was very confused because I don't drink or smoke, have a healthy BMI, etc, etc. Something seemed *wrong,* and I wasn't satisfied with any health-care representative I had. I couldn't trigger it with food, either!
**WHAT I DID:**
Made a no-sugar no-salt vegetable broth, lived off of it for two days, slowly added leafy greens back over roughly a week; I'm back to my normal diet, and my heart/chest pains are mostly gone. I still have throat pains, however I'm 99% sure the throat stuff is a separate issue I conflated because I trusted my doctors too much.
In addition, I'm MUCH more alert and awake then I was before. I don't know if that's a ringing endorsement, and I'm very leery of signing off on what I'd previously call 'junk medicine.' That being said, it DID work for me, and if it helps anyone else out, I'll be happy.
Good luck out there.</t>
        </is>
      </c>
      <c r="D1660" t="n">
        <v>7</v>
      </c>
      <c r="E1660" t="n">
        <v>11</v>
      </c>
      <c r="F1660">
        <f>HYPERLINK("https://www.reddit.com/r/GERD/comments/c50ol4/solved_my_gerd_issues_for_now_at_least/")</f>
        <v/>
      </c>
      <c r="G1660" t="inlineStr">
        <is>
          <t>2019-06-24 19:14:42</t>
        </is>
      </c>
      <c r="H1660" t="inlineStr"/>
    </row>
    <row r="1661">
      <c r="A1661" t="inlineStr">
        <is>
          <t>c53wlg</t>
        </is>
      </c>
      <c r="B1661" t="inlineStr">
        <is>
          <t>Most cited research study on acid reflux: Losing weight and eating less is more important than what you eat</t>
        </is>
      </c>
      <c r="C1661" t="inlineStr">
        <is>
          <t>[https://medtally.com/post/different-effects-of-dietary-factors-on-reflux-esophagitis-and-non-erosive-reflux-disease-in-11690-korean-subjects-253770](https://medtally.com/post/different-effects-of-dietary-factors-on-reflux-esophagitis-and-non-erosive-reflux-disease-in-11690-korean-subjects-253770)
&amp;amp;#x200B;
**Conclusion:** 
&amp;gt;While many food groups affected NERD, reflux esophagitis was associated with BMI and total energy intake rather than dietary component. These results may suggest different approaches toward dietary management of NERD and reflux esophagitis.</t>
        </is>
      </c>
      <c r="D1661" t="n">
        <v>1</v>
      </c>
      <c r="E1661" t="n">
        <v>8</v>
      </c>
      <c r="F1661">
        <f>HYPERLINK("https://www.reddit.com/r/GERD/comments/c53wlg/most_cited_research_study_on_acid_reflux_losing/")</f>
        <v/>
      </c>
      <c r="G1661" t="inlineStr">
        <is>
          <t>2019-06-24 23:33:39</t>
        </is>
      </c>
      <c r="H1661" t="inlineStr"/>
    </row>
    <row r="1662">
      <c r="A1662" t="inlineStr">
        <is>
          <t>c56za4</t>
        </is>
      </c>
      <c r="B1662" t="inlineStr">
        <is>
          <t>How to swallow pills</t>
        </is>
      </c>
      <c r="C1662" t="inlineStr">
        <is>
          <t>A big part of my problem is that I am finding it hard to swallow and am overly paranoid of food getting stuck in my chest or choking. Now I have all these tablets to take and they are big tablets!! If I crush them up in yoghurt is it still okay considering some of them are meant to be taken before/ after eating on an empty stomach?</t>
        </is>
      </c>
      <c r="D1662" t="n">
        <v>4</v>
      </c>
      <c r="E1662" t="n">
        <v>3</v>
      </c>
      <c r="F1662">
        <f>HYPERLINK("https://www.reddit.com/r/GERD/comments/c56za4/how_to_swallow_pills/")</f>
        <v/>
      </c>
      <c r="G1662" t="inlineStr">
        <is>
          <t>2019-06-25 04:16:11</t>
        </is>
      </c>
      <c r="H1662" t="inlineStr"/>
    </row>
    <row r="1663">
      <c r="A1663" t="inlineStr">
        <is>
          <t>c5870k</t>
        </is>
      </c>
      <c r="B1663" t="inlineStr">
        <is>
          <t>Waking up with crushing chest pain</t>
        </is>
      </c>
      <c r="C1663" t="inlineStr">
        <is>
          <t>This has only happened like twice but is this common? Woke up with some crushing chest pain today. Typically I get GERD symptoms before bed if it ever acts up. I trained my back yesterday in the gym. Could that have been part of the cause?</t>
        </is>
      </c>
      <c r="D1663" t="n">
        <v>2</v>
      </c>
      <c r="E1663" t="n">
        <v>11</v>
      </c>
      <c r="F1663">
        <f>HYPERLINK("https://www.reddit.com/r/GERD/comments/c5870k/waking_up_with_crushing_chest_pain/")</f>
        <v/>
      </c>
      <c r="G1663" t="inlineStr">
        <is>
          <t>2019-06-25 05:58:52</t>
        </is>
      </c>
      <c r="H1663" t="inlineStr"/>
    </row>
    <row r="1664">
      <c r="A1664" t="inlineStr">
        <is>
          <t>c58pir</t>
        </is>
      </c>
      <c r="B1664" t="inlineStr">
        <is>
          <t>Does this sound like LPR?</t>
        </is>
      </c>
      <c r="C1664" t="inlineStr">
        <is>
          <t>Recently I've been suffering a raft of stomach and throat issues and I was wondering if anyone could relate. I've often had problems with clearing my throat regularly, especially after eating, and burping especially after larger meals in the evening. Since about February I've had intermittent but mild trouble swallowing which has gotten a little worse lately, especially with drier or stickier foods, and a very mild sore throat. Occasionally in the mornings I'll feel quite sick and dry heave a few times though I never actually vomit.
I've been suffering quite a bit from anxiety recently and although I've never really had heartburn in the past it's become more common and my stomach has been making a lot of gurgling noises after eating, with some occasional pressure/discomfort under my left ribs. My appetite has gotten a bit lower than normal too and I feel pretty full pretty quickly. 
I have a gastroscopy booked which I'm pretty nervous about, just wondering if anyone else here has suffered from the same symptoms? I've been taking 1 or 2 20mg tablets of Omeprazole for the last few weeks but haven't seen too much improvement in swallowing so far, although clearing my throat has reduced quite a bit.</t>
        </is>
      </c>
      <c r="D1664" t="n">
        <v>2</v>
      </c>
      <c r="E1664" t="n">
        <v>3</v>
      </c>
      <c r="F1664">
        <f>HYPERLINK("https://www.reddit.com/r/GERD/comments/c58pir/does_this_sound_like_lpr/")</f>
        <v/>
      </c>
      <c r="G1664" t="inlineStr">
        <is>
          <t>2019-06-25 06:39:39</t>
        </is>
      </c>
      <c r="H1664" t="inlineStr"/>
    </row>
    <row r="1665">
      <c r="A1665" t="inlineStr">
        <is>
          <t>c58xox</t>
        </is>
      </c>
      <c r="B1665" t="inlineStr">
        <is>
          <t>Nauseous all the time.</t>
        </is>
      </c>
      <c r="C1665" t="inlineStr">
        <is>
          <t>I started omeprazole 40mg almost a month ago (once a day before meal) and got an endoscopy 2 weeks ago and after that, the doctor upped it to twice a day and added domperidone and after that I’ve been nauseous so I stopped taking it which I realised was a bad idea because I think I had withdrawal.
Anyway, I went back to the doctor and he changed my medication to esomeprazole 40mg and back to once a day before meal and he said to come back if I’m still nauseous after a week. I asked him if it’s okay to take vitamins with it such as multivitamins, flaxseed oil, magnesium and b6. He said yes but not just calcium. I looked it up and if you use PPI, you actually need to take extra calcium? 
I’ve changed my diet and gone dairy free and eat small meals now and always sit up after I’ve eaten but I’m still nauseous and always feel like vomiting (gagging). I don’t know what to do as  I really don’t wanna rely on taking medicine all my life.</t>
        </is>
      </c>
      <c r="D1665" t="n">
        <v>4</v>
      </c>
      <c r="E1665" t="n">
        <v>18</v>
      </c>
      <c r="F1665">
        <f>HYPERLINK("https://www.reddit.com/r/GERD/comments/c58xox/nauseous_all_the_time/")</f>
        <v/>
      </c>
      <c r="G1665" t="inlineStr">
        <is>
          <t>2019-06-25 06:56:50</t>
        </is>
      </c>
      <c r="H1665" t="inlineStr"/>
    </row>
    <row r="1666">
      <c r="A1666" t="inlineStr">
        <is>
          <t>c592ud</t>
        </is>
      </c>
      <c r="B1666" t="inlineStr">
        <is>
          <t>I’m scared this is slowly leading to death</t>
        </is>
      </c>
      <c r="C1666" t="inlineStr">
        <is>
          <t>I’ve been suffering with this since April last year. Constant heartburn every single day with the exception of two months when I was taking omeprazole which I could stop taking with no problems but the reflux came back after a month and omeprazole stopped working. Because I’m already very tiny and losing weight very fast,I can’t stay on a very low fat and low caloric diet for too long. The thought of losing too much weight gives me a lot of anxiety as I used to be underweight.
I still don’t know what foods are causing it, but I do know a few are making it unbearable. I get heartburn even if I have just two slices of toast and a banana. 
I’m currently taking Esomeprazole 20g in the morning and ranitidine 300mg before bed
Other symptoms I have: mild nausea, occasional chest pain and I feel like there’s something stuck in my chest sometimes.
I’m going to see a gastroenterologist for the first time next week. 
What’s a good method to identify your triggers? It’s been a year and I’m really embarrassed that I still don’t really know what’s going on with me. I don’t drink coffee or alcohol, the only harmful thing in my diet is sugar which I’m planning to get rid of.
If I’ve had this everyday for a year my stomach must be scarred by now. I’m so scared and stressed...
I was on holiday recently and ate lots of unhealthy food which I now regret..</t>
        </is>
      </c>
      <c r="D1666" t="n">
        <v>1</v>
      </c>
      <c r="E1666" t="n">
        <v>0</v>
      </c>
      <c r="F1666">
        <f>HYPERLINK("https://www.reddit.com/r/GERD/comments/c592ud/im_scared_this_is_slowly_leading_to_death/")</f>
        <v/>
      </c>
      <c r="G1666" t="inlineStr">
        <is>
          <t>2019-06-25 07:07:13</t>
        </is>
      </c>
      <c r="H1666" t="inlineStr"/>
    </row>
    <row r="1667">
      <c r="A1667" t="inlineStr">
        <is>
          <t>c5beju</t>
        </is>
      </c>
      <c r="B1667" t="inlineStr">
        <is>
          <t>Does any one here only rarely get pain, with horrible taste and shortness of breath being their dominant symptoms?</t>
        </is>
      </c>
      <c r="C1667" t="inlineStr">
        <is>
          <t>Only my second day of Omeprazole with nothing improving as of yet. Is it meant to take a while? Ranitidine 150mg twice a day did nothing for me.</t>
        </is>
      </c>
      <c r="D1667" t="n">
        <v>1</v>
      </c>
      <c r="E1667" t="n">
        <v>3</v>
      </c>
      <c r="F1667">
        <f>HYPERLINK("https://www.reddit.com/r/GERD/comments/c5beju/does_any_one_here_only_rarely_get_pain_with/")</f>
        <v/>
      </c>
      <c r="G1667" t="inlineStr">
        <is>
          <t>2019-06-25 09:49:11</t>
        </is>
      </c>
      <c r="H1667" t="inlineStr"/>
    </row>
    <row r="1668">
      <c r="A1668" t="inlineStr">
        <is>
          <t>c5bra3</t>
        </is>
      </c>
      <c r="B1668" t="inlineStr">
        <is>
          <t>So, this just happened</t>
        </is>
      </c>
      <c r="C1668" t="inlineStr">
        <is>
          <t>I’ve been dealing with reflux esophagitis for the past couple of months, been prescribed PPI’s and some other anti acid meds, things seemed to get worse, painful chest, swallowing discomfort and all the GERD “goodies” we all know and love.
Earlier today I was going through some old clothes I have in a wardrobe, my throat got itchy and started coughing, shortly after that I’ve got heartburn and my chest got heavy like the irritated esophagus going into spasm mode. Once I finish what I was doing the discomfort got worse until the moment I thought “I should take some antihistamines and see what’s up” well, 5 minutes later I felt my chest easing up and no heartburn 🤔 
So, what the heck ?? Something none of the meds for GERD had achieved, I’ve never got relieved with anti acid meds but antihistamines.
What do you say ?</t>
        </is>
      </c>
      <c r="D1668" t="n">
        <v>4</v>
      </c>
      <c r="E1668" t="n">
        <v>9</v>
      </c>
      <c r="F1668">
        <f>HYPERLINK("https://www.reddit.com/r/GERD/comments/c5bra3/so_this_just_happened/")</f>
        <v/>
      </c>
      <c r="G1668" t="inlineStr">
        <is>
          <t>2019-06-25 10:12:25</t>
        </is>
      </c>
      <c r="H1668" t="inlineStr"/>
    </row>
    <row r="1669">
      <c r="A1669" t="inlineStr">
        <is>
          <t>c5c96k</t>
        </is>
      </c>
      <c r="B1669" t="inlineStr">
        <is>
          <t>Everything I eat gives me a heartburn:(</t>
        </is>
      </c>
      <c r="C1669" t="inlineStr">
        <is>
          <t>I’ve been suffering with this since April last year. Constant heartburn every single day with the exception of two months when I was taking omeprazole which I could stop taking with no problems but the reflux came back after a month and omeprazole stopped working. Because I’m already very tiny and losing weight very fast,I can’t stay on a very low fat and low caloric diet for too long. The thought of losing too much weight gives me a lot of anxiety as I used to be underweight.
I still don’t know what foods are causing it, but I do know a few are making it unbearable. I get heartburn even if I have just two slices of toast and a banana. 
I’m currently taking Esomeprazole 20g in the morning and ranitidine 300mg before bed
Other symptoms I have: mild nausea, occasional chest pain and I feel like there’s something stuck in my chest sometimes.
I’m going to see a gastroenterologist for the first time next week. 
What’s a good method to identify your triggers? It’s been a year and I’m really embarrassed that I still don’t really know what’s going on with me. I don’t drink coffee or alcohol, the only harmful thing in my diet is sugar which I’m planning to get rid of.
If I’ve had this everyday for a year my stomach must be scarred by now. I’m so scared and stressed...
I was on holiday recently and ate lots of unhealthy food which I now regret..
F23 5’1 100 lbs</t>
        </is>
      </c>
      <c r="D1669" t="n">
        <v>8</v>
      </c>
      <c r="E1669" t="n">
        <v>8</v>
      </c>
      <c r="F1669">
        <f>HYPERLINK("https://www.reddit.com/r/GERD/comments/c5c96k/everything_i_eat_gives_me_a_heartburn/")</f>
        <v/>
      </c>
      <c r="G1669" t="inlineStr">
        <is>
          <t>2019-06-25 10:45:11</t>
        </is>
      </c>
      <c r="H1669" t="inlineStr"/>
    </row>
    <row r="1670">
      <c r="A1670" t="inlineStr">
        <is>
          <t>c5e8ri</t>
        </is>
      </c>
      <c r="B1670" t="inlineStr">
        <is>
          <t>Constant Heartburn Every Day Despite Medicine and Other Countermeasures</t>
        </is>
      </c>
      <c r="C1670" t="inlineStr">
        <is>
          <t>My heartburn has gotten so bad now that I don't know what to do. I've tried Famotidine, Omeprazole, Esmeprazole Magnesium, diet changes, milk, yogurt, pepcid, and probiotics. Nothing works anymore. I have been to a gastro, and one thousand dollars later the conclusion was that my stomach just produces too much acid. Now the problem is completely uncontrollable, and I no longer have medical insurance. All of the stuff I listed that doesn't work, used to work. My chest constantly hurts, my throat constantly hurts, it's hard to talk and I can't sing like I used to anymore. Every few minutes I feel the acid creeping up my throat like hot gasoline, regardless of position, laying down or standing up. What else can I do? My heartburn just eats through medication and all the countermeasures I have taken.</t>
        </is>
      </c>
      <c r="D1670" t="n">
        <v>16</v>
      </c>
      <c r="E1670" t="n">
        <v>12</v>
      </c>
      <c r="F1670">
        <f>HYPERLINK("https://www.reddit.com/r/GERD/comments/c5e8ri/constant_heartburn_every_day_despite_medicine_and/")</f>
        <v/>
      </c>
      <c r="G1670" t="inlineStr">
        <is>
          <t>2019-06-25 13:00:03</t>
        </is>
      </c>
      <c r="H1670" t="inlineStr"/>
    </row>
    <row r="1671">
      <c r="A1671" t="inlineStr">
        <is>
          <t>c5hfxq</t>
        </is>
      </c>
      <c r="B1671" t="inlineStr">
        <is>
          <t>Manuka honey before or after eating?</t>
        </is>
      </c>
      <c r="C1671" t="inlineStr">
        <is>
          <t>I was wondering if it's preferable to take manuka honey before or after eating to prevent acid reflux. I heard that taking it before coats your esophagus/stomach, and I've also heard that taking it after creates a protective barrier that prevents acid from traveling up into your esophagus. Any help is much appreciated!</t>
        </is>
      </c>
      <c r="D1671" t="n">
        <v>3</v>
      </c>
      <c r="E1671" t="n">
        <v>7</v>
      </c>
      <c r="F1671">
        <f>HYPERLINK("https://www.reddit.com/r/GERD/comments/c5hfxq/manuka_honey_before_or_after_eating/")</f>
        <v/>
      </c>
      <c r="G1671" t="inlineStr">
        <is>
          <t>2019-06-25 16:24:05</t>
        </is>
      </c>
      <c r="H1671" t="inlineStr"/>
    </row>
    <row r="1672">
      <c r="A1672" t="inlineStr">
        <is>
          <t>c5i3hp</t>
        </is>
      </c>
      <c r="B1672" t="inlineStr">
        <is>
          <t>Starting the acid water diet this week and feeling overwhelmed.</t>
        </is>
      </c>
      <c r="C1672" t="inlineStr">
        <is>
          <t>I have decided to take matters into my own hands with this whole acid reflux thing and try a major change in my eating habits. I purchased Dr. Aviv's book a couple of weeks ago, but have been procrastinating the start of my diet. I am reluctant to start because I feel overwhelmed and a little unsure of what I'm doing. 
I've never been good at diets, and I also struggle with cooking. I understand very well what I'm absolutely NOT supposed to eat - that list is very helpful. But then it seems like there is a lot of stuff that is a grey area? And all of the recipes in the book seem very restrictive and restrict way more than just those items on the bad list. So I guess I'm a little bit confused. I know the diet is not just about acid reflux, but also about reducing inflammation, so I get the usefulness of the extra restrictiveness. But I fear if I restrict myself too much, it will be too hard for me to follow this eating plan, it is already difficult enough with just the bad list foods. 
So I guess my question is, is it okay to only eliminate foods on the bad list? Or is it better to also nix some of the other things that are talked about, like white bread/rice, salt other than sea salt, preservatives and processed foods, and sugar? If it is okay to still eat those things, I will definitely reduce them a lot during the healing phase, but I don't want to overwhelm myself. 
Any thoughts? Any resources you could point me to that would also help? Thanks in advance!</t>
        </is>
      </c>
      <c r="D1672" t="n">
        <v>3</v>
      </c>
      <c r="E1672" t="n">
        <v>1</v>
      </c>
      <c r="F1672">
        <f>HYPERLINK("https://www.reddit.com/r/GERD/comments/c5i3hp/starting_the_acid_water_diet_this_week_and/")</f>
        <v/>
      </c>
      <c r="G1672" t="inlineStr">
        <is>
          <t>2019-06-25 17:16:37</t>
        </is>
      </c>
      <c r="H1672" t="inlineStr"/>
    </row>
    <row r="1673">
      <c r="A1673" t="inlineStr">
        <is>
          <t>c5l50f</t>
        </is>
      </c>
      <c r="B1673" t="inlineStr">
        <is>
          <t>Manometry and PH Impedance study NORMAL - still heavily symptomatic - where to now?</t>
        </is>
      </c>
      <c r="C1673" t="inlineStr">
        <is>
          <t>Symptoms: regurgitation (that I don't feel), sour / hot taste in mouth often throughout the day. Burning and red tip of tongue frequently. Obvious dental deterioration (teeth and gums). Heartburn several times caused by too much liquid and food at the same time, but has been a few weeks since I've been on a careful diet. Water brash and frequent swallowing, also frequent burping. Often burning spots in mouth (probably pepsin). On Nexium 2x daily.
&amp;amp;#x200B;
Had hoped the (expensive and very uncomfortable) PH impedance study would show what was going on, but it was normal. The only thing I can think of is that I am on a very limited/restricted diet, and this was not causing adequate amounts of regurgitation to be detected. Perhaps I should have tried to eat normally during the test.  
I am at a loss as I was expecting to get surgery in a couple of weeks time.</t>
        </is>
      </c>
      <c r="D1673" t="n">
        <v>2</v>
      </c>
      <c r="E1673" t="n">
        <v>4</v>
      </c>
      <c r="F1673">
        <f>HYPERLINK("https://www.reddit.com/r/GERD/comments/c5l50f/manometry_and_ph_impedance_study_normal_still/")</f>
        <v/>
      </c>
      <c r="G1673" t="inlineStr">
        <is>
          <t>2019-06-25 21:29:31</t>
        </is>
      </c>
      <c r="H1673" t="inlineStr"/>
    </row>
    <row r="1674">
      <c r="A1674" t="inlineStr">
        <is>
          <t>c5mq6n</t>
        </is>
      </c>
      <c r="B1674" t="inlineStr">
        <is>
          <t>Has anyone done the Peptest?</t>
        </is>
      </c>
      <c r="C1674" t="inlineStr">
        <is>
          <t>I've just read the interesting interview from another Reddit post : [https://www.refluxgate.com/peter-dettmar-pepsin](https://www.refluxgate.com/peter-dettmar-pepsin) \- about Pepsin. As I have an expensive and deeply unpleasant manometry booked, I'd rather avoid it.
Has anyone here ordered the Peptest? It's $250 in the UK (dollars - I know) which is expensive, but far less grim than having a tube down your nose, and then a 24 hour pH test.
Thoughts all?</t>
        </is>
      </c>
      <c r="D1674" t="n">
        <v>5</v>
      </c>
      <c r="E1674" t="n">
        <v>6</v>
      </c>
      <c r="F1674">
        <f>HYPERLINK("https://www.reddit.com/r/GERD/comments/c5mq6n/has_anyone_done_the_peptest/")</f>
        <v/>
      </c>
      <c r="G1674" t="inlineStr">
        <is>
          <t>2019-06-26 00:14:42</t>
        </is>
      </c>
      <c r="H1674" t="inlineStr"/>
    </row>
    <row r="1675">
      <c r="A1675" t="inlineStr">
        <is>
          <t>c5mszt</t>
        </is>
      </c>
      <c r="B1675" t="inlineStr">
        <is>
          <t>Motility agents and their lack in a treatment</t>
        </is>
      </c>
      <c r="C1675" t="inlineStr">
        <is>
          <t>Ok, so in the EU 🇪🇺 and mostly Eastern Europe too, PPIs are always prescribed with a motility agent for the main meals, agents like: Motilium, Metoclopramide or Spasmomen. These agents will help your stomach push the food after the meal - so you don't get nauseous.
Taking them with the PPIs is kind of mandatory since the PPI kind of alter the gut's motility during the treatment.
I used to take Nexium without a motility agent and I got nauseous after every meal, almost like needing to sleep. Now I don't (it took about a week to get used to 3 Spasmomens per day).
Don't you do the same? I'm asking this because I saw people here don't.</t>
        </is>
      </c>
      <c r="D1675" t="n">
        <v>1</v>
      </c>
      <c r="E1675" t="n">
        <v>4</v>
      </c>
      <c r="F1675">
        <f>HYPERLINK("https://www.reddit.com/r/GERD/comments/c5mszt/motility_agents_and_their_lack_in_a_treatment/")</f>
        <v/>
      </c>
      <c r="G1675" t="inlineStr">
        <is>
          <t>2019-06-26 00:24:36</t>
        </is>
      </c>
      <c r="H1675" t="inlineStr"/>
    </row>
    <row r="1676">
      <c r="A1676" t="inlineStr">
        <is>
          <t>c5ojzi</t>
        </is>
      </c>
      <c r="B1676" t="inlineStr">
        <is>
          <t>I went to a doctor with a bloating stomache and he prescribed me Pantoprazole. I'm afraid of taking it since it's not for bloating stomache.</t>
        </is>
      </c>
      <c r="C1676" t="inlineStr">
        <is>
          <t>I've had a bloating stomach for over a week. It's hard to eat because of that. Once I've tried a bigger meal (beef with rice) and it ended up with diarrhea. From what I see Pantoprazole is good only for people with acid problems. Can I have acid problem too? I don't have any chest pain, any acid I'm afraid of side effects of this med, because diarrhea and stomach problem is something I want to avoid, not provoke with this med.</t>
        </is>
      </c>
      <c r="D1676" t="n">
        <v>0</v>
      </c>
      <c r="E1676" t="n">
        <v>4</v>
      </c>
      <c r="F1676">
        <f>HYPERLINK("https://www.reddit.com/r/GERD/comments/c5ojzi/i_went_to_a_doctor_with_a_bloating_stomache_and/")</f>
        <v/>
      </c>
      <c r="G1676" t="inlineStr">
        <is>
          <t>2019-06-26 04:14:33</t>
        </is>
      </c>
      <c r="H1676" t="inlineStr"/>
    </row>
    <row r="1677">
      <c r="A1677" t="inlineStr">
        <is>
          <t>c5pnyc</t>
        </is>
      </c>
      <c r="B1677" t="inlineStr">
        <is>
          <t>Nexium &amp;amp; alternative dosing</t>
        </is>
      </c>
      <c r="C1677" t="inlineStr">
        <is>
          <t>I have GERD &amp;amp; Hashimotos &amp;amp; family history or osteoporosis.... So long term Nexium scares me. Has anyone had and experience with low dose (10 MG) or alternate day dosing for Nexium? I did 2 90 day regimens of 20mg and had rebound problems and am currently failing to control with Ratinidine.</t>
        </is>
      </c>
      <c r="D1677" t="n">
        <v>2</v>
      </c>
      <c r="E1677" t="n">
        <v>2</v>
      </c>
      <c r="F1677">
        <f>HYPERLINK("https://www.reddit.com/r/GERD/comments/c5pnyc/nexium_alternative_dosing/")</f>
        <v/>
      </c>
      <c r="G1677" t="inlineStr">
        <is>
          <t>2019-06-26 06:13:12</t>
        </is>
      </c>
      <c r="H1677" t="inlineStr"/>
    </row>
    <row r="1678">
      <c r="A1678" t="inlineStr">
        <is>
          <t>c5q8ot</t>
        </is>
      </c>
      <c r="B1678" t="inlineStr">
        <is>
          <t>Just Anxious for Tomorrow</t>
        </is>
      </c>
      <c r="C1678" t="inlineStr">
        <is>
          <t>I am really sorry if I am not posting to the right sub. I am 22 yrs old and shouldn’t be suffering like this. Two weeks ago I had major heartburn and pain and then got treated for it and all was fine. I took calafate and my throat felt better. I started eating mostly normal again with no issues. A week later I can’t even swallow anything without coughing, choking and having major trouble breathing. I barely get sleep and I have GAD so it doesn’t help matters. Right now I am waiting for my endoscopy tomorrow and I hope this is all over with and not permanent. I just really have to vent. At times it feels like it’s all in my head and not real at all and it sucks.</t>
        </is>
      </c>
      <c r="D1678" t="n">
        <v>3</v>
      </c>
      <c r="E1678" t="n">
        <v>6</v>
      </c>
      <c r="F1678">
        <f>HYPERLINK("https://www.reddit.com/r/GERD/comments/c5q8ot/just_anxious_for_tomorrow/")</f>
        <v/>
      </c>
      <c r="G1678" t="inlineStr">
        <is>
          <t>2019-06-26 07:06:53</t>
        </is>
      </c>
      <c r="H1678" t="inlineStr"/>
    </row>
    <row r="1679">
      <c r="A1679" t="inlineStr">
        <is>
          <t>c5q9k9</t>
        </is>
      </c>
      <c r="B1679" t="inlineStr">
        <is>
          <t>Holding stomach muscles tight all the time - possible GERD cause?</t>
        </is>
      </c>
      <c r="C1679" t="inlineStr">
        <is>
          <t>I kind of realized my Gerd problems arose after a while of doing this. It was a bad habit after the gym, more like trying to correct a bad posture than making it look flat.
But I realized that my breathing pattern altered - I was no longer expanding my belly while breathing in, but more like holding it while breathing in, creating unnecessary tensions in the stomach area.
It's just a theory TBH, but I'm gonna try to get rid of this bad habit and report after.</t>
        </is>
      </c>
      <c r="D1679" t="n">
        <v>14</v>
      </c>
      <c r="E1679" t="n">
        <v>21</v>
      </c>
      <c r="F1679">
        <f>HYPERLINK("https://www.reddit.com/r/GERD/comments/c5q9k9/holding_stomach_muscles_tight_all_the_time/")</f>
        <v/>
      </c>
      <c r="G1679" t="inlineStr">
        <is>
          <t>2019-06-26 07:09:02</t>
        </is>
      </c>
      <c r="H1679" t="inlineStr"/>
    </row>
    <row r="1680">
      <c r="A1680" t="inlineStr">
        <is>
          <t>c5qv0s</t>
        </is>
      </c>
      <c r="B1680" t="inlineStr">
        <is>
          <t>Miserable, scared. 35m with mild Barretts, and endless fire, acidic bloated air feeling</t>
        </is>
      </c>
      <c r="C1680" t="inlineStr">
        <is>
          <t>I am at my wits end. Long term on/off GERD sufferer. Sep-18 endoscopy showed mild Barretts, scheduled for followup scope in a few months. Prescribed 40mg Nexium and symptoms seemed to be under control for ~9 months, but last week has been absolute hell. No typical acid reflux symptoms, mainly bloating, burning air feeling rising from stomach to throat/ears. My tongue constantly feels like I've scalded it with coffee. Contacted gastro w/ symptoms, but their response was "up the nexium to 60mg." This is stressing me out to the point I can't focus on work, relax, or sleep. Worried this will progress Barretts to cancer.
Not sure what to believe anymore. Low acid, excess acid. Supplement with Betaine HCL, ACV, up the PPI dose.....
help</t>
        </is>
      </c>
      <c r="D1680" t="n">
        <v>6</v>
      </c>
      <c r="E1680" t="n">
        <v>6</v>
      </c>
      <c r="F1680">
        <f>HYPERLINK("https://www.reddit.com/r/GERD/comments/c5qv0s/miserable_scared_35m_with_mild_barretts_and/")</f>
        <v/>
      </c>
      <c r="G1680" t="inlineStr">
        <is>
          <t>2019-06-26 08:00:48</t>
        </is>
      </c>
      <c r="H1680" t="inlineStr"/>
    </row>
    <row r="1681">
      <c r="A1681" t="inlineStr">
        <is>
          <t>c5riri</t>
        </is>
      </c>
      <c r="B1681" t="inlineStr">
        <is>
          <t>I Cured My Gerd In 1 Month</t>
        </is>
      </c>
      <c r="C1681" t="inlineStr">
        <is>
          <t>I cured My Gerd Issues In 3 weeks 
I had a sore throat for 2 months and terrible stomach pain after eating.  I was worried I had Barrett's Esophagus. I went to the doctor and he just did the usual prescription of PPI's - I was determined to not take these after reading up about them.
So I researched and researched and decided I would cure it myself.  Im not saying this will work for everyone but I can eat pizza and drink beer again in just a month.
Here is how I did it:
Wake Up daily and do 5 mins belly breathing 10 seconds 5 seconds out
Take A Probiotic Pill and a Glass Of Alkaline Water
8am - Smoothie consisting of - Almond Milk - Red Apple - Oats - Honey - Banana - Seal Salt
I take right after Take After A 1200mg Calcium Pill - 650mg Apple Cider Viniger Pill - Digestive enzyme
Lunch - Salad With Greens - Baked Chicken - Raw Sawerkraut ( No tomatoes - No Peppers - No Cheese other than Blue or Goat )
Also I Take Here 1 or 2 X Betaine Pepsin HCL Pills 650mg And a 1000mg B12 ( These Before The Meal)  and another 1200mg Calcium Pill (This You take After The Meal) digestive enzyme
Belly Breathing 5 mins after 30 mins
Dinner 
Baked Chicken Breast - Baked Broccoli - Backed Sweeet Potatoe - Baked Asparagus - Salad - sawerkraut
 I Take Here 1 or 2 X Betaine Pepsin HCL Pills 650mg - digestive enzyme
Then 5 mins Belly Breathing after about an hr
Slippery Elm Powder in hot water 
Then Before Bed If hungry an hr before eat half a red apple - I didnt always do this
3mg of Melatonin  
Thats it - you can vary the veggies just pick green ones no tomatoes lol
I drank 4-6 light beers every weekend also :)
Now week 4 and I feel back to normal I ate pizza and drank 2 ipa last night easy - no problems - Just make sure you have you have your HCL pills befor eyou eat and a digestive enzyme</t>
        </is>
      </c>
      <c r="D1681" t="n">
        <v>0</v>
      </c>
      <c r="E1681" t="n">
        <v>5</v>
      </c>
      <c r="F1681">
        <f>HYPERLINK("https://www.reddit.com/r/GERD/comments/c5riri/i_cured_my_gerd_in_1_month/")</f>
        <v/>
      </c>
      <c r="G1681" t="inlineStr">
        <is>
          <t>2019-06-26 08:55:24</t>
        </is>
      </c>
      <c r="H1681" t="inlineStr"/>
    </row>
    <row r="1682">
      <c r="A1682" t="inlineStr">
        <is>
          <t>c5t6tv</t>
        </is>
      </c>
      <c r="B1682" t="inlineStr">
        <is>
          <t>Anyone heard of Alcapkex Ph ?</t>
        </is>
      </c>
      <c r="C1682" t="inlineStr">
        <is>
          <t>I saw a post online recommending it as a way to sort stomach acid rather than PPIs. But it doesn't come up on google so I suspect it's a typo. Any ideas?</t>
        </is>
      </c>
      <c r="D1682" t="n">
        <v>1</v>
      </c>
      <c r="E1682" t="n">
        <v>0</v>
      </c>
      <c r="F1682">
        <f>HYPERLINK("https://www.reddit.com/r/GERD/comments/c5t6tv/anyone_heard_of_alcapkex_ph/")</f>
        <v/>
      </c>
      <c r="G1682" t="inlineStr">
        <is>
          <t>2019-06-26 11:04:07</t>
        </is>
      </c>
      <c r="H1682" t="inlineStr"/>
    </row>
    <row r="1683">
      <c r="A1683" t="inlineStr">
        <is>
          <t>c5t9no</t>
        </is>
      </c>
      <c r="B1683" t="inlineStr">
        <is>
          <t>Doctors Dont Know</t>
        </is>
      </c>
      <c r="C1683" t="inlineStr">
        <is>
          <t>I've been waking up with GERD like symptoms for about a year now, and the doctors (ENT/GI/Cardiologist) dont seem to know what's wrong with me. Got a throat biopsy + barium swallow + upper endoscopy done, and they told me that they found nothing wrong. Cardiologist said that most likely nothing was wrong with my heart and that I should see another gastroenterologist. I've got a burning pain right below my sternum (upper abdomen area) that starts when I wake up and lingers throughout the day (I also wake up with a bad taste in my mouth, particularly at the back of mouth). Tums/Zantac dont really seem to do anything. I've got another appt with a GI two months out. I feel at a loss.</t>
        </is>
      </c>
      <c r="D1683" t="n">
        <v>2</v>
      </c>
      <c r="E1683" t="n">
        <v>1</v>
      </c>
      <c r="F1683">
        <f>HYPERLINK("https://www.reddit.com/r/GERD/comments/c5t9no/doctors_dont_know/")</f>
        <v/>
      </c>
      <c r="G1683" t="inlineStr">
        <is>
          <t>2019-06-26 11:09:15</t>
        </is>
      </c>
      <c r="H1683" t="inlineStr"/>
    </row>
    <row r="1684">
      <c r="A1684" t="inlineStr">
        <is>
          <t>c5vphk</t>
        </is>
      </c>
      <c r="B1684" t="inlineStr">
        <is>
          <t>I'm not sure what to do anymore.</t>
        </is>
      </c>
      <c r="C1684" t="inlineStr">
        <is>
          <t>*Sorry for long post*
My stomach started feeling the weird acid on my stomach after I took a different migraine medicine (I usually take advil but it wasn't available at that time) november last year. I went to a family doctor and was prescribed with omeprazole and domperidon. Omeprazole worked for a few weeks until it didn't and the acid came back even after taking it so my family doctor asked me to take h. Pylori test and the result was  positive. I was prescribed with antibiotics for the h. Pylori and another type of domperidon for 2 weeks. I took the h. Pylori test again and it was still positive so I decided to see a gastro this time. My gastro replaced my antibiotics with rabeprazole because he doesn't want me to be drug resistant. Thing is, I recently discovered I have tuberculosis too so I'm currently taking another antibiotics for my treatment. I tried to see my gastro again to update him about my tb. Unfortunately, he wasn't around so I had to see the substitute gastro available at that time and asked about my new set of tb meds. She said my tb meds would trigger gastric problems. She told me I should stop being paranoid about everything and just only take rabreprazole when necessary and never be dependent on it. She said that doctors like her would never betray their patients and if I question their diagnosis, I can take endoscopy whenever I want (sarcastically). I came there to ask and inform about my tb treatment meds because I want to know what I should do with my gastric problem while treating my tb. I never said anything that would question my original gastro or her. All I got was sarcasm and felt like I was scolded for coming to see a gastro again. 
Now everytime I feel something weird, nauseous or acid in my stomach the "I'm just paranoid" that she said keeps coming back to my head. Now I'm having second thoughts whenever the thought of going to see my gastro again pops up. I have PCOS, TB and gastric problems or GERD. Am I really just paranoid like what that substitute gastro told me? I just don't want to be slammed with sarcasm or be scolded again when I see a gastro. 
I feel depressed and stressed about this already. What should I do?</t>
        </is>
      </c>
      <c r="D1684" t="n">
        <v>1</v>
      </c>
      <c r="E1684" t="n">
        <v>4</v>
      </c>
      <c r="F1684">
        <f>HYPERLINK("https://www.reddit.com/r/GERD/comments/c5vphk/im_not_sure_what_to_do_anymore/")</f>
        <v/>
      </c>
      <c r="G1684" t="inlineStr">
        <is>
          <t>2019-06-26 13:51:57</t>
        </is>
      </c>
      <c r="H1684" t="inlineStr"/>
    </row>
    <row r="1685">
      <c r="A1685" t="inlineStr">
        <is>
          <t>c5wna9</t>
        </is>
      </c>
      <c r="B1685" t="inlineStr">
        <is>
          <t>No impactful results from upper endoscopy, or ultrasound</t>
        </is>
      </c>
      <c r="C1685" t="inlineStr">
        <is>
          <t>So I've had gerd-like symptoms for about 5 months now, and got an endoscopy 3 weeks ago. From my results back it only noted that I have a lot of bowel gas (ultrasound), and mild irritation/redness (upper endoscopy), where they increased my omeprazole strength. I feel like shit, like many of you and have been following the gerd alleviating steps:
Eating extremely healthy/small portions and only drinking water
eating slow and taking time to digest my food, then go for a walk
not lying down 3 hours after I eat a meal
wedged my bed
Does anyone have any suggestions for me?</t>
        </is>
      </c>
      <c r="D1685" t="n">
        <v>1</v>
      </c>
      <c r="E1685" t="n">
        <v>6</v>
      </c>
      <c r="F1685">
        <f>HYPERLINK("https://www.reddit.com/r/GERD/comments/c5wna9/no_impactful_results_from_upper_endoscopy_or/")</f>
        <v/>
      </c>
      <c r="G1685" t="inlineStr">
        <is>
          <t>2019-06-26 14:56:58</t>
        </is>
      </c>
      <c r="H1685" t="inlineStr"/>
    </row>
    <row r="1686">
      <c r="A1686" t="inlineStr">
        <is>
          <t>c5x48j</t>
        </is>
      </c>
      <c r="B1686" t="inlineStr">
        <is>
          <t>36 year old male worried about symptoms</t>
        </is>
      </c>
      <c r="C1686" t="inlineStr">
        <is>
          <t>36 year old guy here, who towards the end of last year started to get gnawing and bloating in my stomach area. Went to doctors numerous times for blood and stool tests, all the while being prescribed the likes of peppermint tablets and nothing worked. Eventually sent for a breath test in December that tested positive for h.pylori. Went on week’s worth of antibiotics and 3 weeks of a PPI that seemed to clear it all up, only for symptoms to return a week or so after finishing the PPI – not the same as before, but dull aches under left ribs, going around the back and feeling tight. 
Went back to docs who gave me more PPIs for a month, only for same thing to happen again. Returned to docs who then put me on ranitidine instead and sent me for a retest of h.pylori that came back negative. During this time I’d also get days of a burning at back of throat and a thick feeling on tongue. 
Next time I went to doctors 5 weeks ago to complain about the symptoms he sent me for more blood tests (all good), stuck me on a repeat prescription for PPI (lansoprazole) and ordered an endoscopy (waiting on a date). 
For the first 3 weeks I was back on the PPI my symptoms seem to clear up, but then started to return slowly. 
What’s really freaking me out is that over the past week the feeling in the throat has come back and got steadily worse. It feels like the tongue at the back of throat feels thick and gloopy and I’m having to clear my throat to relieve it. It’s like that feeling where it feels like a cold is coming on, but it never arrives – if that makes sense?
Anyone had similar symptoms? Freaking out over here wondering what’s going on and how serious it is, especially since the symptoms are now appearing now I’m back on the PPI. Trying my best not to look my symptoms up online for fear of the worst.</t>
        </is>
      </c>
      <c r="D1686" t="n">
        <v>3</v>
      </c>
      <c r="E1686" t="n">
        <v>4</v>
      </c>
      <c r="F1686">
        <f>HYPERLINK("https://www.reddit.com/r/GERD/comments/c5x48j/36_year_old_male_worried_about_symptoms/")</f>
        <v/>
      </c>
      <c r="G1686" t="inlineStr">
        <is>
          <t>2019-06-26 15:29:57</t>
        </is>
      </c>
      <c r="H1686" t="inlineStr"/>
    </row>
    <row r="1687">
      <c r="A1687" t="inlineStr">
        <is>
          <t>c5x4b5</t>
        </is>
      </c>
      <c r="B1687" t="inlineStr">
        <is>
          <t>Do I have acid reflux?</t>
        </is>
      </c>
      <c r="C1687" t="inlineStr">
        <is>
          <t>For the past 3 years or so, I've been having uncomfortable symptoms in my throat. This involved feeling a lump/tightness in my throat, post nasal drip and throat clearing, occasional coughing, and discomfort when speaking. However, I've never experienced hoarseness, soreness or pain is very infrequent (unless I really strain my throat by coughing hard, screaming, etc.), and my symptoms don't feel any worse in the morning after lying on my back for hours. I've had one doctor tell me I have LPR recently, but when I first went to doctors earlier on they told me I have allergies. In regards to allergies, I don't sneeze often, and I don't get runny nose or itchy eyes. So it seems to me that I have either LPR or allergies, but I seem to be missing key symptoms of both of those conditions. Is there anything that might indicate which one is more likely?</t>
        </is>
      </c>
      <c r="D1687" t="n">
        <v>2</v>
      </c>
      <c r="E1687" t="n">
        <v>1</v>
      </c>
      <c r="F1687">
        <f>HYPERLINK("https://www.reddit.com/r/GERD/comments/c5x4b5/do_i_have_acid_reflux/")</f>
        <v/>
      </c>
      <c r="G1687" t="inlineStr">
        <is>
          <t>2019-06-26 15:30:05</t>
        </is>
      </c>
      <c r="H1687" t="inlineStr"/>
    </row>
    <row r="1688">
      <c r="A1688" t="inlineStr">
        <is>
          <t>c5xm3m</t>
        </is>
      </c>
      <c r="B1688" t="inlineStr">
        <is>
          <t>Kefir is changing the game for me ! Feeling much better.</t>
        </is>
      </c>
      <c r="C1688" t="inlineStr">
        <is>
          <t>I have been drinking two cups of plain unsweetened 1% fat milk kefir ("LifeWay"  brand) daily since the last couple of weeks and I can really feel a difference right now. The probiotics in kefir seemed to have calmed my digestive system and GERD down atleast for now. 
For the first 2-3 days after I started drinking Kefir, I had sore throat probably because it contains Streptococcus strains so it took me a while to get used to it. But it really started working it's magic a few days after I started taking it. I think I really needed some good bacteria in my gut.
In the last couple of days , I even experimented having some of my trigger foods followed by kefir but the acid reflux hasn't returned (fingers crossed). 
I am also lactose intolerant so I was worried about consuming kefir since the LifeWay brand is 99% lactose free but still has a little bit of lactose in it. But it hasn't bothered me. 
Eventually I want to start making kefir at home instead of relying on these commercial brands.</t>
        </is>
      </c>
      <c r="D1688" t="n">
        <v>20</v>
      </c>
      <c r="E1688" t="n">
        <v>12</v>
      </c>
      <c r="F1688">
        <f>HYPERLINK("https://www.reddit.com/r/GERD/comments/c5xm3m/kefir_is_changing_the_game_for_me_feeling_much/")</f>
        <v/>
      </c>
      <c r="G1688" t="inlineStr">
        <is>
          <t>2019-06-26 16:06:57</t>
        </is>
      </c>
      <c r="H1688" t="inlineStr"/>
    </row>
    <row r="1689">
      <c r="A1689" t="inlineStr">
        <is>
          <t>c5y531</t>
        </is>
      </c>
      <c r="B1689" t="inlineStr">
        <is>
          <t>natural remedies?</t>
        </is>
      </c>
      <c r="C1689" t="inlineStr">
        <is>
          <t>Anyone has any natural remedies which saved them from Gerd?</t>
        </is>
      </c>
      <c r="D1689" t="n">
        <v>1</v>
      </c>
      <c r="E1689" t="n">
        <v>5</v>
      </c>
      <c r="F1689">
        <f>HYPERLINK("https://www.reddit.com/r/GERD/comments/c5y531/natural_remedies/")</f>
        <v/>
      </c>
      <c r="G1689" t="inlineStr">
        <is>
          <t>2019-06-26 16:47:57</t>
        </is>
      </c>
      <c r="H1689" t="inlineStr"/>
    </row>
    <row r="1690">
      <c r="A1690" t="inlineStr">
        <is>
          <t>c5ypeu</t>
        </is>
      </c>
      <c r="B1690" t="inlineStr">
        <is>
          <t>Could this be GERD?</t>
        </is>
      </c>
      <c r="C1690" t="inlineStr">
        <is>
          <t>For a couple of months I’ve been getting an extremely uncomfortable/bordering on painful sensation in the middle of my chest that also appears in my throat/jaw area. It feels like I’ve swallowed too much food and it got stuck. It also feels like a pressure/squeezing sensation. Nothing eases it.  I don’t get any burning/acidic sensation, weird taste, or burps. No particular food or drink seems to ease or aggravate it either. 
I went to my GP who ruled out any serious heart issues (ECG and blood test) and prescribed me 40mg of omeprazole. I’ve also cut out alcohol and caffeine of my own volition. 
That helped for a couple of weeks but then I got the flu and didn’t take it for a few days. Now it’s back with a vengeance and won’t ease. My GP wants to keep me on the omeprazole and is insisting its muscular, but I think it’s gone on too long to be that and I’m becoming concerned. 
Does this sound like GERD or something else. I can’t see my doctor for a follow up for 3 weeks.</t>
        </is>
      </c>
      <c r="D1690" t="n">
        <v>1</v>
      </c>
      <c r="E1690" t="n">
        <v>2</v>
      </c>
      <c r="F1690">
        <f>HYPERLINK("https://www.reddit.com/r/GERD/comments/c5ypeu/could_this_be_gerd/")</f>
        <v/>
      </c>
      <c r="G1690" t="inlineStr">
        <is>
          <t>2019-06-26 17:42:08</t>
        </is>
      </c>
      <c r="H1690" t="inlineStr"/>
    </row>
    <row r="1691">
      <c r="A1691" t="inlineStr">
        <is>
          <t>c5yrj3</t>
        </is>
      </c>
      <c r="B1691" t="inlineStr">
        <is>
          <t>The need for specialists on /r/GERD</t>
        </is>
      </c>
      <c r="C1691" t="inlineStr">
        <is>
          <t>Hello,
I'm D. I've been lurking this sub since I was googling my symptoms and accidentally stumbled upon it. It calmed me down. It made me understand what I was having (a gastritis I believed). I went to the GI specialist and he prescribed some stool samples and an endoscopy - the stool samples came back negative and the endoscopy showed a small antral gastritis. I got a treatment and didn't give a shit about the diet. While doing that, I kept reading the stuff here and from /r/LPR . It made me more anxious, more prone to believe I'll have this for life and all that stuff. Nevertheless, due to work stress, sleepless nights, a bad diet and 40mg Nexium, my symptoms got worse actually. Now I'm on pantoprazole and it's getting better.
&amp;amp;#x200B;
I saw a shitload of informative stuff here and a lot of stories about doctors which shouldn't be allowed to practice anymore. I understood, as most of you did before me, that the GERD/LPR and Acid Reflux general thing is a 21st century obsession which cannot be put to rest because it's diagnosed and treated like it's 2000. I appreciate the research some of you do and I'm sure other doctors who are not members here would appreciate it too.
&amp;amp;#x200B;
But, that's what's missing - we need GIs and other specialists here. We are sharing a ton of valuable information every curious doctor or pharma consultant would like to read and comment about: from personal stories, to reflux life hacks and new promising research. But most of us ain't doctors or specialists. We need doctors and specialists to post and comment with us on this sub. We need adult supervision. I can swear I started to mimic the symptoms of some of you after reading about them so often and without much hope, thanks to my new rising anxiety levels. 
&amp;amp;#x200B;
So, please, if some of you know or have doctors really interested in this phenomenon called acid reflux, please convince them to join this sub. It's beneficial for both sides.</t>
        </is>
      </c>
      <c r="D1691" t="n">
        <v>4</v>
      </c>
      <c r="E1691" t="n">
        <v>2</v>
      </c>
      <c r="F1691">
        <f>HYPERLINK("https://www.reddit.com/r/GERD/comments/c5yrj3/the_need_for_specialists_on_rgerd/")</f>
        <v/>
      </c>
      <c r="G1691" t="inlineStr">
        <is>
          <t>2019-06-26 17:47:56</t>
        </is>
      </c>
      <c r="H1691" t="inlineStr"/>
    </row>
    <row r="1692">
      <c r="A1692" t="inlineStr">
        <is>
          <t>c5yv9a</t>
        </is>
      </c>
      <c r="B1692" t="inlineStr">
        <is>
          <t>Any advice would be appreciated....</t>
        </is>
      </c>
      <c r="C1692" t="inlineStr">
        <is>
          <t>Recently diagnosed with acid reflux with possible GERD. Went to an ENT recently who looked at my throat with camera due to my throat pain and saw inflammation right at the opening from reflux splash. I only ever have a cough and clearing of throat, never feel anything come up. No pain in stomach or chest. Either way, my throat feels sore and hurts. Gastro felt around, looked at my history and recent blood test and said the same so advised to change diet, take Prilosec, and lose weight then come back if it gets worse.
I’ve cut out all the foods that can trigger already and plan on losing weight. I just started Prilosec yet am still feeling some symptoms during the day. Can I double up? My gastro didn’t say but my ENT said do twice a day. Can I take tums or Zantac with it? My throat hurts when swallowing anything from the inflammation. It was getting better yesterday then last night I had a sudden surge of reflux after a plain meal that possibly aggravated it again.
Any advise would be appreciated.</t>
        </is>
      </c>
      <c r="D1692" t="n">
        <v>2</v>
      </c>
      <c r="E1692" t="n">
        <v>2</v>
      </c>
      <c r="F1692">
        <f>HYPERLINK("https://www.reddit.com/r/GERD/comments/c5yv9a/any_advice_would_be_appreciated/")</f>
        <v/>
      </c>
      <c r="G1692" t="inlineStr">
        <is>
          <t>2019-06-26 17:58:16</t>
        </is>
      </c>
      <c r="H1692" t="inlineStr"/>
    </row>
    <row r="1693">
      <c r="A1693" t="inlineStr">
        <is>
          <t>c5yxpv</t>
        </is>
      </c>
      <c r="B1693" t="inlineStr">
        <is>
          <t>Is this Esophagitis?</t>
        </is>
      </c>
      <c r="C1693" t="inlineStr">
        <is>
          <t>For the past four days I’ve had intense pain in the middle of my chest right bellow my pectorals whenever I eat, drink, or breath in deeply. The pain makes me feel nauseous so I have not been eating or drinking much for the past couple of days. My stomach also makes weird noises whenever I do eat and feel this pain. I’ve seen a doc who said it might be heartburn but me and my father do not think it is so we are looking to see a specialist. I was just wondering if this sounds like Esophagitis?</t>
        </is>
      </c>
      <c r="D1693" t="n">
        <v>3</v>
      </c>
      <c r="E1693" t="n">
        <v>3</v>
      </c>
      <c r="F1693">
        <f>HYPERLINK("https://www.reddit.com/r/GERD/comments/c5yxpv/is_this_esophagitis/")</f>
        <v/>
      </c>
      <c r="G1693" t="inlineStr">
        <is>
          <t>2019-06-26 18:04:48</t>
        </is>
      </c>
      <c r="H1693" t="inlineStr"/>
    </row>
    <row r="1694">
      <c r="A1694" t="inlineStr">
        <is>
          <t>c5z787</t>
        </is>
      </c>
      <c r="B1694" t="inlineStr">
        <is>
          <t>PH probe test questions</t>
        </is>
      </c>
      <c r="C1694" t="inlineStr">
        <is>
          <t>I had some questions about my pH probe experience and beyond. I had a pH probe 24 hr test done recently and my pH throughout the day fluctuated between 6.8 - 8.0, with the average being about 7.5ish or so. I had some spicy chicken and vegetables stir fry for lunch and my pH was about 6.5 - 7.4 for that meal. Then to really test it for dinner, I had some greasy fast food, coffee, a big glass of orange juice, and some sips of red wine. This lowered my pH significantly to about 5 or so, with fluctuations between 2.0 (when sipping the wine and OJ) - 6.0 during the time I was eating those things and directly after, then it went back up to normal, except a couple times when I burped or gagged a bit because of the pH probe (I have been a gaggy person my whole life, I threw up when they inserted the probe initially). 
I have had constant chest pain for about a year, but it is not the burning most people with GERD or acid reflux describe, and have had enlarged &amp;amp; painful lymph nodes in my neck. I have tried nexium and pepcid to no avail, and generally food or drink doesn't make anything hurt less or more. I had a camera inserted to look at my esophagus and one Dr said it looked fine, another said it looked slightly irritated. They ordered the pH test to rule out heartburn, but I (and another one of my doctors) is not convinced heartburn/GERD is the issue at all, even if I do have it, because of the nature of my other symptoms (meaning even if I have heartburn I think I have some other problems as well causing the issues in my neck). If I could get any advice or thoughts that would be awesome; from asking the nurse that inserted my probe and online research it seemed my pH was normal throughout the day and to me it seemed fluctuations when you eat or drink acidic things would be normal? A scientific research paper on GERD said that if you drink acidic juices and wine that a pH of 4 could happen it seemed? Thank you so much for reading. Any and all advice welcome.</t>
        </is>
      </c>
      <c r="D1694" t="n">
        <v>2</v>
      </c>
      <c r="E1694" t="n">
        <v>0</v>
      </c>
      <c r="F1694">
        <f>HYPERLINK("https://www.reddit.com/r/GERD/comments/c5z787/ph_probe_test_questions/")</f>
        <v/>
      </c>
      <c r="G1694" t="inlineStr">
        <is>
          <t>2019-06-26 18:31:25</t>
        </is>
      </c>
      <c r="H1694" t="inlineStr"/>
    </row>
    <row r="1695">
      <c r="A1695" t="inlineStr">
        <is>
          <t>c60tkm</t>
        </is>
      </c>
      <c r="B1695" t="inlineStr">
        <is>
          <t>A little worried about hiatal hernia surgery.</t>
        </is>
      </c>
      <c r="C1695" t="inlineStr">
        <is>
          <t>Hey all,
I have been experiencing GI issues such as indigestion, heartburn, and upper abdominal pain since June 4th. I have seen my doctor about this and her diagnosis is gastritis, probably brought on by an excessive amount of acidic beverages (I would drink like 2 - 3 energy drinks per day, multiple diet sodas, and multiple cups of coffee, and then right before this all started I also was drinking beer every night.)
However I also am a fan of lifting weights, and tend to go fairly heavy (about 5 reps per set). On June 4th, the day this all started, I was doing an exercise called an overhead press with about 90 lbs. I'm female and around 180lbs so this was a fairly heavy weight for me. I didn't feel a POP or a sudden change, but later that evening after my workout I started getting bad GI symptoms.
So while my doctor thinks this is gastritis, I have a gut feeling (pardon the pun) that it's a hiatal hernia from lifting, and I am going to need surgery. My doctor is forcing me to wait six weeks before doing an endoscopy, because she wants to see if the PPIs and H2 blockers she prescribed me will fix the issue. This is of course impossible because the issue is that my stomach is in my chest cavity.
It's been about 10 days of the PPI and H2 blocker therapy, and I feel somewhat better. I still have terrible indigestion and heartburn, which is to be expected considering my stomach is getting pinched by my diaphragm all day.
So the way this is going to play out is that I'm going to wait about four more weeks, still feel like shit, and go back to see her. She'll order the endoscopy and they'll find the hernia, and then it'll probably be a referral to a GI doc for surgery.
I've heard a lot of unpleasant things about Nissen, but I also feel like garbage and would do just about anything to feel better. My biggest concern about the surgery is the physical limitations. I have heard you can never lift anything over 50 lbs again. Obviously working out isn't going to be possible, but I'm actually more worried about my job. I work in aviation and I routinely have to move luggage weighing 50, 60, even 80 lbs. My jobs is where my insurance for the upcoming surgery comes from, so it would be kind of ironic if I ended up getting the surgery and then losing my job because I can't perform my essential job functions.
Anyway I guess I'm just pretty nervous and concerned for the future. I'm glad that a surgery exists that can fix this awful problem, but it's a real bummer the kinds of limitations it's going to put on me for the rest of my life.
By now you might be saying "wait, how do you know it's a hernia?". I just do. When bad shit happens to me, it ends up being the worst thing. If this were simple gastritis I would feel completely better after 10 days of PPIs.
In the spirit of being thorough, though, here's a list of what has been done diagnostically:
* Stool sample for H. Pylori (negative)
* Upper abdominal x-ray (without constrast, so you basically can't see anything anyway): Normal
* Blood tests (twice): All normal
* Urine test: Normal
What has *not* been done:
* Barium swallow
* Upper endoscopy
When we get to the end of this six weeks I'll be getting those done. (I have to admit it's a little tempting to rub it in my doctor's face when they find the obvious hernia that I have. But that wouldn't accomplish anything).
Here's a list of symptoms that I had but are now gone/better:
* Loss of appetite (gone)
* Feel full very quickly (gone)
* Tasting food several hours after eating it (gone)
And the symptoms I *do* still have:
* Indigestion 
*Heartburn/reflux 
*Upper abdominal pain 
I'm trying to stay calm here but the fact that I'm probably going to be out of a job soon due to a medical condition that requires a nasty surgery and impairs me for life is definitely messing with my head.
Can anyone offer *any* advice at all? I feel like my whole world has been turned upside down and it's really getting to me.</t>
        </is>
      </c>
      <c r="D1695" t="n">
        <v>1</v>
      </c>
      <c r="E1695" t="n">
        <v>30</v>
      </c>
      <c r="F1695">
        <f>HYPERLINK("https://www.reddit.com/r/GERD/comments/c60tkm/a_little_worried_about_hiatal_hernia_surgery/")</f>
        <v/>
      </c>
      <c r="G1695" t="inlineStr">
        <is>
          <t>2019-06-26 21:10:41</t>
        </is>
      </c>
      <c r="H1695" t="inlineStr"/>
    </row>
    <row r="1696">
      <c r="A1696" t="inlineStr">
        <is>
          <t>c61hvm</t>
        </is>
      </c>
      <c r="B1696" t="inlineStr">
        <is>
          <t>Very strange unconventional way of solving acid reflux. I was skeptical at first but it seemed to help me, I urge you guys to try it and report back. Takes 4 minutes of your time</t>
        </is>
      </c>
      <c r="C1696" t="inlineStr">
        <is>
          <t>https://www.youtube.com/watch?v=dhFCCx8zkVY
Follow that video. I was feeling an acid taste and it actually relieved near instantly for me, will keep doing this every day as sort of an experiment. The youtube comments claim it works but they should always be taken with a pinch of salt.</t>
        </is>
      </c>
      <c r="D1696" t="n">
        <v>6</v>
      </c>
      <c r="E1696" t="n">
        <v>8</v>
      </c>
      <c r="F1696">
        <f>HYPERLINK("https://www.reddit.com/r/GERD/comments/c61hvm/very_strange_unconventional_way_of_solving_acid/")</f>
        <v/>
      </c>
      <c r="G1696" t="inlineStr">
        <is>
          <t>2019-06-26 22:23:53</t>
        </is>
      </c>
      <c r="H1696" t="inlineStr"/>
    </row>
    <row r="1697">
      <c r="A1697" t="inlineStr">
        <is>
          <t>c61ofp</t>
        </is>
      </c>
      <c r="B1697" t="inlineStr">
        <is>
          <t>Does pH water work for you?</t>
        </is>
      </c>
      <c r="C1697" t="inlineStr">
        <is>
          <t>[https://medtally.com/condition/acid-reflux-gerd/treatments/alkaline-water](https://medtally.com/condition/acid-reflux-gerd/treatments/alkaline-water)
According to this, it seems like this study suggests it could potentially. Before I start buying more expensive pH water, anyone tried drinking pH water for a prolonged period?</t>
        </is>
      </c>
      <c r="D1697" t="n">
        <v>1</v>
      </c>
      <c r="E1697" t="n">
        <v>1</v>
      </c>
      <c r="F1697">
        <f>HYPERLINK("https://www.reddit.com/r/GERD/comments/c61ofp/does_ph_water_work_for_you/")</f>
        <v/>
      </c>
      <c r="G1697" t="inlineStr">
        <is>
          <t>2019-06-26 22:45:11</t>
        </is>
      </c>
      <c r="H1697" t="inlineStr"/>
    </row>
    <row r="1698">
      <c r="A1698" t="inlineStr">
        <is>
          <t>c628uq</t>
        </is>
      </c>
      <c r="B1698" t="inlineStr">
        <is>
          <t>Resource: Daily updates of GERD clinical trials &amp;amp; top research articles</t>
        </is>
      </c>
      <c r="C1698" t="inlineStr">
        <is>
          <t>Hey [/r/GERD](https://www.reddit.com/r/GERD/),
As someone who suffered from a chronic health condition, I wanted a way to keep up to date with the latest treatments, research, and clinical trials. It was really hard to do this manually so I built a web app to help.
I'm hoping it can help GERD patients as well.
[https://medtally.com/condition/acid-reflux](https://medtally.com/condition/acid-reflux)
Please feel free to PM me if you have any feedback on how I can make it better. I will also answer any questions in the comments about how this works.
**Mods:** I don't make any money from this. There are no ads and no affiliate products. It's just something I built to help people with health issues, especially those with chronic conditions.</t>
        </is>
      </c>
      <c r="D1698" t="n">
        <v>16</v>
      </c>
      <c r="E1698" t="n">
        <v>2</v>
      </c>
      <c r="F1698">
        <f>HYPERLINK("https://www.reddit.com/r/GERD/comments/c628uq/resource_daily_updates_of_gerd_clinical_trials/")</f>
        <v/>
      </c>
      <c r="G1698" t="inlineStr">
        <is>
          <t>2019-06-26 23:53:10</t>
        </is>
      </c>
      <c r="H1698" t="inlineStr"/>
    </row>
    <row r="1699">
      <c r="A1699" t="inlineStr">
        <is>
          <t>c638px</t>
        </is>
      </c>
      <c r="B1699" t="inlineStr">
        <is>
          <t>Night time reflux - need help!</t>
        </is>
      </c>
      <c r="C1699" t="inlineStr">
        <is>
          <t>I am taking 20mg nexium before dinner and eating pretty clean (healthy Rice + grilled chicken beefs) and commonly I wake up in the middle of the night pretty nauseous. However, after drinking some sparkling water and burping I get a lot better and after 1 hour I can sleep again.
Need help to identify the cause please!</t>
        </is>
      </c>
      <c r="D1699" t="n">
        <v>1</v>
      </c>
      <c r="E1699" t="n">
        <v>9</v>
      </c>
      <c r="F1699">
        <f>HYPERLINK("https://www.reddit.com/r/GERD/comments/c638px/night_time_reflux_need_help/")</f>
        <v/>
      </c>
      <c r="G1699" t="inlineStr">
        <is>
          <t>2019-06-27 02:05:53</t>
        </is>
      </c>
      <c r="H1699" t="inlineStr"/>
    </row>
    <row r="1700">
      <c r="A1700" t="inlineStr">
        <is>
          <t>c65utf</t>
        </is>
      </c>
      <c r="B1700" t="inlineStr">
        <is>
          <t>Is a trip to the gastro worth it?</t>
        </is>
      </c>
      <c r="C1700" t="inlineStr">
        <is>
          <t>I've been diagnosed with reflux by the ENT which prescribed Nexium for me and I think it helped while I was taking it.
I believed sugar was a trigger so I cut as much as I could and today another ent saw signs of reflux in my throat.
Should I visit a gastro before starting Nexium again?</t>
        </is>
      </c>
      <c r="D1700" t="n">
        <v>2</v>
      </c>
      <c r="E1700" t="n">
        <v>5</v>
      </c>
      <c r="F1700">
        <f>HYPERLINK("https://www.reddit.com/r/GERD/comments/c65utf/is_a_trip_to_the_gastro_worth_it/")</f>
        <v/>
      </c>
      <c r="G1700" t="inlineStr">
        <is>
          <t>2019-06-27 06:59:39</t>
        </is>
      </c>
      <c r="H1700" t="inlineStr"/>
    </row>
    <row r="1701">
      <c r="A1701" t="inlineStr">
        <is>
          <t>c66jz4</t>
        </is>
      </c>
      <c r="B1701" t="inlineStr">
        <is>
          <t>Low or high stomach acid?</t>
        </is>
      </c>
      <c r="C1701" t="inlineStr">
        <is>
          <t>Hello all. I used to be a heavy drinker and had a terrible poor diet for years. One day after a long night of partying, I noticed pain in my stomach along with constant burping and nausea as well heartburn. Soon I was able figure out what was kinda going on, quit drinking, changed my diet up, didn't touch anything acidic or anything remotely spicy or sugary, and my symptoms were manageable with PPI's. I had been on PPI's for years prior. Well here I am a year later and as long I stick my certain diet of eating pretty much the same foods over and over.  My symptoms are manageable.had a Endoscopy in Feb and he said I had "Mild errosive in stomach" but he felt like that's not what's causing my symptoms. And he pretty much couldn't do anything else. At first I thought it was gasteritis, but I guess not. Any pill makes me feel sick if I take it without a full meal to go a long with it. I also only drink water as a beverage. Because any soda makes me really sick, or anything like acidic like I mentioned. I just wanna be able to enjoy junk food again and sweets one day. Has anyone ever encountered similar symptoms? Maybe someone has some insight. I'm blessed to be able to have my symptoms under control for the most part, but I miss being able to eat my old favorite foods lol. Like pizza, tacos, etc. Sorry for the long post it's all over the place. Thanks in advance. Oh also, I take DGL licorice, pepzin GI, and a really good probiatic once a day. And the probiatic helps a good bit I can tell.</t>
        </is>
      </c>
      <c r="D1701" t="n">
        <v>8</v>
      </c>
      <c r="E1701" t="n">
        <v>10</v>
      </c>
      <c r="F1701">
        <f>HYPERLINK("https://www.reddit.com/r/GERD/comments/c66jz4/low_or_high_stomach_acid/")</f>
        <v/>
      </c>
      <c r="G1701" t="inlineStr">
        <is>
          <t>2019-06-27 08:00:28</t>
        </is>
      </c>
      <c r="H1701" t="inlineStr"/>
    </row>
    <row r="1702">
      <c r="A1702" t="inlineStr">
        <is>
          <t>c67e7v</t>
        </is>
      </c>
      <c r="B1702" t="inlineStr">
        <is>
          <t>anyone else experience this?</t>
        </is>
      </c>
      <c r="C1702" t="inlineStr">
        <is>
          <t>So me and my sister both experience this (along with one other anecdotal case) 
So PPI’s (a common treatment for indigestion/gerd) makes us CRAZY 
When I say crazy, I’m talking like anxious as balls for 0 reason and relief only comes with stopping use.
When it first happened to my sister I thought my mom was crazy for thinking it was the Prevacid (my sister does have some anxiety issues, but she was off the wall) 
Then I was put on Prevacid for acute gastritis and the entire week I was CONVINCED that my school was going to get shot up. Now I have never had real anxiety in my life, I’m a generally very cool and collected person. My mom forced me off it, 24 hours later I was cool as a cucumber once again.
Fast forward to now, in the past I never had an issue with Prilosec OTC. But this week I have been on it due to eating gluten over the weekend (highly intolerant) and it messed my stomach up causing horrible gerd so I went back on it.
I am a BALL of nerves right now. I have an LSAT coming up and I’m doing very well in my practice but I’m so freaked out I can’t even study. After the third day of not understanding what was going on I realized I’m on a PPI. Stopping tomorrow (took it 10 minutes before I realized what was going on, bc I connected that I woke up each morning feeling much better with the anxiety popping up soon after)
Anyone else ever notice this? Or have an explanation?
TL:DR- Me and my sister become basketcases of anxiety when we take PPI’s and it seems like it’s not a known side effect</t>
        </is>
      </c>
      <c r="D1702" t="n">
        <v>1</v>
      </c>
      <c r="E1702" t="n">
        <v>1</v>
      </c>
      <c r="F1702">
        <f>HYPERLINK("https://www.reddit.com/r/GERD/comments/c67e7v/anyone_else_experience_this/")</f>
        <v/>
      </c>
      <c r="G1702" t="inlineStr">
        <is>
          <t>2019-06-27 09:09:34</t>
        </is>
      </c>
      <c r="H1702" t="inlineStr"/>
    </row>
    <row r="1703">
      <c r="A1703" t="inlineStr">
        <is>
          <t>c67eah</t>
        </is>
      </c>
      <c r="B1703" t="inlineStr">
        <is>
          <t>H. Pylori - Does it cause too high or too low acid levels?</t>
        </is>
      </c>
      <c r="C1703" t="inlineStr">
        <is>
          <t>I've read so many texts about both things that I can't even think of what I have.</t>
        </is>
      </c>
      <c r="D1703" t="n">
        <v>1</v>
      </c>
      <c r="E1703" t="n">
        <v>1</v>
      </c>
      <c r="F1703">
        <f>HYPERLINK("https://www.reddit.com/r/GERD/comments/c67eah/h_pylori_does_it_cause_too_high_or_too_low_acid/")</f>
        <v/>
      </c>
      <c r="G1703" t="inlineStr">
        <is>
          <t>2019-06-27 09:09:42</t>
        </is>
      </c>
      <c r="H1703" t="inlineStr"/>
    </row>
    <row r="1704">
      <c r="A1704" t="inlineStr">
        <is>
          <t>c68k5x</t>
        </is>
      </c>
      <c r="B1704" t="inlineStr">
        <is>
          <t>Ranitidine 300mg</t>
        </is>
      </c>
      <c r="C1704" t="inlineStr">
        <is>
          <t>What is everyone's experience with Ranitidine 300mg?
I've been experiencing what I thought was a hernia since November, it has affected my ability to breathe, smell and swallow. This would be my first time taking a medication for it. But I'm freaking out because I have bad anxiety over taking medication. Mainly over getting sick. Eventhough I read the leaflet 100 times and it says that it is rare, and is actually supposed to help that. So, how was Zantac 300mg for you guys?</t>
        </is>
      </c>
      <c r="D1704" t="n">
        <v>1</v>
      </c>
      <c r="E1704" t="n">
        <v>10</v>
      </c>
      <c r="F1704">
        <f>HYPERLINK("https://www.reddit.com/r/GERD/comments/c68k5x/ranitidine_300mg/")</f>
        <v/>
      </c>
      <c r="G1704" t="inlineStr">
        <is>
          <t>2019-06-27 10:44:30</t>
        </is>
      </c>
      <c r="H1704" t="inlineStr"/>
    </row>
    <row r="1705">
      <c r="A1705" t="inlineStr">
        <is>
          <t>c68nb1</t>
        </is>
      </c>
      <c r="B1705" t="inlineStr">
        <is>
          <t>If you have tried everything with no results try Gabapentin</t>
        </is>
      </c>
      <c r="C1705" t="inlineStr">
        <is>
          <t>If you have GERD or LPR that is treatment resistant I'd look into low dose Gabapentin. I tried pretty much every type of OTC and Rx PPI, H2 blocker and nothing really changed.
I did life style changes, went to a plant-based diet, quit caffeine started intermittent fasting. It did help a little but symptoms like post-nasal drip, bad breath and burning mouth still persisted.
I saw someone post about gabapentin and reached out to my doctor. I take 100mg 3 times a day (low dose, not any noticeable side effects) and my symptoms so far seem to have gone away.</t>
        </is>
      </c>
      <c r="D1705" t="n">
        <v>3</v>
      </c>
      <c r="E1705" t="n">
        <v>14</v>
      </c>
      <c r="F1705">
        <f>HYPERLINK("https://www.reddit.com/r/GERD/comments/c68nb1/if_you_have_tried_everything_with_no_results_try/")</f>
        <v/>
      </c>
      <c r="G1705" t="inlineStr">
        <is>
          <t>2019-06-27 10:51:54</t>
        </is>
      </c>
      <c r="H1705" t="inlineStr"/>
    </row>
    <row r="1706">
      <c r="A1706" t="inlineStr">
        <is>
          <t>c6988e</t>
        </is>
      </c>
      <c r="B1706" t="inlineStr">
        <is>
          <t>Endoscopy results</t>
        </is>
      </c>
      <c r="C1706" t="inlineStr">
        <is>
          <t>Had results today is a grade 2 esophagitis bad?
Some gastritis aswell was found. Seriously thinking of surgery but worried about the nissen s side effects.</t>
        </is>
      </c>
      <c r="D1706" t="n">
        <v>2</v>
      </c>
      <c r="E1706" t="n">
        <v>8</v>
      </c>
      <c r="F1706">
        <f>HYPERLINK("https://www.reddit.com/r/GERD/comments/c6988e/endoscopy_results/")</f>
        <v/>
      </c>
      <c r="G1706" t="inlineStr">
        <is>
          <t>2019-06-27 11:39:22</t>
        </is>
      </c>
      <c r="H1706" t="inlineStr"/>
    </row>
    <row r="1707">
      <c r="A1707" t="inlineStr">
        <is>
          <t>c69daz</t>
        </is>
      </c>
      <c r="B1707" t="inlineStr">
        <is>
          <t>Salad Dressings</t>
        </is>
      </c>
      <c r="C1707" t="inlineStr">
        <is>
          <t>What are some salad dressings that you all have had success with? Oil-based dressings always seem to make my GERD/LPR symptoms worse. My fear is that my other go-to dressings, 1000 island and ranch, may also be giving me reflux. Are there any friendly store-bought dressings out there? What about home-made recipes? I feel like I am running out of options for my daily salads.</t>
        </is>
      </c>
      <c r="D1707" t="n">
        <v>7</v>
      </c>
      <c r="E1707" t="n">
        <v>6</v>
      </c>
      <c r="F1707">
        <f>HYPERLINK("https://www.reddit.com/r/GERD/comments/c69daz/salad_dressings/")</f>
        <v/>
      </c>
      <c r="G1707" t="inlineStr">
        <is>
          <t>2019-06-27 11:50:56</t>
        </is>
      </c>
      <c r="H1707" t="inlineStr"/>
    </row>
    <row r="1708">
      <c r="A1708" t="inlineStr">
        <is>
          <t>c6b5f7</t>
        </is>
      </c>
      <c r="B1708" t="inlineStr">
        <is>
          <t>Billing (CPT) codes for a upper GI endoscopy.</t>
        </is>
      </c>
      <c r="C1708" t="inlineStr">
        <is>
          <t>Anyone had an upper GI endoscopy recently? Care to share the CPT codes associated with it? I'd like to confirm approx costs with my insurance.
So far I gather there is codes 43239 (for physician and facility charges) and 00740 (for anesthesia). I am missing the code for pathology.
What were the codes associated with your endoscopy?</t>
        </is>
      </c>
      <c r="D1708" t="n">
        <v>2</v>
      </c>
      <c r="E1708" t="n">
        <v>13</v>
      </c>
      <c r="F1708">
        <f>HYPERLINK("https://www.reddit.com/r/GERD/comments/c6b5f7/billing_cpt_codes_for_a_upper_gi_endoscopy/")</f>
        <v/>
      </c>
      <c r="G1708" t="inlineStr">
        <is>
          <t>2019-06-27 14:14:35</t>
        </is>
      </c>
      <c r="H1708" t="inlineStr"/>
    </row>
    <row r="1709">
      <c r="A1709" t="inlineStr">
        <is>
          <t>c6bi65</t>
        </is>
      </c>
      <c r="B1709" t="inlineStr">
        <is>
          <t>I eat comfort food because I'm miserable, and I'm miserable because I eat comfort food.</t>
        </is>
      </c>
      <c r="C1709" t="inlineStr">
        <is>
          <t>I feel like the Fat Bastard of GERD. Anybody else?</t>
        </is>
      </c>
      <c r="D1709" t="n">
        <v>28</v>
      </c>
      <c r="E1709" t="n">
        <v>20</v>
      </c>
      <c r="F1709">
        <f>HYPERLINK("https://www.reddit.com/r/GERD/comments/c6bi65/i_eat_comfort_food_because_im_miserable_and_im/")</f>
        <v/>
      </c>
      <c r="G1709" t="inlineStr">
        <is>
          <t>2019-06-27 14:44:18</t>
        </is>
      </c>
      <c r="H1709" t="inlineStr"/>
    </row>
    <row r="1710">
      <c r="A1710" t="inlineStr">
        <is>
          <t>c6bp0f</t>
        </is>
      </c>
      <c r="B1710" t="inlineStr">
        <is>
          <t>How do I stop worrying?</t>
        </is>
      </c>
      <c r="C1710" t="inlineStr">
        <is>
          <t>I think about killing myself daily because of my health problems and anxiety. It's wearing me down really bad and I feel miserable. I started getting heartburn and nausea again in April of 2019. I had constant nausea back in 2015 - 2016 and got gastroscopied in October of 2016. Everything came back clear, no coeliac, LES working correctly, no hiatal hernia, not even minor inflammation. 
My symptoms went away after this because I knew everything is alright but they came back in April of this year. I went to the docs a month ago and got prescribed pantoprazole 40 mg and I am still taking them because I don't really feel the burn when I take them. I still feel miserable because I can't stop thinking about that this will be my life forever, what if I start vomiting because of my gerd (I have emetophobia because of a traumatic event I had when I was a kid.), what if its something serious, all these what if scenarios are driving me crazy. 
I had rough time growing up because of bullying and I have depression and anxiety because of it. Finally when I thought I was able to start enjoying and living life this heartburn, bloating and burping started happening. I regret it that I wasn't happy when I was symptom free. Now my day is only waiting for the night to come so I can go to sleep so I don't have to deal with my problems. I hate waking up. I am sorry if this post seems like I am whining about this stuff, I know you people have it way worse than I do and it always could be worse but I feel really bad about all this.
&amp;amp;#x200B;
I got few more questions about GERD too: Is it possible for me (a 19 y/o Male) to develop a hiatal hernia in two years when I haven't been lifting anything that heavy or haven't gained a lot of weight? I didn't have it back in October of 2016. I don't have anyone with reflux in my family or relatives either. I don't really want to get gastroscopied again, even the doc said that I shouldn't have anything serious going down there because I got scopied only two years ago. I even doubt if this is anything real or is my hypochondria and stress giving me all these symptoms.</t>
        </is>
      </c>
      <c r="D1710" t="n">
        <v>3</v>
      </c>
      <c r="E1710" t="n">
        <v>20</v>
      </c>
      <c r="F1710">
        <f>HYPERLINK("https://www.reddit.com/r/GERD/comments/c6bp0f/how_do_i_stop_worrying/")</f>
        <v/>
      </c>
      <c r="G1710" t="inlineStr">
        <is>
          <t>2019-06-27 15:00:27</t>
        </is>
      </c>
      <c r="H1710" t="inlineStr"/>
    </row>
    <row r="1711">
      <c r="A1711" t="inlineStr">
        <is>
          <t>c6c82y</t>
        </is>
      </c>
      <c r="B1711" t="inlineStr">
        <is>
          <t>Foods to eat?</t>
        </is>
      </c>
      <c r="C1711" t="inlineStr">
        <is>
          <t>TLDR: What foods/meals do you make that don’t irritate your symptoms? I’m so tired of bland food :( 
What’s up:
24yr and I have a hiatal hernia/esophagitis/gastritis/intestinal metaplasia/ GERD and probably a bunch of other stuff.
My GIs have been trying to help me figure out what’s wrong with me. Last month I started to randomly vomit/feel nauseous after eating. My pain is centralized right below where my ribs split. I feel a lot better after passing gas but often times it feels stuck/trapped. 
So far my blood tests and ultrasound are all normal. Waiting on stool tests and h pylori test. I just got off my PPIs last week (pantoprazole double dosage) and I’ve been waking up with a burning stomach.  
I love eating food but it’s gotten to the point where I don’t eat anymore because I’m scared to have a flare up. I was 103lbs and now I’m at 95lbs.  I really miss my mozz sticks and chicken nuggs 😭
Thanks for reading!</t>
        </is>
      </c>
      <c r="D1711" t="n">
        <v>3</v>
      </c>
      <c r="E1711" t="n">
        <v>7</v>
      </c>
      <c r="F1711">
        <f>HYPERLINK("https://www.reddit.com/r/GERD/comments/c6c82y/foods_to_eat/")</f>
        <v/>
      </c>
      <c r="G1711" t="inlineStr">
        <is>
          <t>2019-06-27 15:47:42</t>
        </is>
      </c>
      <c r="H1711" t="inlineStr"/>
    </row>
    <row r="1712">
      <c r="A1712" t="inlineStr">
        <is>
          <t>c6mhk5</t>
        </is>
      </c>
      <c r="B1712" t="inlineStr">
        <is>
          <t>Burning sensation in the back of the throat and sinuses but not in the chest+ difficulty breathing and swallowing</t>
        </is>
      </c>
      <c r="C1712" t="inlineStr">
        <is>
          <t>Is this GERD or am I having an allergic reaction?</t>
        </is>
      </c>
      <c r="D1712" t="n">
        <v>6</v>
      </c>
      <c r="E1712" t="n">
        <v>4</v>
      </c>
      <c r="F1712">
        <f>HYPERLINK("https://www.reddit.com/r/GERD/comments/c6mhk5/burning_sensation_in_the_back_of_the_throat_and/")</f>
        <v/>
      </c>
      <c r="G1712" t="inlineStr">
        <is>
          <t>2019-06-28 09:45:49</t>
        </is>
      </c>
      <c r="H1712" t="inlineStr"/>
    </row>
    <row r="1713">
      <c r="A1713" t="inlineStr">
        <is>
          <t>c6ncnj</t>
        </is>
      </c>
      <c r="B1713" t="inlineStr">
        <is>
          <t>Just got EGD &amp;amp; Bravo Results, looking for thoughts and opinions</t>
        </is>
      </c>
      <c r="C1713" t="inlineStr">
        <is>
          <t>I'm a 34 year old male, I'm definitely not overweight and I've had some degree of acid reflux for the past 10 years or so.
I just did and EGD and the results came back with a small hiatal hernia 1cm, and no other abnormalities.
The doctor also did a bravo test which showed 11% acid exposure (which he said normal was 1-4%) with a demeester score of 40. 
He said it was up to me if I wanted to do anything about it. I could continue taking ompeprazole 20mg daily if it's managing my symptoms well.  
From my end my symptoms are mostly managed by taking omeprazole and occasionally a zantac at night. There are definitely flare ups and things can be super uncomfortable and miserable. I've tried changing my diet, eating a lot less, cutting out things I know cause issues, but it's never really made things manageable without PPIs. Actually I can't really remember a day when I haven't had some type of side effect from acid reflux...
My doctor does a lot of the Nissen's in a year (by far the most in the entire state). He's got a good success rate. For those that have gotten the Nissen was it worth it? Anythings to look out for?  I've done quite a bit of research and it's definitely the preferred procedure. I've thought through alternatives, but there's really nothing else that seems to controls symptoms as well as the Nissen.</t>
        </is>
      </c>
      <c r="D1713" t="n">
        <v>3</v>
      </c>
      <c r="E1713" t="n">
        <v>9</v>
      </c>
      <c r="F1713">
        <f>HYPERLINK("https://www.reddit.com/r/GERD/comments/c6ncnj/just_got_egd_bravo_results_looking_for_thoughts/")</f>
        <v/>
      </c>
      <c r="G1713" t="inlineStr">
        <is>
          <t>2019-06-28 10:56:33</t>
        </is>
      </c>
      <c r="H1713" t="inlineStr"/>
    </row>
    <row r="1714">
      <c r="A1714" t="inlineStr">
        <is>
          <t>c6ngxg</t>
        </is>
      </c>
      <c r="B1714" t="inlineStr">
        <is>
          <t>I get full too fast after ppi treatment</t>
        </is>
      </c>
      <c r="C1714" t="inlineStr">
        <is>
          <t>Hello! After some severe heartburn and feeling of a lump in my throat, i started a 3 weeks treatment of esomeprazol 40mg.
Right now, im over the treatment and been lowering my dose to evade rebound effect. So im taking my pills between 3-4 days.
The problem is that i still cant eat how i used to eat before all this problem, and when i eat i feel full faster with less food.
Is this normal? Maybe my stomach got “smaller” in this period of eating less or the ppis dont let me digest the food properly.
Any advice is great, and sorry for my english</t>
        </is>
      </c>
      <c r="D1714" t="n">
        <v>6</v>
      </c>
      <c r="E1714" t="n">
        <v>6</v>
      </c>
      <c r="F1714">
        <f>HYPERLINK("https://www.reddit.com/r/GERD/comments/c6ngxg/i_get_full_too_fast_after_ppi_treatment/")</f>
        <v/>
      </c>
      <c r="G1714" t="inlineStr">
        <is>
          <t>2019-06-28 11:05:55</t>
        </is>
      </c>
      <c r="H1714" t="inlineStr"/>
    </row>
    <row r="1715">
      <c r="A1715" t="inlineStr">
        <is>
          <t>c6ojbm</t>
        </is>
      </c>
      <c r="B1715" t="inlineStr">
        <is>
          <t>LPR like symptoms caused by constant severe bloating. What can be done to reduce GI gas production?</t>
        </is>
      </c>
      <c r="C1715" t="inlineStr">
        <is>
          <t>Hello all,
Originally I had GERD like symptoms and was on medication. With strict dietary and lifestyle changes my symptoms have downgraded to being LPR like ("silent" reflux in mouth) and I no longer take medication (it provides little relief and doesn't fix the root cause).
My stomach is constantly under pressure by GI gasses and my sphincters leak because of it.
Eating a keto diet helps but dose not fully eliminate the gas production. Originally I had suspected something like SIBO but a diet consisting of nothing but rice seems equivalent. If I eat "normal food" my reflux symptoms and beltching quickly escalate. I have attempted an elimination diet without yielding useful, repeatable results. (Perhaps it is folly to try and find a single food that produces minimal symptoms?)
I am looking for advice on reducing GI gas production/bloating.</t>
        </is>
      </c>
      <c r="D1715" t="n">
        <v>1</v>
      </c>
      <c r="E1715" t="n">
        <v>8</v>
      </c>
      <c r="F1715">
        <f>HYPERLINK("https://www.reddit.com/r/GERD/comments/c6ojbm/lpr_like_symptoms_caused_by_constant_severe/")</f>
        <v/>
      </c>
      <c r="G1715" t="inlineStr">
        <is>
          <t>2019-06-28 12:32:02</t>
        </is>
      </c>
      <c r="H1715" t="inlineStr"/>
    </row>
    <row r="1716">
      <c r="A1716" t="inlineStr">
        <is>
          <t>c6sqo9</t>
        </is>
      </c>
      <c r="B1716" t="inlineStr">
        <is>
          <t>Anyone else get “too hungry” then suffer after eating?</t>
        </is>
      </c>
      <c r="C1716" t="inlineStr">
        <is>
          <t>Sometimes I go from regular hungry to EXTREMELY hungry very quickly. Then when I eat, I still have this uncomfortable, hungry, reflux-y feeling for like 30 minutes afterward. Is this a GERD thing?</t>
        </is>
      </c>
      <c r="D1716" t="n">
        <v>24</v>
      </c>
      <c r="E1716" t="n">
        <v>8</v>
      </c>
      <c r="F1716">
        <f>HYPERLINK("https://www.reddit.com/r/GERD/comments/c6sqo9/anyone_else_get_too_hungry_then_suffer_after/")</f>
        <v/>
      </c>
      <c r="G1716" t="inlineStr">
        <is>
          <t>2019-06-28 18:33:39</t>
        </is>
      </c>
      <c r="H1716" t="inlineStr"/>
    </row>
    <row r="1717">
      <c r="A1717" t="inlineStr">
        <is>
          <t>c6v80h</t>
        </is>
      </c>
      <c r="B1717" t="inlineStr">
        <is>
          <t>GERD, weight gain/difficulty losing weight and food allergies/intolerances</t>
        </is>
      </c>
      <c r="C1717" t="inlineStr">
        <is>
          <t>I'm a bit confounded by my GERD issues. I went from working *and* doing school to just working, which meant I wasn't walking around a campus constantly. I put on 15-20 lbs and started having some serious reflux. 
I've long quit alcohol, coffee and eating out (never really did fast food). I've started fixing healthier meals like fish/veggies and chicken/veggies and fruit smoothies (homemade, natural ingredients) and omelets. I walk 4 miles a day for exercise. 
Yet the weight isn't coming off. I've been to the doctor. My PCP prescribed omeprazole which works well for now but in my mind is a temporary solution since it can cause deficiencies long-term. I told him I wanted to lose weight but he cautioned me against losing too much because I'm slim-bodied, so when I get overweight for *my* body it doesn't look like it to others. I suggested the possibility of a hiatal hernia and he felt my abdomen but never brought it up again after.
But I can't shake the weight and I'm still having a lot of abdominal discomfort after eating and possibly bloating. I've also noticed I struggle with mucus at night. Is there a possibility of a food allergy/intolerance here? Do food allergies/intolerances cause weight gain? I've done a DNA test before for one of those ancestry sites and it said both that I was at increased risk for celiac disease and that I was "likely" lactose intolerant. I've never noticed a correlation before between eating foods with gluten or dairy but I have heard it gets worse with age. 
Just thought I'd check in to see if anyone else's experience is similar to mine, and if you figured out how to tackle it. Maybe difficulty losing weight is something I just have to accept now that I'm in my 30s but something feels off when I've changed my lifestyle so much.</t>
        </is>
      </c>
      <c r="D1717" t="n">
        <v>2</v>
      </c>
      <c r="E1717" t="n">
        <v>2</v>
      </c>
      <c r="F1717">
        <f>HYPERLINK("https://www.reddit.com/r/GERD/comments/c6v80h/gerd_weight_gaindifficulty_losing_weight_and_food/")</f>
        <v/>
      </c>
      <c r="G1717" t="inlineStr">
        <is>
          <t>2019-06-28 22:52:25</t>
        </is>
      </c>
      <c r="H1717" t="inlineStr"/>
    </row>
    <row r="1718">
      <c r="A1718" t="inlineStr">
        <is>
          <t>c6vq34</t>
        </is>
      </c>
      <c r="B1718" t="inlineStr">
        <is>
          <t>Anyone here know any low carb alternatives that I can eat for breakfast and afternoon snack?</t>
        </is>
      </c>
      <c r="C1718" t="inlineStr">
        <is>
          <t>I eat a lot of bread (gluten free) but it might be contributing to my heartburn issues but I don't know what else to eat in the morning and afternoon. 
Thanks in advance!</t>
        </is>
      </c>
      <c r="D1718" t="n">
        <v>3</v>
      </c>
      <c r="E1718" t="n">
        <v>10</v>
      </c>
      <c r="F1718">
        <f>HYPERLINK("https://www.reddit.com/r/GERD/comments/c6vq34/anyone_here_know_any_low_carb_alternatives_that_i/")</f>
        <v/>
      </c>
      <c r="G1718" t="inlineStr">
        <is>
          <t>2019-06-28 23:54:21</t>
        </is>
      </c>
      <c r="H1718" t="inlineStr"/>
    </row>
    <row r="1719">
      <c r="A1719" t="inlineStr">
        <is>
          <t>c6yb9p</t>
        </is>
      </c>
      <c r="B1719" t="inlineStr">
        <is>
          <t>Setting the record straight: PPIs do not cause Dementia (Study)</t>
        </is>
      </c>
      <c r="C1719" t="inlineStr">
        <is>
          <t>[https://www.sciencedaily.com/releases/2017/07/170720095314.htm](https://www.sciencedaily.com/releases/2017/07/170720095314.htm)</t>
        </is>
      </c>
      <c r="D1719" t="n">
        <v>13</v>
      </c>
      <c r="E1719" t="n">
        <v>13</v>
      </c>
      <c r="F1719">
        <f>HYPERLINK("https://www.reddit.com/r/GERD/comments/c6yb9p/setting_the_record_straight_ppis_do_not_cause/")</f>
        <v/>
      </c>
      <c r="G1719" t="inlineStr">
        <is>
          <t>2019-06-29 05:20:25</t>
        </is>
      </c>
      <c r="H1719" t="inlineStr"/>
    </row>
    <row r="1720">
      <c r="A1720" t="inlineStr">
        <is>
          <t>c706zy</t>
        </is>
      </c>
      <c r="B1720" t="inlineStr">
        <is>
          <t>Best workouts for GERD sufferers?</t>
        </is>
      </c>
      <c r="C1720" t="inlineStr">
        <is>
          <t>Hey. I was diagnosed with an upper hiatal hernia around 6 months ago, and it looks like while I can ease my symptoms, I will most likely have them for life. I am able to do push-ups before eating and feel pretty decent, but I want to start working out my abs... I'm just a little nervous. What are some good ways to workout (not just abs) that won't really upset our stomachs/cause acid reflux. I don't have access to a gym as of right now, btw. Thanks!</t>
        </is>
      </c>
      <c r="D1720" t="n">
        <v>2</v>
      </c>
      <c r="E1720" t="n">
        <v>8</v>
      </c>
      <c r="F1720">
        <f>HYPERLINK("https://www.reddit.com/r/GERD/comments/c706zy/best_workouts_for_gerd_sufferers/")</f>
        <v/>
      </c>
      <c r="G1720" t="inlineStr">
        <is>
          <t>2019-06-29 08:24:14</t>
        </is>
      </c>
      <c r="H1720" t="inlineStr"/>
    </row>
    <row r="1721">
      <c r="A1721" t="inlineStr">
        <is>
          <t>c70a8u</t>
        </is>
      </c>
      <c r="B1721" t="inlineStr">
        <is>
          <t>Healing time for gastritis?</t>
        </is>
      </c>
      <c r="C1721" t="inlineStr">
        <is>
          <t>June 4th I started experiencing horrible indigestion, heartburn, some abdominal pain, getting full really quickly, etc.
I initially freaked out thinking it was a hernia. I saw my doctor twice, on the 18th and the 25th. She thinks it's gastritis. She told me quite clearly that while hiatal hernias can cause symptoms, they usually do not, and my symptoms seem to be coming directly from my stomach. That said she mentioned that it's of course possible that I have a hiatal hernia, but it may not have anything to do with my symptoms. In her words: "if you don't have a hernia, it's gastritis. If you do have a hernia, it's still gastritis. The inflammation is the problem, not the position of your stomach."
I had a hard time believing her at first and kept freaking out for a while, but after about two weeks of PPI and H2 treatment along with sticking to better foods I am finally starting to feel somewhat better.
She told me I will take the antacids for six weeks total and then we'll follow up. If I don't feel better by that point, we'll do a scope and see what we find. She really does expect it to just be gastritis though.
I've heard gastritis can take months to heal, and the way I was treating my poor stomach, I don't doubt it.
Oh also I no longer get full too quickly, which she mentioned meant there was less inflammation in my stomach. I do get worse when I eat, but that makes sense if my stomach is inflamed because the acid production could irritate it. I don't really have reflux at all anymore, or if I do I can't really feel it happening.</t>
        </is>
      </c>
      <c r="D1721" t="n">
        <v>4</v>
      </c>
      <c r="E1721" t="n">
        <v>16</v>
      </c>
      <c r="F1721">
        <f>HYPERLINK("https://www.reddit.com/r/GERD/comments/c70a8u/healing_time_for_gastritis/")</f>
        <v/>
      </c>
      <c r="G1721" t="inlineStr">
        <is>
          <t>2019-06-29 08:32:17</t>
        </is>
      </c>
      <c r="H1721" t="inlineStr"/>
    </row>
    <row r="1722">
      <c r="A1722" t="inlineStr">
        <is>
          <t>c73tjc</t>
        </is>
      </c>
      <c r="B1722" t="inlineStr">
        <is>
          <t>Does anyone else feel like they have forgotten how to breathe normally?</t>
        </is>
      </c>
      <c r="C1722" t="inlineStr">
        <is>
          <t>I have had GERD for a few years now and a big symptom for me is shortness of breath. I feel like I am short of breath constantly now and that I have to focus on breathing manually. With this manual breathing, I feel like I am not getting  big enough breaths. I believe this is called “air hunger.” I’m sure some of this has to do with anxiety but I don’t remember the last time I could breath comfortably without really thinking about it. Does anyone else experience this and do you have any tips?</t>
        </is>
      </c>
      <c r="D1722" t="n">
        <v>1</v>
      </c>
      <c r="E1722" t="n">
        <v>0</v>
      </c>
      <c r="F1722">
        <f>HYPERLINK("https://www.reddit.com/r/GERD/comments/c73tjc/does_anyone_else_feel_like_they_have_forgotten/")</f>
        <v/>
      </c>
      <c r="G1722" t="inlineStr">
        <is>
          <t>2019-06-29 12:57:42</t>
        </is>
      </c>
      <c r="H1722" t="inlineStr"/>
    </row>
    <row r="1723">
      <c r="A1723" t="inlineStr">
        <is>
          <t>c76dim</t>
        </is>
      </c>
      <c r="B1723" t="inlineStr">
        <is>
          <t>Possible to have GERD/reflux without actual heartburn?</t>
        </is>
      </c>
      <c r="C1723" t="inlineStr">
        <is>
          <t>I've been suffering from awful nausea on and off for over 3 months, seen two gastroenterologists. The first one has no clue, second one suspects GERD which I had many years ago, but when I had it before the feeling was unmistakable: burning at the base of my throat so bad that I _wanted_ to take something for it. I was on PPI (Prevacid) for over 10 years, eventually managed to get off that stuff about 10 years ago. I do have some heartburn now and then, but I take Tums and it goes away.
Now the doc says after endoscopy that I have esophagitis, she thinks caused by reflux, but I don't feel any burning other than occasional. The bouts of sever nausea aren't accompanied with heartburn or any burning feeling.
I think the esophagitis was due to over use of an e-cig which I quit several months back, but the nausea remains. It's really bad.
**TLDR; Everyone's telling me that GERD/reflux can cause nausea, but is it possible for it to cause nausea without actually causing heartburn or the actual feeling of acid creeping up your throat?**</t>
        </is>
      </c>
      <c r="D1723" t="n">
        <v>9</v>
      </c>
      <c r="E1723" t="n">
        <v>9</v>
      </c>
      <c r="F1723">
        <f>HYPERLINK("https://www.reddit.com/r/GERD/comments/c76dim/possible_to_have_gerdreflux_without_actual/")</f>
        <v/>
      </c>
      <c r="G1723" t="inlineStr">
        <is>
          <t>2019-06-29 16:50:13</t>
        </is>
      </c>
      <c r="H1723" t="inlineStr"/>
    </row>
    <row r="1724">
      <c r="A1724" t="inlineStr">
        <is>
          <t>c7802q</t>
        </is>
      </c>
      <c r="B1724" t="inlineStr">
        <is>
          <t>GERD Free for 3 months now</t>
        </is>
      </c>
      <c r="C1724" t="inlineStr">
        <is>
          <t>It's been three months now that I am GERD free. It's a very big relief. I was suffering from GERD for a period of around 6 months before that. The issue was finally diagnosed as SIBO. The cure was effected by a combination of: 1) Antibiotic Treatment ( Rifaximin +  Metronidazole) for a period of 14 days ( [https://www.siboinfo.com/antibiotics.html](https://www.siboinfo.com/antibiotics.html) ). 2) It was complemented by SCD Intro Diet ( [http://pecanbread.com/p/introdiet.html](http://pecanbread.com/p/introdiet.html) ).
After the treatment - I was observing myself for a period of 3 months now. During that time I had mostly Low Carb diet complemented with Fruits and Curd. 
There has been no recurrence - so I am relieved. Just wanted to share with the community.</t>
        </is>
      </c>
      <c r="D1724" t="n">
        <v>1</v>
      </c>
      <c r="E1724" t="n">
        <v>6</v>
      </c>
      <c r="F1724">
        <f>HYPERLINK("https://www.reddit.com/r/GERD/comments/c7802q/gerd_free_for_3_months_now/")</f>
        <v/>
      </c>
      <c r="G1724" t="inlineStr">
        <is>
          <t>2019-06-29 19:36:35</t>
        </is>
      </c>
      <c r="H1724" t="inlineStr"/>
    </row>
    <row r="1725">
      <c r="A1725" t="inlineStr">
        <is>
          <t>c785iq</t>
        </is>
      </c>
      <c r="B1725" t="inlineStr">
        <is>
          <t>Is what I have GERD?</t>
        </is>
      </c>
      <c r="C1725" t="inlineStr">
        <is>
          <t>So basically every day I wake up with this problem. It's okay as I lay in bed but once I get up and start moving around it gets much worse. Little pools of acid or whatever pool in the bottle of my esophoagus, and I constantly have to like scoff it up by making a weird gutteral sound and then spit it out. It makes me insanely dizzy, and my esophagus feels like its tensing or slightly spasming, and then I spit it out and get relief for a bit. My stomach can start thumping which  can make me anxious or cause panic attacks.
I feel like I get most releif when I'm inactive and laying down. I did have it come up in the nights and thought I was choking but still it seems less worse than when I stand. When I sit the gas builds up to an annoying point where I feel like I'm going to explode. I have to stand up straight which makes me feel light headed, but once I get the gas out I feel okay for a bit. It feels like my abs and stomach and neck muscles and esophagus are pulled super tight. Can tight muscles be the cause of this problem?
&amp;amp;#x200B;
I get no real heartburn pain, at all. I've had it for over a year 
&amp;amp;#x200B;
I had a scope and they cannot find a problem. I take nexium twice a day now, sometimes three if its really bad.</t>
        </is>
      </c>
      <c r="D1725" t="n">
        <v>3</v>
      </c>
      <c r="E1725" t="n">
        <v>16</v>
      </c>
      <c r="F1725">
        <f>HYPERLINK("https://www.reddit.com/r/GERD/comments/c785iq/is_what_i_have_gerd/")</f>
        <v/>
      </c>
      <c r="G1725" t="inlineStr">
        <is>
          <t>2019-06-29 19:52:23</t>
        </is>
      </c>
      <c r="H1725" t="inlineStr"/>
    </row>
    <row r="1726">
      <c r="A1726" t="inlineStr">
        <is>
          <t>c7asch</t>
        </is>
      </c>
      <c r="B1726" t="inlineStr">
        <is>
          <t>Food Combining Digestion</t>
        </is>
      </c>
      <c r="C1726" t="inlineStr">
        <is>
          <t>Wondering if anyone has any anecdotal experience with food combining for better digestion
No starches with protein 
Or protein with fat etc
I’ve spoken to a few who have reported experiences in it helping with digestion/gut issues/ candida symptoms etc so wondering if anyone has had any specific macro combinations within a meal they couldn’t handle or worked better for them</t>
        </is>
      </c>
      <c r="D1726" t="n">
        <v>1</v>
      </c>
      <c r="E1726" t="n">
        <v>2</v>
      </c>
      <c r="F1726">
        <f>HYPERLINK("https://www.reddit.com/r/GERD/comments/c7asch/food_combining_digestion/")</f>
        <v/>
      </c>
      <c r="G1726" t="inlineStr">
        <is>
          <t>2019-06-30 01:13:55</t>
        </is>
      </c>
      <c r="H1726" t="inlineStr"/>
    </row>
    <row r="1727">
      <c r="A1727" t="inlineStr">
        <is>
          <t>c7b8b8</t>
        </is>
      </c>
      <c r="B1727" t="inlineStr">
        <is>
          <t>Nightmarish pain for over 16 weeks. Just had gastroscopy done and none the wiser.</t>
        </is>
      </c>
      <c r="C1727" t="inlineStr">
        <is>
          <t>Hi,
I'm no stranger to acid reflux having had it most of my adult life. 
I was put on omeprazole about 3 years ago and my symptoms were 'under control'. Approximately 2 years ago my symptoms changed, I started getting a horrible sour taste in my mouth and a sore throat. I go for an endoscopy and get diagnosed with a hiatus hernia.
Over the next 2 years I try various medicines to try and control the symptoms, nothing really works entirely, but as the main symptom at this point is just a sour taste in the mouth, it's manageable. 
Starting around Januarry of this year, the throat pain starts becoming more significant and my consultant says surgery could be a good option if the cause is my hernia. So he sends me for pH monitoring test and to my surprise the test comes back as 'OK' and I'm no longer considered for surgery at this point.
Things take another turn for the worse when I develop another new symptom. Severe pain just below my sternum. It's burning (but not like heartburn) gnawing, twisting and at times sharp in pain. I then start getting chest pains, sneezing and coughing make the pain worse, lifting bags make the pain worse. I keep going back to the doctor until finally I'm referred for an 'Oesophago-Gastro- Duodenoscopy' finally I'm going to get some answers and maybe they can get rid of this pain. Because at this point i'm on 4 doses of co-codamol a day for the pain.
So I went for the examination on Friday just passed. I go in they take my details and some of my symptoms and so on. I'm told the surgeon doing my examination is extremely busy and someone else might do it. So I'm wheeled in and I'm told an 'endoscopic nurse' is doing the test. So I'm thinking to myself, not one of the specialist doctors and not the surgeon I was supposed to see. Honestly this is already setting alarm bells off in my head as I also have a bit of health anxiety as well.
Anyway, the test goes by in what feels honestly like less than 5 minutes. Much faster than the first endoscopy I had. I'm taken in to a room after the sedative wears off and the nurse tells me they took some biopsies from my small intestine and suspect I have coeliac disease. OK that doesn't sound great, but at least it's a manageable condition.
But I ask what I really to know. What about my throat pain? "There's nothing written down" Alright.. what about the intense pains I've been getting just below my sternum "There's nothing written down". Was there signs of inflammation or scarring "I don't know". So here I am still in agony every day and none the wiser of whats going on.
I don't know what to do now, it was so difficult to even get to this point. What can I do from here? I would rather be dead than suffer like this every day I'm not exaggerating. Does anyone have any ideas what I can do?</t>
        </is>
      </c>
      <c r="D1727" t="n">
        <v>1</v>
      </c>
      <c r="E1727" t="n">
        <v>7</v>
      </c>
      <c r="F1727">
        <f>HYPERLINK("https://www.reddit.com/r/GERD/comments/c7b8b8/nightmarish_pain_for_over_16_weeks_just_had/")</f>
        <v/>
      </c>
      <c r="G1727" t="inlineStr">
        <is>
          <t>2019-06-30 02:22:40</t>
        </is>
      </c>
      <c r="H1727" t="inlineStr"/>
    </row>
    <row r="1728">
      <c r="A1728" t="inlineStr">
        <is>
          <t>c7j1hw</t>
        </is>
      </c>
      <c r="B1728" t="inlineStr">
        <is>
          <t>don't know if i got the right diagnosis</t>
        </is>
      </c>
      <c r="C1728" t="inlineStr">
        <is>
          <t>my doctor asked me if i get burning in my chest &amp;amp; a acidic stomach, i said yes so he put me on somac but didn't tell me much about it other than "you've got reflux, take this." 
i know i'm not supposed to but i haven't taken it for about a week give or take and don't feel much different, just a lot of stomach bubbling. 
thoughts?</t>
        </is>
      </c>
      <c r="D1728" t="n">
        <v>2</v>
      </c>
      <c r="E1728" t="n">
        <v>1</v>
      </c>
      <c r="F1728">
        <f>HYPERLINK("https://www.reddit.com/r/GERD/comments/c7j1hw/dont_know_if_i_got_the_right_diagnosis/")</f>
        <v/>
      </c>
      <c r="G1728" t="inlineStr">
        <is>
          <t>2019-06-30 13:19:21</t>
        </is>
      </c>
      <c r="H1728" t="inlineStr"/>
    </row>
    <row r="1729">
      <c r="A1729" t="inlineStr">
        <is>
          <t>c7l5pn</t>
        </is>
      </c>
      <c r="B1729" t="inlineStr">
        <is>
          <t>New to GERD... Got a question.</t>
        </is>
      </c>
      <c r="C1729" t="inlineStr">
        <is>
          <t>Hi all, 
&amp;amp;#x200B;
I am 24 yo male. I was diagnosed with grade b erosive esophagitis and GERD in January. I was prescribd 20mg Pariet (rapebrazole) twice per day to heal the esophagitis and stop the reflux. 
&amp;amp;#x200B;
I've been taking the Pariet pretty much since then (except for a month or so when I switched to Nexium, which did not work for me at all and the reflux came back). All was fine, until about a week ago when suddenly I began having reflux/indigestion feelings after every single meal, regardless of how small, healthy or bland. It seems to be getting a little better again, but I'm not back to normal at all.
&amp;amp;#x200B;
My question for long-time GERD sufferers is this: even while on PPI medication, is it normal to have flare ups for a week or two here and there where the reflux and indigestion is just relentless?
&amp;amp;#x200B;
I don't know if it's related, but I had a cold leading up to the first day I felt the indigestion, so I was just on the tail end of it when it happened. Couold my body's immunity during that cold or extra congestion cause the extra reflux? I asked my GP, but he didn't seem to have an answer. Thanks.</t>
        </is>
      </c>
      <c r="D1729" t="n">
        <v>6</v>
      </c>
      <c r="E1729" t="n">
        <v>18</v>
      </c>
      <c r="F1729">
        <f>HYPERLINK("https://www.reddit.com/r/GERD/comments/c7l5pn/new_to_gerd_got_a_question/")</f>
        <v/>
      </c>
      <c r="G1729" t="inlineStr">
        <is>
          <t>2019-06-30 16:27:41</t>
        </is>
      </c>
      <c r="H1729" t="inlineStr"/>
    </row>
    <row r="1730">
      <c r="A1730" t="inlineStr">
        <is>
          <t>c7m15c</t>
        </is>
      </c>
      <c r="B1730" t="inlineStr">
        <is>
          <t>Hypochlorhydria and Pepcid</t>
        </is>
      </c>
      <c r="C1730" t="inlineStr">
        <is>
          <t>I've been taking Pepcid every day for a few weeks now and it has helped my acid reflux a lot, but now I'm concerned about hypochlorhydria because I heard you can get it from chronic use of antacids/H2 blockers. I don't have much of an appetite and my stomach sometimes feels heavy after eating or I feel slightly nauseous. I do have severe anxiety, though, which could be a reason for my stomach issues. 
I don't know what else to do to help my acid reflux that won't put me at risk for hypochlorhydria. Any suggestions? Or is hypochlorhydria caused by Pepcid not actually that common?</t>
        </is>
      </c>
      <c r="D1730" t="n">
        <v>1</v>
      </c>
      <c r="E1730" t="n">
        <v>4</v>
      </c>
      <c r="F1730">
        <f>HYPERLINK("https://www.reddit.com/r/GERD/comments/c7m15c/hypochlorhydria_and_pepcid/")</f>
        <v/>
      </c>
      <c r="G1730" t="inlineStr">
        <is>
          <t>2019-06-30 17:55:11</t>
        </is>
      </c>
      <c r="H1730" t="inlineStr"/>
    </row>
    <row r="1731">
      <c r="A1731" t="inlineStr">
        <is>
          <t>c7mgvu</t>
        </is>
      </c>
      <c r="B1731" t="inlineStr">
        <is>
          <t>Want to stop taking pantoprazole</t>
        </is>
      </c>
      <c r="C1731" t="inlineStr">
        <is>
          <t>Been taking 40 mg pantoprazole every night before bed and they have helped but I want to stop taking them because I feel like my stomach gets really bloated. I am just worried about rebound effect, will I get it if I stop taking my med tonight? Don't have GERD diagnosed, got a gastroscopy two years ago and it was all clear but my heartburn symptoms came back this year April and got those meds in May.</t>
        </is>
      </c>
      <c r="D1731" t="n">
        <v>2</v>
      </c>
      <c r="E1731" t="n">
        <v>4</v>
      </c>
      <c r="F1731">
        <f>HYPERLINK("https://www.reddit.com/r/GERD/comments/c7mgvu/want_to_stop_taking_pantoprazole/")</f>
        <v/>
      </c>
      <c r="G1731" t="inlineStr">
        <is>
          <t>2019-06-30 18:40:11</t>
        </is>
      </c>
      <c r="H1731" t="inlineStr"/>
    </row>
    <row r="1732">
      <c r="A1732" t="inlineStr">
        <is>
          <t>c7n2ml</t>
        </is>
      </c>
      <c r="B1732" t="inlineStr">
        <is>
          <t>Can't for the life of me figure out what causes spasms or how to alleviate them</t>
        </is>
      </c>
      <c r="C1732" t="inlineStr">
        <is>
          <t>I first started having serious reflux and occasional, frustrating abdominal spasms (my esophagus? my diaphragm?--uncertain) a couple years ago. I'd put on 15-20 pounds over a year or so, so I imagine this had a lot to do with things (alcoholc probably wasn't helping).  
Finally found a doctor who prescribed omeprazole, which has been a great help, but don't want to be on it forever. Have since lost about 10 pounds and want to lose more. While the reflux isn't as bad, I occasionally still have spasms. While they're not every day like they used to be, they're awful when they occur and I know long-term GERD sufferers are at risk of esophageal cancer and nutcracker esophagus, so I'm wanting to do as much as I can to make myself better. 
I'm trying to eat smaller meals as part of my lifestyle change, but today surprised myself. I had a low carb lunch: tilapia, sugar snap peas and a salad. That went over fine. I had a spoonful of peanut butter for a snack. That went over fine. Come dinner, I had a small bowl of "fried" brown jasmati rice (really just boiled like normal with some green onion, scrambled egg, and a drop of sesame oil and soy sauce). Cue bloating and serious abdominal spasms that have been going on for the last four hours or so. 
Rice is about one of the blandest things you can eat, so I was puzzled by my body's reaction.
All I can guess:
\- I was too hungry and my body was reacting to eating food after eating too little today
\- my body can't handle something about the eggs, sesame oil or soy sauce (green onions have never been a problem)
I once had esophageal problems about 14-15 years ago and after an endoscopy my doctor said I had dysmotility in my esophagus.
I know GERD is more of a symptom of a problem than its own problem, but I can't for the life of me guess what might be causing this. I suggested hiatal hernia to my doc and he felt my stomach but never brought it up again. I know the spasms get worse or triggered when there's pressure on my abdomen, but not sure if that's an esophageal thing or a diaphragmal thing.  Anyone experience anything similar? Any ideas what this might be?</t>
        </is>
      </c>
      <c r="D1732" t="n">
        <v>1</v>
      </c>
      <c r="E1732" t="n">
        <v>0</v>
      </c>
      <c r="F1732">
        <f>HYPERLINK("https://www.reddit.com/r/GERD/comments/c7n2ml/cant_for_the_life_of_me_figure_out_what_causes/")</f>
        <v/>
      </c>
      <c r="G1732" t="inlineStr">
        <is>
          <t>2019-06-30 19:41:14</t>
        </is>
      </c>
      <c r="H1732" t="inlineStr"/>
    </row>
    <row r="1733">
      <c r="A1733" t="inlineStr">
        <is>
          <t>c7n3sy</t>
        </is>
      </c>
      <c r="B1733" t="inlineStr">
        <is>
          <t>How I am fixing my symptoms without taking PPIs</t>
        </is>
      </c>
      <c r="C1733" t="inlineStr">
        <is>
          <t>I figured I would post what things have been working for me since it seems like a lot of people browse this sub reddit looking for answers. Without any long back story right off... here's what I did.
1. For 3 days I ate nothing but Vegetable Broth and some of the boiled vegetables with a bit of chicken. (it sucked)
2. I ate fresh low acid/Fodmap vegetables and grilled chicken for 2 more days and started taking 2 Zypan (  pepsin, and betaine hydrochloride ) 15 minutes before.
3. After those 2 days I started drinking Kefir twice a day. During these 5 days my symptoms were not necessarily better but felt different, my stomach was a mess, my throat and esophagus hurt and I was constantly hungry.
4. Because I have a small Hiatal Hernia I started doing [The heel rock and massage technique](https://youtu.be/6iJOrRcZpJk) this guy shows.
Day 6-8 I was mostly eating greens and grilled meat and drinking Kefir, at some point during these days I started feeling down because while my symptoms weren't as bad they weren't going away, until finally a couple days later I had given up on eating super strict and gorged on a huge steak and some cookies when I noticed that I was not getting the super gunky throat that I would usually get. A day later, my symptoms would either be gone or very mild.  So  now I am feeling pretty good. I have just been a lot wiser about what I am eating and how much. I also barley drink anything when I eat just small sips to wash it down.  Sadly Coffee and beer are out for me. I hate it. I really do but I like being symptom free more than I like having coffee in the morning. Just Kefir and water for me now thanks.
&amp;amp;#x200B;
As for background. Went to Doc 6 months ago because I had constant gunk in my throat and felt like I had a lump that wouldn't go away. Put on PPI's and they didn't do anything but get WORSE when I weened myself off of them.  Had a Endoscopy which found nothing but a Hiatal Hernia. Barrium swollow which found nothing but a Hiatal Hernia.  Doctor told me  that my Hernia is too small to be causing the symptoms I was having.  I felt very angry and frustrated because I didn't feel like I was getting answers and my symptoms were getting worse. At some points I was left feeling hopeless and afraid I was going to lose my quality of life.  Today I ate a Burger, Hotdog, and 2 pieces of pie with only the minor of symptoms so I think things are going well so far.</t>
        </is>
      </c>
      <c r="D1733" t="n">
        <v>0</v>
      </c>
      <c r="E1733" t="n">
        <v>5</v>
      </c>
      <c r="F1733">
        <f>HYPERLINK("https://www.reddit.com/r/GERD/comments/c7n3sy/how_i_am_fixing_my_symptoms_without_taking_ppis/")</f>
        <v/>
      </c>
      <c r="G1733" t="inlineStr">
        <is>
          <t>2019-06-30 19:44:35</t>
        </is>
      </c>
      <c r="H1733" t="inlineStr"/>
    </row>
    <row r="1734">
      <c r="A1734" t="inlineStr">
        <is>
          <t>c7rdmt</t>
        </is>
      </c>
      <c r="B1734" t="inlineStr">
        <is>
          <t>Weird shits after endoscopy</t>
        </is>
      </c>
      <c r="C1734" t="inlineStr">
        <is>
          <t>Anyone else have weird fucking shits after endoscopy? Username not relevant here. I had a thing come out that looked soft and with weird fringe like fibers dangling off of it. It was induced by a bidet and probably not ready to come out on its own yet, if that matters, but I had an endoscopy the day before yesterday and it was my first one since. Not sure if I should be concerned. Thanks!</t>
        </is>
      </c>
      <c r="D1734" t="n">
        <v>5</v>
      </c>
      <c r="E1734" t="n">
        <v>9</v>
      </c>
      <c r="F1734">
        <f>HYPERLINK("https://www.reddit.com/r/GERD/comments/c7rdmt/weird_shits_after_endoscopy/")</f>
        <v/>
      </c>
      <c r="G1734" t="inlineStr">
        <is>
          <t>2019-07-01 04:24:19</t>
        </is>
      </c>
      <c r="H1734" t="inlineStr"/>
    </row>
    <row r="1735">
      <c r="A1735" t="inlineStr">
        <is>
          <t>c7uyle</t>
        </is>
      </c>
      <c r="B1735" t="inlineStr">
        <is>
          <t>Ranitidine 2x day, omeprazole for breakthrough GERD?</t>
        </is>
      </c>
      <c r="C1735" t="inlineStr">
        <is>
          <t>My new doctor wants me to kick omeprazole which I've been taking about **15  years**.   Yeah, I got a scope about 2004, they didn't find anything and I said what about my heartburn and \*someone\* said just take omeprazole 20mg.
&amp;amp;#x200B;
And I thought wow, I guess it's okay to take that longer than 2 weeks after all...and I was fine, no problem.  A couple years ago I started to worry about all this but my PCP didn't seem to think it was any big deal.  Now my New Young Doctor wants me off it PDQ and told me to take ranitidine instead and use omeprazole for breakthrough.
&amp;amp;#x200B;
But does it really work this way?  Seems like it should be the other way around because omeprazole has to build up serum levels whereas ranitidine is fast acting, right?  I've been off omeprazole two whole weeks now, and it's not pleasant.  But if I ask her she'll think I'm just another noncompliant whiner questioning her judgement.</t>
        </is>
      </c>
      <c r="D1735" t="n">
        <v>8</v>
      </c>
      <c r="E1735" t="n">
        <v>17</v>
      </c>
      <c r="F1735">
        <f>HYPERLINK("https://www.reddit.com/r/GERD/comments/c7uyle/ranitidine_2x_day_omeprazole_for_breakthrough_gerd/")</f>
        <v/>
      </c>
      <c r="G1735" t="inlineStr">
        <is>
          <t>2019-07-01 09:22:46</t>
        </is>
      </c>
      <c r="H1735" t="inlineStr"/>
    </row>
    <row r="1736">
      <c r="A1736" t="inlineStr">
        <is>
          <t>c7zbpf</t>
        </is>
      </c>
      <c r="B1736" t="inlineStr">
        <is>
          <t>I feel like I have forgotten how to breath normally</t>
        </is>
      </c>
      <c r="C1736" t="inlineStr">
        <is>
          <t>I have had GERD for a few years now and a big symptom for me is shortness of breath. I feel like I am short of breath constantly now and that I have to focus on breathing manually. With this manual breathing, I feel like I am not getting  big enough breaths. I believe this is called “air hunger.” I’m sure some of this has to do with anxiety but I don’t remember the last time I could breath comfortably without really thinking about it. Does anyone else experience this and do you have any tips?</t>
        </is>
      </c>
      <c r="D1736" t="n">
        <v>16</v>
      </c>
      <c r="E1736" t="n">
        <v>9</v>
      </c>
      <c r="F1736">
        <f>HYPERLINK("https://www.reddit.com/r/GERD/comments/c7zbpf/i_feel_like_i_have_forgotten_how_to_breath/")</f>
        <v/>
      </c>
      <c r="G1736" t="inlineStr">
        <is>
          <t>2019-07-01 12:59:53</t>
        </is>
      </c>
      <c r="H1736" t="inlineStr"/>
    </row>
    <row r="1737">
      <c r="A1737" t="inlineStr">
        <is>
          <t>c7zln1</t>
        </is>
      </c>
      <c r="B1737" t="inlineStr">
        <is>
          <t>Does anyone else have a cough? Or constant need to clear the throat?</t>
        </is>
      </c>
      <c r="C1737" t="inlineStr">
        <is>
          <t>I’ve had some pretty bad anxiety about it over the past month and I am currently on a waiting list for an endoscopy to investigate my symptoms, for now I have been lead to believe I have GERD based of what the doctors and specialists have said but everything I have seen online leads to esophagal cancer and I just wanted to know if I’m alone or if anyone else has it as well.</t>
        </is>
      </c>
      <c r="D1737" t="n">
        <v>8</v>
      </c>
      <c r="E1737" t="n">
        <v>8</v>
      </c>
      <c r="F1737">
        <f>HYPERLINK("https://www.reddit.com/r/GERD/comments/c7zln1/does_anyone_else_have_a_cough_or_constant_need_to/")</f>
        <v/>
      </c>
      <c r="G1737" t="inlineStr">
        <is>
          <t>2019-07-01 13:21:20</t>
        </is>
      </c>
      <c r="H1737" t="inlineStr"/>
    </row>
    <row r="1738">
      <c r="A1738" t="inlineStr">
        <is>
          <t>c803xu</t>
        </is>
      </c>
      <c r="B1738" t="inlineStr">
        <is>
          <t>LPR success stories</t>
        </is>
      </c>
      <c r="C1738" t="inlineStr">
        <is>
          <t>Any success stories here? Have some LPR flaring up and need some advice on what to do. Eat very clean, take all the supps everyone recommends, sleep propped up, no success. Elimination diet? Less protein? I’m lost. Thanks guys</t>
        </is>
      </c>
      <c r="D1738" t="n">
        <v>4</v>
      </c>
      <c r="E1738" t="n">
        <v>19</v>
      </c>
      <c r="F1738">
        <f>HYPERLINK("https://www.reddit.com/r/GERD/comments/c803xu/lpr_success_stories/")</f>
        <v/>
      </c>
      <c r="G1738" t="inlineStr">
        <is>
          <t>2019-07-01 14:02:57</t>
        </is>
      </c>
      <c r="H1738" t="inlineStr"/>
    </row>
    <row r="1739">
      <c r="A1739" t="inlineStr">
        <is>
          <t>c809ui</t>
        </is>
      </c>
      <c r="B1739" t="inlineStr">
        <is>
          <t>20 mg Omeprazole??</t>
        </is>
      </c>
      <c r="C1739" t="inlineStr">
        <is>
          <t>How long does one tablet 20 mg of Omeprazole take to leave your body ?</t>
        </is>
      </c>
      <c r="D1739" t="n">
        <v>3</v>
      </c>
      <c r="E1739" t="n">
        <v>0</v>
      </c>
      <c r="F1739">
        <f>HYPERLINK("https://www.reddit.com/r/GERD/comments/c809ui/20_mg_omeprazole/")</f>
        <v/>
      </c>
      <c r="G1739" t="inlineStr">
        <is>
          <t>2019-07-01 14:16:15</t>
        </is>
      </c>
      <c r="H1739" t="inlineStr"/>
    </row>
    <row r="1740">
      <c r="A1740" t="inlineStr">
        <is>
          <t>c82iwg</t>
        </is>
      </c>
      <c r="B1740" t="inlineStr">
        <is>
          <t>Omeprazole side effects??</t>
        </is>
      </c>
      <c r="C1740" t="inlineStr">
        <is>
          <t>Is anyone else taking omeprazole 40 mg and experiencing side effects?? If so what are they!</t>
        </is>
      </c>
      <c r="D1740" t="n">
        <v>5</v>
      </c>
      <c r="E1740" t="n">
        <v>16</v>
      </c>
      <c r="F1740">
        <f>HYPERLINK("https://www.reddit.com/r/GERD/comments/c82iwg/omeprazole_side_effects/")</f>
        <v/>
      </c>
      <c r="G1740" t="inlineStr">
        <is>
          <t>2019-07-01 17:40:51</t>
        </is>
      </c>
      <c r="H1740" t="inlineStr"/>
    </row>
    <row r="1741">
      <c r="A1741" t="inlineStr">
        <is>
          <t>c82j1p</t>
        </is>
      </c>
      <c r="B1741" t="inlineStr">
        <is>
          <t>LPR--Who to see?</t>
        </is>
      </c>
      <c r="C1741" t="inlineStr">
        <is>
          <t>I received a diagnosis of LPR from an ENT, but she didn't get too much into details, as my major diagnosis (and the reason I was visiting in the first place) was vocal nodes. Since I saw her, I've been taking Zantac 150mg twice a day every day, got a wedge to sleep on, cut out alcohol, caffeine, and red meat among other things, and so forth. My reflux got marginally better for awhile, but as I've become a bit more lax with my foods (i.e. eating things with chocolate again, trying some non-water drinks), it's rearing its ugly head once more. I'm pretty nervous, because it's interacting with my vocal nodes in a way that is harming them and making those problems far worse. My ENT now doesn't really say much about it and says when he scopes me that he can't see anything severe, so it must not be a huge problem, but I feel it all the time. I'm wondering if there's another type of doctor I should be seeing? Who specializes in LPR? I can't really find anyone, as Gastroenterologists seem to focus on GERD, which is another beast. Any perspective would be very much appreciated.</t>
        </is>
      </c>
      <c r="D1741" t="n">
        <v>2</v>
      </c>
      <c r="E1741" t="n">
        <v>5</v>
      </c>
      <c r="F1741">
        <f>HYPERLINK("https://www.reddit.com/r/GERD/comments/c82j1p/lprwho_to_see/")</f>
        <v/>
      </c>
      <c r="G1741" t="inlineStr">
        <is>
          <t>2019-07-01 17:41:18</t>
        </is>
      </c>
      <c r="H1741" t="inlineStr"/>
    </row>
    <row r="1742">
      <c r="A1742" t="inlineStr">
        <is>
          <t>c85p9f</t>
        </is>
      </c>
      <c r="B1742" t="inlineStr">
        <is>
          <t>GERD Symptoms while on Nexium (esomeprazole)</t>
        </is>
      </c>
      <c r="C1742" t="inlineStr">
        <is>
          <t>I’d like to know if anyone has experienced these symptoms before and if they have similar symptoms without infection.
About four months ago I began having GERD symptoms.  What was strange is I only noticed these flair ups when driving a car.  It would involve a lot of bloating and burping while driving but shortly after getting out it would stop.  
About 2 months ago I randomly broke out in a rash and was prescribed Prednisone to take care of it.  Upon the second day of taking the prednisone while driving I had a large chest pain.  I went to the emergency room and was told that my vitals were fine and could only be diagnosed with GERD.  I got in contact with a GI Doctor and was scheduled an Endoscopy and Ultrasound.  Ultrasound did not come back with anything but the Endoscopy showed that I had a stomach ulcer.  Biopsies came back negative for H. pylori infection in my stomach and Esophagus.  I was instructed to take 40mg of omeprazole for three months and to meet with the doctor after four months.
I’ve had to switch from omeprazole to esomeprazole because of bad headache side effects from the omeprazole.  
Since taking the esomeprazole I’m still having GERD symptoms when driving the car and have often flair ups even when taking the PPI.  These flair ups will occur with or without eating.  I’m still having consistent headaches but not as bad as before.  I’m still experiencing what feels like random/sharp stomach pain periodically which is usually followed by burping.
I’m experiencing a lot of chest and back pain.  After a physical examination my doctor determined this pain was muscular/skeletal because of tenderness in my chest and back and it likely to be costocondritis symptoms.
With talking to friends and family about this situation many believe that high stress is causing a lot of these issues.  I went to the urgent care to speak with a doctor (my GP was not available for awhile) about additional muscular/skeletal pain I’ve been experiencing in my legs, arms, neck and cheekbones.  The doctor ordered a Vitamin B12 and Vitamin D-25 Hydroxy test.  My Vitamin B12 was in range but Vitamin D-25 Hydroxy measured low (19.7).  As of yet no sort of supplement was prescribed for this but because of the believed stress I was prescribed Cymbalta.  Since taking the Cymbalta I’ve been experiencing some constipstion.
Do these symptoms make sense for just having an ulcer without H.Pylori infection?  I find it odd to be having continued stomach and muscular/skeletal pain without any diagnosed infection.</t>
        </is>
      </c>
      <c r="D1742" t="n">
        <v>2</v>
      </c>
      <c r="E1742" t="n">
        <v>7</v>
      </c>
      <c r="F1742">
        <f>HYPERLINK("https://www.reddit.com/r/GERD/comments/c85p9f/gerd_symptoms_while_on_nexium_esomeprazole/")</f>
        <v/>
      </c>
      <c r="G1742" t="inlineStr">
        <is>
          <t>2019-07-01 23:17:15</t>
        </is>
      </c>
      <c r="H1742" t="inlineStr"/>
    </row>
    <row r="1743">
      <c r="A1743" t="inlineStr">
        <is>
          <t>c87m2b</t>
        </is>
      </c>
      <c r="B1743" t="inlineStr">
        <is>
          <t>Tongue feels burned?</t>
        </is>
      </c>
      <c r="C1743" t="inlineStr">
        <is>
          <t>Does anyone else get a sensation where their tongue feels burned or raw? I’ve been dealing it it constantly lately and I can’t seem to figure out how to fix it! Is this a gerd symptom or could it be something else? It definitely scares and concerns me because it’s so noticeable when I eat etc.</t>
        </is>
      </c>
      <c r="D1743" t="n">
        <v>4</v>
      </c>
      <c r="E1743" t="n">
        <v>8</v>
      </c>
      <c r="F1743">
        <f>HYPERLINK("https://www.reddit.com/r/GERD/comments/c87m2b/tongue_feels_burned/")</f>
        <v/>
      </c>
      <c r="G1743" t="inlineStr">
        <is>
          <t>2019-07-02 03:28:41</t>
        </is>
      </c>
      <c r="H1743" t="inlineStr"/>
    </row>
    <row r="1744">
      <c r="A1744" t="inlineStr">
        <is>
          <t>c89da8</t>
        </is>
      </c>
      <c r="B1744" t="inlineStr">
        <is>
          <t>Nexium control?</t>
        </is>
      </c>
      <c r="C1744" t="inlineStr">
        <is>
          <t>I have the occasional symptom of excessive burping and gas and a bit of bloating, it feels really uncomfortable in my throat sometimes often likes theres food coming back up.
Whenever i take nexium my symptoms clear up for a good 2 days from 1 tablet, am I okay to take these long term?</t>
        </is>
      </c>
      <c r="D1744" t="n">
        <v>2</v>
      </c>
      <c r="E1744" t="n">
        <v>1</v>
      </c>
      <c r="F1744">
        <f>HYPERLINK("https://www.reddit.com/r/GERD/comments/c89da8/nexium_control/")</f>
        <v/>
      </c>
      <c r="G1744" t="inlineStr">
        <is>
          <t>2019-07-02 06:41:40</t>
        </is>
      </c>
      <c r="H1744" t="inlineStr"/>
    </row>
    <row r="1745">
      <c r="A1745" t="inlineStr">
        <is>
          <t>c89n7d</t>
        </is>
      </c>
      <c r="B1745" t="inlineStr">
        <is>
          <t>Vomiting</t>
        </is>
      </c>
      <c r="C1745" t="inlineStr">
        <is>
          <t>The chest and back pains of my acid reflux are pretty severe, usually lasts hours, over 24 if you count the waves it comes in. I just started taking medicine a few days ago and I am working on exercising regularly, but I am struggling to find emergency relief. I've tried tums, gum, massaging my chest, yoga, nothing really works. I just now tried a bit of baking soda in water, but it just made me want to throw up. I'm wondering if maybe throwing up would help relieve the attack? I tried looking it up, but all I could find were things saying that vomiting can be caused by GERD (yeah, thanks, I knew that).</t>
        </is>
      </c>
      <c r="D1745" t="n">
        <v>3</v>
      </c>
      <c r="E1745" t="n">
        <v>2</v>
      </c>
      <c r="F1745">
        <f>HYPERLINK("https://www.reddit.com/r/GERD/comments/c89n7d/vomiting/")</f>
        <v/>
      </c>
      <c r="G1745" t="inlineStr">
        <is>
          <t>2019-07-02 07:07:52</t>
        </is>
      </c>
      <c r="H1745" t="inlineStr"/>
    </row>
    <row r="1746">
      <c r="A1746" t="inlineStr">
        <is>
          <t>c8bgnn</t>
        </is>
      </c>
      <c r="B1746" t="inlineStr">
        <is>
          <t>Fixing a Hiatal hernia by jumping or massaging it back. Does this work?</t>
        </is>
      </c>
      <c r="C1746" t="inlineStr">
        <is>
          <t>There are so many YT videos of people fixing it- like  [https://www.youtube.com/watch?v=6iJOrRcZpJk&amp;amp;t=395s](https://www.youtube.com/watch?v=6iJOrRcZpJk&amp;amp;t=395s) 
&amp;amp;#x200B;
Is this BS or will it work? I think I have a small one but and am hoping this could fix my GERD for good as Nexium hasn't helped it to stop.</t>
        </is>
      </c>
      <c r="D1746" t="n">
        <v>3</v>
      </c>
      <c r="E1746" t="n">
        <v>18</v>
      </c>
      <c r="F1746">
        <f>HYPERLINK("https://www.reddit.com/r/GERD/comments/c8bgnn/fixing_a_hiatal_hernia_by_jumping_or_massaging_it/")</f>
        <v/>
      </c>
      <c r="G1746" t="inlineStr">
        <is>
          <t>2019-07-02 09:40:10</t>
        </is>
      </c>
      <c r="H1746" t="inlineStr"/>
    </row>
    <row r="1747">
      <c r="A1747" t="inlineStr">
        <is>
          <t>c8g8al</t>
        </is>
      </c>
      <c r="B1747" t="inlineStr">
        <is>
          <t>Possible LPR x sleep apnea ?</t>
        </is>
      </c>
      <c r="C1747" t="inlineStr">
        <is>
          <t>I’ve stumbled on to LPR after hours and hours of researching. 
I’ve been suffering for 2 months. Been to 2 ENTs and they jumped on to the sleep apnea train instantly (probably based on my weight). I’ve done a sleep study and now I’m even on cpap.  Also tried steroid sprays and antihistamines without any luck.  
It all started mid April. I had issues while trying to sleep. It felt like my throat got narrower and I had too much mucus. But it was very deep down and I can only cough out abit. It was so bad that sometimes my burp will get caught and it’ll be trapped in a bubble. 
Why I doubt it’s sleep apnea related is because my biggest symptom moving forward is randomly throughout the day. I feel obstruction in the throat like something got bigger in the airway making it harder to breathe. There is no pain but the inner throat feels very tight. Normally this happens in the first half of the day. I went for a massage once and while lying flat on the massage table, it felt like I was breathing out of a straw. I went home and tried to recreate it and i was fine. 
Another thing that I’m experiencing in the last few days is nauseousness after meals. Like liquid/food isn’t being allowed into my stomach and is piled up in my upper chest. 
I don’t have any issues with my voice. I don’t have chronic coughing. No sore throats. 
I am slowly realizing that it could possibly be LPR.
Thoughts?</t>
        </is>
      </c>
      <c r="D1747" t="n">
        <v>5</v>
      </c>
      <c r="E1747" t="n">
        <v>2</v>
      </c>
      <c r="F1747">
        <f>HYPERLINK("https://www.reddit.com/r/GERD/comments/c8g8al/possible_lpr_x_sleep_apnea/")</f>
        <v/>
      </c>
      <c r="G1747" t="inlineStr">
        <is>
          <t>2019-07-02 15:46:20</t>
        </is>
      </c>
      <c r="H1747" t="inlineStr"/>
    </row>
    <row r="1748">
      <c r="A1748" t="inlineStr">
        <is>
          <t>c8gcq4</t>
        </is>
      </c>
      <c r="B1748" t="inlineStr">
        <is>
          <t>Good detox diet for GERD possibly with hiatal hernia?</t>
        </is>
      </c>
      <c r="C1748" t="inlineStr">
        <is>
          <t>Hi, everyone:
I'm not sure if others have experienced this, but I've improved my lifestyle so much since my GERD started and lost about 10 pounds of the 15-20 I gained and I'm still having issues--mostly swallowing issues, throat pain and esophageal or diaphragm spasms. It feels like a possible hiatal hernia, a concern which most doctors have ignored when I've brought it up with them. 
I can't for the life of me figure out what to do about it. I eat too much, GERD. I eat too little, GERD. My abdomen looks swollen no matter how much weight I lose. And I'm concerned about the last effects. My throat has never been sore with this before but the last couple weeks it's been rough. 
Does anyone know if there's a good detox diet for GERD? I'd be willing to eat the same thing every day for a week or two if it would help me. I've been trying to eat healthy but my body acts up and almost feels *worse* when I don't eat enough.</t>
        </is>
      </c>
      <c r="D1748" t="n">
        <v>4</v>
      </c>
      <c r="E1748" t="n">
        <v>13</v>
      </c>
      <c r="F1748">
        <f>HYPERLINK("https://www.reddit.com/r/GERD/comments/c8gcq4/good_detox_diet_for_gerd_possibly_with_hiatal/")</f>
        <v/>
      </c>
      <c r="G1748" t="inlineStr">
        <is>
          <t>2019-07-02 15:57:13</t>
        </is>
      </c>
      <c r="H1748" t="inlineStr"/>
    </row>
    <row r="1749">
      <c r="A1749" t="inlineStr">
        <is>
          <t>c8hf60</t>
        </is>
      </c>
      <c r="B1749" t="inlineStr">
        <is>
          <t>Eating problems/throat pain</t>
        </is>
      </c>
      <c r="C1749" t="inlineStr">
        <is>
          <t>Hi, I am new here! I hope someone in this community is able to help me with this problem.
I went to an ENT doctor last month and they said I had GERD. I started having swallowing and eating problems ever since I had a big piece of meat stuck in my throat for about 1-2 weeks. I think that’s what may have triggered my acid reflux.
I’m not familiar with GERD and acid reflux because I don’t think I’ve had it before. But after the ENT visit I just feel like the symptoms are getting worse with my throat. 
Before I went to the ENT, I had been eating only puree. After the ENT appointment, I have been trying to gradually eat soft foods and semi solids but it’s been very difficult and painful. 
Is it normal for my throat to hurt when eating and swallowing food?
It really feels as if I had forgotten to eat and swallow food properly :( Is this normal?
I don’t want to keep taking the medications because I don’t think it’s effective. My throat feels like it’s slightly burning. The throat feels really tight all the time and mucus inside. And food choices is quite limited right now, I can’t eat any solid meats except for maybe very small amounts of soft fish. I have been trying to follow the diet to prevent GERD flareups but still painful and difficult to eat/swallow. My diet right now have mainly been bread and pureed fruits. I have been avoiding eating too much dairy because I know it is bad if there are mucus and my body doesn’t react well to too much dairy. 
I want to eat normally soon and this eating problem is causing me some stress.
Would like to know if swallowing problems is normal? and the painful throat/difficulty eating?
Is this more of a throat and swallowing problem than it is an acid reflux issue or both?
Thank you all in advance!</t>
        </is>
      </c>
      <c r="D1749" t="n">
        <v>3</v>
      </c>
      <c r="E1749" t="n">
        <v>5</v>
      </c>
      <c r="F1749">
        <f>HYPERLINK("https://www.reddit.com/r/GERD/comments/c8hf60/eating_problemsthroat_pain/")</f>
        <v/>
      </c>
      <c r="G1749" t="inlineStr">
        <is>
          <t>2019-07-02 17:38:45</t>
        </is>
      </c>
      <c r="H1749" t="inlineStr"/>
    </row>
    <row r="1750">
      <c r="A1750" t="inlineStr">
        <is>
          <t>c8hq9k</t>
        </is>
      </c>
      <c r="B1750" t="inlineStr">
        <is>
          <t>Suffered from GERD for almost 10 years now.. But I've never seen this.</t>
        </is>
      </c>
      <c r="C1750" t="inlineStr">
        <is>
          <t>Had a cough the other day that was really irritating and making my lungs feel gross, next day wasn't so bad, and today it's almost completely gone. But what I noticed when I looked into the back of my throat was these swollen red patches on my pharynx. I did research and it looks like it could be cobblestone throat from silent reflux? I get it pretty bad when I go to bed/lay down. There's been nights in my life I'd wakeup choking on my stomach acid but got that under control and hasn't happened in years. Was just worried this was cancer or something so I thought I'd check in here to see if anyone else has had something like this.
&amp;amp;#x200B;
[https://imgur.com/a/7AomQwA/](https://imgur.com/a/7AomQwA/)</t>
        </is>
      </c>
      <c r="D1750" t="n">
        <v>9</v>
      </c>
      <c r="E1750" t="n">
        <v>7</v>
      </c>
      <c r="F1750">
        <f>HYPERLINK("https://www.reddit.com/r/GERD/comments/c8hq9k/suffered_from_gerd_for_almost_10_years_now_but/")</f>
        <v/>
      </c>
      <c r="G1750" t="inlineStr">
        <is>
          <t>2019-07-02 18:09:20</t>
        </is>
      </c>
      <c r="H1750" t="inlineStr"/>
    </row>
    <row r="1751">
      <c r="A1751" t="inlineStr">
        <is>
          <t>c8hwb0</t>
        </is>
      </c>
      <c r="B1751" t="inlineStr">
        <is>
          <t>Will I be asleep for endoscopy with Propofol?</t>
        </is>
      </c>
      <c r="C1751" t="inlineStr">
        <is>
          <t>I have an upper endoscopy tomorrow. They said I will be given Propofol. Does this actually put you out fully or just make you relaxed?</t>
        </is>
      </c>
      <c r="D1751" t="n">
        <v>2</v>
      </c>
      <c r="E1751" t="n">
        <v>11</v>
      </c>
      <c r="F1751">
        <f>HYPERLINK("https://www.reddit.com/r/GERD/comments/c8hwb0/will_i_be_asleep_for_endoscopy_with_propofol/")</f>
        <v/>
      </c>
      <c r="G1751" t="inlineStr">
        <is>
          <t>2019-07-02 18:26:32</t>
        </is>
      </c>
      <c r="H1751" t="inlineStr"/>
    </row>
    <row r="1752">
      <c r="A1752" t="inlineStr">
        <is>
          <t>c8if8t</t>
        </is>
      </c>
      <c r="B1752" t="inlineStr">
        <is>
          <t>Need advice on how to get better</t>
        </is>
      </c>
      <c r="C1752" t="inlineStr">
        <is>
          <t>Okay, so I was born with tracheoesophageal fistula, and as a result I have an hourglass shaped esophagus and GERD. I’m 20 years old now, and sometimes it’s still hellish to deal with. Some nights I have persistent heartburn/acid reflux, and I also can’t swallow pills without them getting stuck in my esophagus, which is something my mom reduces to an irrational fear. On rare occasions, I have episodes where food gets stuck into my throat. Sometimes it takes hours to wash down, but I remember there was an instance back in 2010 when I got a chicken nugget lodged into my throat and couldn’t wash it down, so I ended up having to go to the hospital to get it surgically removed. In addition to that, the doctors dilated my esophagus. When I was finally given the green light to eat after that dilation, it was almost magical for me. I could get things down so easily, and for the next couple years of my life, I was never scared to eat.
These days, I fear the exact same thing could happen again. I have to take antacids practically every night before I go to bed, and for the past couple of days, it’s been extremely difficult for me to swallow food without having to look awkward by pushing it down. I nearly had an instance today where I almost got a piece of pizza stuck in my throat, though after a lot of persistence, I was able to wash it down. It was painful though, and it made me want to avoid eating for the rest of the day. I was able to eat some cereal about an hour ago without any problems, but I still fear that something is gonna get lodged in there again one of these days, and I wouldn’t wish that type of pain and discomfort on my worst enemy.
This all being said, I’ve been thinking about scheduling an appointment with a doctor, though that brings a lot of complications on its own. I wanna see if I could get my esophagus checked out and possibly dilated again, but my family and I moved to a rural area for the summer, and the only healthcare that’s accessible around here is a small clinic. Would a small clinic be able to provide the type of care that I want? In addition, I’m not sure about my insurance information, and I don’t want to ask my mom about it because I wouldn’t want her to freak out about the fact that I want to see a doctor for something she thinks is such a small issue. No matter how much I try to convince her, all I hear from her is “just take smaller bites” and “You can swallow that pill, I’ve seen you swallow bigger bites of food, you’re just afraid.” and it really frustrates me. She knows I was born with this condition, and she knows my esophagus is narrow, so I really can’t fathom why she doesn’t understand what I’m going through sometimes. 
I feel like I’m all alone on this, and I just want some advice. I don’t want to be scared to eat. I don’t want all these worries in the back of my head. I just want to get better, and I don’t know where to start. 
Thanks to all who took the time to read this, and I apologize if it was too lengthy. This is just something I seldom talk about; I hope you all understand.</t>
        </is>
      </c>
      <c r="D1752" t="n">
        <v>7</v>
      </c>
      <c r="E1752" t="n">
        <v>3</v>
      </c>
      <c r="F1752">
        <f>HYPERLINK("https://www.reddit.com/r/GERD/comments/c8if8t/need_advice_on_how_to_get_better/")</f>
        <v/>
      </c>
      <c r="G1752" t="inlineStr">
        <is>
          <t>2019-07-02 19:20:11</t>
        </is>
      </c>
      <c r="H1752" t="inlineStr"/>
    </row>
    <row r="1753">
      <c r="A1753" t="inlineStr">
        <is>
          <t>c8ira0</t>
        </is>
      </c>
      <c r="B1753" t="inlineStr">
        <is>
          <t>For those who have had Nissen - What weight limit did your doctor put on you, and for how long? Also some other questions about surgery. Lots to think about.</t>
        </is>
      </c>
      <c r="C1753" t="inlineStr">
        <is>
          <t>I'm scouring the internet looking for an answer here and I can't find one. The only things I can find refer to avoiding lifting after the immediate recovery period.
I'm heading toward a Nissen. I'll have to be patient, as my doctor is taking things one step at a time. She wants to rule out gastritis due to poor diet (insane amounts of coffee, soda, energy drinks, some beer) before going for an endoscopy.
I have a *hunch* that I have a hiatal hernia and that this is heading toward surgery. I'm also a pessimist, but I've felt like crap for over a month now. I'm on 40 mg omeprazol and 20 mg famotidine daily. I have gradually been improving, although it's quite slow.
My main symptoms are indigestion, a burning or aching abdominal pain (especially in the epigastric area right below the sternum), and heartburn/reflux. I also suspect I have some LPR going on because I've been having a good amount of  phlegm in my throat and a reluctance to speak, which I think is due to vocal cord inflammation. 
Because my symptoms aren't classic for hiatal hernia, my doctor diagnosed gastritis until we know more. I'm having a follow-up with her on July 24th. I hope I'm wrong, but I suspect I'll still be battling this by then, so I'll be sent for an endoscopy.
Assuming they find a hiatal hernia, I again suspect that it's going to head toward surgery because my diet is impeccable, I'm doing everything right and I still have terrible symptoms.
I've read a bit about Nissen and, after freaking out for a while, it doesn't seem so bad. I am an avid weightlifter and I admit that I will very much miss being able to lift weights, but I guess if it's that or suffer for years, I'll go with that. There are other forms of exercise that are less likely to injure me post-op.
My main concern is actually that my job requires me to be able to frequently and repeatedly lift and move up to 50 lbs without assistance. I work in airport security so I move and carry luggage quite frequently. This job is also where I get my insurance, which I absolutely am going to need both for the diagnostic as well as the surgical portions of this process.
So, is being able to move 50 lbs frequently throughout the day going to be a reasonable expectation post op? Or should I start exploring a career change that I can transition to after surgery?
The other issue is how to bring this up to my employer. I have sick time that I can take for appointments. For surgery and recovery it gets a bit trickier. They'll drain my accounts of leave, and after that it's up to the director whether to allow me to stay on payroll without pay, or just fire me. I kind of doubt I'd get fired, but, if they *knew* I wasn't going to be able to return to the job, they won't be able to keep me around. So it's kind of a crummy thing to do, but I'm thinking I should keep my mouth shut until the surgery is over with and insurance has paid its portion?
That doesn't constitute insurance fraud, does it? I figure I'm covered up until the point my employment is terminated, which won't take place until I'm back on the job and expected to be able to perform my duties.
Anyway, it's a lot to think about. I know some of you are going to tell me that I'm jumping the gun here, and maybe you're right, but I honestly can't think of anything else this could be. I doubt it's gastritis after a month of treatment has only made mild/moderate improvements. I doubt it's routine GERD, because of the abdominal pain and just general level of awfulness I've been going through. That leaves, basically, a large hernia or a mystery disease of unknown origin, both of which are shitty prospects.
I'll know more after my endoscopy. I do wish my doctor would just schedule one for me, but she's really insistent that we give it several weeks on PPIs and H2 to see if it really is just gastritis that resolves. I can see her point, but all this is really doing is prolonging where I think this is heading anyway.</t>
        </is>
      </c>
      <c r="D1753" t="n">
        <v>2</v>
      </c>
      <c r="E1753" t="n">
        <v>35</v>
      </c>
      <c r="F1753">
        <f>HYPERLINK("https://www.reddit.com/r/GERD/comments/c8ira0/for_those_who_have_had_nissen_what_weight_limit/")</f>
        <v/>
      </c>
      <c r="G1753" t="inlineStr">
        <is>
          <t>2019-07-02 19:54:25</t>
        </is>
      </c>
      <c r="H1753" t="inlineStr"/>
    </row>
    <row r="1754">
      <c r="A1754" t="inlineStr">
        <is>
          <t>c8o3yu</t>
        </is>
      </c>
      <c r="B1754" t="inlineStr">
        <is>
          <t>Is it GERD or something else?</t>
        </is>
      </c>
      <c r="C1754" t="inlineStr">
        <is>
          <t>I’ve been feeling nauseous, dizzy (felt like passing out twice at work), knot in my throat, fatigue, chest discomfort vomiting and throwing up.
I quit smoking vape over a week ago which gave me some anxiety when my body was craving nicotine. Ive been feeling super sick for two weeks now. Ive been drinking Pantoprazole 40mg for about 5 days and symptoms are somewhat getting worse especially the nausea.
 Ive been to the ER twice, blood work negative, EKG negativity. They recommend an endoscopy which I had one done 3 years ago only to be told i had mild GERD. Curious if anyone here had these symptoms as well? 
I also cant seem to work as my uniform is heavy and tight. 15mins at works i get super nauseous and feeling passing out and break out in cold sweats. Most days I wake up dry heaving and just feeling terrible. I suspect some of these symptoms are due to the anxiety I’ve build up in the last two weeks. Im even scared to be at work at this point.
Anyone have a clue?</t>
        </is>
      </c>
      <c r="D1754" t="n">
        <v>5</v>
      </c>
      <c r="E1754" t="n">
        <v>23</v>
      </c>
      <c r="F1754">
        <f>HYPERLINK("https://www.reddit.com/r/GERD/comments/c8o3yu/is_it_gerd_or_something_else/")</f>
        <v/>
      </c>
      <c r="G1754" t="inlineStr">
        <is>
          <t>2019-07-03 06:29:59</t>
        </is>
      </c>
      <c r="H1754" t="inlineStr"/>
    </row>
    <row r="1755">
      <c r="A1755" t="inlineStr">
        <is>
          <t>c8pl4x</t>
        </is>
      </c>
      <c r="B1755" t="inlineStr">
        <is>
          <t>Question about the medication Dicyclomine</t>
        </is>
      </c>
      <c r="C1755" t="inlineStr">
        <is>
          <t>I am newly diagnosed with GERD and IBS and my gastroenterologist prescribed me 10mg Dicyclomine to take 3 times a day. Does anyone know anything about this medication and if it can help with GERD/IBS or make it worse. He prescribed me this because I used to take Xifaxan (550mg) but there was a problem with the pharmacy and renewing the prescription so he prescribed me Dicyclomine instead. The Xifaxan did help with my issues almost immediately as I started taking it. After I stopped it, my symptoms have been coming back.</t>
        </is>
      </c>
      <c r="D1755" t="n">
        <v>2</v>
      </c>
      <c r="E1755" t="n">
        <v>4</v>
      </c>
      <c r="F1755">
        <f>HYPERLINK("https://www.reddit.com/r/GERD/comments/c8pl4x/question_about_the_medication_dicyclomine/")</f>
        <v/>
      </c>
      <c r="G1755" t="inlineStr">
        <is>
          <t>2019-07-03 08:40:00</t>
        </is>
      </c>
      <c r="H1755" t="inlineStr"/>
    </row>
    <row r="1756">
      <c r="A1756" t="inlineStr">
        <is>
          <t>c8pxj8</t>
        </is>
      </c>
      <c r="B1756" t="inlineStr">
        <is>
          <t>Chest constantly hurts</t>
        </is>
      </c>
      <c r="C1756" t="inlineStr">
        <is>
          <t>Is it because of my hernia or because of gerd or both? I do take 20 mg of nexium and occasionally take double action gaviscone, yet my chest constantly hurts so bad and especially after i eat.</t>
        </is>
      </c>
      <c r="D1756" t="n">
        <v>3</v>
      </c>
      <c r="E1756" t="n">
        <v>15</v>
      </c>
      <c r="F1756">
        <f>HYPERLINK("https://www.reddit.com/r/GERD/comments/c8pxj8/chest_constantly_hurts/")</f>
        <v/>
      </c>
      <c r="G1756" t="inlineStr">
        <is>
          <t>2019-07-03 09:09:02</t>
        </is>
      </c>
      <c r="H1756" t="inlineStr"/>
    </row>
    <row r="1757">
      <c r="A1757" t="inlineStr">
        <is>
          <t>c8qqkz</t>
        </is>
      </c>
      <c r="B1757" t="inlineStr">
        <is>
          <t>Did my PPIs cause SIBO?</t>
        </is>
      </c>
      <c r="C1757" t="inlineStr">
        <is>
          <t>Here’s my backstory: I have been on omeprazole for about 5 weeks after being diagnosed with reflux esophagitis at the end of May. 
Things were going really well, but about two weeks into the omeprazole, I suddenly began having terrible stomach cramps, upper abdominal bloating, and nausea. I also have this weird tightness right below my left ribs. 
These are completely new symptoms that weren’t present at all prior to starting the meds. I’ve read a lot about the absence of acid allowing overgrowth of gut bacteria and I’m worried this is what’s happened. Is my body even capable of restoring equilibrium after the drugs are stopped? 
I also have IBS-C, which is doing better than ever and I’m so paranoid that this is ruining my gut microbe and all the IBS progress I’ve made is also going to be lost. 
I really dislike the gastro that I’ve been seeing but I don’t have the time to find a new doc at the moment so I was hoping for some opinions here.</t>
        </is>
      </c>
      <c r="D1757" t="n">
        <v>4</v>
      </c>
      <c r="E1757" t="n">
        <v>9</v>
      </c>
      <c r="F1757">
        <f>HYPERLINK("https://www.reddit.com/r/GERD/comments/c8qqkz/did_my_ppis_cause_sibo/")</f>
        <v/>
      </c>
      <c r="G1757" t="inlineStr">
        <is>
          <t>2019-07-03 10:14:08</t>
        </is>
      </c>
      <c r="H1757" t="inlineStr"/>
    </row>
    <row r="1758">
      <c r="A1758" t="inlineStr">
        <is>
          <t>c8qso2</t>
        </is>
      </c>
      <c r="B1758" t="inlineStr">
        <is>
          <t>Do any of you guys have achalasia? I suspect that I might have it</t>
        </is>
      </c>
      <c r="C1758" t="inlineStr">
        <is>
          <t>I wonder if I have it in addition to GERD. Whenever I eat, it backs up halfway up my throat and I have to drink a ton of water to make it go down immediately and if I don't drink something immediately, I get hiccups. Also, food can come up easily after I eat, particularly if I move. I have had an endoscopy but all my doctor found was some narrowing and that's it. Would it have been found in an an endscopy?</t>
        </is>
      </c>
      <c r="D1758" t="n">
        <v>1</v>
      </c>
      <c r="E1758" t="n">
        <v>13</v>
      </c>
      <c r="F1758">
        <f>HYPERLINK("https://www.reddit.com/r/GERD/comments/c8qso2/do_any_of_you_guys_have_achalasia_i_suspect_that/")</f>
        <v/>
      </c>
      <c r="G1758" t="inlineStr">
        <is>
          <t>2019-07-03 10:18:37</t>
        </is>
      </c>
      <c r="H1758" t="inlineStr"/>
    </row>
    <row r="1759">
      <c r="A1759" t="inlineStr">
        <is>
          <t>c8r9q4</t>
        </is>
      </c>
      <c r="B1759" t="inlineStr">
        <is>
          <t>Could it be something different?</t>
        </is>
      </c>
      <c r="C1759" t="inlineStr">
        <is>
          <t>Went to the doc for constant burping and some lower right abdominal pain/cramping been going on for almost 2 months had ultrasound gallbladder is good so is appendix doc thinks its GERD but I rarely have heartburn and dont have any discomfort other than in the lower right abdomen any ideas?</t>
        </is>
      </c>
      <c r="D1759" t="n">
        <v>2</v>
      </c>
      <c r="E1759" t="n">
        <v>1</v>
      </c>
      <c r="F1759">
        <f>HYPERLINK("https://www.reddit.com/r/GERD/comments/c8r9q4/could_it_be_something_different/")</f>
        <v/>
      </c>
      <c r="G1759" t="inlineStr">
        <is>
          <t>2019-07-03 10:56:23</t>
        </is>
      </c>
      <c r="H1759" t="inlineStr"/>
    </row>
    <row r="1760">
      <c r="A1760" t="inlineStr">
        <is>
          <t>c8rhr7</t>
        </is>
      </c>
      <c r="B1760" t="inlineStr">
        <is>
          <t>Chest pain and hiccups</t>
        </is>
      </c>
      <c r="C1760" t="inlineStr">
        <is>
          <t>So I've been having chest pain for about a year and a half now. The only reason I didnt get it checked sooner than now is because it started about 3 months after I had an endoscopy and they found only mild esophagitis. The pain gets worse and better periodically but I have an appointment with my GP to see what we can do to manage my GERD better. I have been taking omeprazole and, although the burning is gone, the belching, the occasionally coughing, and the reflux of food hasn't stopped. 
What I'm concerned about is what this chest pain might be because a couple weeks ago it hurt to swallow. That pain subsided but the chest pain itself hasn't. In addition I sometimes get pain between my shoulderblades. I've also been waking up with hiccups recently too. 
I'm going to talk with my doctor, as I said, about this all soon, and he knows a lot of it, but has anyone gone through anything similar? If you have, was it just gerd or esophagitis? Was it Barrett's or anything worse?</t>
        </is>
      </c>
      <c r="D1760" t="n">
        <v>4</v>
      </c>
      <c r="E1760" t="n">
        <v>8</v>
      </c>
      <c r="F1760">
        <f>HYPERLINK("https://www.reddit.com/r/GERD/comments/c8rhr7/chest_pain_and_hiccups/")</f>
        <v/>
      </c>
      <c r="G1760" t="inlineStr">
        <is>
          <t>2019-07-03 11:14:01</t>
        </is>
      </c>
      <c r="H1760" t="inlineStr"/>
    </row>
    <row r="1761">
      <c r="A1761" t="inlineStr">
        <is>
          <t>c8t2il</t>
        </is>
      </c>
      <c r="B1761" t="inlineStr">
        <is>
          <t>Severe burning pain in back after endoscopy</t>
        </is>
      </c>
      <c r="C1761" t="inlineStr">
        <is>
          <t>I underwent upper endoscopy two months ago. I was half-lying down, resting on left elbow during endoscopy with head facing forward. Is that normal? The endoscope was also inserted and pulled out twice. I also spoke shortly to the doctor during the process. I had pain to the back immediately afterwards and bled from a wound in the throat but thougt that it  was somehow normal to feel uncomfortable afterwards. But the pain in my back, especially between shoulderblades persisted throughout the day and in the evening my reflux of food increased and I also got a terrible pain in front of my stomach. I also had black stool the same evening.Since then I have severe burning pain in the back, all the way up to the neck. It fluctuates between upper back down to lower back. I also have burning/sticking pain in oeasophagus when eating. Also merely speaking causes pain inside in the back.This also started after the endoscopy.  I had mild reflux before the endoscopy but it was never painful. Now life is very difficult with pain throughout the day and night. To work is very hard and I struggle with concentration and often make mistakes. I also have trouble just sitting still and rest. I must rise up and walk around.PPi's like Nexium and Ranitidine only give short relief.Same goes for Gaviscon(liquid/pills) and Rennies. The Doctor say sit is unlikely the endoscopy caused the problems but to me it's obvious
since I don't have a medical history with burning pain to the back and the fact that it started the same day.
This has now also given me anxiety and I am thinking about surgery. Can SSRI's help me? I have read they can increase the reflux even more.</t>
        </is>
      </c>
      <c r="D1761" t="n">
        <v>2</v>
      </c>
      <c r="E1761" t="n">
        <v>1</v>
      </c>
      <c r="F1761">
        <f>HYPERLINK("https://www.reddit.com/r/GERD/comments/c8t2il/severe_burning_pain_in_back_after_endoscopy/")</f>
        <v/>
      </c>
      <c r="G1761" t="inlineStr">
        <is>
          <t>2019-07-03 13:19:16</t>
        </is>
      </c>
      <c r="H1761" t="inlineStr"/>
    </row>
    <row r="1762">
      <c r="A1762" t="inlineStr">
        <is>
          <t>c8tw49</t>
        </is>
      </c>
      <c r="B1762" t="inlineStr">
        <is>
          <t>Is it possible to “obtain” GERD suddenly? If my acid reflux comes when I burp (and small burps are frequent) is that GERD?</t>
        </is>
      </c>
      <c r="C1762" t="inlineStr">
        <is>
          <t>When i turned 20, acid reflux suddenly became a thing in my life but i had 0 problems before.
I dont have typical acid reflux (typical being the ‘flashes’ of reflux coming up but instead i will feel like a burp is coming, so i burp and when i do i feel the burn of acid at the same time or shortly after, and it will be like small frequent burps.
Thoughts?</t>
        </is>
      </c>
      <c r="D1762" t="n">
        <v>3</v>
      </c>
      <c r="E1762" t="n">
        <v>6</v>
      </c>
      <c r="F1762">
        <f>HYPERLINK("https://www.reddit.com/r/GERD/comments/c8tw49/is_it_possible_to_obtain_gerd_suddenly_if_my_acid/")</f>
        <v/>
      </c>
      <c r="G1762" t="inlineStr">
        <is>
          <t>2019-07-03 14:26:34</t>
        </is>
      </c>
      <c r="H1762" t="inlineStr"/>
    </row>
    <row r="1763">
      <c r="A1763" t="inlineStr">
        <is>
          <t>c8ugoj</t>
        </is>
      </c>
      <c r="B1763" t="inlineStr">
        <is>
          <t>GERD, Gastritis or something else?</t>
        </is>
      </c>
      <c r="C1763" t="inlineStr">
        <is>
          <t>Hoping someone can shed some light on this. Been having stomach ache since November. Started out as bloating and burning and loose stools and tested positive for H.Pylori early December. Had antibiotics and PPI etc. that seemed to clear up all my symptoms but they returned a few weeks after finishing the course of pills – feeling more like a dull ache rather than the burning this time round. 
Went back on the PPI (lansoprazole) that cleared up the symptoms again, but came back when I went off them again. Had to move over to ranitidine whilst I waited for a retest on the HP, that came back negative. 
Went back on the PPI for a third time but this time round after 3 weeks the symptoms started to return which has freaked me out. I’m now currently waiting on a date to see a gastro doc. 
As well as this I’ve been getting a thick and sore throat at the back and today I found myself losing my voice. It’s not been at the back of the throat, but more further down, underneath the voice box. I found myself having my voice starting to go as I was talking to friends. 
I’ve not eaten any spicy foods in months and have been following a FODMAP diet, complete with ruling out gluten and dairy, but symptoms still around. 
Anyone had similar symptoms etc?</t>
        </is>
      </c>
      <c r="D1763" t="n">
        <v>3</v>
      </c>
      <c r="E1763" t="n">
        <v>3</v>
      </c>
      <c r="F1763">
        <f>HYPERLINK("https://www.reddit.com/r/GERD/comments/c8ugoj/gerd_gastritis_or_something_else/")</f>
        <v/>
      </c>
      <c r="G1763" t="inlineStr">
        <is>
          <t>2019-07-03 15:14:21</t>
        </is>
      </c>
      <c r="H1763" t="inlineStr"/>
    </row>
    <row r="1764">
      <c r="A1764" t="inlineStr">
        <is>
          <t>c8um4s</t>
        </is>
      </c>
      <c r="B1764" t="inlineStr">
        <is>
          <t>What does globus actually feel like?</t>
        </is>
      </c>
      <c r="C1764" t="inlineStr">
        <is>
          <t>Quick question. I'm just not sure if what's been bothering me is globus sensation, and it seems to be common with GERD and LPR. Do you have it all the time? Only when you eat? Does it come with neck tension / throat tightness around it, or is it just 'there'? Do you feel it towards your thyroid or nearer to the jaw? I feel \*something\* closer to the jaw but not sure if it's globus or a muscle contracture that just hasn't resolved after a panic attack. I do have lots of postnasal drip and cobblestone throat though...
Anyways, thanks for any insights!</t>
        </is>
      </c>
      <c r="D1764" t="n">
        <v>2</v>
      </c>
      <c r="E1764" t="n">
        <v>4</v>
      </c>
      <c r="F1764">
        <f>HYPERLINK("https://www.reddit.com/r/GERD/comments/c8um4s/what_does_globus_actually_feel_like/")</f>
        <v/>
      </c>
      <c r="G1764" t="inlineStr">
        <is>
          <t>2019-07-03 15:27:08</t>
        </is>
      </c>
      <c r="H1764" t="inlineStr"/>
    </row>
    <row r="1765">
      <c r="A1765" t="inlineStr">
        <is>
          <t>c8veoe</t>
        </is>
      </c>
      <c r="B1765" t="inlineStr">
        <is>
          <t>GERD Or Just Ocassional Reflux?</t>
        </is>
      </c>
      <c r="C1765" t="inlineStr">
        <is>
          <t>Over the last few days I have been feeling a burning sensation in my throat after eating, under the Adam’s apple, above the dip in your neck, and am unsure...
The last few days I have also been experiencing stomach troubles and have been taking laxatives which have been clearing me out (was actually at the hospital about a month ago for this... Took the meds and everything was fine but it seemed to come back). So maybe I’m just in an over anxious state?
The **ENT** told me my voice box was inflamed which was a sign of reflux so he gave me **PPI’s**. But I still had issues time to time. He told me I could start wearing myself off of it, Pantoprazole 40mg...
Then I got a **Barium Swallow**. It said everything went down/was normal. No choking hazard but because of the way I chewed... I had mild Dysphagia so he said there was enough food sitting at the back of my throat that he could scoop a finger full of it out of my throat.
The best thing about this I learned though... Was that he said it’s something I could grow out of!
After a bit, I stopped the PPI’s. I went from 40mg to 0. **No rebound**! Which is why I wonder if it was even in a problem in the first place...
I guess the best way to describe it at times... Is physically feeling the food going down my throat. And if I do have an “incident”, it feels like a sharp pain running up and down the back of your throat. That’s what happened to me last time I had a pill (though it was small).
Idk If this is even pointless to talk about, I think I might just be in a nervous state because of everything going on but IDK. I just wish I could eat in peace (And not so darn slow, making me the last one at the table). And fear the pain I had before will come back :(</t>
        </is>
      </c>
      <c r="D1765" t="n">
        <v>2</v>
      </c>
      <c r="E1765" t="n">
        <v>0</v>
      </c>
      <c r="F1765">
        <f>HYPERLINK("https://www.reddit.com/r/GERD/comments/c8veoe/gerd_or_just_ocassional_reflux/")</f>
        <v/>
      </c>
      <c r="G1765" t="inlineStr">
        <is>
          <t>2019-07-03 16:41:30</t>
        </is>
      </c>
      <c r="H1765" t="inlineStr"/>
    </row>
    <row r="1766">
      <c r="A1766" t="inlineStr">
        <is>
          <t>c8xalx</t>
        </is>
      </c>
      <c r="B1766" t="inlineStr">
        <is>
          <t>For those who had the Nissen Fundoplication, how large was your hernia? What were your symptoms?</t>
        </is>
      </c>
      <c r="C1766" t="inlineStr">
        <is>
          <t>Like it says in the title!</t>
        </is>
      </c>
      <c r="D1766" t="n">
        <v>5</v>
      </c>
      <c r="E1766" t="n">
        <v>13</v>
      </c>
      <c r="F1766">
        <f>HYPERLINK("https://www.reddit.com/r/GERD/comments/c8xalx/for_those_who_had_the_nissen_fundoplication_how/")</f>
        <v/>
      </c>
      <c r="G1766" t="inlineStr">
        <is>
          <t>2019-07-03 19:56:24</t>
        </is>
      </c>
      <c r="H1766" t="inlineStr"/>
    </row>
    <row r="1767">
      <c r="A1767" t="inlineStr">
        <is>
          <t>c8xgi5</t>
        </is>
      </c>
      <c r="B1767" t="inlineStr">
        <is>
          <t>Anyone experienced anything similar?</t>
        </is>
      </c>
      <c r="C1767" t="inlineStr">
        <is>
          <t>I am a 23 y/o M w/ no past med hx. Over the past few months, I have developed an acidic taste in my mouth and have the feeling that there is constantly phlegm there. As a result, I am frequently clearing my throat. I had a dull/burning pain in lower R sternum that seemed to be worse when the taste was worse.
Of course, I got in touch w/ my doc. He suggested taking PPIs. I took Nexium for 2 weeks. Worked like a charm. Symptoms were pretty much gone after 2-3 days in to the course. 
I visited my doc a few after the end of that course, started having phlegm in throat sensation, he noticed clear phlegm in back of throat. Suggested a scope if things persisted.
That was 2 weeks ago. Now the acidic taste seems to be coming back. I haven’t had any of the chest pain. 
I never had any vomiting, trouble swallowing or stomach pain. My symptoms are also not worse w/ eating generally. No weight loss or bowel issues.
I have always been into weight lifting and was recovering from severe URI/cough when symptoms first started so hernia was on the differential.
I am aware that a definitive answer will not be given until there is further testing but has anyone experienced anything similar? Thank you to anyone who takes the time to read this.</t>
        </is>
      </c>
      <c r="D1767" t="n">
        <v>3</v>
      </c>
      <c r="E1767" t="n">
        <v>4</v>
      </c>
      <c r="F1767">
        <f>HYPERLINK("https://www.reddit.com/r/GERD/comments/c8xgi5/anyone_experienced_anything_similar/")</f>
        <v/>
      </c>
      <c r="G1767" t="inlineStr">
        <is>
          <t>2019-07-03 20:13:29</t>
        </is>
      </c>
      <c r="H1767" t="inlineStr"/>
    </row>
    <row r="1768">
      <c r="A1768" t="inlineStr">
        <is>
          <t>c8xrlw</t>
        </is>
      </c>
      <c r="B1768" t="inlineStr">
        <is>
          <t>Vomiting and Nausea?</t>
        </is>
      </c>
      <c r="C1768" t="inlineStr">
        <is>
          <t>24F still working with GI to figure out what’s wrong with me and I’m having a hard time managing daily nausea /vomiting when I wake up. Was taken off PPIs, prescribed Zofran, and am trying Zantac at night before I sleep. Any other tips/remedies for when I am experiencing nausea?</t>
        </is>
      </c>
      <c r="D1768" t="n">
        <v>6</v>
      </c>
      <c r="E1768" t="n">
        <v>9</v>
      </c>
      <c r="F1768">
        <f>HYPERLINK("https://www.reddit.com/r/GERD/comments/c8xrlw/vomiting_and_nausea/")</f>
        <v/>
      </c>
      <c r="G1768" t="inlineStr">
        <is>
          <t>2019-07-03 20:46:58</t>
        </is>
      </c>
      <c r="H1768" t="inlineStr"/>
    </row>
    <row r="1769">
      <c r="A1769" t="inlineStr">
        <is>
          <t>c8yhty</t>
        </is>
      </c>
      <c r="B1769" t="inlineStr">
        <is>
          <t>Do PPIs cause dehydration?</t>
        </is>
      </c>
      <c r="C1769" t="inlineStr">
        <is>
          <t>I take a 20mg omeprazole 2x a day for serious GERD and I’ve never been more thirsty. I drink a lot of water everyday, no pop or anything. When I drink water I chug a whole glass like I’m dying of thirst. With all that,  I still have dark yellow urine when it’s always been clear before taking a PPI</t>
        </is>
      </c>
      <c r="D1769" t="n">
        <v>3</v>
      </c>
      <c r="E1769" t="n">
        <v>4</v>
      </c>
      <c r="F1769">
        <f>HYPERLINK("https://www.reddit.com/r/GERD/comments/c8yhty/do_ppis_cause_dehydration/")</f>
        <v/>
      </c>
      <c r="G1769" t="inlineStr">
        <is>
          <t>2019-07-03 22:07:12</t>
        </is>
      </c>
      <c r="H1769" t="inlineStr"/>
    </row>
    <row r="1770">
      <c r="A1770" t="inlineStr">
        <is>
          <t>c90y9d</t>
        </is>
      </c>
      <c r="B1770" t="inlineStr">
        <is>
          <t>Healing esophagitis</t>
        </is>
      </c>
      <c r="C1770" t="inlineStr">
        <is>
          <t>Any tips? PPIs and antacids literally do nothing. I'm on a whole foods plant based diet. I'm currently cutting out grains and I still feel pain and burning in my throat. I'm about to do the stool sample for h pylori but I doubt I have that. It's been months now.</t>
        </is>
      </c>
      <c r="D1770" t="n">
        <v>8</v>
      </c>
      <c r="E1770" t="n">
        <v>6</v>
      </c>
      <c r="F1770">
        <f>HYPERLINK("https://www.reddit.com/r/GERD/comments/c90y9d/healing_esophagitis/")</f>
        <v/>
      </c>
      <c r="G1770" t="inlineStr">
        <is>
          <t>2019-07-04 03:18:48</t>
        </is>
      </c>
      <c r="H1770" t="inlineStr"/>
    </row>
    <row r="1771">
      <c r="A1771" t="inlineStr">
        <is>
          <t>c91nxz</t>
        </is>
      </c>
      <c r="B1771" t="inlineStr">
        <is>
          <t>Weird sensation when lying down</t>
        </is>
      </c>
      <c r="C1771" t="inlineStr">
        <is>
          <t>I have a horrible pain in my neck and shoulders when I lay down. It is the worst right when I lie down, but I still feel pressure while I am laying down. It is hard to get comfortable.
I started prilosec yesterday. Is this pain likely an effect of GERD? I was in a car accident six months ago and considered myself healed from a neck injury, but any pain in my neck scares me.</t>
        </is>
      </c>
      <c r="D1771" t="n">
        <v>3</v>
      </c>
      <c r="E1771" t="n">
        <v>4</v>
      </c>
      <c r="F1771">
        <f>HYPERLINK("https://www.reddit.com/r/GERD/comments/c91nxz/weird_sensation_when_lying_down/")</f>
        <v/>
      </c>
      <c r="G1771" t="inlineStr">
        <is>
          <t>2019-07-04 04:48:44</t>
        </is>
      </c>
      <c r="H1771" t="inlineStr"/>
    </row>
    <row r="1772">
      <c r="A1772" t="inlineStr">
        <is>
          <t>c91xps</t>
        </is>
      </c>
      <c r="B1772" t="inlineStr">
        <is>
          <t>Any point taking PPIs if they don't help symptoms?</t>
        </is>
      </c>
      <c r="C1772" t="inlineStr">
        <is>
          <t>I have a hiatus hernia. I was on 40mg Esomeprazole and 300mg rinitadine to try and stop my stomach and throat pain. I came off all the medication for my endoscopy and realized it's not any worse without medication. 75mg ranitadine and some gaviscon is enough to stop heartburn at night.
I'm wondering if I could be making a big mistake though. Maybe the PPIs were helping in ways I'm unaware?</t>
        </is>
      </c>
      <c r="D1772" t="n">
        <v>3</v>
      </c>
      <c r="E1772" t="n">
        <v>6</v>
      </c>
      <c r="F1772">
        <f>HYPERLINK("https://www.reddit.com/r/GERD/comments/c91xps/any_point_taking_ppis_if_they_dont_help_symptoms/")</f>
        <v/>
      </c>
      <c r="G1772" t="inlineStr">
        <is>
          <t>2019-07-04 05:19:01</t>
        </is>
      </c>
      <c r="H1772" t="inlineStr"/>
    </row>
    <row r="1773">
      <c r="A1773" t="inlineStr">
        <is>
          <t>c92m6e</t>
        </is>
      </c>
      <c r="B1773" t="inlineStr">
        <is>
          <t>Anybody here that successfully quit?</t>
        </is>
      </c>
      <c r="C1773" t="inlineStr">
        <is>
          <t>Hi /r/GERD,
I've been on 20mg of omeprazole (generic, not Nexium) for the past 4.5 years. I don't like what's coming out in the news about them and have a couple of inexplicable health issues (gallstones at 32!) that I have a sneaking feeling might be a side effect of prolonged use.
The last time I attempted this I went cold turkey. 10 days in, I happened to have a visit with my family doctor, who told me that I basically needed to go back on them as something was really inflamed.
I've been told that cutting down to 10 mg and then 10 mg every second day would be a safer taper, so am thinking about trying that.
Has anybody here successfully gotten off these things after years, and if so, what did you do that worked?</t>
        </is>
      </c>
      <c r="D1773" t="n">
        <v>3</v>
      </c>
      <c r="E1773" t="n">
        <v>14</v>
      </c>
      <c r="F1773">
        <f>HYPERLINK("https://www.reddit.com/r/GERD/comments/c92m6e/anybody_here_that_successfully_quit/")</f>
        <v/>
      </c>
      <c r="G1773" t="inlineStr">
        <is>
          <t>2019-07-04 06:29:53</t>
        </is>
      </c>
      <c r="H1773" t="inlineStr"/>
    </row>
    <row r="1774">
      <c r="A1774" t="inlineStr">
        <is>
          <t>c939tu</t>
        </is>
      </c>
      <c r="B1774" t="inlineStr">
        <is>
          <t>LPR Questions, Breathing?</t>
        </is>
      </c>
      <c r="C1774" t="inlineStr">
        <is>
          <t>Hey guys, so I know I have had GERD for a couple years but yesterday I had the scope done and was diagnosed with LPR. My main symptom is constantly feeling short of breath, has anyone else had any experience with this? I have been to a pulmonologist, has chest X-rays and all kinds of stuff to rule out other breathing issues, this was kinda the last thing to look at. Thanks</t>
        </is>
      </c>
      <c r="D1774" t="n">
        <v>7</v>
      </c>
      <c r="E1774" t="n">
        <v>8</v>
      </c>
      <c r="F1774">
        <f>HYPERLINK("https://www.reddit.com/r/GERD/comments/c939tu/lpr_questions_breathing/")</f>
        <v/>
      </c>
      <c r="G1774" t="inlineStr">
        <is>
          <t>2019-07-04 07:33:33</t>
        </is>
      </c>
      <c r="H1774" t="inlineStr"/>
    </row>
    <row r="1775">
      <c r="A1775" t="inlineStr">
        <is>
          <t>c93b1u</t>
        </is>
      </c>
      <c r="B1775" t="inlineStr">
        <is>
          <t>PPI Use linked to increased death rate</t>
        </is>
      </c>
      <c r="C1775" t="inlineStr">
        <is>
          <t>[According to a new study](https://medicine.wustl.edu/news/popular-heartburn-drugs-linked-to-fatal-heart-disease-chronic-kidney-disease-stomach-cancer/)</t>
        </is>
      </c>
      <c r="D1775" t="n">
        <v>1</v>
      </c>
      <c r="E1775" t="n">
        <v>14</v>
      </c>
      <c r="F1775">
        <f>HYPERLINK("https://www.reddit.com/r/GERD/comments/c93b1u/ppi_use_linked_to_increased_death_rate/")</f>
        <v/>
      </c>
      <c r="G1775" t="inlineStr">
        <is>
          <t>2019-07-04 07:36:49</t>
        </is>
      </c>
      <c r="H1775" t="inlineStr"/>
    </row>
    <row r="1776">
      <c r="A1776" t="inlineStr">
        <is>
          <t>c964wv</t>
        </is>
      </c>
      <c r="B1776" t="inlineStr">
        <is>
          <t>Fizzing sound in the back of my neck</t>
        </is>
      </c>
      <c r="C1776" t="inlineStr">
        <is>
          <t>Anyone else get a fizzing sound in the back of their neck? It almost sounds like a bunch of pop rocks. It usually happens when i'm laying down.</t>
        </is>
      </c>
      <c r="D1776" t="n">
        <v>5</v>
      </c>
      <c r="E1776" t="n">
        <v>10</v>
      </c>
      <c r="F1776">
        <f>HYPERLINK("https://www.reddit.com/r/GERD/comments/c964wv/fizzing_sound_in_the_back_of_my_neck/")</f>
        <v/>
      </c>
      <c r="G1776" t="inlineStr">
        <is>
          <t>2019-07-04 11:44:11</t>
        </is>
      </c>
      <c r="H1776" t="inlineStr"/>
    </row>
    <row r="1777">
      <c r="A1777" t="inlineStr">
        <is>
          <t>c97pu5</t>
        </is>
      </c>
      <c r="B1777" t="inlineStr">
        <is>
          <t>Align day 3: Cautiously optimistic.</t>
        </is>
      </c>
      <c r="C1777" t="inlineStr">
        <is>
          <t>Have tried probiotics before, but it's a giant clusterfuck and it's almost impossible to know what data is credible and what isn't with them. Nothing ever stuck.
In short, my PCP told me if I'm gonna try probiotics, try Align, as it's one of the only commercially available products with a robust amount of evidence backing its efficacy. I'm on day three, and I gotta say, it seems like something is better. The bloating after eating that turns into reflux is going away, ergo, I'm having less reflux.
Possibly a fluke, who knows. But it's seeming promising. Fingers crossed.</t>
        </is>
      </c>
      <c r="D1777" t="n">
        <v>1</v>
      </c>
      <c r="E1777" t="n">
        <v>0</v>
      </c>
      <c r="F1777">
        <f>HYPERLINK("https://www.reddit.com/r/GERD/comments/c97pu5/align_day_3_cautiously_optimistic/")</f>
        <v/>
      </c>
      <c r="G1777" t="inlineStr">
        <is>
          <t>2019-07-04 14:07:41</t>
        </is>
      </c>
      <c r="H1777" t="inlineStr"/>
    </row>
    <row r="1778">
      <c r="A1778" t="inlineStr">
        <is>
          <t>c986gv</t>
        </is>
      </c>
      <c r="B1778" t="inlineStr">
        <is>
          <t>Mucus &amp;amp; white foam in stool?</t>
        </is>
      </c>
      <c r="C1778" t="inlineStr">
        <is>
          <t>I had acid reflux for 3 days straight now. never had a problem with my stool until now. i will only empty out mucus and white foam. im used to throwing up mucus at 5 am every morning but not this. there is no stool anywhere. is this serious? every time i look on google, it shows that its one of the symptoms for IBS.</t>
        </is>
      </c>
      <c r="D1778" t="n">
        <v>3</v>
      </c>
      <c r="E1778" t="n">
        <v>4</v>
      </c>
      <c r="F1778">
        <f>HYPERLINK("https://www.reddit.com/r/GERD/comments/c986gv/mucus_white_foam_in_stool/")</f>
        <v/>
      </c>
      <c r="G1778" t="inlineStr">
        <is>
          <t>2019-07-04 14:51:36</t>
        </is>
      </c>
      <c r="H1778" t="inlineStr"/>
    </row>
    <row r="1779">
      <c r="A1779" t="inlineStr">
        <is>
          <t>c99ad1</t>
        </is>
      </c>
      <c r="B1779" t="inlineStr">
        <is>
          <t>Nothing Works</t>
        </is>
      </c>
      <c r="C1779" t="inlineStr">
        <is>
          <t>I'm about to give up...
I took Esomeprazole and Omeprazole and nothing!
I still burp every minute, my throat feels dry, my tongue burns.
Any advice?</t>
        </is>
      </c>
      <c r="D1779" t="n">
        <v>2</v>
      </c>
      <c r="E1779" t="n">
        <v>33</v>
      </c>
      <c r="F1779">
        <f>HYPERLINK("https://www.reddit.com/r/GERD/comments/c99ad1/nothing_works/")</f>
        <v/>
      </c>
      <c r="G1779" t="inlineStr">
        <is>
          <t>2019-07-04 16:45:26</t>
        </is>
      </c>
      <c r="H1779" t="inlineStr"/>
    </row>
    <row r="1780">
      <c r="A1780" t="inlineStr">
        <is>
          <t>c99bb6</t>
        </is>
      </c>
      <c r="B1780" t="inlineStr">
        <is>
          <t>Tappering off PPI?</t>
        </is>
      </c>
      <c r="C1780" t="inlineStr">
        <is>
          <t>I’ve been on 40mg Omeprazole 1x a day and Domperidone 3x a day since May 22nd and I stupidly stopped June 11th due to nausea and continued again June 25th of just Omeprazole 1x a day again and was told to come back after a week if I was still nauseous. 
July 1st I saw a different doctor cause I wanted a different opinion because my previous doctor said I was the first patient whose been nauseous. My new doctor said the medicines shouldn’t make me nauseous but I’m telling her it is making me nauseous but she put me back to 40mg Omeprazole 1x a day and Domperidone 3x a day for 2 weeks. I’ve changed my diet and started eating smaller meals and it’s been 4 days now and hopefully I’ll feel better soon and will be able to get off the medication in 2 weeks. 
Can anyone tell me their story of tapering off these medications and were you able to eat food we were told to avoid again?</t>
        </is>
      </c>
      <c r="D1780" t="n">
        <v>0</v>
      </c>
      <c r="E1780" t="n">
        <v>0</v>
      </c>
      <c r="F1780">
        <f>HYPERLINK("https://www.reddit.com/r/GERD/comments/c99bb6/tappering_off_ppi/")</f>
        <v/>
      </c>
      <c r="G1780" t="inlineStr">
        <is>
          <t>2019-07-04 16:48:19</t>
        </is>
      </c>
      <c r="H1780" t="inlineStr"/>
    </row>
    <row r="1781">
      <c r="A1781" t="inlineStr">
        <is>
          <t>c9abqa</t>
        </is>
      </c>
      <c r="B1781" t="inlineStr">
        <is>
          <t>Does this sound like reflux?</t>
        </is>
      </c>
      <c r="C1781" t="inlineStr">
        <is>
          <t>I experience burning sensations in my chest, lower ribcage near top of stomach, (and more rarely) back, shoulders, and neck. The burning lasts for only a second or two then subsides. But it occurs frequently throughout the day, often regardless of when or what I eat.
It seems to me from reading the burning from reflux usually lasts longer than a few seconds. Wondering if anyone experiences these frequent very short burning pangs as I’ve described? Thanks for any advice.</t>
        </is>
      </c>
      <c r="D1781" t="n">
        <v>3</v>
      </c>
      <c r="E1781" t="n">
        <v>1</v>
      </c>
      <c r="F1781">
        <f>HYPERLINK("https://www.reddit.com/r/GERD/comments/c9abqa/does_this_sound_like_reflux/")</f>
        <v/>
      </c>
      <c r="G1781" t="inlineStr">
        <is>
          <t>2019-07-04 18:46:27</t>
        </is>
      </c>
      <c r="H1781" t="inlineStr"/>
    </row>
    <row r="1782">
      <c r="A1782" t="inlineStr">
        <is>
          <t>c9be8k</t>
        </is>
      </c>
      <c r="B1782" t="inlineStr">
        <is>
          <t>Diarrhea - PPI-induced or am I just crazy?</t>
        </is>
      </c>
      <c r="C1782" t="inlineStr">
        <is>
          <t>Sorry for the post. I know it’s TMI and etc, but I’m feeling desperate. My current gastro keeps blowing off my concerns and I can’t get in with a new one for a while.
I’ve been on different PPIs with varying success. I started Protonix in April. For about two weeks now, I’ve had near constant diarrhea. And bye bye to my appetite. Is this the Protonix? Is it c.diff? Is it GERD? Am I just losing it?</t>
        </is>
      </c>
      <c r="D1782" t="n">
        <v>1</v>
      </c>
      <c r="E1782" t="n">
        <v>3</v>
      </c>
      <c r="F1782">
        <f>HYPERLINK("https://www.reddit.com/r/GERD/comments/c9be8k/diarrhea_ppiinduced_or_am_i_just_crazy/")</f>
        <v/>
      </c>
      <c r="G1782" t="inlineStr">
        <is>
          <t>2019-07-04 20:54:40</t>
        </is>
      </c>
      <c r="H1782" t="inlineStr"/>
    </row>
    <row r="1783">
      <c r="A1783" t="inlineStr">
        <is>
          <t>c9chf0</t>
        </is>
      </c>
      <c r="B1783" t="inlineStr">
        <is>
          <t>Can Constipation Cause Reflux?</t>
        </is>
      </c>
      <c r="C1783" t="inlineStr">
        <is>
          <t>Just for some background info, I used to have really bad burning in my throat. Even water didn’t go down. Prevacid helped. I stopped, it came back.
The ENT did a scope and just said “your voice box is swollen which is a sign of reflux”, and gave me some PPI’s. I had another bout of reflux right before I saw the ENT a second time (or it may have been a third? Second I think we just talked about the PPI’s and if I felt better.
40mg Pantoprazole. I also got a Barium Swallow and they said everything went down fine. I only had mild Dysphagia which was because of the way I ate/was something I could grow out of.
I was super relieved! A few weeks later I stopped my PPI’s and went from 40mg Pantoprazole to 0 with no rebound which makes me doubt that I have GERD or something similar...
**Until recently...** I have been a few months free of my PPI’s. But just this last week, I was up all Saturday night/Sunday morning with stomach pain and nausea. I even threw up. I didn’t sleep and I considered going to the Hospital! But then I realized, I just went 3 weeks ago for something similar and they found out I was just really constipated.
So I started taking senna and restoralax. I still have stomach pain in the morning but in general I have been better. It clears me out every morning and I plan on sticking to it for only a week.
**The Important Part**:
But... I seem, to get reflux every day at some point. Sometimes with foods that don’t usually cause reflux, and sometimes with foods that have caused me reflux before. I am so confused. Actually I am about to sleep right now but my reflux is keeping me up. I dunno what to do!</t>
        </is>
      </c>
      <c r="D1783" t="n">
        <v>3</v>
      </c>
      <c r="E1783" t="n">
        <v>9</v>
      </c>
      <c r="F1783">
        <f>HYPERLINK("https://www.reddit.com/r/GERD/comments/c9chf0/can_constipation_cause_reflux/")</f>
        <v/>
      </c>
      <c r="G1783" t="inlineStr">
        <is>
          <t>2019-07-04 23:08:18</t>
        </is>
      </c>
      <c r="H1783" t="inlineStr"/>
    </row>
    <row r="1784">
      <c r="A1784" t="inlineStr">
        <is>
          <t>c9e69q</t>
        </is>
      </c>
      <c r="B1784" t="inlineStr">
        <is>
          <t>Can’t sleep because I’m hungry, if I eat I can’t sleep because of GERD</t>
        </is>
      </c>
      <c r="C1784" t="inlineStr">
        <is>
          <t>This is so frustrating... No sleep, barely any food.</t>
        </is>
      </c>
      <c r="D1784" t="n">
        <v>1</v>
      </c>
      <c r="E1784" t="n">
        <v>0</v>
      </c>
      <c r="F1784">
        <f>HYPERLINK("https://www.reddit.com/r/GERD/comments/c9e69q/cant_sleep_because_im_hungry_if_i_eat_i_cant/")</f>
        <v/>
      </c>
      <c r="G1784" t="inlineStr">
        <is>
          <t>2019-07-05 02:54:16</t>
        </is>
      </c>
      <c r="H1784" t="inlineStr"/>
    </row>
    <row r="1785">
      <c r="A1785" t="inlineStr">
        <is>
          <t>c9fpek</t>
        </is>
      </c>
      <c r="B1785" t="inlineStr">
        <is>
          <t>Lump in throat/pressure in ues/ no acid</t>
        </is>
      </c>
      <c r="C1785" t="inlineStr">
        <is>
          <t>Hello! Sorry if this is too large or i explain myself as a caveman, english is not my first language.
A month ago i had the feeling of a lump in my throat withouth any heartburn, just that pressure on throat after eating or drinking anything, so a medic told me to take 40mg esomeprazol twice a day. That really seemed to work for a month, so i started taking once a day, then once between 2 days , then lowering my dose taking lanzoprasol 30 mg and when i tried taking it between 4 days, a little heartburn appeared and the next day i had again the same pressure withouth heartburn after every meal. 
Now im in the same place, and tried to not use ppis so i changed to 150mg ranitidine twice a day but its not working.
Have an appointment with gastroenterologist in 20 days but i cant stand this feeling anymore. Feels like my food is in my throat and stomach forever and makes me “small” burp a lot.
Should i go back to ppis? Any tips would be great so i can live normally again.</t>
        </is>
      </c>
      <c r="D1785" t="n">
        <v>2</v>
      </c>
      <c r="E1785" t="n">
        <v>13</v>
      </c>
      <c r="F1785">
        <f>HYPERLINK("https://www.reddit.com/r/GERD/comments/c9fpek/lump_in_throatpressure_in_ues_no_acid/")</f>
        <v/>
      </c>
      <c r="G1785" t="inlineStr">
        <is>
          <t>2019-07-05 06:02:35</t>
        </is>
      </c>
      <c r="H1785" t="inlineStr"/>
    </row>
    <row r="1786">
      <c r="A1786" t="inlineStr">
        <is>
          <t>c9gje9</t>
        </is>
      </c>
      <c r="B1786" t="inlineStr">
        <is>
          <t>Can GERD cause anxiety?</t>
        </is>
      </c>
      <c r="C1786" t="inlineStr">
        <is>
          <t>Or a feeling like anxiety? I have moderate GERD and take a PPI for it but I am patchy with that as it also gives me side effects (I have HSD and sensitive to meds) and been dealing with other health stuff recently but the anxiety/tight chest seems very bad lately and I remembered I haven’t been taking the PPI. 
Ps. My first post 🙂</t>
        </is>
      </c>
      <c r="D1786" t="n">
        <v>10</v>
      </c>
      <c r="E1786" t="n">
        <v>27</v>
      </c>
      <c r="F1786">
        <f>HYPERLINK("https://www.reddit.com/r/GERD/comments/c9gje9/can_gerd_cause_anxiety/")</f>
        <v/>
      </c>
      <c r="G1786" t="inlineStr">
        <is>
          <t>2019-07-05 07:25:32</t>
        </is>
      </c>
      <c r="H1786" t="inlineStr"/>
    </row>
    <row r="1787">
      <c r="A1787" t="inlineStr">
        <is>
          <t>c9hx4d</t>
        </is>
      </c>
      <c r="B1787" t="inlineStr">
        <is>
          <t>Are these normal side effects??</t>
        </is>
      </c>
      <c r="C1787" t="inlineStr">
        <is>
          <t>Ive been taking omeprazole 40 mg once a day for the past month now since my doctor prescribed it to me for a acid, nausea, and indigestion pain. 
But Ive also been having stomach problems now. I feel bloated all the time amd every time I poop my stomach hurts right after. I don't have diarrhea though. And I go like 3 times a day so I don't think im constipated. Also if I eat certain foods like garbanzo beans or dates it gives me an insane stomach ache. 
Anyone else have these?</t>
        </is>
      </c>
      <c r="D1787" t="n">
        <v>1</v>
      </c>
      <c r="E1787" t="n">
        <v>3</v>
      </c>
      <c r="F1787">
        <f>HYPERLINK("https://www.reddit.com/r/GERD/comments/c9hx4d/are_these_normal_side_effects/")</f>
        <v/>
      </c>
      <c r="G1787" t="inlineStr">
        <is>
          <t>2019-07-05 09:25:49</t>
        </is>
      </c>
      <c r="H1787" t="inlineStr"/>
    </row>
    <row r="1788">
      <c r="A1788" t="inlineStr">
        <is>
          <t>c9ildj</t>
        </is>
      </c>
      <c r="B1788" t="inlineStr">
        <is>
          <t>Sound like GERD or something else?</t>
        </is>
      </c>
      <c r="C1788" t="inlineStr">
        <is>
          <t>I've had nausea for like the last 10 years on and off I want to say (currently 21) - but about a month ago I started dieting and have had some stomach issues since. Day two of a chicken/rice/mixed veggies diet multiple times a day I had really bad diarrhea/nausea/burning in stomach ect. 
&amp;amp;#x200B;
I've gone to a Gastro doctor since and she scheduled me for bloodwork, an ultrasound + Gastric emptying scan (she said it might be GERD). Recently I don't feel too much burning, but it's mainly a lump/really tight throat feeling + uncomfortable/nausea feeling under breastbone. Is this acid reflux - or could I be experiencing something else. Honestly, I'd really like to get rid of this feeling because the nausea makes me panicky from a near death drowning experience when I was younger - the throat feeling is definitely contributing to the panic feeling. 
&amp;amp;#x200B;
Thanks in advance</t>
        </is>
      </c>
      <c r="D1788" t="n">
        <v>2</v>
      </c>
      <c r="E1788" t="n">
        <v>6</v>
      </c>
      <c r="F1788">
        <f>HYPERLINK("https://www.reddit.com/r/GERD/comments/c9ildj/sound_like_gerd_or_something_else/")</f>
        <v/>
      </c>
      <c r="G1788" t="inlineStr">
        <is>
          <t>2019-07-05 10:21:14</t>
        </is>
      </c>
      <c r="H1788" t="inlineStr"/>
    </row>
    <row r="1789">
      <c r="A1789" t="inlineStr">
        <is>
          <t>c9iwuu</t>
        </is>
      </c>
      <c r="B1789" t="inlineStr">
        <is>
          <t>Does Anyone Think There Will Be A Cure For Reflux One Day?</t>
        </is>
      </c>
      <c r="C1789" t="inlineStr">
        <is>
          <t>Mins getting better but occasional issues annoy me to no end, I’m aware how common this question is but still...</t>
        </is>
      </c>
      <c r="D1789" t="n">
        <v>3</v>
      </c>
      <c r="E1789" t="n">
        <v>23</v>
      </c>
      <c r="F1789">
        <f>HYPERLINK("https://www.reddit.com/r/GERD/comments/c9iwuu/does_anyone_think_there_will_be_a_cure_for_reflux/")</f>
        <v/>
      </c>
      <c r="G1789" t="inlineStr">
        <is>
          <t>2019-07-05 10:48:14</t>
        </is>
      </c>
      <c r="H1789" t="inlineStr"/>
    </row>
    <row r="1790">
      <c r="A1790" t="inlineStr">
        <is>
          <t>c9l8zu</t>
        </is>
      </c>
      <c r="B1790" t="inlineStr">
        <is>
          <t>Long term use of PPI's (Doctors have no clue what they are talking about)</t>
        </is>
      </c>
      <c r="C1790" t="inlineStr">
        <is>
          <t>I recently had a chat with my pharmacist friend who told me that PPI's like omeprozole are only supposed to be taken for about 4 to 6 weeks. I was on them for about 6-8 months. Every single doctor I have seen has told me I needed to be on them indefinately. After doing some research and having extreme acid reflux and indigestion issues I decided to stop taking my PPI cold turkey. I have been off it for 30 days now and would like to report I have only seen improvements in my GERD. I noticed a positive change within 3 days of being off the meds. I honestly at this point of my life think every single doctor is full of crap and just wants to give you drugs asap so they can get on to their next patient. I am doing much better managing my gerd on my own terms with diet and lifestyle changes. Anyone else have similar thoughts?</t>
        </is>
      </c>
      <c r="D1790" t="n">
        <v>0</v>
      </c>
      <c r="E1790" t="n">
        <v>13</v>
      </c>
      <c r="F1790">
        <f>HYPERLINK("https://www.reddit.com/r/GERD/comments/c9l8zu/long_term_use_of_ppis_doctors_have_no_clue_what/")</f>
        <v/>
      </c>
      <c r="G1790" t="inlineStr">
        <is>
          <t>2019-07-05 14:07:48</t>
        </is>
      </c>
      <c r="H1790" t="inlineStr"/>
    </row>
    <row r="1791">
      <c r="A1791" t="inlineStr">
        <is>
          <t>c9ntxf</t>
        </is>
      </c>
      <c r="B1791" t="inlineStr">
        <is>
          <t>Nexium 40mg daily headaches and just overall feeling terrible.</t>
        </is>
      </c>
      <c r="C1791" t="inlineStr">
        <is>
          <t>Are these common side effects? I’m trialling it to see if my throat heals and I can shake this cough/ throat clearing until my endoscopy is done. But daily I have these dull irritating headaches that don’t really go away and along with it I feel absolutely awful. 
I just don’t know how I can take this if this is how I am for the next 5 weeks.</t>
        </is>
      </c>
      <c r="D1791" t="n">
        <v>1</v>
      </c>
      <c r="E1791" t="n">
        <v>2</v>
      </c>
      <c r="F1791">
        <f>HYPERLINK("https://www.reddit.com/r/GERD/comments/c9ntxf/nexium_40mg_daily_headaches_and_just_overall/")</f>
        <v/>
      </c>
      <c r="G1791" t="inlineStr">
        <is>
          <t>2019-07-05 18:21:55</t>
        </is>
      </c>
      <c r="H1791" t="inlineStr"/>
    </row>
    <row r="1792">
      <c r="A1792" t="inlineStr">
        <is>
          <t>c9ogg9</t>
        </is>
      </c>
      <c r="B1792" t="inlineStr">
        <is>
          <t>White roof of mouth because of GERD</t>
        </is>
      </c>
      <c r="C1792" t="inlineStr">
        <is>
          <t>My GERD is pretty bad, a few weeks ago i noticed that the roof of my mouth was a bit white.
Went to the dentist yesterday and he told me that it is NOT leukoplakia. It's Just damage caused by my reflux.
I am the only one with this problem?</t>
        </is>
      </c>
      <c r="D1792" t="n">
        <v>2</v>
      </c>
      <c r="E1792" t="n">
        <v>11</v>
      </c>
      <c r="F1792">
        <f>HYPERLINK("https://www.reddit.com/r/GERD/comments/c9ogg9/white_roof_of_mouth_because_of_gerd/")</f>
        <v/>
      </c>
      <c r="G1792" t="inlineStr">
        <is>
          <t>2019-07-05 19:29:39</t>
        </is>
      </c>
      <c r="H1792" t="inlineStr"/>
    </row>
    <row r="1793">
      <c r="A1793" t="inlineStr">
        <is>
          <t>c9p12r</t>
        </is>
      </c>
      <c r="B1793" t="inlineStr">
        <is>
          <t>Bizzare "opposite effect" from sour food?</t>
        </is>
      </c>
      <c r="C1793" t="inlineStr">
        <is>
          <t>Sooo I've posted here a lot recently about my struggles with indigestion, heartburn, etc. Doc thinks it's gastritis, currently on a whole lot of antacids. 40mg omeprazole, 40mg ranitidine daily.
On the way home from work today I went grocery shopping, and I bought some sour candy. I know it's not good for my stomach, but I haven't eaten anything interesting in weeks and I couldn't resist.
I ended up eating ...kind of a lot of candy. Like 20+ pieces of sour candy. And I'm sitting here expecting for the mother of all heartburn episodes, and what happens? My stomach, which has been sending me bizarre, vague, indigestion-y "something ain't right!" messages for weeks now, suddenly *calms down*. As I write this my stomach feels more normal than it has in weeks. From eating a lot of sour candy.
What the ever living crap is going on, here?
I'm not saying like, POOF, my symptoms are all gone. My stomach still feels tender, I still have a touch of heartburn, all that. But I've been so miserable for weeks, the change here is undeniable.
Can anyone explain this?
It makes me think about the whole "you need acid in your stomach or it'll throw a fit" theory, but we all know that's been largely debunked.
Maybe this is a fluke and I'll be in trouble later, but as it stands I feel kind of normal-ish? I've got some heartburn going on, some reflux into my throat, but that's nothing new. But my actual *stomach* has finally SHUT UP and just seems to be humming away down there. Perhaps a little tender, but pretty much normal.
The mind boggles!</t>
        </is>
      </c>
      <c r="D1793" t="n">
        <v>1</v>
      </c>
      <c r="E1793" t="n">
        <v>2</v>
      </c>
      <c r="F1793">
        <f>HYPERLINK("https://www.reddit.com/r/GERD/comments/c9p12r/bizzare_opposite_effect_from_sour_food/")</f>
        <v/>
      </c>
      <c r="G1793" t="inlineStr">
        <is>
          <t>2019-07-05 20:35:36</t>
        </is>
      </c>
      <c r="H1793" t="inlineStr"/>
    </row>
    <row r="1794">
      <c r="A1794" t="inlineStr">
        <is>
          <t>c9phq7</t>
        </is>
      </c>
      <c r="B1794" t="inlineStr">
        <is>
          <t>Drinking lots of water on with LPR. Does it help with symptoms?</t>
        </is>
      </c>
      <c r="C1794" t="inlineStr">
        <is>
          <t>I read it did, but wondering if anybody else finds it does.</t>
        </is>
      </c>
      <c r="D1794" t="n">
        <v>3</v>
      </c>
      <c r="E1794" t="n">
        <v>2</v>
      </c>
      <c r="F1794">
        <f>HYPERLINK("https://www.reddit.com/r/GERD/comments/c9phq7/drinking_lots_of_water_on_with_lpr_does_it_help/")</f>
        <v/>
      </c>
      <c r="G1794" t="inlineStr">
        <is>
          <t>2019-07-05 21:32:42</t>
        </is>
      </c>
      <c r="H1794" t="inlineStr"/>
    </row>
    <row r="1795">
      <c r="A1795" t="inlineStr">
        <is>
          <t>c9s1kw</t>
        </is>
      </c>
      <c r="B1795" t="inlineStr">
        <is>
          <t>Finally off omeprazole and domperidone.</t>
        </is>
      </c>
      <c r="C1795" t="inlineStr">
        <is>
          <t>I’ve been on it since May 22nd and I feel like it’s been making me worse due to nausea and I’ve seen 3 doctors and they’ve denied saying nausea isn’t a side effect of those medications but I’ve read otherwise on the internet and from other Redditors. 
So today I saw my 3rd doctor and I said I’ve changed my diet and I’m taking vitamins and Nexabiotic and would like to get off it. He agreed and said okay since I’ve been on it for too long and I asked him if I would have withdrawal and he said no but from June 11th-25th I was off it and I had terrible nausea 24/7, even the moment I wake up. I still get nausea up to this day and I’m scared I’ll have withdrawal. Nausea is really the worse thing that could happen to me and I’m really scared so if you have any suggestions, please tell me. Thanks.</t>
        </is>
      </c>
      <c r="D1795" t="n">
        <v>3</v>
      </c>
      <c r="E1795" t="n">
        <v>15</v>
      </c>
      <c r="F1795">
        <f>HYPERLINK("https://www.reddit.com/r/GERD/comments/c9s1kw/finally_off_omeprazole_and_domperidone/")</f>
        <v/>
      </c>
      <c r="G1795" t="inlineStr">
        <is>
          <t>2019-07-06 03:12:24</t>
        </is>
      </c>
      <c r="H1795" t="inlineStr"/>
    </row>
    <row r="1796">
      <c r="A1796" t="inlineStr">
        <is>
          <t>c9t0uu</t>
        </is>
      </c>
      <c r="B1796" t="inlineStr">
        <is>
          <t>Misunderstanding about hiatus hernia?</t>
        </is>
      </c>
      <c r="C1796" t="inlineStr">
        <is>
          <t>I had suffered from GERD symptoms from Feb-May and am now more or less symptom free and not taking meds.  I had an endoscopy done to reveal a perfect GI tract, no hernia etc.
Whilst i was suffering GERD symptoms i was very scared about what it could be especially after reading about hernias.  After being negative for h pylori i was devastated and thought i am sure to have a hernia, probably caused by the weight lifting i used to do in the gym.  I was mainly scared because its a permanent condition that only a nasty surgery can fix.
Now being symptom free i am less worried especially since the endoscopy was perfectly clean.  The GI doc i met few weeks back said that hernias are very common and he is convinced my symptoms were not caused by that.  Although another GI doc i saw a few months back thought it may be a hernia but told me it was a guess and cant be sure without examination.  Anyway reading online, it sure seems pretty convincing that a hernia causes these horrible symptoms.  But then i saw this link:
[https://www.gicare.com/gi-health-resources/hiatus-hernia/](https://www.gicare.com/gi-health-resources/hiatus-hernia/)
&amp;amp;#x200B;
It says that hernias are misunderstood and that they usually cause no symptoms especially for sliding hernia.  My endoscopy showed no hernia so i guess i can presume at worse i have a sliding hernia (since endoscopy can miss sliding hernia)?  In which case even if i do have a sliding hernia, my symptoms were most likely not the cause of a hernia?  There sure is a lot of confusion about hernias which may lead to a lot of stress and anxiety as it did for me.  Still not 100% sure - and there seems to be a lot of presumption on this forum about hernias causing their symptoms.  Perhaps it is not actually the cause in many cases?</t>
        </is>
      </c>
      <c r="D1796" t="n">
        <v>2</v>
      </c>
      <c r="E1796" t="n">
        <v>9</v>
      </c>
      <c r="F1796">
        <f>HYPERLINK("https://www.reddit.com/r/GERD/comments/c9t0uu/misunderstanding_about_hiatus_hernia/")</f>
        <v/>
      </c>
      <c r="G1796" t="inlineStr">
        <is>
          <t>2019-07-06 05:23:23</t>
        </is>
      </c>
      <c r="H1796" t="inlineStr"/>
    </row>
    <row r="1797">
      <c r="A1797" t="inlineStr">
        <is>
          <t>c9u2hs</t>
        </is>
      </c>
      <c r="B1797" t="inlineStr">
        <is>
          <t>Oh boy oh boy oh boy, whatever is going on in my stomach... it hurts so bad. I feel like a washing machine</t>
        </is>
      </c>
      <c r="C1797" t="inlineStr">
        <is>
          <t>I suspect I may have GERD. Some symptoms are- feeling full, constipation, growling stomach gooo grrrrr (that's why I feel like a washing machine), feels like a storm inside stomach after using toilet (when it's empty) and calms down when I eat something, but as soon as I eat something my stomach starts to hurt, burns, feels like a heavy load. It's not just stomach but the abdomen, above my pelvic bone, maybe these are my intestines that are affected too. There's been a chronic cough in my throat (I read it's a side effect of GERD), chest burns mildly sometimes, especially it burns around my waist (where there are intestines) and it runs horizontally. The middle body (below lungs and above pelvic bone) burns and hurts horizontally - left right left right. I keep eating but God knows where all the food goes. Using toilet is a battle in itself and the pain keeps getting stronger and milder even after toilet, then settles for a while.  I am overweight. My stomach has tires of fat. Lately I have lost some weight without any exercise (down 5 kg w/o any exercise) but I am not sure if losing weight will help the GERD in any way. My intestines are so heavy, I suspect I might have eaten cement someday.   
&amp;amp;#x200B;
I eat everything, including dairy, wheat, rice, sugar, oily food and everything else. I've tried cutting down milk, sugar and wheat (one by one) but gave up in 2-3 days. What do I do? Right now as I type my food pipe is probably pumping some stomach acid up... it burns.</t>
        </is>
      </c>
      <c r="D1797" t="n">
        <v>1</v>
      </c>
      <c r="E1797" t="n">
        <v>1</v>
      </c>
      <c r="F1797">
        <f>HYPERLINK("https://www.reddit.com/r/GERD/comments/c9u2hs/oh_boy_oh_boy_oh_boy_whatever_is_going_on_in_my/")</f>
        <v/>
      </c>
      <c r="G1797" t="inlineStr">
        <is>
          <t>2019-07-06 07:19:05</t>
        </is>
      </c>
      <c r="H1797" t="inlineStr"/>
    </row>
    <row r="1798">
      <c r="A1798" t="inlineStr">
        <is>
          <t>c9u3ux</t>
        </is>
      </c>
      <c r="B1798" t="inlineStr">
        <is>
          <t>I'm scared to eat after a painful and uncomfortable IBS and GERD flare up :(</t>
        </is>
      </c>
      <c r="C1798" t="inlineStr">
        <is>
          <t>I had the most painful gas pains yesterday that I've ever had. My symptoms have been gone for a few months but have just slowly started coming back about 2 weeks ago. I also have GERD, very uncomfortable acid reflux. Because of the pain I had yesterday, I am too scared to eat anything. I'm pretty sure that some foods that help with GERD aren't good for IBS, and some foods that are good for IBS are bad for GERD (correct me if im wrong). What are some simple foods I can eat that could help with both of these conditions.</t>
        </is>
      </c>
      <c r="D1798" t="n">
        <v>4</v>
      </c>
      <c r="E1798" t="n">
        <v>8</v>
      </c>
      <c r="F1798">
        <f>HYPERLINK("https://www.reddit.com/r/GERD/comments/c9u3ux/im_scared_to_eat_after_a_painful_and/")</f>
        <v/>
      </c>
      <c r="G1798" t="inlineStr">
        <is>
          <t>2019-07-06 07:22:47</t>
        </is>
      </c>
      <c r="H1798" t="inlineStr"/>
    </row>
    <row r="1799">
      <c r="A1799" t="inlineStr">
        <is>
          <t>c9uys9</t>
        </is>
      </c>
      <c r="B1799" t="inlineStr">
        <is>
          <t>Besides not wanting it, why doesn't everyone just get surgery and be done with GERD/LPR?</t>
        </is>
      </c>
      <c r="C1799" t="inlineStr">
        <is>
          <t>I've read numerous times people had tests done and found out they were a "candidate" for surgery. What makes you a candidate? Can't anybody get the Neilssen or LINX surgery? Are they too risky?</t>
        </is>
      </c>
      <c r="D1799" t="n">
        <v>2</v>
      </c>
      <c r="E1799" t="n">
        <v>23</v>
      </c>
      <c r="F1799">
        <f>HYPERLINK("https://www.reddit.com/r/GERD/comments/c9uys9/besides_not_wanting_it_why_doesnt_everyone_just/")</f>
        <v/>
      </c>
      <c r="G1799" t="inlineStr">
        <is>
          <t>2019-07-06 08:43:18</t>
        </is>
      </c>
      <c r="H1799" t="inlineStr"/>
    </row>
    <row r="1800">
      <c r="A1800" t="inlineStr">
        <is>
          <t>c9v5vv</t>
        </is>
      </c>
      <c r="B1800" t="inlineStr">
        <is>
          <t>Can you get reflux while taking ppi?</t>
        </is>
      </c>
      <c r="C1800" t="inlineStr">
        <is>
          <t>I had a slight pain in my upper left abdomen for about a month, then nausea. The doctor put me on 20mg omeprazole. A week after taking them I started to feel like water was running down the back of my throat.
Three weeks on the pills and it now feels like there is something stuck in my throat all the time.
GP said it could be silent relfux, but I can't understand why it would start only after taking omeprazole and get worse while taking it.
Anyone had something similar happen?</t>
        </is>
      </c>
      <c r="D1800" t="n">
        <v>2</v>
      </c>
      <c r="E1800" t="n">
        <v>10</v>
      </c>
      <c r="F1800">
        <f>HYPERLINK("https://www.reddit.com/r/GERD/comments/c9v5vv/can_you_get_reflux_while_taking_ppi/")</f>
        <v/>
      </c>
      <c r="G1800" t="inlineStr">
        <is>
          <t>2019-07-06 09:00:52</t>
        </is>
      </c>
      <c r="H1800" t="inlineStr"/>
    </row>
    <row r="1801">
      <c r="A1801" t="inlineStr">
        <is>
          <t>c9v9dl</t>
        </is>
      </c>
      <c r="B1801" t="inlineStr">
        <is>
          <t>Best way to heal erosion in stomach?</t>
        </is>
      </c>
      <c r="C1801" t="inlineStr">
        <is>
          <t>About a year ago started having bad acid reflux, burping constantly, nausea, heartburn etc. Changed my diet up completely, avoided all the trigger foods. Quit Alcohol. Symptoms are manageable now. As long I stick to a brandish diet. But one day I would like to go back to eating stuff like pizza or tacos again. Had an endoscopy done, found "Mild erosion" Doctor basically was no help currently taking Nexium 40mg, DGL licorice and a good probiatic. Some days I feel like I'm getting better, then I'll eat the wrong thing and be sick for a few days. It's very annoying. Thanks in advance</t>
        </is>
      </c>
      <c r="D1801" t="n">
        <v>16</v>
      </c>
      <c r="E1801" t="n">
        <v>6</v>
      </c>
      <c r="F1801">
        <f>HYPERLINK("https://www.reddit.com/r/GERD/comments/c9v9dl/best_way_to_heal_erosion_in_stomach/")</f>
        <v/>
      </c>
      <c r="G1801" t="inlineStr">
        <is>
          <t>2019-07-06 09:09:24</t>
        </is>
      </c>
      <c r="H1801" t="inlineStr"/>
    </row>
    <row r="1802">
      <c r="A1802" t="inlineStr">
        <is>
          <t>c9yews</t>
        </is>
      </c>
      <c r="B1802" t="inlineStr">
        <is>
          <t>Anyone else have a scratchy mouth/swollen tongue from GERD?</t>
        </is>
      </c>
      <c r="C1802" t="inlineStr">
        <is>
          <t>Thought I'd post in here because someone recently suggested I might have LPR in addition to GERD and I think I definitely do. When I first went to the doctor for reflux, he suggested I might have asthma during the same appointment and gave me an inhaler (which seems consistent with LPR).
I wanted to ask everyone if GERD/LPR left them with a swollen tongue ever. I will occasionally have a scratchy/burning sensation in my mouth, as if I've had a drink that's too hot, and it feels like it's taking up too much room in my mouth. I've never had an allergic reaction to anything in my life, but I do have seasonal allergies. Allergies are awful here right now--mold and grass pollen being extremely high--and it's sometimes difficult to separate the symptoms, discern the causes and know how to treat the underlying issue.</t>
        </is>
      </c>
      <c r="D1802" t="n">
        <v>1</v>
      </c>
      <c r="E1802" t="n">
        <v>0</v>
      </c>
      <c r="F1802">
        <f>HYPERLINK("https://www.reddit.com/r/GERD/comments/c9yews/anyone_else_have_a_scratchy_mouthswollen_tongue/")</f>
        <v/>
      </c>
      <c r="G1802" t="inlineStr">
        <is>
          <t>2019-07-06 13:44:00</t>
        </is>
      </c>
      <c r="H1802" t="inlineStr"/>
    </row>
    <row r="1803">
      <c r="A1803" t="inlineStr">
        <is>
          <t>c9zgzn</t>
        </is>
      </c>
      <c r="B1803" t="inlineStr">
        <is>
          <t>Anyone feel their alcohol tolerance has gotten worse while on a PPI?</t>
        </is>
      </c>
      <c r="C1803" t="inlineStr">
        <is>
          <t>I was feeling awful for so long I don’t even remember what normal felt like. I had terrible gas, burping constantly, stomach aches, headaches, I had trouble getting deep breaths which would cause crazy anxiety, I started getting lightheaded and at one point wound up in the ER because I passed out after eating. They pushed me out the door with simply vasovagal syncope (the medical term for passing out). Finally got an appointment with my GP he diagnosed me with GERD and prescribed me omezaprole 20 mg and said that if I’m not symptom free in 30 days we’ll have to do an endo which I’d like to avoid. I’m about 10 days in been almost symptom free except excessive belching. I was dumb this weekend and went to a beer festival and did a bunch of tasters the equivalent of maybe like 4-5 beers over like 5 hours. I felt fine all day yesterday and I used to be able to drink like a tank with no hangover. I woke up today with the worst hangover I have experienced in a long time. I was throwing up, dizzy, clammy, had a pounding headache, and basically felt on my deathbed. Took me sleeping until 1 pm to semi recover, my omezaprole seemed to help my stomach, I took two ibuprofen with some applesauce to kill the headache. That amount of beer never used to bother me though. 
TLDR; anyone else experience changes in tolerance for alcohol outside of just the reflux since their diagnosis or being on a PPI?</t>
        </is>
      </c>
      <c r="D1803" t="n">
        <v>2</v>
      </c>
      <c r="E1803" t="n">
        <v>4</v>
      </c>
      <c r="F1803">
        <f>HYPERLINK("https://www.reddit.com/r/GERD/comments/c9zgzn/anyone_feel_their_alcohol_tolerance_has_gotten/")</f>
        <v/>
      </c>
      <c r="G1803" t="inlineStr">
        <is>
          <t>2019-07-06 15:19:33</t>
        </is>
      </c>
      <c r="H1803" t="inlineStr"/>
    </row>
    <row r="1804">
      <c r="A1804" t="inlineStr">
        <is>
          <t>c9zinp</t>
        </is>
      </c>
      <c r="B1804" t="inlineStr">
        <is>
          <t>Pantoprazole - Stomach Pain, especially after eating?</t>
        </is>
      </c>
      <c r="C1804" t="inlineStr">
        <is>
          <t>Note: I do not have GERD, but I know people in this thread have extensive PPI experience.
I had a few months of lots of bloating and digestive discomfort, so my GI did an upper endoscopy. It turns out that I have a hiatal hernia, and so the doc put me on Pantoprazole 40mg a day to reduce acid and give the hernia time to heal on its own.
I was on it for two weeks with no problems, then right around the two week mark I started having lower abdominal pain, especially after eating. It increased in intensity for a few days, then got to like 7/8 out of 10 pain, then some diarrhea, so I stopped taking it.
Anybody else have an experience like this? Ive seen in old threads that some people get stomach pain with PPIs, it’s just strange to me that I was fine for two weeks THEN the pain started.
Doc claims it can’t be the Pantoprazole, says I must have gotten a stomach bug.
Day 3 of being off it and I still have some pain, but it’s less intense. The pain is still at its worst after eating. I would really appreciate any similar stories or advice from someone who’s been through this! Thank you so much!</t>
        </is>
      </c>
      <c r="D1804" t="n">
        <v>2</v>
      </c>
      <c r="E1804" t="n">
        <v>15</v>
      </c>
      <c r="F1804">
        <f>HYPERLINK("https://www.reddit.com/r/GERD/comments/c9zinp/pantoprazole_stomach_pain_especially_after_eating/")</f>
        <v/>
      </c>
      <c r="G1804" t="inlineStr">
        <is>
          <t>2019-07-06 15:23:49</t>
        </is>
      </c>
      <c r="H1804" t="inlineStr"/>
    </row>
    <row r="1805">
      <c r="A1805" t="inlineStr">
        <is>
          <t>ca0nom</t>
        </is>
      </c>
      <c r="B1805" t="inlineStr">
        <is>
          <t>Does this sound like GERD or Globous Sensation?</t>
        </is>
      </c>
      <c r="C1805" t="inlineStr">
        <is>
          <t>I've had this issue for 2 years now. 
Under my chin feels full, as if there's pressure. When I press my chin down, it feels like there's lumps on either side. My throat feels tight, sometimes swollen, and like there's a lump in the middle whenever I expand my throat. Sometimes I noticed there's some mucus at the back of my throat when I swallow, but nothing I have to cough up or clear. There's no pain. I do notice when I drink coffee, alcohol, or am around strong air fresheners my symptoms get worse.
&amp;amp;#x200B;
I've had multiple doctors feel my throat area, and I had a nasal endoscopy look down my throat and everything is normal.
&amp;amp;#x200B;
Just wondering if this sounds like what some people here have. My doctor prescribed me omeprazole and a low acidic diet. But she said if that doesn't help, it could be globes sensation.</t>
        </is>
      </c>
      <c r="D1805" t="n">
        <v>4</v>
      </c>
      <c r="E1805" t="n">
        <v>12</v>
      </c>
      <c r="F1805">
        <f>HYPERLINK("https://www.reddit.com/r/GERD/comments/ca0nom/does_this_sound_like_gerd_or_globous_sensation/")</f>
        <v/>
      </c>
      <c r="G1805" t="inlineStr">
        <is>
          <t>2019-07-06 17:15:35</t>
        </is>
      </c>
      <c r="H1805" t="inlineStr"/>
    </row>
    <row r="1806">
      <c r="A1806" t="inlineStr">
        <is>
          <t>ca0vhh</t>
        </is>
      </c>
      <c r="B1806" t="inlineStr">
        <is>
          <t>Pantoprazole and chest pain?</t>
        </is>
      </c>
      <c r="C1806" t="inlineStr">
        <is>
          <t>Has anyone else experienced GERD related chest pain that’s worsened upon taking pantoprazole? 
I do have costochondritis on top of GERD so chest pain is common for me (no heart issues), but this is a lot worse than usual and only started happening once I experiencing other side effects.</t>
        </is>
      </c>
      <c r="D1806" t="n">
        <v>1</v>
      </c>
      <c r="E1806" t="n">
        <v>0</v>
      </c>
      <c r="F1806">
        <f>HYPERLINK("https://www.reddit.com/r/GERD/comments/ca0vhh/pantoprazole_and_chest_pain/")</f>
        <v/>
      </c>
      <c r="G1806" t="inlineStr">
        <is>
          <t>2019-07-06 17:37:58</t>
        </is>
      </c>
      <c r="H1806" t="inlineStr"/>
    </row>
    <row r="1807">
      <c r="A1807" t="inlineStr">
        <is>
          <t>ca1o3x</t>
        </is>
      </c>
      <c r="B1807" t="inlineStr">
        <is>
          <t>Is anything safe to eat at night right before bed?</t>
        </is>
      </c>
      <c r="C1807" t="inlineStr">
        <is>
          <t>I want to preface by saying that this isn't just a GERD thing.  I've suspected but don't know for a fact that I have GERD, but I am currently seeing a GI for chronic stomach issues, so I figured I'd post it here.
I know it's a big no-no to eat before bed especially with GERD.
Due to my stomach issues I have recently started eating smaller meals because I was one of those people who just shovels food into my mouth and doesn't stop eating until I physically can't take anymore.  Problem is now I'm hungry all the time and it is currently 10 PM and my stomach is very empty and hungry lol.
I just want to know what I can do when I'm this hungry at bedtime.  Is anything safe at all even as just a light snack?  The hunger will get to be too much to even fall asleep.</t>
        </is>
      </c>
      <c r="D1807" t="n">
        <v>5</v>
      </c>
      <c r="E1807" t="n">
        <v>6</v>
      </c>
      <c r="F1807">
        <f>HYPERLINK("https://www.reddit.com/r/GERD/comments/ca1o3x/is_anything_safe_to_eat_at_night_right_before_bed/")</f>
        <v/>
      </c>
      <c r="G1807" t="inlineStr">
        <is>
          <t>2019-07-06 19:03:41</t>
        </is>
      </c>
      <c r="H1807" t="inlineStr"/>
    </row>
    <row r="1808">
      <c r="A1808" t="inlineStr">
        <is>
          <t>ca2y96</t>
        </is>
      </c>
      <c r="B1808" t="inlineStr">
        <is>
          <t>Trouble breathing when sleeping</t>
        </is>
      </c>
      <c r="C1808" t="inlineStr">
        <is>
          <t>Just yesterday I woke up about 5 times during the night gasping for air. Its a horrible chest compression feeling. I've had heartburn for the last 2 weeks and some post nasal drip. Has anyone else experienced this? Its terrifying.</t>
        </is>
      </c>
      <c r="D1808" t="n">
        <v>1</v>
      </c>
      <c r="E1808" t="n">
        <v>2</v>
      </c>
      <c r="F1808">
        <f>HYPERLINK("https://www.reddit.com/r/GERD/comments/ca2y96/trouble_breathing_when_sleeping/")</f>
        <v/>
      </c>
      <c r="G1808" t="inlineStr">
        <is>
          <t>2019-07-06 21:28:21</t>
        </is>
      </c>
      <c r="H1808" t="inlineStr"/>
    </row>
    <row r="1809">
      <c r="A1809" t="inlineStr">
        <is>
          <t>ca2zfz</t>
        </is>
      </c>
      <c r="B1809" t="inlineStr">
        <is>
          <t>I miss coffee.</t>
        </is>
      </c>
      <c r="C1809" t="inlineStr">
        <is>
          <t>I miss everything we’re not allowed to eat especially cake. 😐</t>
        </is>
      </c>
      <c r="D1809" t="n">
        <v>27</v>
      </c>
      <c r="E1809" t="n">
        <v>23</v>
      </c>
      <c r="F1809">
        <f>HYPERLINK("https://www.reddit.com/r/GERD/comments/ca2zfz/i_miss_coffee/")</f>
        <v/>
      </c>
      <c r="G1809" t="inlineStr">
        <is>
          <t>2019-07-06 21:32:19</t>
        </is>
      </c>
      <c r="H1809" t="inlineStr"/>
    </row>
    <row r="1810">
      <c r="A1810" t="inlineStr">
        <is>
          <t>ca5a4k</t>
        </is>
      </c>
      <c r="B1810" t="inlineStr">
        <is>
          <t>How long to heal lungs</t>
        </is>
      </c>
      <c r="C1810" t="inlineStr">
        <is>
          <t>Loving this sub guys!! Recently diagnosed with LPR which explained so many things. My biggest symptom has always been Asthma/difficulty breathing  Before diagnosis modification in my diet often accidentally alleviated the symptoms from time to time but I was always unable to pinpoint what it was - my question is, does anyone know if I swapped to a perfect diet how long (roughly) it would take for my lungs to heal back to asymptomatic?
I’ve swapped to a low volume diet of bananas, oats, almond milk and water</t>
        </is>
      </c>
      <c r="D1810" t="n">
        <v>4</v>
      </c>
      <c r="E1810" t="n">
        <v>2</v>
      </c>
      <c r="F1810">
        <f>HYPERLINK("https://www.reddit.com/r/GERD/comments/ca5a4k/how_long_to_heal_lungs/")</f>
        <v/>
      </c>
      <c r="G1810" t="inlineStr">
        <is>
          <t>2019-07-07 03:04:57</t>
        </is>
      </c>
      <c r="H1810" t="inlineStr"/>
    </row>
    <row r="1811">
      <c r="A1811" t="inlineStr">
        <is>
          <t>ca75a9</t>
        </is>
      </c>
      <c r="B1811" t="inlineStr">
        <is>
          <t>How do you keep a fresh breath?</t>
        </is>
      </c>
      <c r="C1811" t="inlineStr">
        <is>
          <t>For me nothing helps, my breath is disgusting. I brush my teeth 3 times a day, one when I wake up, then after lunch, and before sleep. I have cobblestone throat too, yellow bumps in the back of the throat, also got one in the tonsil. How do I keep my breath fresh WITHOUT medicine.</t>
        </is>
      </c>
      <c r="D1811" t="n">
        <v>2</v>
      </c>
      <c r="E1811" t="n">
        <v>6</v>
      </c>
      <c r="F1811">
        <f>HYPERLINK("https://www.reddit.com/r/GERD/comments/ca75a9/how_do_you_keep_a_fresh_breath/")</f>
        <v/>
      </c>
      <c r="G1811" t="inlineStr">
        <is>
          <t>2019-07-07 07:03:18</t>
        </is>
      </c>
      <c r="H1811" t="inlineStr"/>
    </row>
    <row r="1812">
      <c r="A1812" t="inlineStr">
        <is>
          <t>ca7qww</t>
        </is>
      </c>
      <c r="B1812" t="inlineStr">
        <is>
          <t>I pushed my "small" hiatial hernia downward last night, can't really feel it anymore, most symptoms are gone.</t>
        </is>
      </c>
      <c r="C1812" t="inlineStr">
        <is>
          <t>There was no relfux even after eating and laying down, I did it last night and had a panic attack because my body was not used to the change. However after I calmed down I realzied I can burp when laying down now, and the refulx was barely an issue. 
&amp;amp;#x200B;
Now its hurting in that spot, but I was able to eat. I'm assuming it would be painful a bit, so we'll see how long it lasts. I've read that they can slip back through the diaphragm. Is there any kind of exercise or something I can do to tone that area to prevent future slip ups?</t>
        </is>
      </c>
      <c r="D1812" t="n">
        <v>4</v>
      </c>
      <c r="E1812" t="n">
        <v>50</v>
      </c>
      <c r="F1812">
        <f>HYPERLINK("https://www.reddit.com/r/GERD/comments/ca7qww/i_pushed_my_small_hiatial_hernia_downward_last/")</f>
        <v/>
      </c>
      <c r="G1812" t="inlineStr">
        <is>
          <t>2019-07-07 08:02:22</t>
        </is>
      </c>
      <c r="H1812" t="inlineStr"/>
    </row>
    <row r="1813">
      <c r="A1813" t="inlineStr">
        <is>
          <t>ca8u9x</t>
        </is>
      </c>
      <c r="B1813" t="inlineStr">
        <is>
          <t>Fruits</t>
        </is>
      </c>
      <c r="C1813" t="inlineStr">
        <is>
          <t>After a month or so I’ve discovered that fruits are my biggest trigger, they give me fizzy, constant burps that burn my esophagus and throat, cutting out the bastards (love ‘em tho’)
The funny thing is that most of the things I thought were my triggers give me no symptoms, back to the safe list 😎</t>
        </is>
      </c>
      <c r="D1813" t="n">
        <v>5</v>
      </c>
      <c r="E1813" t="n">
        <v>7</v>
      </c>
      <c r="F1813">
        <f>HYPERLINK("https://www.reddit.com/r/GERD/comments/ca8u9x/fruits/")</f>
        <v/>
      </c>
      <c r="G1813" t="inlineStr">
        <is>
          <t>2019-07-07 09:42:55</t>
        </is>
      </c>
      <c r="H1813" t="inlineStr"/>
    </row>
    <row r="1814">
      <c r="A1814" t="inlineStr">
        <is>
          <t>ca98fi</t>
        </is>
      </c>
      <c r="B1814" t="inlineStr">
        <is>
          <t>Is it possible to have GERD without reflux?</t>
        </is>
      </c>
      <c r="C1814" t="inlineStr">
        <is>
          <t>I have very bad heartburn for over 2 weeks but never any reflux, yet my doctor thinks I have GERD.</t>
        </is>
      </c>
      <c r="D1814" t="n">
        <v>2</v>
      </c>
      <c r="E1814" t="n">
        <v>6</v>
      </c>
      <c r="F1814">
        <f>HYPERLINK("https://www.reddit.com/r/GERD/comments/ca98fi/is_it_possible_to_have_gerd_without_reflux/")</f>
        <v/>
      </c>
      <c r="G1814" t="inlineStr">
        <is>
          <t>2019-07-07 10:16:21</t>
        </is>
      </c>
      <c r="H1814" t="inlineStr"/>
    </row>
    <row r="1815">
      <c r="A1815" t="inlineStr">
        <is>
          <t>caafb9</t>
        </is>
      </c>
      <c r="B1815" t="inlineStr">
        <is>
          <t>Something simple that is helping me</t>
        </is>
      </c>
      <c r="C1815" t="inlineStr">
        <is>
          <t>Drinking a full glass of water before eating any meal. A friend with GERD said her doctor directed her to do this. Maybe it’ll help some of you all, too! I know how horribly frustrating reflux is.</t>
        </is>
      </c>
      <c r="D1815" t="n">
        <v>12</v>
      </c>
      <c r="E1815" t="n">
        <v>8</v>
      </c>
      <c r="F1815">
        <f>HYPERLINK("https://www.reddit.com/r/GERD/comments/caafb9/something_simple_that_is_helping_me/")</f>
        <v/>
      </c>
      <c r="G1815" t="inlineStr">
        <is>
          <t>2019-07-07 11:55:37</t>
        </is>
      </c>
      <c r="H1815" t="inlineStr"/>
    </row>
    <row r="1816">
      <c r="A1816" t="inlineStr">
        <is>
          <t>caawpa</t>
        </is>
      </c>
      <c r="B1816" t="inlineStr">
        <is>
          <t>Is prilosec stronger than store brand omeprazole??</t>
        </is>
      </c>
      <c r="C1816" t="inlineStr">
        <is>
          <t>Just wondering what the difference is between 20 mg prilosec and Walgreens brand omeprazole 20 mg.</t>
        </is>
      </c>
      <c r="D1816" t="n">
        <v>2</v>
      </c>
      <c r="E1816" t="n">
        <v>2</v>
      </c>
      <c r="F1816">
        <f>HYPERLINK("https://www.reddit.com/r/GERD/comments/caawpa/is_prilosec_stronger_than_store_brand_omeprazole/")</f>
        <v/>
      </c>
      <c r="G1816" t="inlineStr">
        <is>
          <t>2019-07-07 12:35:47</t>
        </is>
      </c>
      <c r="H1816" t="inlineStr"/>
    </row>
    <row r="1817">
      <c r="A1817" t="inlineStr">
        <is>
          <t>cac0r6</t>
        </is>
      </c>
      <c r="B1817" t="inlineStr">
        <is>
          <t>Need help getting off Omeprazole</t>
        </is>
      </c>
      <c r="C1817" t="inlineStr">
        <is>
          <t>Ive been taking omeprazole for around a month now and ive been experiencing bad side effects. Constipation, bloating, dry mouth, wierd taste im mouth, food sensitivity. Mood swings. 
Currently taking 40 mg. Any tips on how to stop taking it?? 
This morning I bought 20 mg to take instead of my usual 40 but im having some indigestion now. Plus I had really loose stools this morning which idk if that's from lowering my dosage.</t>
        </is>
      </c>
      <c r="D1817" t="n">
        <v>2</v>
      </c>
      <c r="E1817" t="n">
        <v>7</v>
      </c>
      <c r="F1817">
        <f>HYPERLINK("https://www.reddit.com/r/GERD/comments/cac0r6/need_help_getting_off_omeprazole/")</f>
        <v/>
      </c>
      <c r="G1817" t="inlineStr">
        <is>
          <t>2019-07-07 14:09:24</t>
        </is>
      </c>
      <c r="H1817" t="inlineStr"/>
    </row>
    <row r="1818">
      <c r="A1818" t="inlineStr">
        <is>
          <t>cac4ub</t>
        </is>
      </c>
      <c r="B1818" t="inlineStr">
        <is>
          <t>Been on omeprazole for 8 years, mostly fine but if I forget for 1 day, the rest of that day and following day are the worst</t>
        </is>
      </c>
      <c r="C1818" t="inlineStr">
        <is>
          <t>If I take the med every morning without fail I’m totally fine, but if I forget even 1 day, I’m in so much pain! And it takes days to recover. I can pop gaviscon, take Zantac, tums, nothing helps. It hurts endlessly. 
Does the surgery work? I have no valve in my esophagus, I have a hernia as well. I used to have a specialist but haven’t gone back in 6 years, is the surgery worth it?</t>
        </is>
      </c>
      <c r="D1818" t="n">
        <v>11</v>
      </c>
      <c r="E1818" t="n">
        <v>1</v>
      </c>
      <c r="F1818">
        <f>HYPERLINK("https://www.reddit.com/r/GERD/comments/cac4ub/been_on_omeprazole_for_8_years_mostly_fine_but_if/")</f>
        <v/>
      </c>
      <c r="G1818" t="inlineStr">
        <is>
          <t>2019-07-07 14:19:24</t>
        </is>
      </c>
      <c r="H1818" t="inlineStr"/>
    </row>
    <row r="1819">
      <c r="A1819" t="inlineStr">
        <is>
          <t>cacx5a</t>
        </is>
      </c>
      <c r="B1819" t="inlineStr">
        <is>
          <t>My small success story</t>
        </is>
      </c>
      <c r="C1819" t="inlineStr">
        <is>
          <t>I started getting massive episodes of stomach/back pain a couple of years ago. At first I had no idea what it even was until I finally figured out that it was bad acid reflux. I went to the doctor who did the usual blood test and recommended getting on acid reflux medicine, but I knew that this wasn't a solution, just masking the problem. After doing some research, I settled on trying a low-carb diet (fast track diet). The hypothesis is that a high complex carb diet can lead to gut microflora overgrowth and high gas pressure on the stomach, causing reflux. There appears to be some scientific support behind this, or at least behind using low-carb diet to threat gerd. After a couple of weeks on a low-carb diet, the symptoms started going away (and I instantly lost 10 pounds, which was unsettling at first). After several months, even the occasional stomach discomforts after a heavy meal went away. I haven't had an acid reflux episode in 16 months or so (ever since starting the diet). I don't even follow the diet that closely anymore. I just generally stay away from pasta and heavy carb food.
I would strongly recommend trying a low-carb diet for a few weeks, and really sticking to it, as a first step to try to diagnose your problem. It doesn't need to be a full keto diet, but just one that severally reduces complex carbs (starch, grains, beans, fruits, juices, soda, etc.).</t>
        </is>
      </c>
      <c r="D1819" t="n">
        <v>10</v>
      </c>
      <c r="E1819" t="n">
        <v>8</v>
      </c>
      <c r="F1819">
        <f>HYPERLINK("https://www.reddit.com/r/GERD/comments/cacx5a/my_small_success_story/")</f>
        <v/>
      </c>
      <c r="G1819" t="inlineStr">
        <is>
          <t>2019-07-07 15:30:34</t>
        </is>
      </c>
      <c r="H1819" t="inlineStr"/>
    </row>
    <row r="1820">
      <c r="A1820" t="inlineStr">
        <is>
          <t>caehww</t>
        </is>
      </c>
      <c r="B1820" t="inlineStr">
        <is>
          <t>Anyone else notice how burping almost completely eliminates their symptoms?</t>
        </is>
      </c>
      <c r="C1820" t="inlineStr">
        <is>
          <t>It probably sounds really weird, but honestly, since I have learned how to burp, my symptoms are nearly gone (I literally never burped for some reason until I learned how a couple years ago).
Problem is, I only really want to burp at home. When I go to work, I suppress my burps, meaning my symptoms slowly return on work days.
I also tend to swallow air/saliva a lot. Maybe that's the cause? I also have heard swallowing air is caused by anxiety, which I have plenty of. Does this mean that essentially the 'cure' is to eliminate anxiety?
I think what amazes me is simply how burping completely eliminates the pain. Am I the only one?</t>
        </is>
      </c>
      <c r="D1820" t="n">
        <v>13</v>
      </c>
      <c r="E1820" t="n">
        <v>33</v>
      </c>
      <c r="F1820">
        <f>HYPERLINK("https://www.reddit.com/r/GERD/comments/caehww/anyone_else_notice_how_burping_almost_completely/")</f>
        <v/>
      </c>
      <c r="G1820" t="inlineStr">
        <is>
          <t>2019-07-07 18:04:23</t>
        </is>
      </c>
      <c r="H1820" t="inlineStr"/>
    </row>
    <row r="1821">
      <c r="A1821" t="inlineStr">
        <is>
          <t>caep62</t>
        </is>
      </c>
      <c r="B1821" t="inlineStr">
        <is>
          <t>Has anyone had great success with improving their posture?</t>
        </is>
      </c>
      <c r="C1821" t="inlineStr">
        <is>
          <t>I've heard that slouching leads to many digestive issues, one of which is gerd. Now, I definitely slouch *a lot* so to me it makes sense that it could help. But, I just want to know how worth it is to pursue this treatment. Is it a small or large effect?</t>
        </is>
      </c>
      <c r="D1821" t="n">
        <v>3</v>
      </c>
      <c r="E1821" t="n">
        <v>6</v>
      </c>
      <c r="F1821">
        <f>HYPERLINK("https://www.reddit.com/r/GERD/comments/caep62/has_anyone_had_great_success_with_improving_their/")</f>
        <v/>
      </c>
      <c r="G1821" t="inlineStr">
        <is>
          <t>2019-07-07 18:25:02</t>
        </is>
      </c>
      <c r="H1821" t="inlineStr"/>
    </row>
    <row r="1822">
      <c r="A1822" t="inlineStr">
        <is>
          <t>cafpsv</t>
        </is>
      </c>
      <c r="B1822" t="inlineStr">
        <is>
          <t>Stop PPI before taking D-Limonene?</t>
        </is>
      </c>
      <c r="C1822" t="inlineStr">
        <is>
          <t>I’m trying to quit my PPI (40mg omeprozole) after over 8 years of being on it with steady decrease in effectiveness. I’ve always heard you should wean off of it rather than cold turkey it (that rebound reflux is the wooorst), but I’ve seen people on here have success quitting cold turkey by immediately starting a 20-day d-limonene protocol. So my question is, should I wean myself off of the omep and then start d-limonene? or quit all at once and do d-limonene? or do them simultaneously (decreasing my omep by alternative 1 and 2 20mg pills for a week then 1 and 0 pills for a week, alongside the 1000mg d-limonene every other day, both taking about 20 days)? 
I’m also planning on doing a week or two of a low-carb diet with lots of probiotics and enzymes for support, in order to reset my gut flora for long term healing. my dr knows i’m going off of ppi’s but is very hands off in general so is not involved in the support of that weaning.</t>
        </is>
      </c>
      <c r="D1822" t="n">
        <v>1</v>
      </c>
      <c r="E1822" t="n">
        <v>0</v>
      </c>
      <c r="F1822">
        <f>HYPERLINK("https://www.reddit.com/r/GERD/comments/cafpsv/stop_ppi_before_taking_dlimonene/")</f>
        <v/>
      </c>
      <c r="G1822" t="inlineStr">
        <is>
          <t>2019-07-07 20:07:43</t>
        </is>
      </c>
      <c r="H1822" t="inlineStr"/>
    </row>
    <row r="1823">
      <c r="A1823" t="inlineStr">
        <is>
          <t>cah19n</t>
        </is>
      </c>
      <c r="B1823" t="inlineStr">
        <is>
          <t>help for burning stomach pain</t>
        </is>
      </c>
      <c r="C1823" t="inlineStr">
        <is>
          <t>I wanted to share a few things if anyone is suffering from the same pain I endured for years, since most people stop going to these forums once they're better. 
I spent three years suffering from a number of gastrointestinal ailments which were eventually diagnosed as GERD, Functional Abdominal Pain Syndrome (FAPS), and small intestinal bacterial overgrowth (SIBO). Considering I was a 25 year old athlete in otherwise prime shape at the time, this was surprising and incredibly frustrating, since I lived a healthy lifestyle aside from dealing with some anxiety.
After making many dietary changes and adopting a low carb diet called the GAPS diet, taking up meditation, learning to use mental pain control techniques through a book on IBS, and spending literally thousands of dollars on supplements, I have learned some things that really help. Even once I got my GERD under control, what became the most annoying symptom of all for me was a relentless burning pain in the stomach that felt like gastritis or an ulcer. During this time I had to take a year off of work because I couldn't sleep through the pain, and therefore couldn't do my job. As I went into debt with this condition, I became absolutely determined to cure myself. Finding a cure when doctors and even naturopaths couldn't give me any answers became my full-time job. 
Through all the testing I had done (being scoped from both ends, having a tube stuck down my nose for 24 hours to measure the acid produced in my stomach, barium swallow, every type of scan you can imagine, etc. I learned a few things:
\-GERD issues can often be cured by reducing stress, adopting a low carb, whole foods diet, avoiding offending foods, and taking apple cider vinegar before meals. But if these changes don't help, your GERD may actually be caused by SIBO (small intestine bacterial overgrowth), in which case it will be more difficult to cure, as SIBO tends to become chronic. 
\-If you have SIBO (you will likely have a lot of uncomfortable bloating, get a breath test to confirm), Dr. Siebecker is an amazing resource. [https://www.siboinfo.com](https://www.siboinfo.com) I paid big bucks to Skype with her when I was stuck on my journey to health. The take aways that enabled me to cure my SIBO were adopting the diet she suggests, spacing my meals out through intermittent fasting, and meditation. I also took herbal and non-herbal antibiotics to clear it. I have been SIBO free for over 3 years now, and I don't need to take antibiotics or stay on a severely restrictive diet to keep it at bay. If I ever feel it starting to come on again I basically go on a ketogenic diet or fast for 24 hours and it goes away. 
\-The main supplement that helped me with the nagging burning pain in my stomach that kept me up at night was something called zinc L-carnosine. It increases your stomach's mucous secretions and acts as a protective barrier if you have developed hyper nerve sensitivity in your stomach. After ruling everything else out, I realized that I had had stomach pain for so long that my brain had basically become re-wired to over respond to pain in the gut, and was hyper sensitive. It wasn't a pain I could ignore and it most often came on at night. If you have this too and you've ruled out an ulcer or gastritis, try the zinc l-carnosine, bone broth, l-gluamatine, meditation, and the techniques in this book called Trust Your Gut: [https://www.chapters.indigo.ca/en-ca/books/product/9781573245883-item.html?s\_campaign=goo-Performance\_AlwaysOn\_Locallnventory\_Books\_EN&amp;amp;ds\_rl=1246160&amp;amp;ds\_rl=1254699&amp;amp;ds\_rl=1254699&amp;amp;ds\_rl=1254699&amp;amp;gclid=CjwKCAjwsIbpBRBNEiwAZF8-z8WAY40PeXIjp6efHw0y8MNkZ9GEIQmUnpWubZd08C0GU-dTumO7MxoCfVkQAvD\_BwE&amp;amp;gclsrc=aw.ds](https://www.chapters.indigo.ca/en-ca/books/product/9781573245883-item.html?s_campaign=goo-Performance_AlwaysOn_Locallnventory_Books_EN&amp;amp;ds_rl=1246160&amp;amp;ds_rl=1254699&amp;amp;ds_rl=1254699&amp;amp;ds_rl=1254699&amp;amp;gclid=CjwKCAjwsIbpBRBNEiwAZF8-z8WAY40PeXIjp6efHw0y8MNkZ9GEIQmUnpWubZd08C0GU-dTumO7MxoCfVkQAvD_BwE&amp;amp;gclsrc=aw.ds)
Has anyone else experienced this dreaded, elusive burning pain? I hope not, but if you're struggling with it, feel free to ask me any questions. Though I am not a doctor myself, curing these conditions became my full-time job for 3 years, and so I may have insight that others aren't able to offer. Getting through any chronic condition makes you a stronger person, and there IS light at the end of the tunnel. Most people only post about the problems, not how they healed. 
Just here to help! Cheers.</t>
        </is>
      </c>
      <c r="D1823" t="n">
        <v>5</v>
      </c>
      <c r="E1823" t="n">
        <v>1</v>
      </c>
      <c r="F1823">
        <f>HYPERLINK("https://www.reddit.com/r/GERD/comments/cah19n/help_for_burning_stomach_pain/")</f>
        <v/>
      </c>
      <c r="G1823" t="inlineStr">
        <is>
          <t>2019-07-07 22:33:47</t>
        </is>
      </c>
      <c r="H1823" t="inlineStr"/>
    </row>
    <row r="1824">
      <c r="A1824" t="inlineStr">
        <is>
          <t>cankwi</t>
        </is>
      </c>
      <c r="B1824" t="inlineStr">
        <is>
          <t>Dexilant 60 mg -&amp;gt; 30 mg</t>
        </is>
      </c>
      <c r="C1824" t="inlineStr">
        <is>
          <t>I've been very happy on Dex 60 mg for several years now ( especially with $20 coupon code)
Now my GI doc is telling me long term studies show weakening bone density ( my layman terms) so I am trying 30 mg...so far, it's not great, but i will play through for a while
&amp;amp;#x200B;
Curious if I go back to 60 mg, what will they say next? Another supplement? Has anyone else heard this? Just thinking out loud...
&amp;amp;#x200B;
&amp;amp;#x200B;
thanks</t>
        </is>
      </c>
      <c r="D1824" t="n">
        <v>1</v>
      </c>
      <c r="E1824" t="n">
        <v>11</v>
      </c>
      <c r="F1824">
        <f>HYPERLINK("https://www.reddit.com/r/GERD/comments/cankwi/dexilant_60_mg_30_mg/")</f>
        <v/>
      </c>
      <c r="G1824" t="inlineStr">
        <is>
          <t>2019-07-08 09:54:22</t>
        </is>
      </c>
      <c r="H1824" t="inlineStr"/>
    </row>
    <row r="1825">
      <c r="A1825" t="inlineStr">
        <is>
          <t>canoqv</t>
        </is>
      </c>
      <c r="B1825" t="inlineStr">
        <is>
          <t>Very tired after taking PPI</t>
        </is>
      </c>
      <c r="C1825" t="inlineStr">
        <is>
          <t>Hi!
Right after taking Esomeprazole 80mg i get very tired and with no energy at all.
I know It is the Esomeprazole because i forgot taking it yesterday and my energy was INSANE, 
Am i the only one who has lack of energy after taking a PPI? What should i do?</t>
        </is>
      </c>
      <c r="D1825" t="n">
        <v>3</v>
      </c>
      <c r="E1825" t="n">
        <v>6</v>
      </c>
      <c r="F1825">
        <f>HYPERLINK("https://www.reddit.com/r/GERD/comments/canoqv/very_tired_after_taking_ppi/")</f>
        <v/>
      </c>
      <c r="G1825" t="inlineStr">
        <is>
          <t>2019-07-08 10:02:28</t>
        </is>
      </c>
      <c r="H1825" t="inlineStr"/>
    </row>
    <row r="1826">
      <c r="A1826" t="inlineStr">
        <is>
          <t>cao7on</t>
        </is>
      </c>
      <c r="B1826" t="inlineStr">
        <is>
          <t>New to this</t>
        </is>
      </c>
      <c r="C1826" t="inlineStr">
        <is>
          <t>I've been struggling with this for about two years now. The constant clearing of throat, scream coughing in the morning, Post nasal drip, etc. I've been trying to do some research on my own until I finally go to the doctor about the issue. I've also read a lot on here about what is the best way to tackle it. What do you think is the best way to start handing this OTC?  What combination has worked for you with your LPR/GERD symptoms? 
&amp;amp;#x200B;
Thanks so much!</t>
        </is>
      </c>
      <c r="D1826" t="n">
        <v>8</v>
      </c>
      <c r="E1826" t="n">
        <v>12</v>
      </c>
      <c r="F1826">
        <f>HYPERLINK("https://www.reddit.com/r/GERD/comments/cao7on/new_to_this/")</f>
        <v/>
      </c>
      <c r="G1826" t="inlineStr">
        <is>
          <t>2019-07-08 10:41:38</t>
        </is>
      </c>
      <c r="H1826" t="inlineStr"/>
    </row>
    <row r="1827">
      <c r="A1827" t="inlineStr">
        <is>
          <t>cap1p6</t>
        </is>
      </c>
      <c r="B1827" t="inlineStr">
        <is>
          <t>Throat...pain?</t>
        </is>
      </c>
      <c r="C1827" t="inlineStr">
        <is>
          <t>I’ve had assumed GERD for about 10 years now. I’ve treated with diet and avoidance of triggers.  My pregnancies caused major flares, and those flares were felt mainly in my chest and my back (between shoulder blades) as a severe burning. 
Recently, I have been super stressed and I’ve noticed a new pain in my throat. It’s not a familiar pain.  It’s not pain like a sore throat and it’s not a burning like I’m used to with reflux. It’s so hard to explain...but I would say it’s like a random throbbing pain. Seems to be irritated after eating but again, a pain I’m not familiar with.
Does this sound insane? Can anyone relate?</t>
        </is>
      </c>
      <c r="D1827" t="n">
        <v>6</v>
      </c>
      <c r="E1827" t="n">
        <v>8</v>
      </c>
      <c r="F1827">
        <f>HYPERLINK("https://www.reddit.com/r/GERD/comments/cap1p6/throatpain/")</f>
        <v/>
      </c>
      <c r="G1827" t="inlineStr">
        <is>
          <t>2019-07-08 11:41:53</t>
        </is>
      </c>
      <c r="H1827" t="inlineStr"/>
    </row>
    <row r="1828">
      <c r="A1828" t="inlineStr">
        <is>
          <t>caq4xa</t>
        </is>
      </c>
      <c r="B1828" t="inlineStr">
        <is>
          <t>Side effects to stopping omeprazole /prilosec?</t>
        </is>
      </c>
      <c r="C1828" t="inlineStr">
        <is>
          <t>Im tryin to get off of omeprazole cause ive been having bad side effects from it. 
Tapering from 40mg to 20. Just wondering what kind of side effects you get besides the rebound reflux. So far ive noticed my stools are looser. 
Thanks.</t>
        </is>
      </c>
      <c r="D1828" t="n">
        <v>2</v>
      </c>
      <c r="E1828" t="n">
        <v>2</v>
      </c>
      <c r="F1828">
        <f>HYPERLINK("https://www.reddit.com/r/GERD/comments/caq4xa/side_effects_to_stopping_omeprazole_prilosec/")</f>
        <v/>
      </c>
      <c r="G1828" t="inlineStr">
        <is>
          <t>2019-07-08 13:03:34</t>
        </is>
      </c>
      <c r="H1828" t="inlineStr"/>
    </row>
    <row r="1829">
      <c r="A1829" t="inlineStr">
        <is>
          <t>caruez</t>
        </is>
      </c>
      <c r="B1829" t="inlineStr">
        <is>
          <t>I though this was interesting on Barrett's Esophagus</t>
        </is>
      </c>
      <c r="C1829" t="inlineStr">
        <is>
          <t>Q. I was diagnosed with Barrett’s esophagus after years of daily PPI use. My then-gastroenterologist had prescribed it. However, what I thought was excess stomach acid as the cause for my indigestion, ironically, was low stomach acid. I believe this was caused by my hypothyroid condition.
My integrative cardiologist subsequently diagnosed the thyroid problem and prescribed natural desiccated thyroid (NDT). My Barrett’s esophagus cleared up and I no longer need a PPI at all. I control my digestive upsets with diet, hydrochloric acid pills, digestive enzymes and a commercial antacid if I really need it.
A. Thank you for alerting us to the link between hypothyroidism and achlorhydria. This is the medical term for low stomach acid. Although this is documented in the medical literature, we suspect that most people are unaware of the connection (World Journal of Gastroenterology, June 21, 2009).</t>
        </is>
      </c>
      <c r="D1829" t="n">
        <v>10</v>
      </c>
      <c r="E1829" t="n">
        <v>9</v>
      </c>
      <c r="F1829">
        <f>HYPERLINK("https://www.reddit.com/r/GERD/comments/caruez/i_though_this_was_interesting_on_barretts/")</f>
        <v/>
      </c>
      <c r="G1829" t="inlineStr">
        <is>
          <t>2019-07-08 15:17:07</t>
        </is>
      </c>
      <c r="H1829" t="inlineStr"/>
    </row>
    <row r="1830">
      <c r="A1830" t="inlineStr">
        <is>
          <t>cas0bu</t>
        </is>
      </c>
      <c r="B1830" t="inlineStr">
        <is>
          <t>Pain and tightness under ribs</t>
        </is>
      </c>
      <c r="C1830" t="inlineStr">
        <is>
          <t>Well I used to be on omeprazole for some mild issues about five years ago. Since then I guess I've had issues and off but I also had bigger problems so they didn't alarm me. But now, for three weeks, I've had quite extreme issues and I really want to avoid meds if possible as I am intolerant to so much nowadays due to my mast cell disease. But anyway, I know if I go to the doctor they will probably just suggest medication. I've cut down on dairy, still been trying to avoid chocolate and tomato etc. Been sleeping with my head propped up. But issues are still bad. 
I'm getting- 
Near constant acidic in mouth and slight regurgitation of food almost always after I eat.
A lot of coughing. Nasal drip.
Shortness of breath, getting more constant.
Increased fatigue
Stomach bloating and most of the time limited how much I can eat
Frequent pain in chest area
Last night I woke up struggling for breath because of pain and constriction just under my ribs.
Is there any thing else I can resort to before meds? 
I am starting to worry damage is being done so don't worry I will do whatever I need to do, but maybe there's other things I can try first.</t>
        </is>
      </c>
      <c r="D1830" t="n">
        <v>3</v>
      </c>
      <c r="E1830" t="n">
        <v>5</v>
      </c>
      <c r="F1830">
        <f>HYPERLINK("https://www.reddit.com/r/GERD/comments/cas0bu/pain_and_tightness_under_ribs/")</f>
        <v/>
      </c>
      <c r="G1830" t="inlineStr">
        <is>
          <t>2019-07-08 15:30:32</t>
        </is>
      </c>
      <c r="H1830" t="inlineStr"/>
    </row>
    <row r="1831">
      <c r="A1831" t="inlineStr">
        <is>
          <t>cat1e6</t>
        </is>
      </c>
      <c r="B1831" t="inlineStr">
        <is>
          <t>GERD/LPR!!</t>
        </is>
      </c>
      <c r="C1831" t="inlineStr">
        <is>
          <t>I’m a 24 year old male, healthy, active, low body fat. 
I’ve had 2 upper endoscopes done &amp;amp; an ENT doc just did a laryngoscopy last Friday. My first upper I was told I have a small hiatal hernia (not to worry), and was put on PPI for couple months which helped, I tapered off back in January. I constantly have to clear my throat, get voice fatigue, sometimes heartburn/reflux back into the throat. I got back on the PPI (omeprozole 20mg) for around a month Bc I was experiencing this Globus sensation, like something was stuck and I don’t really eat much anymore at all, I’ve lost about 13 pounds as a result. I cut out eating late, propping my head up, etc. I was told take the PPPI twice a day, along with a h2 blocker before bed, haven’t started that yet will start tomorrow, but my ENT said my vocal cords looked “beefy” therefore acid has clearly touched them and inflamed them, resulting in these sensations. I’ve read it can take 6 months for LPR to resolve and will never be back to normal, which concerns me honestly Bc I can’t live with this lump in throat sensation, I’m afraid to choke on food. My question is anyone with LPR have any success? GERD success?</t>
        </is>
      </c>
      <c r="D1831" t="n">
        <v>4</v>
      </c>
      <c r="E1831" t="n">
        <v>8</v>
      </c>
      <c r="F1831">
        <f>HYPERLINK("https://www.reddit.com/r/GERD/comments/cat1e6/gerdlpr/")</f>
        <v/>
      </c>
      <c r="G1831" t="inlineStr">
        <is>
          <t>2019-07-08 16:58:34</t>
        </is>
      </c>
      <c r="H1831" t="inlineStr"/>
    </row>
    <row r="1832">
      <c r="A1832" t="inlineStr">
        <is>
          <t>cav6lb</t>
        </is>
      </c>
      <c r="B1832" t="inlineStr">
        <is>
          <t>GERD and dizziness... Anyone?</t>
        </is>
      </c>
      <c r="C1832" t="inlineStr">
        <is>
          <t>Since my GERD symptoms have gotten worse it seems I’ve gotten light headed more. 
Does anyone else experience this?? Not sure if there’s a correlation</t>
        </is>
      </c>
      <c r="D1832" t="n">
        <v>2</v>
      </c>
      <c r="E1832" t="n">
        <v>7</v>
      </c>
      <c r="F1832">
        <f>HYPERLINK("https://www.reddit.com/r/GERD/comments/cav6lb/gerd_and_dizziness_anyone/")</f>
        <v/>
      </c>
      <c r="G1832" t="inlineStr">
        <is>
          <t>2019-07-08 20:12:21</t>
        </is>
      </c>
      <c r="H1832" t="inlineStr"/>
    </row>
    <row r="1833">
      <c r="A1833" t="inlineStr">
        <is>
          <t>cawny4</t>
        </is>
      </c>
      <c r="B1833" t="inlineStr">
        <is>
          <t>Can mild-ish acid reflux be cured?</t>
        </is>
      </c>
      <c r="C1833" t="inlineStr">
        <is>
          <t>Used to drink daily and didn't even notice the heartburn. Lately I've been getting some reflux most days. When I wake up, back of throat feels like when having a slight cold.
Started taking Zantac this morning, and no reflux symptoms, as expected. Already making significant lifestyle changes as recommended.
Normal bodyweight and exercise fairly often. 26, male.
Any success stories?</t>
        </is>
      </c>
      <c r="D1833" t="n">
        <v>2</v>
      </c>
      <c r="E1833" t="n">
        <v>10</v>
      </c>
      <c r="F1833">
        <f>HYPERLINK("https://www.reddit.com/r/GERD/comments/cawny4/can_mildish_acid_reflux_be_cured/")</f>
        <v/>
      </c>
      <c r="G1833" t="inlineStr">
        <is>
          <t>2019-07-08 22:43:26</t>
        </is>
      </c>
      <c r="H1833" t="inlineStr"/>
    </row>
    <row r="1834">
      <c r="A1834" t="inlineStr">
        <is>
          <t>cawnyu</t>
        </is>
      </c>
      <c r="B1834" t="inlineStr">
        <is>
          <t>GERD? GP? Gastritis? Help please!</t>
        </is>
      </c>
      <c r="C1834" t="inlineStr">
        <is>
          <t>Hello there so some background I am 25 and male. I am closing in on week 4 of my symptoms. I will be seeing a GI doctor this Friday for an upper scope. 2 weeks ago I went to the doctor complaining of abdominal pain (one night very bad otherwise dull achey and crampy) , bloating, early satiety and feeling full would come later. My doctor said could be Gastritis so put me on ppis twice daily. I returned 5 days later and doctor was surprised my symptoms did not improve and at this point told me to get a scope done. I also had basic blood test done which was normal. CT scan of abdomen nothing stood out. Urine normal. No rectal bleeding. H Pylori breath test came back negative but I did consume Tums a few times that week prior to test which I heard is not a good thing to do?
&amp;amp;#x200B;
Now today I have very low appetite, feel full and generally bloated even after a glass of water. Last week I did vomit some blueberries, but I have consistent retching especially when I am active in a mild sense putting away clothes doing laundry moving about. Recently I have mostly been on a liquid diet so nothing has come out (can you vomit even if just having liquids?) but I retch five or six times then feel a bit better. I also have persistent nausea. I tried various meds supplements etc but for the past few days stopped all meds (donp, zofran, ppi omep) and most supplements. I dont exactly feel worse but not really better either. I have also noticed since my symptoms started I wake up with a food from last night taste in my mouth with little bits of food particles in my mouth for example once was a grain of rice. I am suspecting some sort of reflux has developed?
&amp;amp;#x200B;
I guess the reason I am posting here is my background health history. Several years ago I was diagnosed as being moderately allergic to shellfish (not sure if that plays into GP). For the month of May I had weird stomach cramps (hunger pains) I have never really experienced something like that before. But it would feel a lot better after eating. I could easily eat half a large pizza and wings and feel yes bloated and tired but no nausea and or vomiting. My symptoms really came on mid June and have persisted nausea, feeling like need to vomit, bloating, early satiety feeling tired and daily retching. I feel like my symptoms would be a lot worse but I am lucky to have a strong support system to help with cooking and general chores. If I had to do everything on my own I am sure my symptoms would be much worse I also have the summer off if I had to work again I am sure symptoms would be much worse. As far as a possible virus I am asexual so I dont imagine anything in that area. Maybe I had some bad food? I dont recall any major diarrhea episodes or lots of vomiting prior to my symptoms however.
&amp;amp;#x200B;
Since I can remember (mid teens) I have also been underweight. I lose weight very easily and putting on weight has been a challenge. At 6ft in height I think the most I weighed (last summer) was 144 lbs. I am currently today 132 lbs. Prior to my symptoms I was around 140 lbs. I guess what I am asking is I know GP is different for everyone. I am wondering if I maybe have an on and off again GP it flares up really bad and then goes away and then comes back again? At the same time as far as I can remember feeling like this for this long a time I cannot remember. I feel I am usually back to normal within 2 weeks. Or maybe I always had GP in the background but slowly got worse over the years to point it is now? Maybe I did not put on weight because I would often feel full early and just put it down to a small stomach? Any insights are greatly appreciated and thank you for reading my story! And I do intend to get a gastric emptying test done!</t>
        </is>
      </c>
      <c r="D1834" t="n">
        <v>1</v>
      </c>
      <c r="E1834" t="n">
        <v>5</v>
      </c>
      <c r="F1834">
        <f>HYPERLINK("https://www.reddit.com/r/GERD/comments/cawnyu/gerd_gp_gastritis_help_please/")</f>
        <v/>
      </c>
      <c r="G1834" t="inlineStr">
        <is>
          <t>2019-07-08 22:43:31</t>
        </is>
      </c>
      <c r="H1834" t="inlineStr"/>
    </row>
    <row r="1835">
      <c r="A1835" t="inlineStr">
        <is>
          <t>caz70u</t>
        </is>
      </c>
      <c r="B1835" t="inlineStr">
        <is>
          <t>Can too little stomach acid be diagnosed with endoscopy?</t>
        </is>
      </c>
      <c r="C1835" t="inlineStr">
        <is>
          <t>I’ve been reading about this for a while and I’m very confused. Been suffering from this for a year now.
Symptoms:
Heartburn 
Indigestion 
Occasional nausea
But mostly heartburn everyday even when I wake up. Even in the morning before I eat, I take esomeprazole and I still have the burning in my stomach. Not sure if it could be because my stomach is empty. Everything seems to cause a heartburn even bananas and toast.
I saw a gastro 2 weeks ago and he said he thinks I have IBS and a sensitive stomach (I also get constipation and diarrhoea) and that I don’t have have any acid reflux at all. I’m currently waiting to get an endoscopy but it could take another 2 or 3 months. 
I’m still taking my 20mg esomeprazole in the morning and 300mg ranitidine in the evening. Doesn’t seem to help but heartburn is worse if I stop taking them, possibly because of rebound symptoms. I feel lost.</t>
        </is>
      </c>
      <c r="D1835" t="n">
        <v>2</v>
      </c>
      <c r="E1835" t="n">
        <v>11</v>
      </c>
      <c r="F1835">
        <f>HYPERLINK("https://www.reddit.com/r/GERD/comments/caz70u/can_too_little_stomach_acid_be_diagnosed_with/")</f>
        <v/>
      </c>
      <c r="G1835" t="inlineStr">
        <is>
          <t>2019-07-09 03:39:54</t>
        </is>
      </c>
      <c r="H1835" t="inlineStr"/>
    </row>
    <row r="1836">
      <c r="A1836" t="inlineStr">
        <is>
          <t>cb25f0</t>
        </is>
      </c>
      <c r="B1836" t="inlineStr">
        <is>
          <t>What can I expect at a doctor visit for the first time?</t>
        </is>
      </c>
      <c r="C1836" t="inlineStr">
        <is>
          <t>I have never been to a GI and have been holding off mainly because of fear.
I’m 18 and get the rising sensation of food in my throat sometimes, often have trouble burping, and sometimes can’t swallow.
What do you think the doctor will order out? Im so scared of the possible tests that can be done. I feel like the digestive system has the scariest tests and procedures out of any other place in the body.</t>
        </is>
      </c>
      <c r="D1836" t="n">
        <v>3</v>
      </c>
      <c r="E1836" t="n">
        <v>8</v>
      </c>
      <c r="F1836">
        <f>HYPERLINK("https://www.reddit.com/r/GERD/comments/cb25f0/what_can_i_expect_at_a_doctor_visit_for_the_first/")</f>
        <v/>
      </c>
      <c r="G1836" t="inlineStr">
        <is>
          <t>2019-07-09 08:13:06</t>
        </is>
      </c>
      <c r="H1836" t="inlineStr"/>
    </row>
    <row r="1837">
      <c r="A1837" t="inlineStr">
        <is>
          <t>cb30e4</t>
        </is>
      </c>
      <c r="B1837" t="inlineStr">
        <is>
          <t>Can the food you eat from yesterday trigger your acid reflux today?</t>
        </is>
      </c>
      <c r="C1837" t="inlineStr">
        <is>
          <t>Say you ate pizza yesterday, but today you eat only healthy food like a salad, can your stomach be irritated from yesterday to give you acid reflux after eating the salad when it usually does not do what? How long can the reflux from your food yesteday not be a factor? 2 days later?</t>
        </is>
      </c>
      <c r="D1837" t="n">
        <v>2</v>
      </c>
      <c r="E1837" t="n">
        <v>1</v>
      </c>
      <c r="F1837">
        <f>HYPERLINK("https://www.reddit.com/r/GERD/comments/cb30e4/can_the_food_you_eat_from_yesterday_trigger_your/")</f>
        <v/>
      </c>
      <c r="G1837" t="inlineStr">
        <is>
          <t>2019-07-09 09:19:21</t>
        </is>
      </c>
      <c r="H1837" t="inlineStr"/>
    </row>
    <row r="1838">
      <c r="A1838" t="inlineStr">
        <is>
          <t>cb32uw</t>
        </is>
      </c>
      <c r="B1838" t="inlineStr">
        <is>
          <t>Esophageal cancer?</t>
        </is>
      </c>
      <c r="C1838" t="inlineStr">
        <is>
          <t>I’m sure this has probably been asked before, but I have major stress and anxiety over this whole damn situation. Is an upper endoscopy the best way to rule out esophageal cancer?
I’ve been so worried about something being really wrong,  but being brushed off because I’m young. I did have an endoscopy that they told me was clear. Is that the best test to get to check everything out?</t>
        </is>
      </c>
      <c r="D1838" t="n">
        <v>9</v>
      </c>
      <c r="E1838" t="n">
        <v>32</v>
      </c>
      <c r="F1838">
        <f>HYPERLINK("https://www.reddit.com/r/GERD/comments/cb32uw/esophageal_cancer/")</f>
        <v/>
      </c>
      <c r="G1838" t="inlineStr">
        <is>
          <t>2019-07-09 09:24:35</t>
        </is>
      </c>
      <c r="H1838" t="inlineStr"/>
    </row>
    <row r="1839">
      <c r="A1839" t="inlineStr">
        <is>
          <t>cb431x</t>
        </is>
      </c>
      <c r="B1839" t="inlineStr">
        <is>
          <t>Diarrhea from getting off omeprazole??</t>
        </is>
      </c>
      <c r="C1839" t="inlineStr">
        <is>
          <t>Has anyone experienced loose stools from getting off of omeprazole? Im currently tapering off of 40 mg that ive been taking for 3 weeks cause of horrible side effects. Started to take 20 mg instead but since then my stools have become loose and mushy, they fall apart in the toilet.</t>
        </is>
      </c>
      <c r="D1839" t="n">
        <v>1</v>
      </c>
      <c r="E1839" t="n">
        <v>1</v>
      </c>
      <c r="F1839">
        <f>HYPERLINK("https://www.reddit.com/r/GERD/comments/cb431x/diarrhea_from_getting_off_omeprazole/")</f>
        <v/>
      </c>
      <c r="G1839" t="inlineStr">
        <is>
          <t>2019-07-09 10:39:23</t>
        </is>
      </c>
      <c r="H1839" t="inlineStr"/>
    </row>
    <row r="1840">
      <c r="A1840" t="inlineStr">
        <is>
          <t>cb4odh</t>
        </is>
      </c>
      <c r="B1840" t="inlineStr">
        <is>
          <t>Doc wanted me to taper off PPI to see if the reflux was temporary, went down from 30 to 15 for a month, was good, doing 15mg every second day and having reflux again. Is it okay to go back to 15 a day?</t>
        </is>
      </c>
      <c r="C1840" t="inlineStr">
        <is>
          <t>15 a day was working for me, i had a bit of rebound when lowering but it stabilized and i felt good. So after a month of that i started skipping every other day but ive been having reflux and sore throats again, sometimes on days i take and sometimes on days that i dont even. It would be good to ask a doc but it would take too long to get into an appt just for that tiny question. Do you guys think its alright to go back to 15mg lanzoprazole everyday? Im planning on seeing a new doctor and considering a scope, so im not saying 15mg everyday will be forever</t>
        </is>
      </c>
      <c r="D1840" t="n">
        <v>1</v>
      </c>
      <c r="E1840" t="n">
        <v>4</v>
      </c>
      <c r="F1840">
        <f>HYPERLINK("https://www.reddit.com/r/GERD/comments/cb4odh/doc_wanted_me_to_taper_off_ppi_to_see_if_the/")</f>
        <v/>
      </c>
      <c r="G1840" t="inlineStr">
        <is>
          <t>2019-07-09 11:22:37</t>
        </is>
      </c>
      <c r="H1840" t="inlineStr"/>
    </row>
    <row r="1841">
      <c r="A1841" t="inlineStr">
        <is>
          <t>cb4w4e</t>
        </is>
      </c>
      <c r="B1841" t="inlineStr">
        <is>
          <t>A question for the community</t>
        </is>
      </c>
      <c r="C1841" t="inlineStr">
        <is>
          <t>I have a question about food choices and symptoms.  My experience so far has been pretty odd in this regard, and I wanted to bounce it off some fellow GERD sufferers to see if it sounds similar.  For me fat, and fiber tend to cause the most problems.  Protein can be a problem in large amounts as well.  The odd thing is, if I add carbs such as rice, or bread to the fatty food it reduces the effect considerably.  Yesterday for instance, I made 3 eggs in olive oil for lunch to test it out again.  Within an hour my throat started to get tight and raspy, and then the dyspepsia set in.  I actually had some breakthrough heartburn by the time I got off work.  Last Saturday in comparison I had a large fri, and two Mcdoubles (effing hungry after weight training) in the evening, and had little to no increased symptoms.  This is not the first time, I have done this experiment either.  I desperately want to eat low carb, but I just cant make it work.</t>
        </is>
      </c>
      <c r="D1841" t="n">
        <v>9</v>
      </c>
      <c r="E1841" t="n">
        <v>16</v>
      </c>
      <c r="F1841">
        <f>HYPERLINK("https://www.reddit.com/r/GERD/comments/cb4w4e/a_question_for_the_community/")</f>
        <v/>
      </c>
      <c r="G1841" t="inlineStr">
        <is>
          <t>2019-07-09 11:38:20</t>
        </is>
      </c>
      <c r="H1841" t="inlineStr"/>
    </row>
    <row r="1842">
      <c r="A1842" t="inlineStr">
        <is>
          <t>cb5xa2</t>
        </is>
      </c>
      <c r="B1842" t="inlineStr">
        <is>
          <t>Laryngopharyngeal Reflux (LPR) or GERD causing Sleep apnea?</t>
        </is>
      </c>
      <c r="C1842" t="inlineStr">
        <is>
          <t xml:space="preserve"> 
# 
📷
I was wondering if anyone here has LPR or GERD? Can it cause/contribute to obstructive sleep apnea?
Now that I am a month on CPAP after my ENT said my issues were sleep apnea which showed up on a sleep test, I am beginning to think that it's all caused by LPR.
It first started because:
1. The sensation of my throat closing when relaxing
2. Feeling of a lot of deep pooling mucus in throat
3. Jolting awake when partially asleep because I can feel the air popping through a blocked throat.
Sounds like sleep apnea right? However after starting my CPAP now for a month. It has eliminated the issues while going to sleep. However I am beginning to notice my throat still partially blocked with tightness during the day. It's occasional, happens 2-5 times a day especially when I am stationary e.g driving, watching TV, working on my desk, seated on a long flight, lying down for an extended period relaxing. It's relieved by walking around or having something the drink/eat. It basically feels like a mild asthma attack without the coughing and wheezing.
Reading up online and it seems like I have half the symptoms listed on this link. [https://www.fauquierent.net/lpr.htm](https://www.fauquierent.net/lpr.htm)
In addition, my CPAP report is fantastic. Pressure peaking at around 14cm after 2-3 hours in to sleep and events at 0-1 with no leaks. Averaging about 5-7 hours of usage per night. Maybe there will be 2 days a week that I see AHI events around 2.
Anyone got any ideas or experienced something similar? It's really starting to cause some stress and quality of life issues. I am looking to get a 2nd opinion soon but I want myself to have a good understanding of what could possibly be wrong</t>
        </is>
      </c>
      <c r="D1842" t="n">
        <v>3</v>
      </c>
      <c r="E1842" t="n">
        <v>3</v>
      </c>
      <c r="F1842">
        <f>HYPERLINK("https://www.reddit.com/r/GERD/comments/cb5xa2/laryngopharyngeal_reflux_lpr_or_gerd_causing/")</f>
        <v/>
      </c>
      <c r="G1842" t="inlineStr">
        <is>
          <t>2019-07-09 12:55:02</t>
        </is>
      </c>
      <c r="H1842" t="inlineStr"/>
    </row>
    <row r="1843">
      <c r="A1843" t="inlineStr">
        <is>
          <t>cb9e6m</t>
        </is>
      </c>
      <c r="B1843" t="inlineStr">
        <is>
          <t>help me get rid of this</t>
        </is>
      </c>
      <c r="C1843" t="inlineStr">
        <is>
          <t>I'm a 17 year old male. I was diagnosed with GERD when I was 11, not long after I was diagnosed with anxiety. At first I took prilosec and other random pills that pharmaceutical companies probably pushed my doctors into giving me, and I realized they didn't work so I stopped taking them. My stomach always hurts and adds to my anxiety, and it makes everyday life more stressful than it has to be. I'm going to cut out chocolate and spicy foods out of my diet, and significantly cut out meat. I'm going to start exercising. I want to do anything to murder my acid reflux. Any tips for certain things i could do would be appreciated. Just tell me how to start and maintain this new lifestyle. I'm not looking for moral support, I'm skinny and tall so just tell me stuff about diet and exercising.</t>
        </is>
      </c>
      <c r="D1843" t="n">
        <v>2</v>
      </c>
      <c r="E1843" t="n">
        <v>4</v>
      </c>
      <c r="F1843">
        <f>HYPERLINK("https://www.reddit.com/r/GERD/comments/cb9e6m/help_me_get_rid_of_this/")</f>
        <v/>
      </c>
      <c r="G1843" t="inlineStr">
        <is>
          <t>2019-07-09 17:30:38</t>
        </is>
      </c>
      <c r="H1843" t="inlineStr"/>
    </row>
    <row r="1844">
      <c r="A1844" t="inlineStr">
        <is>
          <t>cbajun</t>
        </is>
      </c>
      <c r="B1844" t="inlineStr">
        <is>
          <t>What next?</t>
        </is>
      </c>
      <c r="C1844" t="inlineStr">
        <is>
          <t>I wake up with nausea and have nausea when I eat. There’s no clear pattern in the food I eat too.
So far I’ve had stool and blood tests (came back normal with slight inflammation), an endoscopy that said I had intestinal metaplasia and a hiatal hernia, an ultrasound that said everything was normal and that I didn’t have a hiatal hernia, a negative h pylori breath test, and I’m scheduled for a gastric emptying test next week.
I’m losing hope and am going crazy thinking my body is fine and that I’ve just wasted a bunch of money on all these tests....I  was wondering what other tests y’all have taken? Thanks!</t>
        </is>
      </c>
      <c r="D1844" t="n">
        <v>1</v>
      </c>
      <c r="E1844" t="n">
        <v>8</v>
      </c>
      <c r="F1844">
        <f>HYPERLINK("https://www.reddit.com/r/GERD/comments/cbajun/what_next/")</f>
        <v/>
      </c>
      <c r="G1844" t="inlineStr">
        <is>
          <t>2019-07-09 19:13:47</t>
        </is>
      </c>
      <c r="H1844" t="inlineStr"/>
    </row>
    <row r="1845">
      <c r="A1845" t="inlineStr">
        <is>
          <t>cbccgl</t>
        </is>
      </c>
      <c r="B1845" t="inlineStr">
        <is>
          <t>Can you take omeprazole and ranitidine together?</t>
        </is>
      </c>
      <c r="C1845" t="inlineStr">
        <is>
          <t>Trying to wean off of omeprazole so im wondering if I can take a lower dose of it in the morning and the zantac 75 at night cause I still get indigestion</t>
        </is>
      </c>
      <c r="D1845" t="n">
        <v>3</v>
      </c>
      <c r="E1845" t="n">
        <v>7</v>
      </c>
      <c r="F1845">
        <f>HYPERLINK("https://www.reddit.com/r/GERD/comments/cbccgl/can_you_take_omeprazole_and_ranitidine_together/")</f>
        <v/>
      </c>
      <c r="G1845" t="inlineStr">
        <is>
          <t>2019-07-09 22:04:39</t>
        </is>
      </c>
      <c r="H1845" t="inlineStr"/>
    </row>
    <row r="1846">
      <c r="A1846" t="inlineStr">
        <is>
          <t>cbcm6m</t>
        </is>
      </c>
      <c r="B1846" t="inlineStr">
        <is>
          <t>Inhaling stomach acid while sleeping</t>
        </is>
      </c>
      <c r="C1846" t="inlineStr">
        <is>
          <t>Does anyone have any tips on how to avoid this? I'm not finding much online other than sleeping upright which I can't really do because of my neck. I'm willing to switch to a taller pillow. Should I just try to sleep on an empty stomach? Has anyone experienced this? I'm seeing my Dr Thursday. I'm on zantac twice a day</t>
        </is>
      </c>
      <c r="D1846" t="n">
        <v>6</v>
      </c>
      <c r="E1846" t="n">
        <v>16</v>
      </c>
      <c r="F1846">
        <f>HYPERLINK("https://www.reddit.com/r/GERD/comments/cbcm6m/inhaling_stomach_acid_while_sleeping/")</f>
        <v/>
      </c>
      <c r="G1846" t="inlineStr">
        <is>
          <t>2019-07-09 22:32:43</t>
        </is>
      </c>
      <c r="H1846" t="inlineStr"/>
    </row>
    <row r="1847">
      <c r="A1847" t="inlineStr">
        <is>
          <t>cbe8cq</t>
        </is>
      </c>
      <c r="B1847" t="inlineStr">
        <is>
          <t>98% sure I have GERD---am I being dramatic or does this really suck?</t>
        </is>
      </c>
      <c r="C1847" t="inlineStr">
        <is>
          <t>Hi, just want to talk about my situation cause I'm having bad heartburn today. I'm 24, and I've been having really bad stomach pain for extended periods of time every month or so for the past year. For a while, I was convinced it was an ulcer, but I never pushed hard enough with a doctor to get an endoscopy. I'm on ranitidine now, and I feel like it's really not doing its job. I'm in a tough spot because I'm between jobs and health insurance. Anyway, after doing more research into GERD, I'm pretty sure that's what I actually have because the symptoms match. I always feel like I'm being dramatic, but the constant burning and back pain make me feel like I can't do anything but distract myself with netflix or music. I hate feeling like I'm strapped to my bed and my couch. It seems like when I get like this, it doesn't matter what I eat, either, unless I have something really spicy or acidic. Instead, it seems to be based more around when I have my period, and my anxiety. It sucks! I really hope I can get back to a doctor in the next month and get this diagnosed and hopefully get something that will help with the pain a bit more. I just can't shake the feeling that I'm being overdramatic in my lack of energy/ability to get things done when I feel like this.</t>
        </is>
      </c>
      <c r="D1847" t="n">
        <v>6</v>
      </c>
      <c r="E1847" t="n">
        <v>11</v>
      </c>
      <c r="F1847">
        <f>HYPERLINK("https://www.reddit.com/r/GERD/comments/cbe8cq/98_sure_i_have_gerdam_i_being_dramatic_or_does/")</f>
        <v/>
      </c>
      <c r="G1847" t="inlineStr">
        <is>
          <t>2019-07-10 01:47:52</t>
        </is>
      </c>
      <c r="H1847" t="inlineStr"/>
    </row>
    <row r="1848">
      <c r="A1848" t="inlineStr">
        <is>
          <t>cbevxy</t>
        </is>
      </c>
      <c r="B1848" t="inlineStr">
        <is>
          <t>Mucus, coughing, chest pain, belching. Is it LPR/GERD?</t>
        </is>
      </c>
      <c r="C1848" t="inlineStr">
        <is>
          <t>Hello friends. 
I have been experiencing issues since March of this year. It started with chest pain and (forcibly) coughing up mucus / clearing throat. Went to doctors, got tests and xrays, doctors said I had a small pneumonia and gave me antibiotics. Helped temporarily. 
Few weeks later the pain came back. More tests, still nothing. Lungs clear, heart okay. Doctors said probably just pleurisy from excessive coughing. 
Few weeks later, still having symptoms + sinus issues. Xray revealed sinus infection and he gave me an allergy test. He suspected chronic bronchitis due to over exposure to allergens (I'm allergic to grass and stayed with my parents in a cabin for a month). He started me on prescription daily allergy meds and another course of antibiotics for the sinus infection. Sinus issues are all better now, but still having some symptoms (although better than before). 
Current symptoms are as follows:
Some chest tightness at times (especially morning). 
Excessive belching, especially after eating. (Belching relieves chest tightness). 
Excessive mucus in throat, especially in the morning. I cough up a bunch. Usually clear. 
Sore throat, although this could probably just be from all my excessive hacking and throat clearing. 
Bloating after almost every meal. 
Mild back pain. 
Although my symptoms seem to be better than before, I'm starting to get depression and anxiety because I'm not getting 100% better. Do these symptoms sound like GERD/LPR? Or is it possible that the multiple courses of antibiotics messed with my stomach and are causing these issues now? 
I'm going to try to find an ENT in the coming days. If this sounds like any of you, any times about specific questions to ask the doctor would be grateful. Thanks.</t>
        </is>
      </c>
      <c r="D1848" t="n">
        <v>3</v>
      </c>
      <c r="E1848" t="n">
        <v>3</v>
      </c>
      <c r="F1848">
        <f>HYPERLINK("https://www.reddit.com/r/GERD/comments/cbevxy/mucus_coughing_chest_pain_belching_is_it_lprgerd/")</f>
        <v/>
      </c>
      <c r="G1848" t="inlineStr">
        <is>
          <t>2019-07-10 03:10:39</t>
        </is>
      </c>
      <c r="H1848" t="inlineStr"/>
    </row>
    <row r="1849">
      <c r="A1849" t="inlineStr">
        <is>
          <t>cbgalg</t>
        </is>
      </c>
      <c r="B1849" t="inlineStr">
        <is>
          <t>I am 21F and I can't really eat no more because I believe I have acid reflux</t>
        </is>
      </c>
      <c r="C1849" t="inlineStr">
        <is>
          <t>It doesn't matter what I eat 80% the time I will feel nauseated and as a return I have been stagnant at 48-50kg can't go more than that cause I barely eat bc of the unpleasant feeling afterwards I don't even eat fast foods no more
Any advice on which food to focus on?</t>
        </is>
      </c>
      <c r="D1849" t="n">
        <v>3</v>
      </c>
      <c r="E1849" t="n">
        <v>11</v>
      </c>
      <c r="F1849">
        <f>HYPERLINK("https://www.reddit.com/r/GERD/comments/cbgalg/i_am_21f_and_i_cant_really_eat_no_more_because_i/")</f>
        <v/>
      </c>
      <c r="G1849" t="inlineStr">
        <is>
          <t>2019-07-10 05:48:26</t>
        </is>
      </c>
      <c r="H1849" t="inlineStr"/>
    </row>
    <row r="1850">
      <c r="A1850" t="inlineStr">
        <is>
          <t>cbgi8k</t>
        </is>
      </c>
      <c r="B1850" t="inlineStr">
        <is>
          <t>Gerd</t>
        </is>
      </c>
      <c r="C1850" t="inlineStr">
        <is>
          <t>Can anyone relate with this? Sometimes when my acid reflux flares up I feel a weird sensation like im out of breath, but im not actually experiencing shortness of breath. Immediately when it happens I start burping and it relieves the symptom. Anyone experience that?</t>
        </is>
      </c>
      <c r="D1850" t="n">
        <v>5</v>
      </c>
      <c r="E1850" t="n">
        <v>2</v>
      </c>
      <c r="F1850">
        <f>HYPERLINK("https://www.reddit.com/r/GERD/comments/cbgi8k/gerd/")</f>
        <v/>
      </c>
      <c r="G1850" t="inlineStr">
        <is>
          <t>2019-07-10 06:08:57</t>
        </is>
      </c>
      <c r="H1850" t="inlineStr"/>
    </row>
    <row r="1851">
      <c r="A1851" t="inlineStr">
        <is>
          <t>cbi3ad</t>
        </is>
      </c>
      <c r="B1851" t="inlineStr">
        <is>
          <t>Why are trigger foods different for everyone?</t>
        </is>
      </c>
      <c r="C1851" t="inlineStr">
        <is>
          <t>I don't have issues with most of the stuff you guys do, but I still get occasional reflux from what seems to be pressures in my colon.
Can it be solely due to the microbiome? Fost most of us?
I mean we have a shitload of access to foods from all over the world and new types of beverages and foods arise each year.</t>
        </is>
      </c>
      <c r="D1851" t="n">
        <v>2</v>
      </c>
      <c r="E1851" t="n">
        <v>6</v>
      </c>
      <c r="F1851">
        <f>HYPERLINK("https://www.reddit.com/r/GERD/comments/cbi3ad/why_are_trigger_foods_different_for_everyone/")</f>
        <v/>
      </c>
      <c r="G1851" t="inlineStr">
        <is>
          <t>2019-07-10 08:25:40</t>
        </is>
      </c>
      <c r="H1851" t="inlineStr"/>
    </row>
    <row r="1852">
      <c r="A1852" t="inlineStr">
        <is>
          <t>cbigiu</t>
        </is>
      </c>
      <c r="B1852" t="inlineStr">
        <is>
          <t>My biggest trigger food is uncooked/leaf form/rich in water vegetables like spinach, leaf broccoli, zucchini, eggplants (not cooked enough)</t>
        </is>
      </c>
      <c r="C1852" t="inlineStr">
        <is>
          <t>I think that's because the water in the vegetables spreads out once it goes in the stomach, and this is very hard to digest + causes lots of disconfort in the sotmach and in the esophagus</t>
        </is>
      </c>
      <c r="D1852" t="n">
        <v>7</v>
      </c>
      <c r="E1852" t="n">
        <v>13</v>
      </c>
      <c r="F1852">
        <f>HYPERLINK("https://www.reddit.com/r/GERD/comments/cbigiu/my_biggest_trigger_food_is_uncookedleaf_formrich/")</f>
        <v/>
      </c>
      <c r="G1852" t="inlineStr">
        <is>
          <t>2019-07-10 08:54:57</t>
        </is>
      </c>
      <c r="H1852" t="inlineStr"/>
    </row>
    <row r="1853">
      <c r="A1853" t="inlineStr">
        <is>
          <t>cbijbp</t>
        </is>
      </c>
      <c r="B1853" t="inlineStr">
        <is>
          <t>Is this GERD? How to get tested?</t>
        </is>
      </c>
      <c r="C1853" t="inlineStr">
        <is>
          <t>How did your doctors finally diagnose you with GERD? I’ve been on a roller coaster of illness and stress (from being sick). My stomach basically hurts all the time. Sometimes I feel really bloated (when I eat rice or potatoes) and it won’t go away for an entire day. It’s worse at night, I can’t fall asleep because of stomach pains and nausea. The pain is always 3 inches above my belly button. My GI doctor thinks it’s IBS but I have normal BM except pains start right after a BM sometimes. I am a lot more gassy.... I’ve had blood/stool tests and they came out normal. I’m getting an endoscopy at the end of the month. 
I’ve tried low fodmap diet. That didn’t work because it seems like rice/potatoes upset my stomach. 
I’ve kept a food diary - can’t pinpoint foods because it’s random. 
I’m starting Keto to see where that will take me.</t>
        </is>
      </c>
      <c r="D1853" t="n">
        <v>2</v>
      </c>
      <c r="E1853" t="n">
        <v>1</v>
      </c>
      <c r="F1853">
        <f>HYPERLINK("https://www.reddit.com/r/GERD/comments/cbijbp/is_this_gerd_how_to_get_tested/")</f>
        <v/>
      </c>
      <c r="G1853" t="inlineStr">
        <is>
          <t>2019-07-10 09:01:11</t>
        </is>
      </c>
      <c r="H1853" t="inlineStr"/>
    </row>
    <row r="1854">
      <c r="A1854" t="inlineStr">
        <is>
          <t>cboetc</t>
        </is>
      </c>
      <c r="B1854" t="inlineStr">
        <is>
          <t>Any safe teas?</t>
        </is>
      </c>
      <c r="C1854" t="inlineStr">
        <is>
          <t>Hey everyone:
I've given up coffee and can't remember the last time I had one, but I find that despite radical changes to diet/lifestyle/etc and with medication, GERD is still a persistent issue to be dealt with.
I'm a terrible insomniac so I usually wind down at night with a tea. Cinnamon tea and decaf earl grey tea have been my go to's in the past, but I wanted to ask you all if you knew what kinds (if any) were safe for people with GERD.</t>
        </is>
      </c>
      <c r="D1854" t="n">
        <v>10</v>
      </c>
      <c r="E1854" t="n">
        <v>20</v>
      </c>
      <c r="F1854">
        <f>HYPERLINK("https://www.reddit.com/r/GERD/comments/cboetc/any_safe_teas/")</f>
        <v/>
      </c>
      <c r="G1854" t="inlineStr">
        <is>
          <t>2019-07-10 16:51:17</t>
        </is>
      </c>
      <c r="H1854" t="inlineStr"/>
    </row>
    <row r="1855">
      <c r="A1855" t="inlineStr">
        <is>
          <t>cboi92</t>
        </is>
      </c>
      <c r="B1855" t="inlineStr">
        <is>
          <t>Anyone *not* triggered by coffee?</t>
        </is>
      </c>
      <c r="C1855" t="inlineStr">
        <is>
          <t>I was just curious.  Most of us know that triggers vary from person to person... some people can eat or drink things I can't, and vice versa.  That's why it's always hard to have a hard and fast rule about  "avoid these foods / beverages" because everyone seems to be different.
But when I read posts here, it seems that *everyone* says that coffee is their worst trigger, or at least a major one. (It's definitely my worst one.)
So I wondered whether there was anyone out there who has a bunch of trigger foods but has somehow managed to continue drinking coffee with no ill effects. Anyone?</t>
        </is>
      </c>
      <c r="D1855" t="n">
        <v>3</v>
      </c>
      <c r="E1855" t="n">
        <v>7</v>
      </c>
      <c r="F1855">
        <f>HYPERLINK("https://www.reddit.com/r/GERD/comments/cboi92/anyone_not_triggered_by_coffee/")</f>
        <v/>
      </c>
      <c r="G1855" t="inlineStr">
        <is>
          <t>2019-07-10 16:59:56</t>
        </is>
      </c>
      <c r="H1855" t="inlineStr"/>
    </row>
    <row r="1856">
      <c r="A1856" t="inlineStr">
        <is>
          <t>cbp3pb</t>
        </is>
      </c>
      <c r="B1856" t="inlineStr">
        <is>
          <t>Can GERD be temporary or is it the case that if you get it once, you'll have it forever?</t>
        </is>
      </c>
      <c r="C1856" t="inlineStr">
        <is>
          <t>Very dumb question but I am 21M. I am very fit and train around 6 times a week to enlist into the army. I am not overweight and I'm in the good range for weight
I was at a point around 28th May 2019, where I was eating HUGE amounts of takeaway everyday for 3 weeks straight on an empty stomach at night and then going to sleep. 
I have managed to control my symptoms by lifestyle changes such as eating healthy, fruits, drinks and smaller portion sizes, which i did anyway before I got GERD. Doctor gave me omeprazole to further aid healing. 
I am kind of worried a bit because I'm afraid that I may have GERD long term and it will ruin my ambitions to enlist because of this medical condition. Doctor said to give it a couple of months rest and to stop excercise until I'm better but I'm still confused and worried. He mentioned that I put too much stress on my digestive system which has caused gerd.
Is there a chance of this GERD becoming long term or can GERD be temporary (caused by drastic change in eating habits). I always thought of GERD to be 'incurable' through reading forums/posts on reddit etc. 
Enlighten me 
Regards</t>
        </is>
      </c>
      <c r="D1856" t="n">
        <v>2</v>
      </c>
      <c r="E1856" t="n">
        <v>22</v>
      </c>
      <c r="F1856">
        <f>HYPERLINK("https://www.reddit.com/r/GERD/comments/cbp3pb/can_gerd_be_temporary_or_is_it_the_case_that_if/")</f>
        <v/>
      </c>
      <c r="G1856" t="inlineStr">
        <is>
          <t>2019-07-10 17:54:22</t>
        </is>
      </c>
      <c r="H1856" t="inlineStr"/>
    </row>
    <row r="1857">
      <c r="A1857" t="inlineStr">
        <is>
          <t>cbpmgd</t>
        </is>
      </c>
      <c r="B1857" t="inlineStr">
        <is>
          <t>Coughing for 6 months - LPR?</t>
        </is>
      </c>
      <c r="C1857" t="inlineStr">
        <is>
          <t>Beginning to think I have LPR. Been coughing now for six months. It originally began as a cold in December but it lingered. I tend to cough more after every meal, especially with high acid foods. The cough will also seem to get better for a few days, but then come back. For reference, I am a healthy 30 yr old female. 
It’s a nagging cough. Extreme tickle in the throat that I have to get out. I am coughing up clear phlegm. It wakes me up at night. I can’t go anywhere where I have to be quiet because I have coughing fits.
I went to my GP and she told me that she thinks it’s allergies. BS! 
Should I try to take OTC Prilosec? What do you guys suffering with LPR take OTC? Diet change? I don’t want to live like this anymore.</t>
        </is>
      </c>
      <c r="D1857" t="n">
        <v>3</v>
      </c>
      <c r="E1857" t="n">
        <v>2</v>
      </c>
      <c r="F1857">
        <f>HYPERLINK("https://www.reddit.com/r/GERD/comments/cbpmgd/coughing_for_6_months_lpr/")</f>
        <v/>
      </c>
      <c r="G1857" t="inlineStr">
        <is>
          <t>2019-07-10 18:43:17</t>
        </is>
      </c>
      <c r="H1857" t="inlineStr"/>
    </row>
    <row r="1858">
      <c r="A1858" t="inlineStr">
        <is>
          <t>cbpn1e</t>
        </is>
      </c>
      <c r="B1858" t="inlineStr">
        <is>
          <t>Stretching stomach (increasing volume) to decrease pressure on lower eusophagal sphincter after eating?</t>
        </is>
      </c>
      <c r="C1858" t="inlineStr">
        <is>
          <t>I have found that reflux causes me to eat smaller portions. That seems to have caused my stomach to shrink in volume. It now takes very little food for my stomach to feel overly full and as if it is stretching. 
Furthermore, I have found that as my stomach volume has decreased the volume of solid/liquid needed to provoke reflux had decreased - in other words I have become more sensitive.
This decrease in stomach volume likely causes increased pressure on the lower eusophagal sphincter for a given volume of food - which leads to leakage/reflux.
My question: is this hypothesis sound and what would be a safe way of increasing stomach volume without provoking reflux. (Perhaps a former hotdog eating contestant has some advice :) )</t>
        </is>
      </c>
      <c r="D1858" t="n">
        <v>1</v>
      </c>
      <c r="E1858" t="n">
        <v>1</v>
      </c>
      <c r="F1858">
        <f>HYPERLINK("https://www.reddit.com/r/GERD/comments/cbpn1e/stretching_stomach_increasing_volume_to_decrease/")</f>
        <v/>
      </c>
      <c r="G1858" t="inlineStr">
        <is>
          <t>2019-07-10 18:44:45</t>
        </is>
      </c>
      <c r="H1858" t="inlineStr"/>
    </row>
    <row r="1859">
      <c r="A1859" t="inlineStr">
        <is>
          <t>cbsw03</t>
        </is>
      </c>
      <c r="B1859" t="inlineStr">
        <is>
          <t>GERD Triggers</t>
        </is>
      </c>
      <c r="C1859" t="inlineStr">
        <is>
          <t>I've had GERD (unofficial diagnosis, but all the symptoms are there), for 4 years now. It's finally gotten to the point where I need to restrict my diet so I don't get sick during the day/night (like bad sick). I take Zantac at least once if not twice a day and have discovered that my major trigger is anything tomato based and sometimes coffee.
What are some of your food/beverage triggers or some triggers that are pretty general for GERD sufferers?</t>
        </is>
      </c>
      <c r="D1859" t="n">
        <v>4</v>
      </c>
      <c r="E1859" t="n">
        <v>8</v>
      </c>
      <c r="F1859">
        <f>HYPERLINK("https://www.reddit.com/r/GERD/comments/cbsw03/gerd_triggers/")</f>
        <v/>
      </c>
      <c r="G1859" t="inlineStr">
        <is>
          <t>2019-07-11 00:41:10</t>
        </is>
      </c>
      <c r="H1859" t="inlineStr"/>
    </row>
    <row r="1860">
      <c r="A1860" t="inlineStr">
        <is>
          <t>cbt9cv</t>
        </is>
      </c>
      <c r="B1860" t="inlineStr">
        <is>
          <t>How do you consume alcohol?</t>
        </is>
      </c>
      <c r="C1860" t="inlineStr">
        <is>
          <t>Or do you not drink at all? I’d like to very much drown my sorrows in alcohol right now but I don’t wanna feel even worse than I’m already feeling right now.</t>
        </is>
      </c>
      <c r="D1860" t="n">
        <v>0</v>
      </c>
      <c r="E1860" t="n">
        <v>7</v>
      </c>
      <c r="F1860">
        <f>HYPERLINK("https://www.reddit.com/r/GERD/comments/cbt9cv/how_do_you_consume_alcohol/")</f>
        <v/>
      </c>
      <c r="G1860" t="inlineStr">
        <is>
          <t>2019-07-11 01:32:41</t>
        </is>
      </c>
      <c r="H1860" t="inlineStr"/>
    </row>
    <row r="1861">
      <c r="A1861" t="inlineStr">
        <is>
          <t>cbtxv2</t>
        </is>
      </c>
      <c r="B1861" t="inlineStr">
        <is>
          <t>Linx success</t>
        </is>
      </c>
      <c r="C1861" t="inlineStr">
        <is>
          <t>I had the LINX procedure 2 months ago. It has worked wonderfully for me; I’ve had zero gerd / reflux/ heartburn. I was on Prilosec and nexium for about 15 years.  I ve had a few episodes if I eat to fast , food will get stuck. That has gotten better too. Just wanted to share.</t>
        </is>
      </c>
      <c r="D1861" t="n">
        <v>5</v>
      </c>
      <c r="E1861" t="n">
        <v>13</v>
      </c>
      <c r="F1861">
        <f>HYPERLINK("https://www.reddit.com/r/GERD/comments/cbtxv2/linx_success/")</f>
        <v/>
      </c>
      <c r="G1861" t="inlineStr">
        <is>
          <t>2019-07-11 03:05:40</t>
        </is>
      </c>
      <c r="H1861" t="inlineStr"/>
    </row>
    <row r="1862">
      <c r="A1862" t="inlineStr">
        <is>
          <t>cbuqkj</t>
        </is>
      </c>
      <c r="B1862" t="inlineStr">
        <is>
          <t>Just want to share about intermittent fasting which has helped me tremendously</t>
        </is>
      </c>
      <c r="C1862" t="inlineStr">
        <is>
          <t>Background story: about 2 years ago I start having heavy nausea, intense tiredness and dizziness, doc did endoscopy and didn't find anything, after that I feel like I become Guinea pigs for diagnosis and medicines, they tried lots of stuff on me and nothing works, in the end one specialist diagnosed me with nerd which is the milder version of gerd without physical sign. But even this diagnosis I'm not 100 percent sure of. 
Hellish life for 2 years, took omeprazole and then start having pain cramps and uncontrollable burps, seems like the cure is worse than the disease. Become almost depressed whenever symptoms shows itself, have to pretend I'm OK at work while being in pain 10 hours a day
About 7 weeks ago, I started intermittent fasting, it's very simple really, I just skipped breakfast and only drink water for 16 hours or more a day everyday, same routine rest of the time.
And the improvement is massive. I still have bad days like today when things flare up but whereas the bad days used to be 5 out of 10 say, nowadays it's 6-7 out of 10, I feel like crap but still functional and the frequency of the bad days is also less
It's only been 6 weeks so I'll wait before making full conclusion but I've felt so much better that I think it definitely is worth sharing with this community, intermittent fasting is also academically documented as beneficial for health almost unanimously. Might be worth trying for yourself</t>
        </is>
      </c>
      <c r="D1862" t="n">
        <v>8</v>
      </c>
      <c r="E1862" t="n">
        <v>14</v>
      </c>
      <c r="F1862">
        <f>HYPERLINK("https://www.reddit.com/r/GERD/comments/cbuqkj/just_want_to_share_about_intermittent_fasting/")</f>
        <v/>
      </c>
      <c r="G1862" t="inlineStr">
        <is>
          <t>2019-07-11 04:41:53</t>
        </is>
      </c>
      <c r="H1862" t="inlineStr"/>
    </row>
    <row r="1863">
      <c r="A1863" t="inlineStr">
        <is>
          <t>cbvmbf</t>
        </is>
      </c>
      <c r="B1863" t="inlineStr">
        <is>
          <t>Stopped taking Ranitidine and not feeling well.</t>
        </is>
      </c>
      <c r="C1863" t="inlineStr">
        <is>
          <t>I was put on 300mg of Ranitidine along with 40mg of Nexium back in April by my ENT. I was NOT dealing with acid reflux at the time, but he suspected that might be a cause for some other issues I was having. 
I discovered after a month that the Nexium was causing issues so discontinue the use of it (doctor agreed with this decision). I experienced pretty significant rebound from it, but it passed after about a week and I felt better. 
After we discovered recently that the original issue that I was having was not related to having acid reflux, I decided to discontinue use of Ranitidine as well. I fully expected a rebound from it, but this has been vastly different from my first experience and was hoping for some insight from others that might have done this. 
The first couple of days I had significant reflux most of the day. After that, the reflux symptoms went away and now after a week I have dealt with nausea, bloating and discomfort. 
Anyone have any idea how long this lasts and whether or not this is normal?</t>
        </is>
      </c>
      <c r="D1863" t="n">
        <v>2</v>
      </c>
      <c r="E1863" t="n">
        <v>6</v>
      </c>
      <c r="F1863">
        <f>HYPERLINK("https://www.reddit.com/r/GERD/comments/cbvmbf/stopped_taking_ranitidine_and_not_feeling_well/")</f>
        <v/>
      </c>
      <c r="G1863" t="inlineStr">
        <is>
          <t>2019-07-11 06:18:26</t>
        </is>
      </c>
      <c r="H1863" t="inlineStr"/>
    </row>
    <row r="1864">
      <c r="A1864" t="inlineStr">
        <is>
          <t>cc02fd</t>
        </is>
      </c>
      <c r="B1864" t="inlineStr">
        <is>
          <t>Why Is Gaviscon UK Better Then The US One?</t>
        </is>
      </c>
      <c r="C1864" t="inlineStr">
        <is>
          <t>Honestly I buy the US only (cause obviously it’s sold at Walmart).But what’s different about it? The current one gives me relief but keep hearing positive things about the British one.</t>
        </is>
      </c>
      <c r="D1864" t="n">
        <v>5</v>
      </c>
      <c r="E1864" t="n">
        <v>13</v>
      </c>
      <c r="F1864">
        <f>HYPERLINK("https://www.reddit.com/r/GERD/comments/cc02fd/why_is_gaviscon_uk_better_then_the_us_one/")</f>
        <v/>
      </c>
      <c r="G1864" t="inlineStr">
        <is>
          <t>2019-07-11 12:28:04</t>
        </is>
      </c>
      <c r="H1864" t="inlineStr"/>
    </row>
    <row r="1865">
      <c r="A1865" t="inlineStr">
        <is>
          <t>cc2itq</t>
        </is>
      </c>
      <c r="B1865" t="inlineStr">
        <is>
          <t>Anyone find "safe" alcohol for GERD?</t>
        </is>
      </c>
      <c r="C1865" t="inlineStr">
        <is>
          <t>Been dealing with GERD for a few months now. 
Im spacey right now so this post might be rambly. 
Pretty sure my GERD is stress related as ive also recently been diagnosed with ptsd (though ive had it for a long time) 
Relatively new to trying different things to aid it. 
Recently changed up a lot of my diet. 
Cut out coffee:( including decaf which i thought would be safe but still not sure so i cut it out. 
Cut out alcohol. Havent had any in 3ish weeks. 
Cut out atleast 80% of the tomatoes and tomato based products i was eating. 
Actively trying to eat low acid foods and follow the various rules i read about. 
Diet changes like this have helped but not entirely. My journey to feeling better is still very much in the works. Throat pain keeps coming back regardless it seems. And voice fatigue. 
In the interest of reducing stress, i have a week and a cottage on the lake planned with my best friend. 
Im wondering if there are any "safer" alcohols i can test my reactions to, so i can enjoy a drink while im away? 
Or should i just bite the bullet and accept that i shouldnt have any?</t>
        </is>
      </c>
      <c r="D1865" t="n">
        <v>4</v>
      </c>
      <c r="E1865" t="n">
        <v>25</v>
      </c>
      <c r="F1865">
        <f>HYPERLINK("https://www.reddit.com/r/GERD/comments/cc2itq/anyone_find_safe_alcohol_for_gerd/")</f>
        <v/>
      </c>
      <c r="G1865" t="inlineStr">
        <is>
          <t>2019-07-11 15:44:21</t>
        </is>
      </c>
      <c r="H1865" t="inlineStr"/>
    </row>
    <row r="1866">
      <c r="A1866" t="inlineStr">
        <is>
          <t>cc8utw</t>
        </is>
      </c>
      <c r="B1866" t="inlineStr">
        <is>
          <t>I can't eat ANYTHING</t>
        </is>
      </c>
      <c r="C1866" t="inlineStr">
        <is>
          <t>I can't eat anything whatsoever without burping that shit up again. I can't fukn breathe properly either and it's drivning me insane.</t>
        </is>
      </c>
      <c r="D1866" t="n">
        <v>15</v>
      </c>
      <c r="E1866" t="n">
        <v>10</v>
      </c>
      <c r="F1866">
        <f>HYPERLINK("https://www.reddit.com/r/GERD/comments/cc8utw/i_cant_eat_anything/")</f>
        <v/>
      </c>
      <c r="G1866" t="inlineStr">
        <is>
          <t>2019-07-12 02:56:22</t>
        </is>
      </c>
      <c r="H1866" t="inlineStr"/>
    </row>
    <row r="1867">
      <c r="A1867" t="inlineStr">
        <is>
          <t>cc98dp</t>
        </is>
      </c>
      <c r="B1867" t="inlineStr">
        <is>
          <t>Dry eyes and mouth in the morning</t>
        </is>
      </c>
      <c r="C1867" t="inlineStr">
        <is>
          <t>Anyone else experience this? I have no trouble creating saliva during the day.
I have tested as being allergic to all types of dust and grass/tree pollens. But the allergy does not provoke a response in my sinus. I can breathe normally thought my nose all day; both when I get into bed and out of bed.
I suppose GERD could cause a dry mouth, because I wake up with the bitter taste of stomach acid in my mouth. But, I think it's more likely that my GERD symptoms are caused partially by the fact that I am not producing enough saliva to neutralize the stomach acid during the night.</t>
        </is>
      </c>
      <c r="D1867" t="n">
        <v>3</v>
      </c>
      <c r="E1867" t="n">
        <v>3</v>
      </c>
      <c r="F1867">
        <f>HYPERLINK("https://www.reddit.com/r/GERD/comments/cc98dp/dry_eyes_and_mouth_in_the_morning/")</f>
        <v/>
      </c>
      <c r="G1867" t="inlineStr">
        <is>
          <t>2019-07-12 03:41:20</t>
        </is>
      </c>
      <c r="H1867" t="inlineStr"/>
    </row>
    <row r="1868">
      <c r="A1868" t="inlineStr">
        <is>
          <t>ccbm8n</t>
        </is>
      </c>
      <c r="B1868" t="inlineStr">
        <is>
          <t>Use Acid Reflux Helper app to track your symptoms</t>
        </is>
      </c>
      <c r="C1868" t="inlineStr">
        <is>
          <t>I've been using this helpful app for a whole now and it's helped me learn what I should be eating, and what I should be avoiding. It's in Android but I'm sure it works for iOS too. You can basically search for common foods and it will tell you whether it's a remedy, okay, or something to avoid. This is based on general knowledge, but you're able to confirm this yourself to individualize the app. It also lets you see how the community responds to different foods to get an overall idea.
Anyway, I've been finding it super useful and thought I'd share it here.</t>
        </is>
      </c>
      <c r="D1868" t="n">
        <v>7</v>
      </c>
      <c r="E1868" t="n">
        <v>4</v>
      </c>
      <c r="F1868">
        <f>HYPERLINK("https://www.reddit.com/r/GERD/comments/ccbm8n/use_acid_reflux_helper_app_to_track_your_symptoms/")</f>
        <v/>
      </c>
      <c r="G1868" t="inlineStr">
        <is>
          <t>2019-07-12 07:34:08</t>
        </is>
      </c>
      <c r="H1868" t="inlineStr"/>
    </row>
    <row r="1869">
      <c r="A1869" t="inlineStr">
        <is>
          <t>ccby2u</t>
        </is>
      </c>
      <c r="B1869" t="inlineStr">
        <is>
          <t>Shortness of breath?</t>
        </is>
      </c>
      <c r="C1869" t="inlineStr">
        <is>
          <t>Has anyone here ever experienced constant shortness of breath (not just following meals?)
I spent a night in the hospital a few weeks ago after experiencing shortness of breath and chest pressure. They ruled out anything with my heart, and I have a pulmonologist and primary care appointment coming up. I was curious if I could be experiencing GERD symptoms for the first time? I am 29/F</t>
        </is>
      </c>
      <c r="D1869" t="n">
        <v>2</v>
      </c>
      <c r="E1869" t="n">
        <v>7</v>
      </c>
      <c r="F1869">
        <f>HYPERLINK("https://www.reddit.com/r/GERD/comments/ccby2u/shortness_of_breath/")</f>
        <v/>
      </c>
      <c r="G1869" t="inlineStr">
        <is>
          <t>2019-07-12 08:00:48</t>
        </is>
      </c>
      <c r="H1869" t="inlineStr"/>
    </row>
    <row r="1870">
      <c r="A1870" t="inlineStr">
        <is>
          <t>cccd6v</t>
        </is>
      </c>
      <c r="B1870" t="inlineStr">
        <is>
          <t>GERD OFF Chondroitin sulfate, Hyaluronic acid, and Aluminum hydroxide.</t>
        </is>
      </c>
      <c r="C1870" t="inlineStr">
        <is>
          <t>Hi all,
I am currently using Pantoprazol as a PPI for what my GP and I assume is GERD (an endoscopy came out completely negative on any other conditions).
My wife is in Italy at the moment and she came across an over the counter treatment called [GERD OFF](https://imgur.com/sjSLxKI). It contains the ingredients listed in the title. 
Has anyone here had any experience with it or might be able to provide any information on the active ingredients?
Many thanks.</t>
        </is>
      </c>
      <c r="D1870" t="n">
        <v>0</v>
      </c>
      <c r="E1870" t="n">
        <v>11</v>
      </c>
      <c r="F1870">
        <f>HYPERLINK("https://www.reddit.com/r/GERD/comments/cccd6v/gerd_off_chondroitin_sulfate_hyaluronic_acid_and/")</f>
        <v/>
      </c>
      <c r="G1870" t="inlineStr">
        <is>
          <t>2019-07-12 08:33:05</t>
        </is>
      </c>
      <c r="H1870" t="inlineStr"/>
    </row>
    <row r="1871">
      <c r="A1871" t="inlineStr">
        <is>
          <t>ccclh8</t>
        </is>
      </c>
      <c r="B1871" t="inlineStr">
        <is>
          <t>Do tums work for lpr?</t>
        </is>
      </c>
      <c r="C1871" t="inlineStr">
        <is>
          <t>Currently a beginner in this lpr saga and I am an anxious wreck.</t>
        </is>
      </c>
      <c r="D1871" t="n">
        <v>0</v>
      </c>
      <c r="E1871" t="n">
        <v>0</v>
      </c>
      <c r="F1871">
        <f>HYPERLINK("https://www.reddit.com/r/GERD/comments/ccclh8/do_tums_work_for_lpr/")</f>
        <v/>
      </c>
      <c r="G1871" t="inlineStr">
        <is>
          <t>2019-07-12 08:51:09</t>
        </is>
      </c>
      <c r="H1871" t="inlineStr"/>
    </row>
    <row r="1872">
      <c r="A1872" t="inlineStr">
        <is>
          <t>ccdpyq</t>
        </is>
      </c>
      <c r="B1872" t="inlineStr">
        <is>
          <t>Finally feeling better after weeks of suspected gastritis. Have a question about stomach emptying.</t>
        </is>
      </c>
      <c r="C1872" t="inlineStr">
        <is>
          <t>Hi,
This is going to be kind of a gross question, but there's no way around it.
After five weeks of omeprazole and famotidine, combined with abstaining from triggers (for the most part), and supplementing with garlic oil capsules, cranberry capsules, and fish oil capsules (all having antibiotic/pro-stomach properties) as well as a lot of kefir for the probiotics, I finally feel much more normal. Not cured, but my stomach no longer feels like two rabid badgers are fighting inside of it.
Because of this I've been able to stomach more food in a sitting, and I've noticed that I'm able to taste meals that happened *hours* ago when I burp. I don't really have much reflux or much coming up, even with strong belches, but I do taste my last meal for what seems like a lot longer than I should.
For example, I had potatoes for dinner last night at around 10 PM. I went to bed at 1 AM, got up at 9:30 AM and can still taste them pretty clearly. That's nearly a 12 hour difference!
I know about gastroparesis. It's possible, although it is rare. However gastroparesis typically causes severe nausea and vomiting after meals because food is just sitting in your stomach for hours on end. I get a little nausea here and there, but have had no vomiting at all.
So my bottom line question is this: considering how little stomach acid I must be making right now, is it possible that food is taking longer than normal to be broken down and leave my stomach? Or could it be that my inflamed stomach is just having a little trouble processing food since it's still not completely better?
I plan on discussing this with my doctor when I see her in a couple weeks, I just figured I'd ask here in case someone had some experience with this.
Thanks!</t>
        </is>
      </c>
      <c r="D1872" t="n">
        <v>6</v>
      </c>
      <c r="E1872" t="n">
        <v>13</v>
      </c>
      <c r="F1872">
        <f>HYPERLINK("https://www.reddit.com/r/GERD/comments/ccdpyq/finally_feeling_better_after_weeks_of_suspected/")</f>
        <v/>
      </c>
      <c r="G1872" t="inlineStr">
        <is>
          <t>2019-07-12 10:17:29</t>
        </is>
      </c>
      <c r="H1872" t="inlineStr"/>
    </row>
    <row r="1873">
      <c r="A1873" t="inlineStr">
        <is>
          <t>ccihua</t>
        </is>
      </c>
      <c r="B1873" t="inlineStr">
        <is>
          <t>Changes to my diet and meds</t>
        </is>
      </c>
      <c r="C1873" t="inlineStr">
        <is>
          <t>I saw a new doctor today and I am going to stop taking h2 blockers as she said that long term use can cause an imbalance of low acid one day and high acid the next.
I am going to follow a FODMAP diet and take apple cider vinegar in the mornings. 
I want to add that for the last week ( before seeing her) I’ve been following a low carb diet and my symptoms have gotten much better.
Unfortunately I can’t add screenshots of all that was prescribed.
Hope the above helps. Her suggestions definitely aligned with what I found on the web about low acidity sometimes being the cause of GERD.
Btw she added that magnesium at night can help tighten the sphincter.</t>
        </is>
      </c>
      <c r="D1873" t="n">
        <v>2</v>
      </c>
      <c r="E1873" t="n">
        <v>3</v>
      </c>
      <c r="F1873">
        <f>HYPERLINK("https://www.reddit.com/r/GERD/comments/ccihua/changes_to_my_diet_and_meds/")</f>
        <v/>
      </c>
      <c r="G1873" t="inlineStr">
        <is>
          <t>2019-07-12 16:48:02</t>
        </is>
      </c>
      <c r="H1873" t="inlineStr"/>
    </row>
    <row r="1874">
      <c r="A1874" t="inlineStr">
        <is>
          <t>cckq3m</t>
        </is>
      </c>
      <c r="B1874" t="inlineStr">
        <is>
          <t>Any reason to be hopeful that my LPR can be treated?</t>
        </is>
      </c>
      <c r="C1874" t="inlineStr">
        <is>
          <t>Basically everything I read says it is very very hard to treat and that has me pretty down tonight.</t>
        </is>
      </c>
      <c r="D1874" t="n">
        <v>13</v>
      </c>
      <c r="E1874" t="n">
        <v>16</v>
      </c>
      <c r="F1874">
        <f>HYPERLINK("https://www.reddit.com/r/GERD/comments/cckq3m/any_reason_to_be_hopeful_that_my_lpr_can_be/")</f>
        <v/>
      </c>
      <c r="G1874" t="inlineStr">
        <is>
          <t>2019-07-12 20:35:36</t>
        </is>
      </c>
      <c r="H1874" t="inlineStr"/>
    </row>
    <row r="1875">
      <c r="A1875" t="inlineStr">
        <is>
          <t>cckxdb</t>
        </is>
      </c>
      <c r="B1875" t="inlineStr">
        <is>
          <t>Accuracy of pH testing.</t>
        </is>
      </c>
      <c r="C1875" t="inlineStr">
        <is>
          <t>I had pH test (tube down the nose) and mamoetry done earlier in the year. I was told to come off my medication for 10 days which I did. I did not get ver much heartburn, just used gaviscon. (they said I could)
The device was uncomfortable and I did not eat very much on the day. I still had dinner and light snack at night. Then a very small breakfast. The results were that there wasn't much acid coming up, now since the test the pain has been horrendous and my throat is constantly sore.
I feel like if the test was redone now it would be different, but my surgeon basically doesn't want to hear anything I have to say because the test came back within acceptable parameters. 
I do have a 2cm hernia and I often have acid coming up into my mouth. (or what I presume to be acid)</t>
        </is>
      </c>
      <c r="D1875" t="n">
        <v>2</v>
      </c>
      <c r="E1875" t="n">
        <v>6</v>
      </c>
      <c r="F1875">
        <f>HYPERLINK("https://www.reddit.com/r/GERD/comments/cckxdb/accuracy_of_ph_testing/")</f>
        <v/>
      </c>
      <c r="G1875" t="inlineStr">
        <is>
          <t>2019-07-12 20:57:44</t>
        </is>
      </c>
      <c r="H1875" t="inlineStr"/>
    </row>
    <row r="1876">
      <c r="A1876" t="inlineStr">
        <is>
          <t>ccn64p</t>
        </is>
      </c>
      <c r="B1876" t="inlineStr">
        <is>
          <t>LPR (only) for 7 years, untreated. Should I be scared? Anybody else in this boat?</t>
        </is>
      </c>
      <c r="C1876" t="inlineStr">
        <is>
          <t>Hi all,
I tried looking for cases like mine in search but found none. Most people I talk to were either just diagnosed or have only had it a few months. I’ve been dealing with this on and off (mostly on) for 7 years. Symptoms include burning sensation in the back of the throat, and that’s pretty much it until recently. I am a singer and while this has affected my ability to hit high airy notes because of inflammation, I have not seen a significant vocal change until July 4th, when something happened to my voice and I am now in pain. 
I saw a regionally renowned ENT 4 or so years ago who sent me home with dietary changes. He said that I was inflamed but my vocal chords were “perfectly healthy” and “looking great”. I went home, tried the changes to no avail, and found an internist instead another year or so later. The internist put me on an extreme dose of PPIs (his exact words were, “our goal is to end acid in your stomach; you don’t need it anyway”). I went home, tried them for 6 months, and my reflux got MUCH worse (and I got heartburn for the first time). This scared me. I quit taking them and never visited that doc again. 
For the next couple of years, I tried sleeping upright, drinking lots of throat coat, etc. Things felt like they were staying relatively the same, and I didn’t have insurance, so I just sort of held myself in limbo since I don’t have insurance. I still woke up with a mild burn in the back of my mouth, but my vocal performance was the same. 
This recent vocal/throat injury is really freaking me out. I’ve been on self-induced vocal rest since it happened, but I tried singing a scale today and my voice completely drops out in head voice. Now that I’ve been reading I realized I’ve also had a “tickle” in my throat for a few months. Reading lots of WebMD material about LPR being far more dangerous for cancer and now I’m absolutely terrified. 
I’m now trying the no acid diet, not eating 4 hours before sleep, drinking alkaline water. It has helped some nights but others I still wake up with that mild burn. I’m totally at a loss. I’m seeking out the ENT again but being uninsured makes this whole process really difficult. At this point, though, it’s an emergency. 
Any words of encouragement? Is anybody else in the same boat? Have I basically signed up for cancer later in life? I’m really scared.</t>
        </is>
      </c>
      <c r="D1876" t="n">
        <v>6</v>
      </c>
      <c r="E1876" t="n">
        <v>22</v>
      </c>
      <c r="F1876">
        <f>HYPERLINK("https://www.reddit.com/r/GERD/comments/ccn64p/lpr_only_for_7_years_untreated_should_i_be_scared/")</f>
        <v/>
      </c>
      <c r="G1876" t="inlineStr">
        <is>
          <t>2019-07-13 01:46:48</t>
        </is>
      </c>
      <c r="H1876" t="inlineStr"/>
    </row>
    <row r="1877">
      <c r="A1877" t="inlineStr">
        <is>
          <t>ccnu1v</t>
        </is>
      </c>
      <c r="B1877" t="inlineStr">
        <is>
          <t>Tapering off Omeprazole. Help.</t>
        </is>
      </c>
      <c r="C1877" t="inlineStr">
        <is>
          <t>So I’ve been tapering off 40mg Omeprazole for a week now. Started taking it at different times and today, I started 20mg and will probably do it for a week every day and then every other day and completely stop. 
Today I feel kind of nauseous/lightheaded. I get like that whenever my stomach doesn’t agree with me and I’ve taken Ranitidine 150mg twice now. Is it okay to take it twice daily? I also take Nexabiotic before lunch. 
Any advice from people whose tapered off it would be really helpful!</t>
        </is>
      </c>
      <c r="D1877" t="n">
        <v>1</v>
      </c>
      <c r="E1877" t="n">
        <v>8</v>
      </c>
      <c r="F1877">
        <f>HYPERLINK("https://www.reddit.com/r/GERD/comments/ccnu1v/tapering_off_omeprazole_help/")</f>
        <v/>
      </c>
      <c r="G1877" t="inlineStr">
        <is>
          <t>2019-07-13 03:22:55</t>
        </is>
      </c>
      <c r="H1877" t="inlineStr"/>
    </row>
    <row r="1878">
      <c r="A1878" t="inlineStr">
        <is>
          <t>ccoi7p</t>
        </is>
      </c>
      <c r="B1878" t="inlineStr">
        <is>
          <t>Did/Does PPI make your mouth dry/voice hoarse?</t>
        </is>
      </c>
      <c r="C1878" t="inlineStr">
        <is>
          <t>Hoping to get some feedback because I’ve been dealing with that issue ever since I’ve taken PPI. Just wanted to know if that’s normal. Thanks!</t>
        </is>
      </c>
      <c r="D1878" t="n">
        <v>1</v>
      </c>
      <c r="E1878" t="n">
        <v>2</v>
      </c>
      <c r="F1878">
        <f>HYPERLINK("https://www.reddit.com/r/GERD/comments/ccoi7p/diddoes_ppi_make_your_mouth_dryvoice_hoarse/")</f>
        <v/>
      </c>
      <c r="G1878" t="inlineStr">
        <is>
          <t>2019-07-13 04:53:22</t>
        </is>
      </c>
      <c r="H1878" t="inlineStr"/>
    </row>
    <row r="1879">
      <c r="A1879" t="inlineStr">
        <is>
          <t>ccomkc</t>
        </is>
      </c>
      <c r="B1879" t="inlineStr">
        <is>
          <t>Acute reflux help</t>
        </is>
      </c>
      <c r="C1879" t="inlineStr">
        <is>
          <t>Hey all
A few days ago I started having sore throats and I figured it might just be some acid while I'm sleeping.  I also happened to have a doctor's appt today so I let him know and he swabbed me for strep just in case. However the staff doing the swab triggered my gag reflex something fierce and I dry heaved a few times.
Seemed fine though afterwards. I had a fairly large dinner (OMAD IF) and went to sleep 3-4 hrs later.  I should note my stomach was bubbling and I figured it was some mild indigestion.
I woke up to pee and felt pretty good, went back to sleep and when I woke up again my throat felt like it had been in a Jacuzzi of stomach acid.
Sitting here at work my esophagus is starting to light up too (thinking about it definitely makes it worse lol) and I'm having horror flashbacks to like last year when I had to suffer 3 months of feeling like someone shoved a fire poker down my throat.
Even drinking water right now, removes saliva over damaged skin in throat so it hurts, feels temporarily better in esophagus.
Currently medicated on a PPI but I'm wondering how you guys usually handle these acute exacerbations?
Thank you</t>
        </is>
      </c>
      <c r="D1879" t="n">
        <v>1</v>
      </c>
      <c r="E1879" t="n">
        <v>7</v>
      </c>
      <c r="F1879">
        <f>HYPERLINK("https://www.reddit.com/r/GERD/comments/ccomkc/acute_reflux_help/")</f>
        <v/>
      </c>
      <c r="G1879" t="inlineStr">
        <is>
          <t>2019-07-13 05:07:27</t>
        </is>
      </c>
      <c r="H1879" t="inlineStr"/>
    </row>
    <row r="1880">
      <c r="A1880" t="inlineStr">
        <is>
          <t>ccqy13</t>
        </is>
      </c>
      <c r="B1880" t="inlineStr">
        <is>
          <t>Quality of Life</t>
        </is>
      </c>
      <c r="C1880" t="inlineStr">
        <is>
          <t>What would you rate your current quality of life as on a 10 point scale?</t>
        </is>
      </c>
      <c r="D1880" t="n">
        <v>3</v>
      </c>
      <c r="E1880" t="n">
        <v>2</v>
      </c>
      <c r="F1880">
        <f>HYPERLINK("https://www.reddit.com/r/GERD/comments/ccqy13/quality_of_life/")</f>
        <v/>
      </c>
      <c r="G1880" t="inlineStr">
        <is>
          <t>2019-07-13 09:02:33</t>
        </is>
      </c>
      <c r="H1880" t="inlineStr"/>
    </row>
    <row r="1881">
      <c r="A1881" t="inlineStr">
        <is>
          <t>ccsb6u</t>
        </is>
      </c>
      <c r="B1881" t="inlineStr">
        <is>
          <t>Probiotics - should they work?</t>
        </is>
      </c>
      <c r="C1881" t="inlineStr">
        <is>
          <t>I've just started with Symprove. Will report in.... but the whole thing with probiotics, I thought, was the gut and not the stomach. So if that's the case, how on earth do probiotics help with GERD?</t>
        </is>
      </c>
      <c r="D1881" t="n">
        <v>3</v>
      </c>
      <c r="E1881" t="n">
        <v>6</v>
      </c>
      <c r="F1881">
        <f>HYPERLINK("https://www.reddit.com/r/GERD/comments/ccsb6u/probiotics_should_they_work/")</f>
        <v/>
      </c>
      <c r="G1881" t="inlineStr">
        <is>
          <t>2019-07-13 11:01:37</t>
        </is>
      </c>
      <c r="H1881" t="inlineStr"/>
    </row>
    <row r="1882">
      <c r="A1882" t="inlineStr">
        <is>
          <t>ccste0</t>
        </is>
      </c>
      <c r="B1882" t="inlineStr">
        <is>
          <t>LPR- Should I get off the PPI's since they don't help?</t>
        </is>
      </c>
      <c r="C1882" t="inlineStr">
        <is>
          <t>I was reading PPI's might have a negative impact on LPR. 
&amp;amp;#x200B;
 [https://www.refluxgate.com/ultimate-guide-to-lpr-causes-and-treatment](https://www.refluxgate.com/ultimate-guide-to-lpr-causes-and-treatment) 
&amp;amp;#x200B;
&amp;amp;#x200B;
I've been on them over a year, it was bad before I started them but its still bad now.
&amp;amp;#x200B;
Any advice?</t>
        </is>
      </c>
      <c r="D1882" t="n">
        <v>2</v>
      </c>
      <c r="E1882" t="n">
        <v>10</v>
      </c>
      <c r="F1882">
        <f>HYPERLINK("https://www.reddit.com/r/GERD/comments/ccste0/lpr_should_i_get_off_the_ppis_since_they_dont_help/")</f>
        <v/>
      </c>
      <c r="G1882" t="inlineStr">
        <is>
          <t>2019-07-13 11:43:31</t>
        </is>
      </c>
      <c r="H1882" t="inlineStr"/>
    </row>
    <row r="1883">
      <c r="A1883" t="inlineStr">
        <is>
          <t>ccsyju</t>
        </is>
      </c>
      <c r="B1883" t="inlineStr">
        <is>
          <t>Need to vent</t>
        </is>
      </c>
      <c r="C1883" t="inlineStr">
        <is>
          <t>So I have been suffering from GERD since 2015/2016. While I get the burps and some burning, my biggest problem is regurgitation. The scariest part of this is that at night sometimes I will wake up unable to breathe do to acid being in my airway. This has happened about 3-5 times since then. I have been taking Zantac, banked up pillows, and tums to combat this, and thankfully it hasn’t happened since Halloween last year. 
However I have recently came down with a stuffy nose and a scratchy throat. This has  alerted me to the possibility of LPR, instead of GERD. Now I had just left the mountains so it is possible that that messed up my sinuses, but I am not sure.
Anyways, the reason I am making this post is because I am worried that the Zantac and Tums have not been actually working and it has been pure luck one of these episodes haven’t happened again. This is causing me loads of anxiety and that is why I have made so many posts.</t>
        </is>
      </c>
      <c r="D1883" t="n">
        <v>4</v>
      </c>
      <c r="E1883" t="n">
        <v>10</v>
      </c>
      <c r="F1883">
        <f>HYPERLINK("https://www.reddit.com/r/GERD/comments/ccsyju/need_to_vent/")</f>
        <v/>
      </c>
      <c r="G1883" t="inlineStr">
        <is>
          <t>2019-07-13 11:55:43</t>
        </is>
      </c>
      <c r="H1883" t="inlineStr"/>
    </row>
    <row r="1884">
      <c r="A1884" t="inlineStr">
        <is>
          <t>cct3re</t>
        </is>
      </c>
      <c r="B1884" t="inlineStr">
        <is>
          <t>New to the club</t>
        </is>
      </c>
      <c r="C1884" t="inlineStr">
        <is>
          <t>Hi all. I’ve had issues with feeling bloated and gassy for a few years now with occasional bouts of nausea (especially when being stressed), with no doctor finding a reason (checked for lactose and gluten intolerance as well). I accepted that I just have a fussy stomach.
Recently I noticed background throat burning that gets much worse when drinking coffee, so I’ve mostly cut that out :-( but it also worsens after dinner and at night.
After another bout of nausea I talked to my GP again and he suggested it could be GERD and I am now on a round of PPIs to see if anything changes.
I’m disheartened at the laundry list of things I should avoid, particularly tomatoes, garlic, spicy foods and red wine,  but I’ve gotten myself liquorice chai tea and  apple cider vinegar today, as well as oat milk to cut back on dairy.</t>
        </is>
      </c>
      <c r="D1884" t="n">
        <v>5</v>
      </c>
      <c r="E1884" t="n">
        <v>1</v>
      </c>
      <c r="F1884">
        <f>HYPERLINK("https://www.reddit.com/r/GERD/comments/cct3re/new_to_the_club/")</f>
        <v/>
      </c>
      <c r="G1884" t="inlineStr">
        <is>
          <t>2019-07-13 12:07:45</t>
        </is>
      </c>
      <c r="H1884" t="inlineStr"/>
    </row>
    <row r="1885">
      <c r="A1885" t="inlineStr">
        <is>
          <t>cctgq1</t>
        </is>
      </c>
      <c r="B1885" t="inlineStr">
        <is>
          <t>My acid reflux symptoms are worse when fasting?</t>
        </is>
      </c>
      <c r="C1885" t="inlineStr">
        <is>
          <t>Does anyone else have experience with this?</t>
        </is>
      </c>
      <c r="D1885" t="n">
        <v>15</v>
      </c>
      <c r="E1885" t="n">
        <v>16</v>
      </c>
      <c r="F1885">
        <f>HYPERLINK("https://www.reddit.com/r/GERD/comments/cctgq1/my_acid_reflux_symptoms_are_worse_when_fasting/")</f>
        <v/>
      </c>
      <c r="G1885" t="inlineStr">
        <is>
          <t>2019-07-13 12:38:17</t>
        </is>
      </c>
      <c r="H1885" t="inlineStr"/>
    </row>
    <row r="1886">
      <c r="A1886" t="inlineStr">
        <is>
          <t>ccvmbm</t>
        </is>
      </c>
      <c r="B1886" t="inlineStr">
        <is>
          <t>3 year long GERD sufferer (diagnosed)</t>
        </is>
      </c>
      <c r="C1886" t="inlineStr">
        <is>
          <t>My favorite foods are pizza and pasta..both which mess me up badly🙃🙃🙃</t>
        </is>
      </c>
      <c r="D1886" t="n">
        <v>7</v>
      </c>
      <c r="E1886" t="n">
        <v>7</v>
      </c>
      <c r="F1886">
        <f>HYPERLINK("https://www.reddit.com/r/GERD/comments/ccvmbm/3_year_long_gerd_sufferer_diagnosed/")</f>
        <v/>
      </c>
      <c r="G1886" t="inlineStr">
        <is>
          <t>2019-07-13 15:48:29</t>
        </is>
      </c>
      <c r="H1886" t="inlineStr"/>
    </row>
    <row r="1887">
      <c r="A1887" t="inlineStr">
        <is>
          <t>ccwntk</t>
        </is>
      </c>
      <c r="B1887" t="inlineStr">
        <is>
          <t>If I have a hiatal hernia , is deep breathing with the diaphragm a good idea?</t>
        </is>
      </c>
      <c r="C1887" t="inlineStr">
        <is>
          <t>Seems stupid as you should breath like that, but wouldn't that pull it up or inflame it or something?</t>
        </is>
      </c>
      <c r="D1887" t="n">
        <v>3</v>
      </c>
      <c r="E1887" t="n">
        <v>1</v>
      </c>
      <c r="F1887">
        <f>HYPERLINK("https://www.reddit.com/r/GERD/comments/ccwntk/if_i_have_a_hiatal_hernia_is_deep_breathing_with/")</f>
        <v/>
      </c>
      <c r="G1887" t="inlineStr">
        <is>
          <t>2019-07-13 17:28:45</t>
        </is>
      </c>
      <c r="H1887" t="inlineStr"/>
    </row>
    <row r="1888">
      <c r="A1888" t="inlineStr">
        <is>
          <t>ccz4xc</t>
        </is>
      </c>
      <c r="B1888" t="inlineStr">
        <is>
          <t>Gas and intense bloating? Can a lot of trapped intestinal gas cause fluttering feeling in the chest?</t>
        </is>
      </c>
      <c r="C1888" t="inlineStr">
        <is>
          <t>Just experienced a random sensation of like three “sinking” feelings in the chest area. Like stomach dropping but more in the chest and it happened back to back. Been burpy and bloated, and felt like I had to pass gas a little after and had a bowel movement.
These types of symptoms scare me cause they make me think cardio issues. I’ve had my heart checked out about a year ago and they found nothing. I don’t know if they were palpitations or skipped beats.. I can’t tell.
I’m just not sure anymore :(</t>
        </is>
      </c>
      <c r="D1888" t="n">
        <v>2</v>
      </c>
      <c r="E1888" t="n">
        <v>4</v>
      </c>
      <c r="F1888">
        <f>HYPERLINK("https://www.reddit.com/r/GERD/comments/ccz4xc/gas_and_intense_bloating_can_a_lot_of_trapped/")</f>
        <v/>
      </c>
      <c r="G1888" t="inlineStr">
        <is>
          <t>2019-07-13 21:52:41</t>
        </is>
      </c>
      <c r="H1888" t="inlineStr"/>
    </row>
    <row r="1889">
      <c r="A1889" t="inlineStr">
        <is>
          <t>cd2ixv</t>
        </is>
      </c>
      <c r="B1889" t="inlineStr">
        <is>
          <t>It hurts to eat</t>
        </is>
      </c>
      <c r="C1889" t="inlineStr">
        <is>
          <t>It hurts to eat foods that are semi solids and solids and dry foods. Is this even GERD symptom? it’s a struggle to eat everyday because it’s painful and the discomfort it’s causing. I have been eating mainly bread and pastas with sauce because I can’t eat anything else. I’m okay with liquids.
I’m not familiar with the symptoms of GERD, my ENT doctor said I had acid reflux and prescribed me medicine a month ago. I don’t think my reflux is severe but more of the problem with hurts to eat food when swallowing. Especially with meats. The pain is in the throat, I don’t feel like eating a lot because of it. But I want to put on weight as I am already quite skinny. Have been sticking to soft and moist foods as they don’t cause pain + discomfort. I get the occasional chest pains but they’re not frequent or severe. Is my throat damaged because of the acid? 
I just want to eat normally again. There aren’t many options for me too because I avoid eating too much dairy, my stomach doesn’t handle it well. Idk what exactly is causing this problem. I want to stop medication and would rather focus on the diet. If it’s a diet problem and foods that cause triggers.</t>
        </is>
      </c>
      <c r="D1889" t="n">
        <v>4</v>
      </c>
      <c r="E1889" t="n">
        <v>13</v>
      </c>
      <c r="F1889">
        <f>HYPERLINK("https://www.reddit.com/r/GERD/comments/cd2ixv/it_hurts_to_eat/")</f>
        <v/>
      </c>
      <c r="G1889" t="inlineStr">
        <is>
          <t>2019-07-14 05:35:23</t>
        </is>
      </c>
      <c r="H1889" t="inlineStr"/>
    </row>
    <row r="1890">
      <c r="A1890" t="inlineStr">
        <is>
          <t>cd2mba</t>
        </is>
      </c>
      <c r="B1890" t="inlineStr">
        <is>
          <t>So what are you GERD symptom?</t>
        </is>
      </c>
      <c r="C1890" t="inlineStr">
        <is>
          <t>I’ve heard that everyone’s GERD manifests differently so I am curious how yours does.
Mine manifests as an attack of severe stomach pain that starts on the left and spread to the right over 4-5 hours. Occasionally I will have fluids come back up my esophagus next into the back of my throat. But its mostly the stomach pain.
Before I got my Omeprazole prescription I also had a permanent sensation of something stuck in the back of my throat, with terrible constant coughing and/or throat clearing  as a result. Omeprazole seems to have taken care of that.</t>
        </is>
      </c>
      <c r="D1890" t="n">
        <v>1</v>
      </c>
      <c r="E1890" t="n">
        <v>0</v>
      </c>
      <c r="F1890">
        <f>HYPERLINK("https://www.reddit.com/r/GERD/comments/cd2mba/so_what_are_you_gerd_symptom/")</f>
        <v/>
      </c>
      <c r="G1890" t="inlineStr">
        <is>
          <t>2019-07-14 05:45:42</t>
        </is>
      </c>
      <c r="H1890" t="inlineStr"/>
    </row>
    <row r="1891">
      <c r="A1891" t="inlineStr">
        <is>
          <t>cd39bh</t>
        </is>
      </c>
      <c r="B1891" t="inlineStr">
        <is>
          <t>Could I have GERD etc?</t>
        </is>
      </c>
      <c r="C1891" t="inlineStr">
        <is>
          <t>Hi everyone,
I've had this recurring issue for probably the last 3 years of my life and even after having blood tests done (I live in the UK), my doctor is still convinced there's nothing wrong with me and quite frankly, it's depressing.
I'm 24, male. I play football for an hour once a week and go to the gym 3 times a week for an hour to keep me active as if I don't, I'm sat at a desk all day! I'm 5'11 tall and hover between 65kg-70kg.
I like coffee and tea (both without milk). I practice intermittent fasting and tend to only eat between 1pm-8pm every day. I adopted this practice years ago because even as a teenager, my body never got on well with breakfast. It would just make me feel bloated and lethargic and tired. I tend to have a black americano every morning and in the afternoon. Non-caffeinated teas in the evening (e.g. Lemon &amp;amp; ginger).
I have kept a food diary. I've cut out chewing gum. I've tried to cut out different things (e.g. coffee and tea) and I've found it doesn't really matter what I cut out, I'll still have belly aches. It's worth mentioning that I also drink A LOT of water and have even tried changing brands including switching to tap water...
So, starting roughly 3 years ago, I would occasionally wake up with slight belly aches (which I thought were just normal gas accumulated whilst sleeping) and over time, it has become a daily occurrence within the last year. It's hard to describe the belly aches, but sometimes it hurts, sometimes it feels like butterflies even though I'm not anxious about anything. I do hear my belly bubble, I do feel gassy, I burp a lot as a result.
In the last year or so, I've also started getting extremely phlegmy in the back of my throat which has retained a cough. Doctors just suspected hayfever or allergies (which I've never had) and shrugged me off when I stopped taking anti-histamines because they did absolutely nothing and was told what I have is probably normal...
After a lot of research - and testing Gaviscon starting last month lol - I've found that consuming Gaviscon has helped sort the phlegm issue that makes me feel like I have a tickle in my throat &amp;amp; makes me need to cough. It has however, not solved the belly aches, in fact my belly hurts whilst I'm writing this. It always mostly hurts in the area that is below where my lungs split. So it's not really far down, it's about 5-8cm above my belly button.
The whole Gaviscon/phlegm thing is making me wonder if I for some strange reason, have too much acid in my belly that somehow gets made overnight or something?
I seem to just match some of the symptoms Google seems to suggest...
Heartburn? Yes. Acid Reflux? No, but could be happening to cause the phlegm. Bad breath? No. Bloating &amp;amp; Burping? Yes. Feeling sick? Yes. Pain when swallowing? No.
So basically, whilst Gaviscon is helping with the phlegm/GERD(?) issue... I still have this stupid belly ache, bubbling thing that makes me feel either sick or like I need to poop when I clearly don't.
&amp;amp;#x200B;
My doctor did offer an endoscopy which I told her I'd think about. Is it worth getting this done to try and get a proper diagnosis, so they can take a look at what is going on? The thought of having a long pipe shoved down my throat terrifies me, but if anyone who feels like they can relate to my current situation and they've been there themselves thinks it could be the missing part of my never ending puzzle... I might bite the bullet.
&amp;amp;#x200B;
Any ideas? Thanks in advance!</t>
        </is>
      </c>
      <c r="D1891" t="n">
        <v>8</v>
      </c>
      <c r="E1891" t="n">
        <v>14</v>
      </c>
      <c r="F1891">
        <f>HYPERLINK("https://www.reddit.com/r/GERD/comments/cd39bh/could_i_have_gerd_etc/")</f>
        <v/>
      </c>
      <c r="G1891" t="inlineStr">
        <is>
          <t>2019-07-14 06:54:44</t>
        </is>
      </c>
      <c r="H1891" t="inlineStr"/>
    </row>
    <row r="1892">
      <c r="A1892" t="inlineStr">
        <is>
          <t>cd39tk</t>
        </is>
      </c>
      <c r="B1892" t="inlineStr">
        <is>
          <t>What kind of exercises and activities should you definitely not do with a hiatal hernia, and what helps a hiatal hernia?</t>
        </is>
      </c>
      <c r="C1892" t="inlineStr">
        <is>
          <t>Weightlifting seems like a bad idea, is there anything else that can make the hernia bigger?</t>
        </is>
      </c>
      <c r="D1892" t="n">
        <v>1</v>
      </c>
      <c r="E1892" t="n">
        <v>16</v>
      </c>
      <c r="F1892">
        <f>HYPERLINK("https://www.reddit.com/r/GERD/comments/cd39tk/what_kind_of_exercises_and_activities_should_you/")</f>
        <v/>
      </c>
      <c r="G1892" t="inlineStr">
        <is>
          <t>2019-07-14 06:56:08</t>
        </is>
      </c>
      <c r="H1892" t="inlineStr"/>
    </row>
    <row r="1893">
      <c r="A1893" t="inlineStr">
        <is>
          <t>cd3a72</t>
        </is>
      </c>
      <c r="B1893" t="inlineStr">
        <is>
          <t>Chest pain from pantoprazole?</t>
        </is>
      </c>
      <c r="C1893" t="inlineStr">
        <is>
          <t>I’ve been prescribed protonix (pantoprazole) by my gastroenterologist for my acid reflux symptoms and have taken it for two days. As the title says, I’ve been getting sharp pains in my chest area the occur randomly as well as joint and bone pain. I’ve stopped taking the medication in hopes that my symptoms will improve. I’ve also experienced something similar with omeprazole a few months ago. Has anyone else experienced similar side effects?</t>
        </is>
      </c>
      <c r="D1893" t="n">
        <v>1</v>
      </c>
      <c r="E1893" t="n">
        <v>1</v>
      </c>
      <c r="F1893">
        <f>HYPERLINK("https://www.reddit.com/r/GERD/comments/cd3a72/chest_pain_from_pantoprazole/")</f>
        <v/>
      </c>
      <c r="G1893" t="inlineStr">
        <is>
          <t>2019-07-14 06:57:20</t>
        </is>
      </c>
      <c r="H1893" t="inlineStr"/>
    </row>
    <row r="1894">
      <c r="A1894" t="inlineStr">
        <is>
          <t>cd3vql</t>
        </is>
      </c>
      <c r="B1894" t="inlineStr">
        <is>
          <t>Heartburn when I take... Zantac?</t>
        </is>
      </c>
      <c r="C1894" t="inlineStr">
        <is>
          <t>I got diagnosed with GERD recently and I’m trying mostly with diet, but when I want to indulge (mostly with sweets) I take Zantac. I took it 5 minutes ago and I’m feeling... heartburn? How?</t>
        </is>
      </c>
      <c r="D1894" t="n">
        <v>2</v>
      </c>
      <c r="E1894" t="n">
        <v>26</v>
      </c>
      <c r="F1894">
        <f>HYPERLINK("https://www.reddit.com/r/GERD/comments/cd3vql/heartburn_when_i_take_zantac/")</f>
        <v/>
      </c>
      <c r="G1894" t="inlineStr">
        <is>
          <t>2019-07-14 07:54:57</t>
        </is>
      </c>
      <c r="H1894" t="inlineStr"/>
    </row>
    <row r="1895">
      <c r="A1895" t="inlineStr">
        <is>
          <t>cd55a1</t>
        </is>
      </c>
      <c r="B1895" t="inlineStr">
        <is>
          <t>I had a Nissen Fundiplocation 5 years ago &amp;amp; I'm getting constant pain. Can anyone help?</t>
        </is>
      </c>
      <c r="C1895" t="inlineStr">
        <is>
          <t>I'm getting a tight pain an inch below my sternum every time I raise my voice, shout or talk for a period of time. My surgeon doesn't seem to know what's causing it and has referred me to another specialists. 
Has anyone had a similar symptom or have any idea what could be causing this?
I'm really suffering.</t>
        </is>
      </c>
      <c r="D1895" t="n">
        <v>2</v>
      </c>
      <c r="E1895" t="n">
        <v>15</v>
      </c>
      <c r="F1895">
        <f>HYPERLINK("https://www.reddit.com/r/GERD/comments/cd55a1/i_had_a_nissen_fundiplocation_5_years_ago_im/")</f>
        <v/>
      </c>
      <c r="G1895" t="inlineStr">
        <is>
          <t>2019-07-14 09:46:09</t>
        </is>
      </c>
      <c r="H1895" t="inlineStr"/>
    </row>
    <row r="1896">
      <c r="A1896" t="inlineStr">
        <is>
          <t>cd64ki</t>
        </is>
      </c>
      <c r="B1896" t="inlineStr">
        <is>
          <t>Diagnosed with GERD and a small hiatal hernia</t>
        </is>
      </c>
      <c r="C1896" t="inlineStr">
        <is>
          <t>Hi everyone, about 7 months ago I started having abdominal pain and burning pretty much every single day.  In March I started taking omelrazole 40mg daily for a month, which took away much of the burning but still left some discomfort in the upper abdominal region.
I decided to get an upper endoscopy done, and the doctor confirmed three things:  1) inflammation showing signs of GERD in the lower esophagus, 2) a very small hiatal hernia, and 3) mild signs of gastritis.
My doctor put me back on omeprazole but it currently isn’t really helping.  I’ve gone on a pretty strict diet with no overly fatty or acidic foods.  It’s honestly taken a huge toll on my mental health, being unable to concentrate on anything else.  Are these symptoms going to be lifelong?  Do I need surgery to repair even a minor hiatal hernia?</t>
        </is>
      </c>
      <c r="D1896" t="n">
        <v>2</v>
      </c>
      <c r="E1896" t="n">
        <v>2</v>
      </c>
      <c r="F1896">
        <f>HYPERLINK("https://www.reddit.com/r/GERD/comments/cd64ki/diagnosed_with_gerd_and_a_small_hiatal_hernia/")</f>
        <v/>
      </c>
      <c r="G1896" t="inlineStr">
        <is>
          <t>2019-07-14 11:08:22</t>
        </is>
      </c>
      <c r="H1896" t="inlineStr"/>
    </row>
    <row r="1897">
      <c r="A1897" t="inlineStr">
        <is>
          <t>cd72x6</t>
        </is>
      </c>
      <c r="B1897" t="inlineStr">
        <is>
          <t>Bloating and gas build up with LPR- Is there anything that can help with this?</t>
        </is>
      </c>
      <c r="C1897" t="inlineStr">
        <is>
          <t>I was reading about simethicone and thinking about trying it.
&amp;amp;#x200B;
I find it to be the most annoying symptom as the bloating makes me feel dizzy and sick and it can be painful.
&amp;amp;#x200B;
Anybody able to recommend anything?</t>
        </is>
      </c>
      <c r="D1897" t="n">
        <v>3</v>
      </c>
      <c r="E1897" t="n">
        <v>10</v>
      </c>
      <c r="F1897">
        <f>HYPERLINK("https://www.reddit.com/r/GERD/comments/cd72x6/bloating_and_gas_build_up_with_lpr_is_there/")</f>
        <v/>
      </c>
      <c r="G1897" t="inlineStr">
        <is>
          <t>2019-07-14 12:28:15</t>
        </is>
      </c>
      <c r="H1897" t="inlineStr"/>
    </row>
    <row r="1898">
      <c r="A1898" t="inlineStr">
        <is>
          <t>cd8c24</t>
        </is>
      </c>
      <c r="B1898" t="inlineStr">
        <is>
          <t>Endoscopy</t>
        </is>
      </c>
      <c r="C1898" t="inlineStr">
        <is>
          <t>I am getting a endoscopy in a few days I am wondering how do they get the endoscopy into your throat and stomach while you are sedated ? And how does the endoscope travel from the throat to the stomach ?</t>
        </is>
      </c>
      <c r="D1898" t="n">
        <v>2</v>
      </c>
      <c r="E1898" t="n">
        <v>5</v>
      </c>
      <c r="F1898">
        <f>HYPERLINK("https://www.reddit.com/r/GERD/comments/cd8c24/endoscopy/")</f>
        <v/>
      </c>
      <c r="G1898" t="inlineStr">
        <is>
          <t>2019-07-14 14:12:11</t>
        </is>
      </c>
      <c r="H1898" t="inlineStr"/>
    </row>
    <row r="1899">
      <c r="A1899" t="inlineStr">
        <is>
          <t>cd8p7b</t>
        </is>
      </c>
      <c r="B1899" t="inlineStr">
        <is>
          <t>Need to take a strong antibiotic (Clindamycin) for a staph infection, what should I do to minimize its impact on my stomach?</t>
        </is>
      </c>
      <c r="C1899" t="inlineStr">
        <is>
          <t>So I haven't been diagnosed with GERD just yet, but I check all the boxes for symptoms.  Random hoarseness, very rare instances where I wake up with vomit/bile in my throat (but I don't puke), having to take tums once in awhile to keep my symptoms in check. Burning feeling in my stomach, some LPR, etc.
I've tried taking this antibiotic but whenever I take it, even with food, I can feel it burning my stomach.  Is there something I can take with the antibiotic to reduce the impact it has on my esophagus and stomach without reducing the effectiveness?</t>
        </is>
      </c>
      <c r="D1899" t="n">
        <v>1</v>
      </c>
      <c r="E1899" t="n">
        <v>0</v>
      </c>
      <c r="F1899">
        <f>HYPERLINK("https://www.reddit.com/r/GERD/comments/cd8p7b/need_to_take_a_strong_antibiotic_clindamycin_for/")</f>
        <v/>
      </c>
      <c r="G1899" t="inlineStr">
        <is>
          <t>2019-07-14 14:43:14</t>
        </is>
      </c>
      <c r="H1899" t="inlineStr"/>
    </row>
    <row r="1900">
      <c r="A1900" t="inlineStr">
        <is>
          <t>cd9hkt</t>
        </is>
      </c>
      <c r="B1900" t="inlineStr">
        <is>
          <t>Had my endoscopy, nothing in report about a hiatal hernia, so..?</t>
        </is>
      </c>
      <c r="C1900" t="inlineStr">
        <is>
          <t>I mentioned to the ENT that I was worried about a hernia causing reflux at night and hot mouth sensation. He did a colonoscopy too and when I woke up from all that  I forgot to ask about the HH. 
 I do have fundic gland polyps probably due to taking PPI's for 15 years. He had them biopsied and I got a letter saying they were neg.
The report he gave me didn't address the hernia issue. Sorry to sound stupid but does that mean I don't have one?  
In a follow-up call an aide said the ENT would call later but he never did so I don't have a clear answer.</t>
        </is>
      </c>
      <c r="D1900" t="n">
        <v>1</v>
      </c>
      <c r="E1900" t="n">
        <v>7</v>
      </c>
      <c r="F1900">
        <f>HYPERLINK("https://www.reddit.com/r/GERD/comments/cd9hkt/had_my_endoscopy_nothing_in_report_about_a_hiatal/")</f>
        <v/>
      </c>
      <c r="G1900" t="inlineStr">
        <is>
          <t>2019-07-14 15:53:05</t>
        </is>
      </c>
      <c r="H1900" t="inlineStr"/>
    </row>
    <row r="1901">
      <c r="A1901" t="inlineStr">
        <is>
          <t>cdavdk</t>
        </is>
      </c>
      <c r="B1901" t="inlineStr">
        <is>
          <t>Those of You Who Are Anti-Nissen: Why?</t>
        </is>
      </c>
      <c r="C1901" t="inlineStr">
        <is>
          <t>Honest question.  I keep seeing little remarks about how bad this surgery is and, as someone with severe health anxiety &amp;amp; a miserable hiatal hernia, I need to know why this seems to be the consensus.  I know there are people who think it's the best thing they've ever done, but why are some of you so anti-Nissen?  If you're personally having negative after-effects, did you do all the recommended pre-surgery tests like the manometry?  Did you trust your doctor &amp;amp; do your research on the surgical facility beforehand?  (There are some SHADY ass doctors out there so unfortunately this question has to be asked to determine whether it's the procedure at fault or the doctor).
Not looking to start a debate about this procedure--nothing is right for everyone.  I just want to know why those of you who are against it feel that way.  As of right now I don't see another solution to the GERD that's making me suicidal.  My doctor told me flat out that since meds don't help this was the only option &amp;amp; I definitely believe him.  Plus the meds come with serious side effects--I can't afford to lose bone mass or develop heart disease from PPI's that don't even work anyway.  My diet currently consists of rice, crackers, bread &amp;amp; nothing spicier than that because everything hurts.  I'm basically fucking starving to death--hair is falling out, weight is falling off--because of my GERD &amp;amp; stomach pain due to hiatal hernia.  This surgery is the only thing I had to hang onto for hope.  So when people off-handedly say it's terrible I want to know *why*, lol.</t>
        </is>
      </c>
      <c r="D1901" t="n">
        <v>4</v>
      </c>
      <c r="E1901" t="n">
        <v>44</v>
      </c>
      <c r="F1901">
        <f>HYPERLINK("https://www.reddit.com/r/GERD/comments/cdavdk/those_of_you_who_are_antinissen_why/")</f>
        <v/>
      </c>
      <c r="G1901" t="inlineStr">
        <is>
          <t>2019-07-14 18:04:08</t>
        </is>
      </c>
      <c r="H1901" t="inlineStr"/>
    </row>
    <row r="1902">
      <c r="A1902" t="inlineStr">
        <is>
          <t>cdbiig</t>
        </is>
      </c>
      <c r="B1902" t="inlineStr">
        <is>
          <t>Not typical symptoms I feel like...?</t>
        </is>
      </c>
      <c r="C1902" t="inlineStr">
        <is>
          <t>I’m on a PPI twice a day and 1 Pepcid before bed, I don’t have the typical heartburn, regurgitation, chest pain, symptoms that most people complain of. Yes if I’m off the medication sometimes I’ll get heartburn a little depending on the meal or if I drink alcohol (which I quit drinking at all), but my main symptoms are constant throat clearing and sensation of throat fullness/Globus. It’s the worst Bc I can’t eat things I want Bc my throat feels funny, like full. I’ve posted in here before Bc I’ve have 2 endoscopies done and both were rather quite normal with a small hiatal hernia finding that wasn’t significant he said. I’ve been told by an ENT that it’s probably LPR but my only thing is this throat sensation started a month ago and hasn’t went away, nothing makes it worse or better, it’s playing a role psychologically now Bc I can’t enjoy eating</t>
        </is>
      </c>
      <c r="D1902" t="n">
        <v>1</v>
      </c>
      <c r="E1902" t="n">
        <v>2</v>
      </c>
      <c r="F1902">
        <f>HYPERLINK("https://www.reddit.com/r/GERD/comments/cdbiig/not_typical_symptoms_i_feel_like/")</f>
        <v/>
      </c>
      <c r="G1902" t="inlineStr">
        <is>
          <t>2019-07-14 19:06:06</t>
        </is>
      </c>
      <c r="H1902" t="inlineStr"/>
    </row>
    <row r="1903">
      <c r="A1903" t="inlineStr">
        <is>
          <t>cdd8np</t>
        </is>
      </c>
      <c r="B1903" t="inlineStr">
        <is>
          <t>Success Stories?</t>
        </is>
      </c>
      <c r="C1903" t="inlineStr">
        <is>
          <t>Has anyone had any success in treating their symptoms? If so, how long did the recovery process take? What did you do? I'm a longtime sufferer and I'm currently doing some experimenting to see what works.</t>
        </is>
      </c>
      <c r="D1903" t="n">
        <v>14</v>
      </c>
      <c r="E1903" t="n">
        <v>20</v>
      </c>
      <c r="F1903">
        <f>HYPERLINK("https://www.reddit.com/r/GERD/comments/cdd8np/success_stories/")</f>
        <v/>
      </c>
      <c r="G1903" t="inlineStr">
        <is>
          <t>2019-07-14 22:07:00</t>
        </is>
      </c>
      <c r="H1903" t="inlineStr"/>
    </row>
    <row r="1904">
      <c r="A1904" t="inlineStr">
        <is>
          <t>cdf2u6</t>
        </is>
      </c>
      <c r="B1904" t="inlineStr">
        <is>
          <t>Anyone have issues with spawning in abdomen?</t>
        </is>
      </c>
      <c r="C1904" t="inlineStr">
        <is>
          <t>I have GERD for sure and probably LPR as well, given my doctor diagnosed me with asthma in the same sitting as GERD, though I’ve never had issues before.
My issue is that frequently I have terribly uncomfortable spasms in my abdomen and I have zero clue what’s causing them. I feel a persistent tightness down there, and pressure on my gut can cause them (bending over, getting in or out of bed). Sometimes they happen while lying down and others when I’m hungry and haven’t eaten enough.
Any ideas what this is or how to remedy them? Wasn’t sure if it was my esophagus, my diaphragm or maybe my stomach if I have a hiatal hernia. Not sure how to proceed but docs haven’t been helpful.
I’m on a daily dose of omeprazole and have started taking a twice daily dose of zinc carnosine.</t>
        </is>
      </c>
      <c r="D1904" t="n">
        <v>2</v>
      </c>
      <c r="E1904" t="n">
        <v>3</v>
      </c>
      <c r="F1904">
        <f>HYPERLINK("https://www.reddit.com/r/GERD/comments/cdf2u6/anyone_have_issues_with_spawning_in_abdomen/")</f>
        <v/>
      </c>
      <c r="G1904" t="inlineStr">
        <is>
          <t>2019-07-15 01:57:51</t>
        </is>
      </c>
      <c r="H1904" t="inlineStr"/>
    </row>
    <row r="1905">
      <c r="A1905" t="inlineStr">
        <is>
          <t>cdf481</t>
        </is>
      </c>
      <c r="B1905" t="inlineStr">
        <is>
          <t>"Ignored" LPR symptom for so many years now I am convinced I have the big C</t>
        </is>
      </c>
      <c r="C1905" t="inlineStr">
        <is>
          <t>Hello. 28/M guy here with health anxiety.
My real "GERD" problem started in 2011 when I moved out of my hometown to work in a different city. With all the adjustments of living alone, I started the bad habit of skipping meals due to my schedule. I'd skip breakfast and then eat loads of food during lunch and then skip dinner, etc. This went on for three months until I started feeling the consequence of having persistent indigestion after eating. Doctor gave me omeprazole for three weeks and it went away. 
&amp;amp;#x200B;
In 2012, I think I started developing this "mucus" in the throat feeling after eating. After eating, I would feel some mild mucus forming at the back of my throat and then it would go away 10 minutes after. At first, it was a bit bad  that I would cough some clear phlegm and then it would go away until my next meal. This went on for months to almost a year I think until it started to decrease, but it never went away completely. I think I still experienced it to some degree, maybe 20%, enough for me to "ignore" it and learned how to live with it. 
&amp;amp;#x200B;
In 2014 or 2016, I think, I got back to my bad habit of skipping meals a lot and doing crash diets so the indigestion went back. Went to a GI specialist and who provided me with PPIs for a month and the issue resolved. The GI offered me to do an endoscopy that time but I never got back due to my anxiety. I never mentioned the mucus feeling after eating because at that point, I had learned to live with it. 
&amp;amp;#x200B;
Fast forward to 2019, I still have the  mild "throat clearing" and the "mucus" at the back of the throat after eating (which would last for 10 mins). It isn't as bad as before and I don't think it has gotten any worse throughout the years. 
&amp;amp;#x200B;
Last week, my anxiety went through the roof after hearing that my friend lost a relative due to the big C of the stomach. Now, I am thinking that this "mild" mucus thing or throat clearing after eating has been a symptom of something malignant in my tummy or esophagus. 
&amp;amp;#x200B;
Just to be clear, the only real symptom I had of GERD was the indigestion which cleared up after weeks of PPI. I never had the heartburn or reflux sensation on my esophagus (which led me to believe this is more LPR now than GERD). Occasionally, I would belch a lot and feel bloated if I skip meals and overeat (hello, buffet parties) so I take some antacids for those occasions.  However, if I eat properly, there is no tummy distress. Bowel movements have always been okay. 
&amp;amp;#x200B;
Other than that, the only thing that is bothering me is the throat clearing after eating which never went away completely. If I'm not eating, my throat feels clear and fine.
&amp;amp;#x200B;
I'm going to see a GI specialist this week to finally face this head on. I just feel that the doctor is going to judge me for "ignoring" this symptom for years and will tell me "You're going to have the big C now." :( 
I am 100% the doctor will order an endoscopy now which I will finally undergo. No more turning back, I guess. I am not so scared of the procedure itself, but more of the RESULTS. I am scared that the doctor will say during the procedure, "Hmm this looks suspicious. I need to get a biopsy of this one." My head is just overwhelmed with bad thoughts now.
&amp;amp;#x200B;
Is there any reassurance that I will get better and that everything won't be as bad as I think it is? :(</t>
        </is>
      </c>
      <c r="D1905" t="n">
        <v>0</v>
      </c>
      <c r="E1905" t="n">
        <v>41</v>
      </c>
      <c r="F1905">
        <f>HYPERLINK("https://www.reddit.com/r/GERD/comments/cdf481/ignored_lpr_symptom_for_so_many_years_now_i_am/")</f>
        <v/>
      </c>
      <c r="G1905" t="inlineStr">
        <is>
          <t>2019-07-15 02:02:31</t>
        </is>
      </c>
      <c r="H1905" t="inlineStr"/>
    </row>
    <row r="1906">
      <c r="A1906" t="inlineStr">
        <is>
          <t>cdflxq</t>
        </is>
      </c>
      <c r="B1906" t="inlineStr">
        <is>
          <t>Help me ease my anxiety, please</t>
        </is>
      </c>
      <c r="C1906" t="inlineStr">
        <is>
          <t>Hi all,
So, diagnosed with HH a few years ago, been on omeprazole 10mg since I was 24 (I’m 30 now) and I feel my symptoms haven’t been great the last few weeks/months. 
I know that sometimes I’m at fault for having heartburn but sometimes it just seems bad in the mornings for no real reason. 
Today, I ate cereal and now I can feel my stomach burning and the horrible pain and anxiety that causes. 
What is a good go to breakfast? Cereal and oatmeal that everyone and mothers seem to recommend just floor me. 
Also, is it possible 10mg just isn’t enough anymore? I already hate being on these tablets and the thought of upping the dose isn’t a great idea but speaking to my doctor on Thursday gone, the pros out weight the possible risks of not controlling my stomach acid. 
Cheers!</t>
        </is>
      </c>
      <c r="D1906" t="n">
        <v>2</v>
      </c>
      <c r="E1906" t="n">
        <v>6</v>
      </c>
      <c r="F1906">
        <f>HYPERLINK("https://www.reddit.com/r/GERD/comments/cdflxq/help_me_ease_my_anxiety_please/")</f>
        <v/>
      </c>
      <c r="G1906" t="inlineStr">
        <is>
          <t>2019-07-15 03:06:24</t>
        </is>
      </c>
      <c r="H1906" t="inlineStr"/>
    </row>
    <row r="1907">
      <c r="A1907" t="inlineStr">
        <is>
          <t>cdju15</t>
        </is>
      </c>
      <c r="B1907" t="inlineStr">
        <is>
          <t>LPR...Voice, vocal cords swollen.</t>
        </is>
      </c>
      <c r="C1907" t="inlineStr">
        <is>
          <t>Hey all - I would say by and large the majority of my symptoms have much better than they were 2-3 months ago.
Currently im on Pantoprazole 20mg x 2 per day.  Change in diet, sleeping elevated etc
My sore throat is pretty much gone, no regurgitation, no refluxing.  No mucus, dry cough etc.  Even most of the globus feeling is gone.  The one major thing that remains for me is that my voice gets sore right away when i begin talking in the morning for only several minutes.  The sound of it doesnt change.  I dont get hoarse - just the feeling of it - feels swollen, like i was using it too much.  This has been my biggest issue as of late.  I also will from time to time get a little bit of pressure (gas) in the throat but seems to go away when i eat?
Has anyone had this and did it eventually go away?  im debating whether to take a higher dosage of the PPI?</t>
        </is>
      </c>
      <c r="D1907" t="n">
        <v>7</v>
      </c>
      <c r="E1907" t="n">
        <v>6</v>
      </c>
      <c r="F1907">
        <f>HYPERLINK("https://www.reddit.com/r/GERD/comments/cdju15/lprvoice_vocal_cords_swollen/")</f>
        <v/>
      </c>
      <c r="G1907" t="inlineStr">
        <is>
          <t>2019-07-15 09:45:03</t>
        </is>
      </c>
      <c r="H1907" t="inlineStr"/>
    </row>
    <row r="1908">
      <c r="A1908" t="inlineStr">
        <is>
          <t>cdkxw8</t>
        </is>
      </c>
      <c r="B1908" t="inlineStr">
        <is>
          <t>Had my peptest done. Came out at 263. Above 200 is high - so there you go!</t>
        </is>
      </c>
      <c r="C1908" t="inlineStr">
        <is>
          <t>Their GP letter that they recommend forwarding on to my GP, says that PPIs are largely ineffective and simply recommend Gaviscon advance and lifestyle changes. At least they are honest!</t>
        </is>
      </c>
      <c r="D1908" t="n">
        <v>6</v>
      </c>
      <c r="E1908" t="n">
        <v>11</v>
      </c>
      <c r="F1908">
        <f>HYPERLINK("https://www.reddit.com/r/GERD/comments/cdkxw8/had_my_peptest_done_came_out_at_263_above_200_is/")</f>
        <v/>
      </c>
      <c r="G1908" t="inlineStr">
        <is>
          <t>2019-07-15 11:01:42</t>
        </is>
      </c>
      <c r="H1908" t="inlineStr"/>
    </row>
    <row r="1909">
      <c r="A1909" t="inlineStr">
        <is>
          <t>cdovyo</t>
        </is>
      </c>
      <c r="B1909" t="inlineStr">
        <is>
          <t>Need Help Gaining Weight</t>
        </is>
      </c>
      <c r="C1909" t="inlineStr">
        <is>
          <t>Hello everyone,
I have not been formally diagnosed with GERD however, I do get varying degrees of heartburn (including very severe heartburn). I have had an endoscopy and have been diagnosed with hiatal hernia. I am a mid 20s 5'7 male who hovers around 110 lbs wondering if anyone can give me any tips for gaining weight. I'm looking for suggestions to improve my diet mainly. One strategy I've tried is incorporating a mass gainer shake with varying success. Some days I feel okay, but others it causes heartburn. I figure it might be related to the flavor (chocolate) but I'm not quite sure... Any suggestions would be greatly appreciated.</t>
        </is>
      </c>
      <c r="D1909" t="n">
        <v>12</v>
      </c>
      <c r="E1909" t="n">
        <v>27</v>
      </c>
      <c r="F1909">
        <f>HYPERLINK("https://www.reddit.com/r/GERD/comments/cdovyo/need_help_gaining_weight/")</f>
        <v/>
      </c>
      <c r="G1909" t="inlineStr">
        <is>
          <t>2019-07-15 16:03:14</t>
        </is>
      </c>
      <c r="H1909" t="inlineStr"/>
    </row>
    <row r="1910">
      <c r="A1910" t="inlineStr">
        <is>
          <t>cdphx8</t>
        </is>
      </c>
      <c r="B1910" t="inlineStr">
        <is>
          <t>New To Gerd Help!</t>
        </is>
      </c>
      <c r="C1910" t="inlineStr">
        <is>
          <t>Glad to see there is a Gerd section here in Reddit. I am a 44-year-old male 6ft tall 170lbs that has had a clean bill of physical health until 2 years ago. Disclaimer: I am a very stressed out individual and have incorporated therapy and also recently 15 minutes of meditating first thing in the morning. I don't smoke, drink alcohol, do drugs. I exercise 3-4 times per week and do not take any medication.  
So, two years ago I  would wake up in the morning and have to go number 2 three to five times. My stomach would hurt and then after the bathroom trips, it would calm down. The afternoon and evening were ok for the most part.  I tried altering my diet going to veganism then introducing back Salmon, eggs and chicken breast just no dairy or beef.   
The symptoms would go away for a few days only to come back. Two months ago I got hit with it super hard and was bedridden and couldn't eat a single thing for 5 days (lost 15lbs and dehydrated) until I rushed to get an endo and colonoscopy. They didn't find anything but a small mass that was benign (they removed it) and found trace amounts of fungus (they gave me medication to get rid of it). That is either a sign of acid, compromised immune system (excessive stress). Basically, they said I might have GERD and to try a low Gerd diet.   
For the past 3 weeks, I have been on a low GERD diet (no citrus, no tomatoes, chocolate, onions, garlic, spices, coffee, mint, spearmint, etc - the long list I follow). I am also taking Fiber pills, Probiotics, DGL licorice, Enzymes, Fish Oil and only drink water.   
My symptoms are still SUPER strong. As I write this I feel like I have to go to the bathroom, saliva is thick (bad GERD breath), and my stomach feels off.   
Is anyone out there has any additional advice to help me as this really sucks (could be worse I know)!</t>
        </is>
      </c>
      <c r="D1910" t="n">
        <v>3</v>
      </c>
      <c r="E1910" t="n">
        <v>4</v>
      </c>
      <c r="F1910">
        <f>HYPERLINK("https://www.reddit.com/r/GERD/comments/cdphx8/new_to_gerd_help/")</f>
        <v/>
      </c>
      <c r="G1910" t="inlineStr">
        <is>
          <t>2019-07-15 16:57:56</t>
        </is>
      </c>
      <c r="H1910" t="inlineStr"/>
    </row>
    <row r="1911">
      <c r="A1911" t="inlineStr">
        <is>
          <t>cduhgc</t>
        </is>
      </c>
      <c r="B1911" t="inlineStr">
        <is>
          <t>First trip to the doctor for GERD/LPR symptoms.</t>
        </is>
      </c>
      <c r="C1911" t="inlineStr">
        <is>
          <t>Went to the doctor for the third time regarding the issues I’ve been having in varying degree for 3 months: excessive mucus in throat, chest pressure (not pain), post nasal drip sensation, lump in throat sensation, and (more recently) bloating and excessive burping. All of these symptoms seem worse as soon as I wake up and after meals, dying down over time. 
I brought up LPR, doctor said he’s never heard of it. He was more interested in the chest pressure than any other symptom, but I’ve already had 3 chest xrays and an EKG. Multiple doctors say lungs and heart are fine. 
He decided to give me Nexium for 5 days to see if any changes are seen. Now it’s day 1.5 and it seems like I have less mucus related issues, but stomach and particularly upper abdomen feel worse. Also gas/burping seems worse. 
I go back on Friday to report my experience, but 5 days hardly seems like enough time to judge the impact of a medication. Are my increased stomach issues a typical issue when starting a PPI like Nexium? I’m worried he’s going to say the improvement is not enough and order another xray and antibiotics (of which I’ve already done 2 courses of). 
I’m so stressed out because the only symptoms at first were chest/mucus related. But after 2 courses of antibiotics my stomach is a mess, and chest isn’t completely better. I’m not sure if it was a reflux related issue all along or if another issue is causing the chest/mucus issues while antibiotic usage triggered the stomach issues. 
What is your experience when first starting a PPI?
Is 5 days enough time to judge a medication?
I’m v tired of going to doctors only for then to find nothing and act like I’m a bit crazy. -_-</t>
        </is>
      </c>
      <c r="D1911" t="n">
        <v>2</v>
      </c>
      <c r="E1911" t="n">
        <v>4</v>
      </c>
      <c r="F1911">
        <f>HYPERLINK("https://www.reddit.com/r/GERD/comments/cduhgc/first_trip_to_the_doctor_for_gerdlpr_symptoms/")</f>
        <v/>
      </c>
      <c r="G1911" t="inlineStr">
        <is>
          <t>2019-07-16 01:52:49</t>
        </is>
      </c>
      <c r="H1911" t="inlineStr"/>
    </row>
    <row r="1912">
      <c r="A1912" t="inlineStr">
        <is>
          <t>cdw3fy</t>
        </is>
      </c>
      <c r="B1912" t="inlineStr">
        <is>
          <t>Thank you</t>
        </is>
      </c>
      <c r="C1912" t="inlineStr">
        <is>
          <t>Hello there
I am a new person realising that I am also suffering from these symptoms, I have the constant swallowing, mucus feeling in the back of my throat, My stomach feels like it's full of battery acid and it's been affecting my sleep to the point that I wanted any other solution than more doctors trips.
Having read through this subreddit you have given me some form of hope that it's not some unknown I will have to deal with forever. I am already on medication for it and so far it hasn't helped as much but knowing there are plenty other people out there with exactly the same problems gives me at least some hope I am not alone.</t>
        </is>
      </c>
      <c r="D1912" t="n">
        <v>6</v>
      </c>
      <c r="E1912" t="n">
        <v>1</v>
      </c>
      <c r="F1912">
        <f>HYPERLINK("https://www.reddit.com/r/GERD/comments/cdw3fy/thank_you/")</f>
        <v/>
      </c>
      <c r="G1912" t="inlineStr">
        <is>
          <t>2019-07-16 05:00:11</t>
        </is>
      </c>
      <c r="H1912" t="inlineStr"/>
    </row>
    <row r="1913">
      <c r="A1913" t="inlineStr">
        <is>
          <t>cdz3gw</t>
        </is>
      </c>
      <c r="B1913" t="inlineStr">
        <is>
          <t>husband is losing weight from GERD... i want to lose weight (how to get GERD)???</t>
        </is>
      </c>
      <c r="C1913" t="inlineStr">
        <is>
          <t>He's losing a lot of weight (10 lbs in 1 month) from GERD. I've been gaining weight and i want to have GERD now too since it seems to be such an easy way of losing weight. i see what he goes through every morning with the puking and i know i can handle it. How can i get GERD? i've googled it and it's all about treating GERD. i know my question sounds like a joke but i really want to lose weight. i go to the gym for 1 hour 5x a week already and i'm still gaining weight.</t>
        </is>
      </c>
      <c r="D1913" t="n">
        <v>0</v>
      </c>
      <c r="E1913" t="n">
        <v>12</v>
      </c>
      <c r="F1913">
        <f>HYPERLINK("https://www.reddit.com/r/GERD/comments/cdz3gw/husband_is_losing_weight_from_gerd_i_want_to_lose/")</f>
        <v/>
      </c>
      <c r="G1913" t="inlineStr">
        <is>
          <t>2019-07-16 09:10:31</t>
        </is>
      </c>
      <c r="H1913" t="inlineStr"/>
    </row>
    <row r="1914">
      <c r="A1914" t="inlineStr">
        <is>
          <t>cdzqz4</t>
        </is>
      </c>
      <c r="B1914" t="inlineStr">
        <is>
          <t>Lower Esophageal Sphincter Stimulation</t>
        </is>
      </c>
      <c r="C1914" t="inlineStr">
        <is>
          <t>I was doing some research on my lunch break (motivated by some LPR-related coughing that I was experiencing) and I just came across this new treatment. It's apparently some kind of implant that provides neurostimulation to the sphincter. Does anyone know anything more about this? I wonder if it's legit and, if so, how long before they become standard practice. I would love for there to exist a procedure that works as well (or close to as well) as surgery but without the difficulties of surgery. 
 [http://www.endostim.com/first-patient-implanted-in-endostims-lower-esophageal-sphincter-stimulation-for-gerd-less-gerd-clinical-trial/](http://www.endostim.com/first-patient-implanted-in-endostims-lower-esophageal-sphincter-stimulation-for-gerd-less-gerd-clinical-trial/)</t>
        </is>
      </c>
      <c r="D1914" t="n">
        <v>10</v>
      </c>
      <c r="E1914" t="n">
        <v>6</v>
      </c>
      <c r="F1914">
        <f>HYPERLINK("https://www.reddit.com/r/GERD/comments/cdzqz4/lower_esophageal_sphincter_stimulation/")</f>
        <v/>
      </c>
      <c r="G1914" t="inlineStr">
        <is>
          <t>2019-07-16 09:59:07</t>
        </is>
      </c>
      <c r="H1914" t="inlineStr"/>
    </row>
    <row r="1915">
      <c r="A1915" t="inlineStr">
        <is>
          <t>ce1xsq</t>
        </is>
      </c>
      <c r="B1915" t="inlineStr">
        <is>
          <t>Keto and GERD</t>
        </is>
      </c>
      <c r="C1915" t="inlineStr">
        <is>
          <t>Just want to share my experience with the Ketogenic diet over the pas 2 months. Eating my normal diet I would normally experience GERD symptoms daily, on Keto I would maybe have some heartburn once a week. For the first time in 2 years I felt like I didn't have an issue. It seems counter intuitive as I have read almost everywhere that fat increases gastric acid secretion yet I am still having dramatically less occurrences of heartburn. I did come out of ketosis one time eating a banana as I had some electrolyte imbalances just starting out, and sure enough it gave me heartburn. The diet is strict and not for everyone, but why not give it a shot if you're like me and have tried everything short of surgery to control your symptoms. Wondering if there is anyone else who has had success following the diet.</t>
        </is>
      </c>
      <c r="D1915" t="n">
        <v>9</v>
      </c>
      <c r="E1915" t="n">
        <v>20</v>
      </c>
      <c r="F1915">
        <f>HYPERLINK("https://www.reddit.com/r/GERD/comments/ce1xsq/keto_and_gerd/")</f>
        <v/>
      </c>
      <c r="G1915" t="inlineStr">
        <is>
          <t>2019-07-16 12:41:41</t>
        </is>
      </c>
      <c r="H1915" t="inlineStr"/>
    </row>
    <row r="1916">
      <c r="A1916" t="inlineStr">
        <is>
          <t>ce2gze</t>
        </is>
      </c>
      <c r="B1916" t="inlineStr">
        <is>
          <t>Birth control and gerd</t>
        </is>
      </c>
      <c r="C1916" t="inlineStr">
        <is>
          <t>Any ladies noticed a difference when you went on birth control?</t>
        </is>
      </c>
      <c r="D1916" t="n">
        <v>3</v>
      </c>
      <c r="E1916" t="n">
        <v>6</v>
      </c>
      <c r="F1916">
        <f>HYPERLINK("https://www.reddit.com/r/GERD/comments/ce2gze/birth_control_and_gerd/")</f>
        <v/>
      </c>
      <c r="G1916" t="inlineStr">
        <is>
          <t>2019-07-16 13:22:21</t>
        </is>
      </c>
      <c r="H1916" t="inlineStr"/>
    </row>
    <row r="1917">
      <c r="A1917" t="inlineStr">
        <is>
          <t>ce2l7s</t>
        </is>
      </c>
      <c r="B1917" t="inlineStr">
        <is>
          <t>Symptom relief</t>
        </is>
      </c>
      <c r="C1917" t="inlineStr">
        <is>
          <t>I've been taking the cvs brand of the 24 hour nexium for about 5 days and I have found it is really helping my symptoms! Eating is still uncomfortable (GERD sufferer of 3 years) as I have to eat slowly and I do still get burning in my esophagus but it's not as bad as it usually is! Woohoo! I've also been staying away from trigger foods, especially tomato based things.
My work: free pizza party thursday!
Me: 🙃🙃🙃🙃🙃</t>
        </is>
      </c>
      <c r="D1917" t="n">
        <v>5</v>
      </c>
      <c r="E1917" t="n">
        <v>7</v>
      </c>
      <c r="F1917">
        <f>HYPERLINK("https://www.reddit.com/r/GERD/comments/ce2l7s/symptom_relief/")</f>
        <v/>
      </c>
      <c r="G1917" t="inlineStr">
        <is>
          <t>2019-07-16 13:31:21</t>
        </is>
      </c>
      <c r="H1917" t="inlineStr"/>
    </row>
    <row r="1918">
      <c r="A1918" t="inlineStr">
        <is>
          <t>ce2rgv</t>
        </is>
      </c>
      <c r="B1918" t="inlineStr">
        <is>
          <t>UK Gaviscon Advance</t>
        </is>
      </c>
      <c r="C1918" t="inlineStr">
        <is>
          <t>My order came today.  I am going to try it tonight.  It's substantially thicker.  I would love it if this stuff replaced my PPI's.  We shall see.....</t>
        </is>
      </c>
      <c r="D1918" t="n">
        <v>5</v>
      </c>
      <c r="E1918" t="n">
        <v>10</v>
      </c>
      <c r="F1918">
        <f>HYPERLINK("https://www.reddit.com/r/GERD/comments/ce2rgv/uk_gaviscon_advance/")</f>
        <v/>
      </c>
      <c r="G1918" t="inlineStr">
        <is>
          <t>2019-07-16 13:44:09</t>
        </is>
      </c>
      <c r="H1918" t="inlineStr"/>
    </row>
    <row r="1919">
      <c r="A1919" t="inlineStr">
        <is>
          <t>ce4e8m</t>
        </is>
      </c>
      <c r="B1919" t="inlineStr">
        <is>
          <t>Frustrated with trying to figure out what’s wrong with me. Chest pains/ SOB</t>
        </is>
      </c>
      <c r="C1919" t="inlineStr">
        <is>
          <t>Does anyone ONLY experience chest pains and shortness of breath as symptoms of GERD/LPR??
I’m so frustrated, been dealing with this for a month now.  My lungs and heart have been cleared to be healthy.  I don’t have a cough or anything. 
Doctor said to try Prilosec for a few weeks. Starting that today.</t>
        </is>
      </c>
      <c r="D1919" t="n">
        <v>1</v>
      </c>
      <c r="E1919" t="n">
        <v>0</v>
      </c>
      <c r="F1919">
        <f>HYPERLINK("https://www.reddit.com/r/GERD/comments/ce4e8m/frustrated_with_trying_to_figure_out_whats_wrong/")</f>
        <v/>
      </c>
      <c r="G1919" t="inlineStr">
        <is>
          <t>2019-07-16 15:51:57</t>
        </is>
      </c>
      <c r="H1919" t="inlineStr"/>
    </row>
    <row r="1920">
      <c r="A1920" t="inlineStr">
        <is>
          <t>ce4hwo</t>
        </is>
      </c>
      <c r="B1920" t="inlineStr">
        <is>
          <t>How long does the burping last?</t>
        </is>
      </c>
      <c r="C1920" t="inlineStr">
        <is>
          <t>How much time It Will take for me to stop burping all the time?
I'm taking Esomeprazole but still burp a lot!</t>
        </is>
      </c>
      <c r="D1920" t="n">
        <v>2</v>
      </c>
      <c r="E1920" t="n">
        <v>6</v>
      </c>
      <c r="F1920">
        <f>HYPERLINK("https://www.reddit.com/r/GERD/comments/ce4hwo/how_long_does_the_burping_last/")</f>
        <v/>
      </c>
      <c r="G1920" t="inlineStr">
        <is>
          <t>2019-07-16 16:00:32</t>
        </is>
      </c>
      <c r="H1920" t="inlineStr"/>
    </row>
    <row r="1921">
      <c r="A1921" t="inlineStr">
        <is>
          <t>ce5txd</t>
        </is>
      </c>
      <c r="B1921" t="inlineStr">
        <is>
          <t>LINX and Insurance Approval Process</t>
        </is>
      </c>
      <c r="C1921" t="inlineStr">
        <is>
          <t>Hi folks. I'm looking for information on the process for getting LINX surgery approval, particularly from those who have Anthem/Blue Cross insurance in the US. I've been dealing with worsening reflux for the past year, which wasn't helped by lifestyle changes and nexium. Started on dexilant three weeks ago and so far no change. I don't have any major food regurgitation issues, but I definitely get the throat burn and bad breath nearly every day. I'm ready to be done with this crap. 
I've got an appointment with my GI doc next week to go over my endoscopy results (small hiatal hernia), but I'm wondering how long I'll have to wait before I can get the surgery. Any insights would be appreciated. 
Thanks.</t>
        </is>
      </c>
      <c r="D1921" t="n">
        <v>0</v>
      </c>
      <c r="E1921" t="n">
        <v>3</v>
      </c>
      <c r="F1921">
        <f>HYPERLINK("https://www.reddit.com/r/GERD/comments/ce5txd/linx_and_insurance_approval_process/")</f>
        <v/>
      </c>
      <c r="G1921" t="inlineStr">
        <is>
          <t>2019-07-16 17:58:15</t>
        </is>
      </c>
      <c r="H1921" t="inlineStr"/>
    </row>
    <row r="1922">
      <c r="A1922" t="inlineStr">
        <is>
          <t>ce6cmi</t>
        </is>
      </c>
      <c r="B1922" t="inlineStr">
        <is>
          <t>GERD and Sinusitis ?</t>
        </is>
      </c>
      <c r="C1922" t="inlineStr">
        <is>
          <t>Hi! I’m in the midst of weaning myself off of my PPI and in the process have been noticing some new symptoms (i.e. not ones I experienced before i started the meds). One of which is searing sinus pain, which I just learned could be connected to GERD and LPR! 
Protocol: So I’ve been on 40 mg of Prilosec daily for over 8 years and i’m ready to be off of it. I weaned myself off caffeine in preparation (mostly, i have a cup of tea with lots of soy milk in the mornings with breakfast). 
I’m in my second week of tapering, down to 20 mg every other day. On days I don’t take it, I take 1000 mg of D-Limonene (punctured capsule, i guess my stomach acid was so low it wasn’t dissolving because for the first two doses i had orange poops not orange burps!), paired with DGL as needed and fruit enzymes + bitters with most meals. I’m also doing a low-carb, low-grain diet cobbled together from a couple different ones, as I’m veggie and ok EBT so couldn’t commit to full keto or paleo, plus probiotics. And melatonin every night (if i can remember) as I’ve read that can help tone the LES as well. 
For the last about week, I started having LPR symptoms (sore throat, frequent loss of voice) but just tried to power through. 
As of 4 ish days ago though, I’ve bee. having severe sinus pain. I’d chocked it up to mysterious summer allergies or too much dust (i’m a cleaner but it’s usually not a problem), but there’s little accompanying congestion. I tried rinsing with my neti-pot, which burned a lot more than usual (usually not much at all). 
I just realized today, which is the worst reflux I’ve had since weaning began as well as the worst sinus pain, that it could be connected. Did some googling and it totally can be! It’s most often seen in children (I’m not sure why), but based on my sinus symptoms and the timing, it’s very likely they’re connected. 
Has anyone else had this issue? Do you have any suggestions on how to cope? I’m pretty set on not being on a PPI anymore and I know that the rebound acid should calm down within a week or two, but it’s excruciating in the meantime. 
TL;DR: I might have stomach acid in my sinuses! It’s a not very common symptom of LPR, have you had it? Do you have suggestions? I’m weaning off of Prilosec so no PPI-based ones plz.</t>
        </is>
      </c>
      <c r="D1922" t="n">
        <v>8</v>
      </c>
      <c r="E1922" t="n">
        <v>7</v>
      </c>
      <c r="F1922">
        <f>HYPERLINK("https://www.reddit.com/r/GERD/comments/ce6cmi/gerd_and_sinusitis/")</f>
        <v/>
      </c>
      <c r="G1922" t="inlineStr">
        <is>
          <t>2019-07-16 18:45:59</t>
        </is>
      </c>
      <c r="H1922" t="inlineStr"/>
    </row>
    <row r="1923">
      <c r="A1923" t="inlineStr">
        <is>
          <t>ce6kqu</t>
        </is>
      </c>
      <c r="B1923" t="inlineStr">
        <is>
          <t>Anyone in India suffering from gerd in their 20s. I have chronic symptoms everyday. I need to take nexiums everyday still symptoms are not gone. Did you try surgery.</t>
        </is>
      </c>
      <c r="C1923" t="inlineStr">
        <is>
          <t>You can reply if you had a nissin fundoplication. Did it cure you... I just feel down sometimes knowing that I have this disgusting disease on top of all th things life throws at you.. Please help me with a permanent fix. I am about 12 kg overwieght. Will losing weight improve gerd.</t>
        </is>
      </c>
      <c r="D1923" t="n">
        <v>3</v>
      </c>
      <c r="E1923" t="n">
        <v>6</v>
      </c>
      <c r="F1923">
        <f>HYPERLINK("https://www.reddit.com/r/GERD/comments/ce6kqu/anyone_in_india_suffering_from_gerd_in_their_20s/")</f>
        <v/>
      </c>
      <c r="G1923" t="inlineStr">
        <is>
          <t>2019-07-16 19:06:54</t>
        </is>
      </c>
      <c r="H1923" t="inlineStr"/>
    </row>
    <row r="1924">
      <c r="A1924" t="inlineStr">
        <is>
          <t>ce73ie</t>
        </is>
      </c>
      <c r="B1924" t="inlineStr">
        <is>
          <t>Vomiting in sleep and aspirating it to the point of choking and being unable to breathe. Scared.</t>
        </is>
      </c>
      <c r="C1924" t="inlineStr">
        <is>
          <t>I was diagnosed with a mild GERD many years ago. Since January, I have had weeks where I end up vomiting in my sleep, aspirating it, and choking. I have to cough for a very long time but feel like it never fully comes out of my lungs. My voice gets very hoarse for two days. 
I now sleep with my head elevated and have had a reoccurrence but I am scared to death of it happening again because I'm literally close to death when it happens. 
My doctor put me on Omeprazole, but it made me extremely nauseous and dizzy. Now I'm on Ranitidine 150mg 2x day. 
I was wondering if anyone else has had this issue with vomiting in their sleep and what the ultimate cause was. If the Ranitidine doesn't help, I'm getting an Upper GI scope.</t>
        </is>
      </c>
      <c r="D1924" t="n">
        <v>1</v>
      </c>
      <c r="E1924" t="n">
        <v>12</v>
      </c>
      <c r="F1924">
        <f>HYPERLINK("https://www.reddit.com/r/GERD/comments/ce73ie/vomiting_in_sleep_and_aspirating_it_to_the_point/")</f>
        <v/>
      </c>
      <c r="G1924" t="inlineStr">
        <is>
          <t>2019-07-16 19:56:33</t>
        </is>
      </c>
      <c r="H1924" t="inlineStr"/>
    </row>
    <row r="1925">
      <c r="A1925" t="inlineStr">
        <is>
          <t>ce7bsn</t>
        </is>
      </c>
      <c r="B1925" t="inlineStr">
        <is>
          <t>Help</t>
        </is>
      </c>
      <c r="C1925" t="inlineStr">
        <is>
          <t>Do you guys ever experience GERD even after drinking water?</t>
        </is>
      </c>
      <c r="D1925" t="n">
        <v>1</v>
      </c>
      <c r="E1925" t="n">
        <v>2</v>
      </c>
      <c r="F1925">
        <f>HYPERLINK("https://www.reddit.com/r/GERD/comments/ce7bsn/help/")</f>
        <v/>
      </c>
      <c r="G1925" t="inlineStr">
        <is>
          <t>2019-07-16 20:19:04</t>
        </is>
      </c>
      <c r="H1925" t="inlineStr"/>
    </row>
    <row r="1926">
      <c r="A1926" t="inlineStr">
        <is>
          <t>cec5bt</t>
        </is>
      </c>
      <c r="B1926" t="inlineStr">
        <is>
          <t>My throat feels like there is something in/on it and I cant eat because it is irritating</t>
        </is>
      </c>
      <c r="C1926" t="inlineStr">
        <is>
          <t>Hi! First post here! I’m on a vacation and been really stressed out lately so my GERD symptoms came back and I only had heartburn like twice in the last week however my throat feels like there is something in it. it feels similiar to phlegm however it never moves and it makes me cough.
I’m almost certain that acid damaged my eso a little.
Do you guys know how to treat this? I have to eat or I get malnourished. 
Does anyone else experience more throat problems than actual Heartburn?</t>
        </is>
      </c>
      <c r="D1926" t="n">
        <v>2</v>
      </c>
      <c r="E1926" t="n">
        <v>21</v>
      </c>
      <c r="F1926">
        <f>HYPERLINK("https://www.reddit.com/r/GERD/comments/cec5bt/my_throat_feels_like_there_is_something_inon_it/")</f>
        <v/>
      </c>
      <c r="G1926" t="inlineStr">
        <is>
          <t>2019-07-17 05:25:16</t>
        </is>
      </c>
      <c r="H1926" t="inlineStr"/>
    </row>
    <row r="1927">
      <c r="A1927" t="inlineStr">
        <is>
          <t>cecwsk</t>
        </is>
      </c>
      <c r="B1927" t="inlineStr">
        <is>
          <t>My solution for my reflux issues (ladies specifcally)</t>
        </is>
      </c>
      <c r="C1927" t="inlineStr">
        <is>
          <t>About two years ago, I was diagnosed with collagenous colitis (IBS-D) and Barrett's Esophagus (which according to my doctor is healing fine but my acid reflux has barely changed and I'm still nauseous all the time).  As of the past year or so, my stomach has been getting worse and worse to the point that I cant even wear pants anymore (and if I do, I cant button or zip them) because the pressure on my tummy makes my nausea bad.  I've resorted to wearing t-shirt dresses when I go out to eat with friends or the movies just so I can do things comfortably.
However, a few months ago a friend of mine got pregnant and we got discussing her pregnancy pants.  They're specifically made to not put pressure on the tummy.  I finally decided to purchase a pair last week and HO BOY these shorts are basically a GODSEND.  I also purchased a pair of maternity leggings and worse them to my friends game night last night... Y'ALL.  This was the best I've felt out in public in MONTHS.  No cramping, no nausea, and I still felt cute.  I dont know if any of y'all have this same issue with tight pants and shorts, but if you do, try a pair of maternity pants.  You'll never go back.</t>
        </is>
      </c>
      <c r="D1927" t="n">
        <v>14</v>
      </c>
      <c r="E1927" t="n">
        <v>13</v>
      </c>
      <c r="F1927">
        <f>HYPERLINK("https://www.reddit.com/r/GERD/comments/cecwsk/my_solution_for_my_reflux_issues_ladies/")</f>
        <v/>
      </c>
      <c r="G1927" t="inlineStr">
        <is>
          <t>2019-07-17 06:34:02</t>
        </is>
      </c>
      <c r="H1927" t="inlineStr"/>
    </row>
    <row r="1928">
      <c r="A1928" t="inlineStr">
        <is>
          <t>cedehg</t>
        </is>
      </c>
      <c r="B1928" t="inlineStr">
        <is>
          <t>Low Stomach Acid</t>
        </is>
      </c>
      <c r="C1928" t="inlineStr">
        <is>
          <t>Hi All-
In short, I noticed after eating for about the past 3 months I always felt SUPER bloated and would burp ALL THE TIME. I figured it was just because I was eating a little more food, but then it got to the point where I would feel uncomfortable and have to burp and it was a constant feeling. After Googling symptoms, I discovered low stomach acid. I read that drinking apple cider vinegar diluted with water before meals could help. I’ve been doing that for about a week and a half and I feel 100x better. I burp about once and that’s it. 
My question is, how long do I continue drinking ACV before meals? Is it along the lines of, if I stop my symptoms will come back? I feel like constantly drinking acv before meals for long periods could maybe have a negative side effect eventually, especially on my teeth??
Thanks in advance!</t>
        </is>
      </c>
      <c r="D1928" t="n">
        <v>2</v>
      </c>
      <c r="E1928" t="n">
        <v>8</v>
      </c>
      <c r="F1928">
        <f>HYPERLINK("https://www.reddit.com/r/GERD/comments/cedehg/low_stomach_acid/")</f>
        <v/>
      </c>
      <c r="G1928" t="inlineStr">
        <is>
          <t>2019-07-17 07:14:33</t>
        </is>
      </c>
      <c r="H1928" t="inlineStr"/>
    </row>
    <row r="1929">
      <c r="A1929" t="inlineStr">
        <is>
          <t>ceezem</t>
        </is>
      </c>
      <c r="B1929" t="inlineStr">
        <is>
          <t>Bad Breath Treatment</t>
        </is>
      </c>
      <c r="C1929" t="inlineStr">
        <is>
          <t>I'm playing the waiting game to get approval for LINX surgery, since dexilant hasn't helped, but in the meantime I'm looking for suggestions from anyone else who has experienced the throat burn and bad breath symptoms of reflux. My job has me talking with people, often in close proximity, all day and it's demoralizing to have bad breath and no solution. I've never had it before developing GERD, and I have good dental hygiene. Within an hour of brushing my teeth or using mouthwash, my mouth feels dry and I know my breath is bad (same feeling as when you first wake up in the morning). Drinking water or chewing gum doesn't seem to help.
I'm ordered a few things meant for dry mouth, like biotene mouthwash and dry mouth mint lozenges. Have any of you discovered other, effective options?
Thanks.</t>
        </is>
      </c>
      <c r="D1929" t="n">
        <v>8</v>
      </c>
      <c r="E1929" t="n">
        <v>10</v>
      </c>
      <c r="F1929">
        <f>HYPERLINK("https://www.reddit.com/r/GERD/comments/ceezem/bad_breath_treatment/")</f>
        <v/>
      </c>
      <c r="G1929" t="inlineStr">
        <is>
          <t>2019-07-17 09:15:25</t>
        </is>
      </c>
      <c r="H1929" t="inlineStr"/>
    </row>
    <row r="1930">
      <c r="A1930" t="inlineStr">
        <is>
          <t>ceheiu</t>
        </is>
      </c>
      <c r="B1930" t="inlineStr">
        <is>
          <t>Barretts Esophagus Dietary Restrictions</t>
        </is>
      </c>
      <c r="C1930" t="inlineStr">
        <is>
          <t>I was diagnosed with Barrett's last December. I am a Diet Coke addict. I gave it up for a while, but am now back to one a day. The doc said Coke doesn't cause any damage, it just aggravates symptoms (which it does). Was told to stay away from caffeine - but is decaf ok? What about green tea?  Got rather mixed messages from the doc. What do you do to avoid making Barrett's worse and feel good? Thanks.</t>
        </is>
      </c>
      <c r="D1930" t="n">
        <v>6</v>
      </c>
      <c r="E1930" t="n">
        <v>12</v>
      </c>
      <c r="F1930">
        <f>HYPERLINK("https://www.reddit.com/r/GERD/comments/ceheiu/barretts_esophagus_dietary_restrictions/")</f>
        <v/>
      </c>
      <c r="G1930" t="inlineStr">
        <is>
          <t>2019-07-17 12:19:12</t>
        </is>
      </c>
      <c r="H1930" t="inlineStr"/>
    </row>
    <row r="1931">
      <c r="A1931" t="inlineStr">
        <is>
          <t>cei668</t>
        </is>
      </c>
      <c r="B1931" t="inlineStr">
        <is>
          <t>Those who have had Nissen or LINX: How hard is it to get insurance to approve the surgery? How many visits to the specialist and/or times did you have to try?</t>
        </is>
      </c>
      <c r="C1931" t="inlineStr">
        <is>
          <t>See title. Thanks.</t>
        </is>
      </c>
      <c r="D1931" t="n">
        <v>2</v>
      </c>
      <c r="E1931" t="n">
        <v>11</v>
      </c>
      <c r="F1931">
        <f>HYPERLINK("https://www.reddit.com/r/GERD/comments/cei668/those_who_have_had_nissen_or_linx_how_hard_is_it/")</f>
        <v/>
      </c>
      <c r="G1931" t="inlineStr">
        <is>
          <t>2019-07-17 13:16:16</t>
        </is>
      </c>
      <c r="H1931" t="inlineStr"/>
    </row>
    <row r="1932">
      <c r="A1932" t="inlineStr">
        <is>
          <t>cekmnv</t>
        </is>
      </c>
      <c r="B1932" t="inlineStr">
        <is>
          <t>My Pre-Surgery Tests Kick Off Tomorrow</t>
        </is>
      </c>
      <c r="C1932" t="inlineStr">
        <is>
          <t>After years and years of dealing with GERD, and learning last year it was due to a hiatal hernia, the process to get things fixed starts tomorrow; I've been having a lot of issues with it lately, so I can't wait...
&amp;amp;#x200B;
Tomorrow I do a stomach PH test and a mobility study, and then in a few weeks I do an esophogram. August 20th, I meet with the general surgeon to then schedule a surgery date.
&amp;amp;#x200B;
Keep your heads up, fellow GERDites. This has been a cross to bear for sure over the years, and getting worse lately, so hoping this will all come to a resolution soon.</t>
        </is>
      </c>
      <c r="D1932" t="n">
        <v>10</v>
      </c>
      <c r="E1932" t="n">
        <v>11</v>
      </c>
      <c r="F1932">
        <f>HYPERLINK("https://www.reddit.com/r/GERD/comments/cekmnv/my_presurgery_tests_kick_off_tomorrow/")</f>
        <v/>
      </c>
      <c r="G1932" t="inlineStr">
        <is>
          <t>2019-07-17 16:31:44</t>
        </is>
      </c>
      <c r="H1932" t="inlineStr"/>
    </row>
    <row r="1933">
      <c r="A1933" t="inlineStr">
        <is>
          <t>ceku5l</t>
        </is>
      </c>
      <c r="B1933" t="inlineStr">
        <is>
          <t>Is it symptoms from GERD or i just irritated my stomach?</t>
        </is>
      </c>
      <c r="C1933" t="inlineStr">
        <is>
          <t>Alright so about a month ago, i ate an apple at work and had severe heartburn until i vomited. Felt better afterwards. Then it happened again a week later after a ceasar salad. And ever since then i had minor heartburn everyday. Before this, i started drinking coffee a lot on an empty stomach. 3 large coffee from 7 am to 11 am without eating anything. I felt fine doing it at first but now i can't even drink coffee without pain. Also i should note that i've had sinuses problems all my life from allergies, and it has become a lot worst since then. So i have minor heartburn everytime i eat something, ive tried every type of food and they all give me the same feeling. Some are worst obviously but i dont eat that. So i'm just wondering if it will ever go away. I've never had heartburn before this and now it's been 2 weeks nonstop minor and somedays its major (even if i don't eat). Ive seen my doctor today and he prescribed me PPI's for 2 weeks. Will i get stuck taking PPI's for life? Or have i just irritated my stomach so much that it needs time to heal? I can eat like crazy before going to bed and always wake up without any symptoms, they always start after lunch. Sometimes its doesnt hurt i'm just bloated. Is it probable that its not GERD? Everywhere i look online it talk about GERD. All this is causing major anxiety and i know that anxiety makes things worst, but i cant help but look trough internet everyday to find comfort. Thanks</t>
        </is>
      </c>
      <c r="D1933" t="n">
        <v>3</v>
      </c>
      <c r="E1933" t="n">
        <v>3</v>
      </c>
      <c r="F1933">
        <f>HYPERLINK("https://www.reddit.com/r/GERD/comments/ceku5l/is_it_symptoms_from_gerd_or_i_just_irritated_my/")</f>
        <v/>
      </c>
      <c r="G1933" t="inlineStr">
        <is>
          <t>2019-07-17 16:49:30</t>
        </is>
      </c>
      <c r="H1933" t="inlineStr"/>
    </row>
    <row r="1934">
      <c r="A1934" t="inlineStr">
        <is>
          <t>celrhm</t>
        </is>
      </c>
      <c r="B1934" t="inlineStr">
        <is>
          <t>fizzing/gurgle/air bubble sound coming up throat after swallowing</t>
        </is>
      </c>
      <c r="C1934" t="inlineStr">
        <is>
          <t>Hi so ive had like a lump in the throat since april and its just gotten worse every single day. tried ppi's tried everything but my throat is just irritated.
i notice that if i burp/belch my throat gets tighter, its the only consistent thing that makes my throat worse and once my throat is worse it doesnt "settle" or get better it just stays at that level forever if you get what i mean. low-acid diet hasnt done anything to help me. if i burp - my throat gets more irritated and closes up (or so I think).
so my tightness and lump feeling is HUGE now and after every swallow, about 2 seconds later I hear like a fizzling air bubble gurgle noise come up (I can actually FEEL it too if i press my fingers just above where my collarbones meet) and the sound comes up my throat and you can actually hear it. it makes me feel so much pressure in my throat that i have to open my mouth to like "release" the pressure and a loud frog creaking noise comes up through my mouth. its **NOT** a burp. its like involuntary. its super embarassing and uncomfortable and loud and i have no idea why its happening because ive googled so so much and no one has the same exact symptoms as me. 
I have an ENT appointment end of this month and want to get a laryngoscope or whatever its called. I had an endoscopy back in may but my throat symptoms werent THAT bad then. The results came back perfect. Im expecting the ENT is going to find like the most inflamed irritated almost-closed-up throat he's ever seen in his life. Thats what it feels like. It's not sore or anything just super tight and makes the noise. 
Anyone have any idea what the hell this noise is? How I can get my throat to calm down and most importantly, HOW to stop burping all together??!!!</t>
        </is>
      </c>
      <c r="D1934" t="n">
        <v>3</v>
      </c>
      <c r="E1934" t="n">
        <v>18</v>
      </c>
      <c r="F1934">
        <f>HYPERLINK("https://www.reddit.com/r/GERD/comments/celrhm/fizzinggurgleair_bubble_sound_coming_up_throat/")</f>
        <v/>
      </c>
      <c r="G1934" t="inlineStr">
        <is>
          <t>2019-07-17 18:13:44</t>
        </is>
      </c>
      <c r="H1934" t="inlineStr"/>
    </row>
    <row r="1935">
      <c r="A1935" t="inlineStr">
        <is>
          <t>ceo5tp</t>
        </is>
      </c>
      <c r="B1935" t="inlineStr">
        <is>
          <t>Does taking pills increase your symptoms?</t>
        </is>
      </c>
      <c r="C1935" t="inlineStr">
        <is>
          <t>Taking over the counter pills like Tylenol, etc. increases my symptoms. Is that normal with gerd?  Unless I eat a good bit with the pill, I'll feel nausea and burping and acid reflux.</t>
        </is>
      </c>
      <c r="D1935" t="n">
        <v>2</v>
      </c>
      <c r="E1935" t="n">
        <v>10</v>
      </c>
      <c r="F1935">
        <f>HYPERLINK("https://www.reddit.com/r/GERD/comments/ceo5tp/does_taking_pills_increase_your_symptoms/")</f>
        <v/>
      </c>
      <c r="G1935" t="inlineStr">
        <is>
          <t>2019-07-17 22:11:53</t>
        </is>
      </c>
      <c r="H1935" t="inlineStr"/>
    </row>
    <row r="1936">
      <c r="A1936" t="inlineStr">
        <is>
          <t>cepmnr</t>
        </is>
      </c>
      <c r="B1936" t="inlineStr">
        <is>
          <t>Trouble burping while sitting down and chest pain that only happens when bending over.</t>
        </is>
      </c>
      <c r="C1936" t="inlineStr">
        <is>
          <t>Does anyone here have trouble burping while sitting down? I recently was diagnosed with GERD for the first time ever. I believe it all started when I was eating potato chips while lying on my back. The next morning I woke up with some slight chest pain that would only happen when I would bend over. I didn't think much about it until a few days later when I realized it might've been heartburn so I went to the store and bought tums. I don't think they did much since the pain would still be there. I went to my primary care doc and he said it might be reflux so he prescribed zantac 150 once a day. I went my merry way and the next day I had dinner. I believe I had a couple of turkey meatballs with lettuce and had a bunch of grapes for dessert (little did I know that grapes apparently are not good for reflux). That night, I had one of the worst chest pains i've ever had in my life and I ended up in the ER. After a few hours, of waiting in the ER, they let me go and they gave me a GI cocktail. It numbed my throat and it made me feel slightly better. I've changed my diet ever since then to only eat proteins with vegetables and no acidic foods. Zantac hasn't been working all that well for me (albeit it's only been 1 week). Ever since then, I've been having trouble burping while sitting down. Chest pain when bending over is still slightly there although I haven't really tested it since I don't want to aggravate the situation. I'm seeing my doctor again tomorrow but I just wanted to see if any of you guys suffered from similar symptoms?</t>
        </is>
      </c>
      <c r="D1936" t="n">
        <v>5</v>
      </c>
      <c r="E1936" t="n">
        <v>1</v>
      </c>
      <c r="F1936">
        <f>HYPERLINK("https://www.reddit.com/r/GERD/comments/cepmnr/trouble_burping_while_sitting_down_and_chest_pain/")</f>
        <v/>
      </c>
      <c r="G1936" t="inlineStr">
        <is>
          <t>2019-07-18 01:10:30</t>
        </is>
      </c>
      <c r="H1936" t="inlineStr"/>
    </row>
    <row r="1937">
      <c r="A1937" t="inlineStr">
        <is>
          <t>cetdk4</t>
        </is>
      </c>
      <c r="B1937" t="inlineStr">
        <is>
          <t>BE / GERD Relief</t>
        </is>
      </c>
      <c r="C1937" t="inlineStr">
        <is>
          <t>Out of nowhere a few months ago, I started getting really bad reflux and it has pretty much stuck around.  
I had an upper endoscopy early June.  Result was hiatial hernia and BE with no displasia.  
Doctor put me on protonix 40 mg.  Been taking it, but still getting a lot of symptoms.
I’m freaking out that every day the reflux is making my BE worse and going to start giving rise to displasia.
Anyone in similar situation or tried PPIs and not have them work?  If so, any treatment or dietary suggestions?
Thanks in advance for any help!</t>
        </is>
      </c>
      <c r="D1937" t="n">
        <v>2</v>
      </c>
      <c r="E1937" t="n">
        <v>12</v>
      </c>
      <c r="F1937">
        <f>HYPERLINK("https://www.reddit.com/r/GERD/comments/cetdk4/be_gerd_relief/")</f>
        <v/>
      </c>
      <c r="G1937" t="inlineStr">
        <is>
          <t>2019-07-18 07:43:44</t>
        </is>
      </c>
      <c r="H1937" t="inlineStr"/>
    </row>
    <row r="1938">
      <c r="A1938" t="inlineStr">
        <is>
          <t>ceu3ko</t>
        </is>
      </c>
      <c r="B1938" t="inlineStr">
        <is>
          <t>Had my partial fundoplication yesterday!</t>
        </is>
      </c>
      <c r="C1938" t="inlineStr">
        <is>
          <t>So far, so good. Yesterday, I had my 3cm hiatal hernia repaired, and a posterior partial fundoplication. I didn’t qualify for the LINX band or for a full Nissen fundoplication, due to poor motility. Honestly, though, I was grateful because I really feared the side effects related to a full fundoplication (gas bloat, dysphagia, inability to burp!)
It’s painful, but they say I’m doing well! I’m a 38yo cis female and relatively healthy, apart from my Barrett’s Esophagus. One nurse said that I’m doing remarkably well compared to most patients, but also that many people who have the operation are in their 50s or 60s. So, good to know, if you are considering it.
So far, swallowing 6oz of water takes about half an hour, but it hasn’t even been 24 hours yet, so I’ll take it. Also, I can burp! Phew! 
Feel free to ask questions about the procedure, etc. I’d be happy to answer anything, and it’d probably be best to do that while it’s still fresh in my mind!</t>
        </is>
      </c>
      <c r="D1938" t="n">
        <v>10</v>
      </c>
      <c r="E1938" t="n">
        <v>29</v>
      </c>
      <c r="F1938">
        <f>HYPERLINK("https://www.reddit.com/r/GERD/comments/ceu3ko/had_my_partial_fundoplication_yesterday/")</f>
        <v/>
      </c>
      <c r="G1938" t="inlineStr">
        <is>
          <t>2019-07-18 08:40:30</t>
        </is>
      </c>
      <c r="H1938" t="inlineStr"/>
    </row>
    <row r="1939">
      <c r="A1939" t="inlineStr">
        <is>
          <t>ceucvh</t>
        </is>
      </c>
      <c r="B1939" t="inlineStr">
        <is>
          <t>starving... need recipes</t>
        </is>
      </c>
      <c r="C1939" t="inlineStr">
        <is>
          <t>Spring 2018 was when everything started, and it began with laxative and NSAID abuse from the gastric pain laxative abuse caused. I've had problems ever since. Spring 2019 I went to the ER when stress gave me another flare-up that caused me to lose 15lbs in a week because I was too nauseous to eat. I was put on a special diet that basically eliminated everything I actually liked. Plus alcohol.
&amp;amp;#x200B;
When I had my edoscopy and the biopsy revealed no ulcers, I kind of just gave up. They wanted me to be on Prilosec and antinausea meds until August to "see how I do". They gave me a vague diagnosis related to acid reflux but the doctors (I've seen three who work together) were conviced this is an ulcer as I have the symptoms.
&amp;amp;#x200B;
I'm starving. I've given up on the diet- it eliminates dairy and tomatoes, which is part of almost every meal I enjoy. But the pain and daily vomiting and waking up with nausea and burning has came back. I can't lie down. I can't eat again. In the past two days I've had a piece of lasagna, a small bowl of cereal, a Starbucks mocha frappuchino and pineapple rum and pepsi... and fruit gushers. Between all of these being "bad" foods and not eating much, I'm suffering and don't know how to get out of this loop. I guess I'll wait til August. til then though..
&amp;amp;#x200B;
I'm a college student that only really knows her grandma's cooking. And all of it involves things on my no-list. Please, if anyone has any GERD-friendly or just recipes along the below guidelines, please share them, I'm having a hard time. I'm pretty experienced with complex recipes, I just need the actual recipes I guess. I'm used to making a looot of soups, such as potato soup, chicken tortilla, corn chowder. They all have tomato or some milk. Maybe there's even a milk substitute? All I know is that I'm utterly sick of the chicken broth-and-egg-noodles my doctor told me I could eat.
I'm American btw, but I'm open to trying foods from all over. I just want to eat and not waste away in pain.</t>
        </is>
      </c>
      <c r="D1939" t="n">
        <v>5</v>
      </c>
      <c r="E1939" t="n">
        <v>7</v>
      </c>
      <c r="F1939">
        <f>HYPERLINK("https://www.reddit.com/r/GERD/comments/ceucvh/starving_need_recipes/")</f>
        <v/>
      </c>
      <c r="G1939" t="inlineStr">
        <is>
          <t>2019-07-18 09:01:11</t>
        </is>
      </c>
      <c r="H1939" t="inlineStr"/>
    </row>
    <row r="1940">
      <c r="A1940" t="inlineStr">
        <is>
          <t>cev24z</t>
        </is>
      </c>
      <c r="B1940" t="inlineStr">
        <is>
          <t>2 months treatment. Then for 1 month nothing. Now burning on chest and back. Globus Sensation. Scared shitl*ess.</t>
        </is>
      </c>
      <c r="C1940" t="inlineStr">
        <is>
          <t>I was diagnosed with GERD, took nexium for 2 months and then another combination of medicine that worked. I'd smoke a lot and not care for what I ate (apart from giving up on caffeine) during and after the treatment.  I am 28 and a complete fool for thinking this was okay.
 It's been a month since I quit the medication and the GERD is back. I have that "lump in the neck" feeling, the burning of the chest, my back burns where the spine is. I am terrified.. Now, I am very very scared. Waiting to see a Gastroenterologist tomorrow and demand an endoscopy because I am very afraid I might have cancer.  I am also a diagnosed hypochondriac (delusions that I am sick and severe anxiety) so this thing is not helping. I feel like my stress is worsening my symptoms. I am so scared. I need some advice please or some guidance even though I know I might sound pathetic.
&amp;amp;#x200B;
Thank you so much for reading this.</t>
        </is>
      </c>
      <c r="D1940" t="n">
        <v>4</v>
      </c>
      <c r="E1940" t="n">
        <v>4</v>
      </c>
      <c r="F1940">
        <f>HYPERLINK("https://www.reddit.com/r/GERD/comments/cev24z/2_months_treatment_then_for_1_month_nothing_now/")</f>
        <v/>
      </c>
      <c r="G1940" t="inlineStr">
        <is>
          <t>2019-07-18 09:54:45</t>
        </is>
      </c>
      <c r="H1940" t="inlineStr"/>
    </row>
    <row r="1941">
      <c r="A1941" t="inlineStr">
        <is>
          <t>cevqkl</t>
        </is>
      </c>
      <c r="B1941" t="inlineStr">
        <is>
          <t>Do you get this?</t>
        </is>
      </c>
      <c r="C1941" t="inlineStr">
        <is>
          <t>Hey all, 
Been diagnosed with GERD and non effective eosophegeal motility disorder some years back. My symptoms have flared up and down throughout the years but occasionally I get this feeling when I start eating that stuff gets stuck in my throat (very uncomfortable). Right after this feeling I start burping, but it seems to come from my throat, making me feel like it's not a regular burp. Have any of you ever felt this?</t>
        </is>
      </c>
      <c r="D1941" t="n">
        <v>1</v>
      </c>
      <c r="E1941" t="n">
        <v>1</v>
      </c>
      <c r="F1941">
        <f>HYPERLINK("https://www.reddit.com/r/GERD/comments/cevqkl/do_you_get_this/")</f>
        <v/>
      </c>
      <c r="G1941" t="inlineStr">
        <is>
          <t>2019-07-18 10:47:06</t>
        </is>
      </c>
      <c r="H1941" t="inlineStr"/>
    </row>
    <row r="1942">
      <c r="A1942" t="inlineStr">
        <is>
          <t>cew8b4</t>
        </is>
      </c>
      <c r="B1942" t="inlineStr">
        <is>
          <t>GERD - RUQ Pain?</t>
        </is>
      </c>
      <c r="C1942" t="inlineStr">
        <is>
          <t>Hi All,
I am a 32 yr old male with occasionally RUQ pain - right now I am having a decent flare up that is why I am posting this. I have been to the doctors with RUQ pain about 3-4 times and he is always telling me it is my GERD.
They have done an ultrasound of my liver/gall bladder area and found nothing remarkable approx 2 years ago other then a small hemangioma on the liver. 
Flare ups seem to last a week or 2 where I have intermittent RUQ pain and a bit of reflux, I am on PPI's . 
Does anyone else experience similar symptoms ? I am convinced I have a gall bladder disorder ( I get referred pain to my back and shoulder occasionally as well) , but my doctor appears to think it is now just hte GERD and I am manifesting these symptoms due to my anxiety ( which I get alot of when I get these "flare" ups. ). I also have different stool patterns, either a bit constipated one day, then it is diahrea the next, the stools are a tad lighter but I wouldn't call them very light colored stools but lighter then normal. 
I have been to ER on multiple occasions when I was really worried due to the pain being sharp all of a sudden instead of the usual dull and nothing found but ER visits never get past the blood work and physician examining stage (no diagnostic imaging).
I am stressed and getting more anxiety due to this which I think it is mkaing it worse and I am wondering if there are others with similar issues
Thanks guys.</t>
        </is>
      </c>
      <c r="D1942" t="n">
        <v>1</v>
      </c>
      <c r="E1942" t="n">
        <v>3</v>
      </c>
      <c r="F1942">
        <f>HYPERLINK("https://www.reddit.com/r/GERD/comments/cew8b4/gerd_ruq_pain/")</f>
        <v/>
      </c>
      <c r="G1942" t="inlineStr">
        <is>
          <t>2019-07-18 11:25:43</t>
        </is>
      </c>
      <c r="H1942" t="inlineStr"/>
    </row>
    <row r="1943">
      <c r="A1943" t="inlineStr">
        <is>
          <t>cew9ro</t>
        </is>
      </c>
      <c r="B1943" t="inlineStr">
        <is>
          <t>I can't eat anything, trying to hold on til Dr appointment</t>
        </is>
      </c>
      <c r="C1943" t="inlineStr">
        <is>
          <t>I've had gi issues since I was a teenager,I'm in my 30s now and only been on ppis and antacids for the gerd for 4 years but it's just getting worse and worse especially after I had my gallbladder removed. Everything I eat is awful. They have only found swelling in my throat and vocal cord damage in December and I have been back several times and continue to lose weight and still can't get the Dr to do much besides change my meds. I'm afraid now I'm having rebound on top of the norm becoz my ppis were not only changed but also lowered. I constantly feel choked, throbbing pain and have trouble speaking. I constantly am told to get anxiety under control which just seems like an ever losing battle. 
I constantly feel sick and on top of other chronic I'llness and pain I often can't make most meals for myself so this is a huge challenge. What do u guys eat? Or maybe food that also isn't expensive to try and see if it's not bothersome i am running out of ideas and afraid of things like cancer and stuff that I had no idea could even happen from reflux. My Dr doesn't even know what silent reflux is and I just can't stand the pain. It's like nothing helps. Does any one else have very bad swelling? I went to the ent yesterday and I feel even worse today I can barley speak and just keep coughing. I often eat just oatmeal and sometimes I don't eat more than 2 small things a day. Not sure what helps or not anymore. Does anyone else also get horrible pain in their ribs and sides when trying to lay down?</t>
        </is>
      </c>
      <c r="D1943" t="n">
        <v>12</v>
      </c>
      <c r="E1943" t="n">
        <v>23</v>
      </c>
      <c r="F1943">
        <f>HYPERLINK("https://www.reddit.com/r/GERD/comments/cew9ro/i_cant_eat_anything_trying_to_hold_on_til_dr/")</f>
        <v/>
      </c>
      <c r="G1943" t="inlineStr">
        <is>
          <t>2019-07-18 11:28:55</t>
        </is>
      </c>
      <c r="H1943" t="inlineStr"/>
    </row>
    <row r="1944">
      <c r="A1944" t="inlineStr">
        <is>
          <t>cewzhn</t>
        </is>
      </c>
      <c r="B1944" t="inlineStr">
        <is>
          <t>Lynx and Blue Shield</t>
        </is>
      </c>
      <c r="C1944" t="inlineStr">
        <is>
          <t>I have Blue Shield in Washington state and have been denied numerous times for the Lynx procedure.  My issue is that it isn't covered in Washington state and is considered experimental.  How can Blue Shield of these states allow but because i dont live in one of those states they won't cover.   https://www.iersurgery.com/blog/blue-cross-blue-shield-now-covers-the-linx-procedure/
Is anyone else in my boat and if so have you had any luck fighting the insurance companies on this?</t>
        </is>
      </c>
      <c r="D1944" t="n">
        <v>2</v>
      </c>
      <c r="E1944" t="n">
        <v>5</v>
      </c>
      <c r="F1944">
        <f>HYPERLINK("https://www.reddit.com/r/GERD/comments/cewzhn/lynx_and_blue_shield/")</f>
        <v/>
      </c>
      <c r="G1944" t="inlineStr">
        <is>
          <t>2019-07-18 12:25:40</t>
        </is>
      </c>
      <c r="H1944" t="inlineStr"/>
    </row>
    <row r="1945">
      <c r="A1945" t="inlineStr">
        <is>
          <t>cex48d</t>
        </is>
      </c>
      <c r="B1945" t="inlineStr">
        <is>
          <t>A way to get help for overnight acid reflux without insurance</t>
        </is>
      </c>
      <c r="C1945" t="inlineStr">
        <is>
          <t xml:space="preserve"> 
Hi, community! I turn to this subreddit often and now I've decided to speak up and get some input. I hope you'll give this a read. I had a bad night about 18 months ago (after a big steak and wine dinner) and haven't been the same ever since. Since I'm a paycheck-to-paycheck freelancer without medical insurance, I’ve decided to do my own diagnosing and treating. There’s a lot of collected knowledge in this community, and I could use your non-professional input. 
My primary symptom is waking up at 4am with an irritated throat. Could be worse, but it's not getting better. My treatment protocol so far: 1) A food diary to find triggers (the usuals plus a few that were specific to my diet, like some smoked fish). 2) OTC meds. Right now it's 20mg Omeprazole and 300mg Ranitidine. 3) A foam sleep wedge and left-side-sleeping. If I fail to heed these things, I suffer more for sure.
Please hit me with any thoughts you have that could help. I’ve been curious what’s the best timing for the ranitidine — before dinner? Sometimes I try gaviscon liquid in the middle of the night but it makes me feel a little nauseous. Have you found other meds that have helped you? What kind of things might a doctor be able to help with that won’t cost too much?
Thanks for reading!</t>
        </is>
      </c>
      <c r="D1945" t="n">
        <v>2</v>
      </c>
      <c r="E1945" t="n">
        <v>2</v>
      </c>
      <c r="F1945">
        <f>HYPERLINK("https://www.reddit.com/r/GERD/comments/cex48d/a_way_to_get_help_for_overnight_acid_reflux/")</f>
        <v/>
      </c>
      <c r="G1945" t="inlineStr">
        <is>
          <t>2019-07-18 12:36:22</t>
        </is>
      </c>
      <c r="H1945" t="inlineStr"/>
    </row>
    <row r="1946">
      <c r="A1946" t="inlineStr">
        <is>
          <t>cf01gu</t>
        </is>
      </c>
      <c r="B1946" t="inlineStr">
        <is>
          <t>Can I take OTC in between Dexilant?</t>
        </is>
      </c>
      <c r="C1946" t="inlineStr">
        <is>
          <t>So basically my doc gave me 20 days of Dexilant which I just finished last night. After an endoscopy he prescribed me more Dexilant yesterday, so I went to fill it today as I had just run out. Found out that my insurance doesn’t naturally cover it so they have to talk and make some calls which could take a day or more. However I don’t want to just be sitting on nothing in between as I’ll probably have a bad flare up and potentially hurt any progress I’ve made. Is it safe for me to run to the store and buy something over the counter like zantac just to hold me over until I can fill the Dexilant? I last took it over 24 hours ago.</t>
        </is>
      </c>
      <c r="D1946" t="n">
        <v>1</v>
      </c>
      <c r="E1946" t="n">
        <v>3</v>
      </c>
      <c r="F1946">
        <f>HYPERLINK("https://www.reddit.com/r/GERD/comments/cf01gu/can_i_take_otc_in_between_dexilant/")</f>
        <v/>
      </c>
      <c r="G1946" t="inlineStr">
        <is>
          <t>2019-07-18 16:35:30</t>
        </is>
      </c>
      <c r="H1946" t="inlineStr"/>
    </row>
    <row r="1947">
      <c r="A1947" t="inlineStr">
        <is>
          <t>cf06b6</t>
        </is>
      </c>
      <c r="B1947" t="inlineStr">
        <is>
          <t>Anyone Ever Heard of a "J-Shaped" Stomach?</t>
        </is>
      </c>
      <c r="C1947" t="inlineStr">
        <is>
          <t>Got an endoscopy today.  My previous doctor told me I had a hiatal hernia w/ multiple episodes of reflux--no ulcers.  That was found with a barium X-ray.  Now this doctor is saying I don't have a hernia but my duodenum is full of inflammation &amp;amp; little ulcerations and, here's the kicker, **my stomach is so misshapen he really couldn't navigate his way around it with the scope without getting "lost".**  
HUNH?
I had my hopes set on the Nissen surgery as a last resort for correcting this medication-resistant GERD, but now he's saying there wasn't even a hernia!  How can that be?  And what on earth would cause a person's stomach to totally deform like that?  The GERD started abruptly while I was doing weight-bearing exercise a few years ago; before that I'd never had even a twinge of heartburn.  It started with a sensation I can only describe as something "sticking to my ribs" on the left side.  Now I realize that's my stomach and/or hernia.  My point is, whatever condition this is I was not born with it.  It came on suddenly &amp;amp; dramatically.
I'm a 34 y/o female, not a pro weightlifter.  I'm starving to death from dietary restrictions &amp;amp; am in constant pain due to reflux.  Have to snack every hour or so to stop the burning.  I take stomach meds of every class all day, every day with almost no results.  My life revolves around this problem &amp;amp; now I'm scared surgery won't be an option.  It was my last hope.  
I go back to discuss the results soon.  What should I say/ask?  How do I stress to them that I'm at the end of my rope?  Has anyone else ever been told their stomach was misshapen?  Or know a name for this condition?  I can find nothing via Google.  
Thanks!</t>
        </is>
      </c>
      <c r="D1947" t="n">
        <v>3</v>
      </c>
      <c r="E1947" t="n">
        <v>4</v>
      </c>
      <c r="F1947">
        <f>HYPERLINK("https://www.reddit.com/r/GERD/comments/cf06b6/anyone_ever_heard_of_a_jshaped_stomach/")</f>
        <v/>
      </c>
      <c r="G1947" t="inlineStr">
        <is>
          <t>2019-07-18 16:48:28</t>
        </is>
      </c>
      <c r="H1947" t="inlineStr"/>
    </row>
    <row r="1948">
      <c r="A1948" t="inlineStr">
        <is>
          <t>cf266d</t>
        </is>
      </c>
      <c r="B1948" t="inlineStr">
        <is>
          <t>I think I found my cure?</t>
        </is>
      </c>
      <c r="C1948" t="inlineStr">
        <is>
          <t>So a little backstory, I am 30 (M) and have had heartburn for around 10 years. 2 years ago diagnosed with GERD and began Pantoprazole 40mg which completely fixed me, until about 6 months ago...
&amp;amp;#x200B;
After a night out or eating poorly, the heartburn would come back again, not bad, but I could feel it. So I'd pop a Ranitidine and be good. Well eventually I'd have to pop them a little more than I'd like, along with tums. It got to the point where 2 weeks ago for my birthday weekend, I drank about 4 days in a row and was not eating healthy by any means. Stupidly on top of that, I was also taking IBU Profen for the hangovers (I know.. I messed up). A week later of just managing the symptoms heavily with medication, I have another night out.. No IBU profen this time, except when I woke up and attempted my Ranitidine and Tums, nothing worked. Pepto also started not working. Almost as if every time I took these, I would feel more shitty. Then my stomach started hurting, then my back, then slight nausea.. This lasted for about 5 days and I thought well this is it, this is 30.... 
&amp;amp;#x200B;
So I scheduled my endoscopy like a grownup 2 weeks from now and asked my doctor if I could up my PPI dose to twice a day which he approved as long as I got the endoscopy. At this point I was extremely upset. I had to cancel a college reunion for this Saturday, as well as a friends bachelor party because I can't deal with these issues surrounded by booze and junk food. Then, I start reading up about low stomach acid. So many people on reddit said there is barely any evidence and no doctors mention it, so I shrugged it off in the beginning. Then I thought why not? So I go to whole foods, buy some Kombucha (probiotic), fermented pickles, sauerkraut, and some apple cider vinegar.
&amp;amp;#x200B;
I get home, and basically have them all within an hour. I feel 90% better. All the stomach and back pain are gone. The heartburn is barely noticeable and I just feel overall, better. Something is happening. I know this is a little too soon, but just wanted to let everyone know this is working so far. Hopefully able to make it to that bachelor party, and also cancel that $2000 endoscopy!!</t>
        </is>
      </c>
      <c r="D1948" t="n">
        <v>1</v>
      </c>
      <c r="E1948" t="n">
        <v>11</v>
      </c>
      <c r="F1948">
        <f>HYPERLINK("https://www.reddit.com/r/GERD/comments/cf266d/i_think_i_found_my_cure/")</f>
        <v/>
      </c>
      <c r="G1948" t="inlineStr">
        <is>
          <t>2019-07-18 20:01:02</t>
        </is>
      </c>
      <c r="H1948" t="inlineStr"/>
    </row>
    <row r="1949">
      <c r="A1949" t="inlineStr">
        <is>
          <t>cf2m8n</t>
        </is>
      </c>
      <c r="B1949" t="inlineStr">
        <is>
          <t>Is taking PPI for just 2 weeks bad for you?</t>
        </is>
      </c>
      <c r="C1949" t="inlineStr">
        <is>
          <t>This is the first time I ever have to deal with constant heartburn and I'm wondering whether taking PPIs for 2 weeks is bad for my health? I'm a hypochondriac and ive read so many horror stories of PPIs and the dependance one gets hooked on.  
Should I be worried? Should I be tapering off the PPIs (if they do indeed help) after the 2 weeks have passed? Thank you.</t>
        </is>
      </c>
      <c r="D1949" t="n">
        <v>2</v>
      </c>
      <c r="E1949" t="n">
        <v>12</v>
      </c>
      <c r="F1949">
        <f>HYPERLINK("https://www.reddit.com/r/GERD/comments/cf2m8n/is_taking_ppi_for_just_2_weeks_bad_for_you/")</f>
        <v/>
      </c>
      <c r="G1949" t="inlineStr">
        <is>
          <t>2019-07-18 20:47:05</t>
        </is>
      </c>
      <c r="H1949" t="inlineStr"/>
    </row>
    <row r="1950">
      <c r="A1950" t="inlineStr">
        <is>
          <t>cf2mzf</t>
        </is>
      </c>
      <c r="B1950" t="inlineStr">
        <is>
          <t>Wedge pillow options?</t>
        </is>
      </c>
      <c r="C1950" t="inlineStr">
        <is>
          <t>I'm finally going to try one, after 15 years of reflux.  I'm looking at this MedCline one which is $200 but it looks really nice.  Any opinions?
[https://medcline.com/advanced-positioning-wedge/](https://medcline.com/advanced-positioning-wedge/)</t>
        </is>
      </c>
      <c r="D1950" t="n">
        <v>2</v>
      </c>
      <c r="E1950" t="n">
        <v>7</v>
      </c>
      <c r="F1950">
        <f>HYPERLINK("https://www.reddit.com/r/GERD/comments/cf2mzf/wedge_pillow_options/")</f>
        <v/>
      </c>
      <c r="G1950" t="inlineStr">
        <is>
          <t>2019-07-18 20:49:20</t>
        </is>
      </c>
      <c r="H1950" t="inlineStr"/>
    </row>
    <row r="1951">
      <c r="A1951" t="inlineStr">
        <is>
          <t>cf306s</t>
        </is>
      </c>
      <c r="B1951" t="inlineStr">
        <is>
          <t>Just had Nissen surgery, could use encouragement</t>
        </is>
      </c>
      <c r="C1951" t="inlineStr">
        <is>
          <t>First 24 hours has been really sucky. Anytime I even take a sip of water it hurts and makes me want to gag it up. It hurts my stomach to swallow my saliva, so I’ve been spitting into a cup all day.
The doctor told me that the worst part is the first 48 hours, then the inflammation will subside and I’ll be able to swallow easier (still have to swallow slowly, but it won’t be painful), so I’m not really worried. Just had a bad day. How long did it take after your surgery to start swallowing without pain? Has anyone had a similar experience?</t>
        </is>
      </c>
      <c r="D1951" t="n">
        <v>9</v>
      </c>
      <c r="E1951" t="n">
        <v>16</v>
      </c>
      <c r="F1951">
        <f>HYPERLINK("https://www.reddit.com/r/GERD/comments/cf306s/just_had_nissen_surgery_could_use_encouragement/")</f>
        <v/>
      </c>
      <c r="G1951" t="inlineStr">
        <is>
          <t>2019-07-18 21:27:38</t>
        </is>
      </c>
      <c r="H1951" t="inlineStr"/>
    </row>
    <row r="1952">
      <c r="A1952" t="inlineStr">
        <is>
          <t>cf44l4</t>
        </is>
      </c>
      <c r="B1952" t="inlineStr">
        <is>
          <t>Weight restrictions after a fundoplication</t>
        </is>
      </c>
      <c r="C1952" t="inlineStr">
        <is>
          <t>Hi just wanted to hear from people who’ve had a nissen or partial fundoplication, what are the weight restrictions like after I’ve heard very mixed answers from some saying you should only lift 5kg forever to some saying 20kg and some saying no restrictions? 
On the path to having one soon but the restrictions concern me with my work.</t>
        </is>
      </c>
      <c r="D1952" t="n">
        <v>1</v>
      </c>
      <c r="E1952" t="n">
        <v>6</v>
      </c>
      <c r="F1952">
        <f>HYPERLINK("https://www.reddit.com/r/GERD/comments/cf44l4/weight_restrictions_after_a_fundoplication/")</f>
        <v/>
      </c>
      <c r="G1952" t="inlineStr">
        <is>
          <t>2019-07-18 23:37:10</t>
        </is>
      </c>
      <c r="H1952" t="inlineStr"/>
    </row>
    <row r="1953">
      <c r="A1953" t="inlineStr">
        <is>
          <t>cf5cq4</t>
        </is>
      </c>
      <c r="B1953" t="inlineStr">
        <is>
          <t>Insurance coverage for LINX in California?</t>
        </is>
      </c>
      <c r="C1953" t="inlineStr">
        <is>
          <t>Does anyone know which insurance companies cover LINX surgery in California?</t>
        </is>
      </c>
      <c r="D1953" t="n">
        <v>1</v>
      </c>
      <c r="E1953" t="n">
        <v>0</v>
      </c>
      <c r="F1953">
        <f>HYPERLINK("https://www.reddit.com/r/GERD/comments/cf5cq4/insurance_coverage_for_linx_in_california/")</f>
        <v/>
      </c>
      <c r="G1953" t="inlineStr">
        <is>
          <t>2019-07-19 02:19:45</t>
        </is>
      </c>
      <c r="H1953" t="inlineStr"/>
    </row>
    <row r="1954">
      <c r="A1954" t="inlineStr">
        <is>
          <t>cf7bsl</t>
        </is>
      </c>
      <c r="B1954" t="inlineStr">
        <is>
          <t>No one believes the pain I'm in.</t>
        </is>
      </c>
      <c r="C1954" t="inlineStr">
        <is>
          <t>It's so frustrating because at this point even I'm not sure what exactly is causing my pain. I've had the following tests.
- pH test in February
- barium swallow in April
- Endoscopy recently.
Got a letter from my Gastro for follow up appointment in *December*. Meaning all my results are OK. Here's the problem I'm in severe pain every day below my sternum there is a burning, twisting, gnawing pain. I have chest pain when lifting things, sneezing, coughing. I have constant throat pain and trouble swallowing. I have a horrible sour taste in my mouth constantly. Pain is made worse tenfold if I consume alcohol.
I am waiting on an ENT appointment still and it's pretty much my last hope that someone will believe all the pain I'm in. 
I don't think there is anything else I can do, but I won't wait till December in this pain. I can't do it any more it's insufferable. 
Any ideas?</t>
        </is>
      </c>
      <c r="D1954" t="n">
        <v>4</v>
      </c>
      <c r="E1954" t="n">
        <v>14</v>
      </c>
      <c r="F1954">
        <f>HYPERLINK("https://www.reddit.com/r/GERD/comments/cf7bsl/no_one_believes_the_pain_im_in/")</f>
        <v/>
      </c>
      <c r="G1954" t="inlineStr">
        <is>
          <t>2019-07-19 06:06:31</t>
        </is>
      </c>
      <c r="H1954" t="inlineStr"/>
    </row>
    <row r="1955">
      <c r="A1955" t="inlineStr">
        <is>
          <t>cf90yt</t>
        </is>
      </c>
      <c r="B1955" t="inlineStr">
        <is>
          <t>First time Gerd, def nervous wreck!</t>
        </is>
      </c>
      <c r="C1955" t="inlineStr">
        <is>
          <t>Hi! Im a 34 year old male, non smoker, non drinker. In Febuary of this year I was diagnosed with type 2 Diabetes and weighed in at a whopping 412 pounds. Not my proudest achievement.  After completely changing my life from top to bottom I now weigh 279 pounds in July. Through clean eating, exercise, and plenty of sleep Im to the point where Im weaning off of my Diabetic meds. At no point in my life have I ever had or experienced heartburn/reflux/gerd, which is a suprise to me as Ive been a Buffalo Bills season ticket holder for about 15 years and eating awful and drinking beer for YEARS! Suddenly last month I started noticing this.. "Lump" in throat sensation. Itd come when I was stressed or upset, and then leave. It was easy to chalk up as anxiety. Then one day it came... And never left. I did probably what most do and googled it. Awful life ruining desicion. I ended up on some poor womans youtube channel about how she was diagnosed with stage 4 esophageal Cancer. It completely triggered me to coin the phrase. I was not familiar with panic attacks and was completely swept up in them. Here I am ... 34, a daddy and Husband, I turned the ship around and now Im dying. I have fixated, obsessed and exhausted myself over it. Still do. Then the heartburn came. I didnt notice but I had been eating a lot less because of stress. And wasnt super hungry. I dont smoke, I dont drink and I eat clean. To put it mildly heartburn was the last thing on my mind. But it came. And it came on hard. Right behind my sternum was this dull, pressure, ache, pain that was new to me. Of course... To google I go. Im checking off this, checking that off. Im not hoarse, I dont have cough, my throat rarely burns, its just this pain in my chest...  Cancer.Went on like this for about a week. Still not eating alot and now I pay too much attention to my swallowing habits. Did I choke? Is the food going down the way it should? Oh God. Its really happening. I let this just flood my mind. Day in and day out. Its as if I wasnt here. I was only getting up to feel depressed, await the end, google my symptoms and think of a million ways my wife will move on without me. Its not living. Through all of this I still paid no attention to this onset heartburn. Then I started waking up with it. I started noticing if my stomach would rumble and I didnt feed myself, that pain would come roaring in. Heres the important part of this. I decided google cannot and should not diagnose me. I went in to the Doc, and was completely open about my fears, the cancer, my new symptoms and most importantly my mental health as I dont want to rule that out. She was very understanding and together we agreed the next best step is ENT. My appointment is on Monday. Of course Im nervous and scared but nothing has been substantiated. My doctor was very open and honest, took a look and said she cant see down there but feels im in such good health that she'd bet the farm Im fine. It turns out extreme stress and anxiety can flair up Gerd symptoms bad. Only way to know whats up is go see the pro. I know there could be others out there that are like me. Truthfully until I saw that youtube video I was blissfully unaware of that disease. Im not going to say it ruined my life but it certainly made July awful. Best thing I can do is be on the offense. Im hoping this was all an exercise of poor desicion making/bad anxiety. And if this is heartburn... It sucks.</t>
        </is>
      </c>
      <c r="D1955" t="n">
        <v>10</v>
      </c>
      <c r="E1955" t="n">
        <v>22</v>
      </c>
      <c r="F1955">
        <f>HYPERLINK("https://www.reddit.com/r/GERD/comments/cf90yt/first_time_gerd_def_nervous_wreck/")</f>
        <v/>
      </c>
      <c r="G1955" t="inlineStr">
        <is>
          <t>2019-07-19 08:35:47</t>
        </is>
      </c>
      <c r="H1955" t="inlineStr"/>
    </row>
    <row r="1956">
      <c r="A1956" t="inlineStr">
        <is>
          <t>cf95ua</t>
        </is>
      </c>
      <c r="B1956" t="inlineStr">
        <is>
          <t>Endoscopy and bravo results</t>
        </is>
      </c>
      <c r="C1956" t="inlineStr">
        <is>
          <t>Well, I'm confused. No hernia, no Barrett's, no ulcer. Did get diagnosed with celiac from the intestinal biopsy (rather shocked). My bravo results were positive.  Highest record was a 19? I thought the pH scale only went to 14? But my symptom record did not correlate to the readings. Any insight? My follow up isn't until September.</t>
        </is>
      </c>
      <c r="D1956" t="n">
        <v>1</v>
      </c>
      <c r="E1956" t="n">
        <v>2</v>
      </c>
      <c r="F1956">
        <f>HYPERLINK("https://www.reddit.com/r/GERD/comments/cf95ua/endoscopy_and_bravo_results/")</f>
        <v/>
      </c>
      <c r="G1956" t="inlineStr">
        <is>
          <t>2019-07-19 08:46:32</t>
        </is>
      </c>
      <c r="H1956" t="inlineStr"/>
    </row>
    <row r="1957">
      <c r="A1957" t="inlineStr">
        <is>
          <t>cfcq18</t>
        </is>
      </c>
      <c r="B1957" t="inlineStr">
        <is>
          <t>Can this be a misdiagnosis?</t>
        </is>
      </c>
      <c r="C1957" t="inlineStr">
        <is>
          <t>So i was experiencing chest pain ONLY when i bent over, moved a certain way. No weird taste in mouth and no noticeable reactions to chocolate or 2% lactose free milk.  
I went to the doc snd he prescribed zantac once a day for 2 weeks. That night i had a light dinner (2 turkey meatballs, 1 beef meatball, and lettuce. I also had about 20 individual grapes for dessert) and then i took the zantac. And then that night all hell broke loose. Had the worst heartburn ever. I didnt have such a heartburn before zantac. Ended up in the ER since i thought i was having a heart attack. Next few days i kept taking zantac as prescribed but now i had full blown heartburn attacks randomly and throughout the day. I also had diarrhea and chest pain even at rest (which wasn’t the case before).  
Do you guys think i was misdiagnosed? What do you guys think?  
Should i stop taking zantac (150mg) to see if symptoms improve? Or should i taper off zantac?</t>
        </is>
      </c>
      <c r="D1957" t="n">
        <v>2</v>
      </c>
      <c r="E1957" t="n">
        <v>11</v>
      </c>
      <c r="F1957">
        <f>HYPERLINK("https://www.reddit.com/r/GERD/comments/cfcq18/can_this_be_a_misdiagnosis/")</f>
        <v/>
      </c>
      <c r="G1957" t="inlineStr">
        <is>
          <t>2019-07-19 13:28:52</t>
        </is>
      </c>
      <c r="H1957" t="inlineStr"/>
    </row>
    <row r="1958">
      <c r="A1958" t="inlineStr">
        <is>
          <t>cfdq15</t>
        </is>
      </c>
      <c r="B1958" t="inlineStr">
        <is>
          <t>Is there any juice that won't increase GERD symptoms?</t>
        </is>
      </c>
      <c r="C1958" t="inlineStr">
        <is>
          <t>I was thinking about trying 100 percent pure apple juice maybe? I've completely avoided juices for the past year in fear of it being acidic and causing me more symptoms. Strictly water with any food for me. Do any of y'all drink juice and if so what kind?</t>
        </is>
      </c>
      <c r="D1958" t="n">
        <v>1</v>
      </c>
      <c r="E1958" t="n">
        <v>14</v>
      </c>
      <c r="F1958">
        <f>HYPERLINK("https://www.reddit.com/r/GERD/comments/cfdq15/is_there_any_juice_that_wont_increase_gerd/")</f>
        <v/>
      </c>
      <c r="G1958" t="inlineStr">
        <is>
          <t>2019-07-19 14:50:08</t>
        </is>
      </c>
      <c r="H1958" t="inlineStr"/>
    </row>
    <row r="1959">
      <c r="A1959" t="inlineStr">
        <is>
          <t>cfdx1a</t>
        </is>
      </c>
      <c r="B1959" t="inlineStr">
        <is>
          <t>Hot farts anyone?</t>
        </is>
      </c>
      <c r="C1959" t="inlineStr">
        <is>
          <t>Anyone else experience farts that are hot or like spicy lol? BTW I haven't eaten anything hot or spicy</t>
        </is>
      </c>
      <c r="D1959" t="n">
        <v>9</v>
      </c>
      <c r="E1959" t="n">
        <v>8</v>
      </c>
      <c r="F1959">
        <f>HYPERLINK("https://www.reddit.com/r/GERD/comments/cfdx1a/hot_farts_anyone/")</f>
        <v/>
      </c>
      <c r="G1959" t="inlineStr">
        <is>
          <t>2019-07-19 15:05:49</t>
        </is>
      </c>
      <c r="H1959" t="inlineStr"/>
    </row>
    <row r="1960">
      <c r="A1960" t="inlineStr">
        <is>
          <t>cfe3ki</t>
        </is>
      </c>
      <c r="B1960" t="inlineStr">
        <is>
          <t>Soothing recipe help please, can't afford a recipe book right now</t>
        </is>
      </c>
      <c r="C1960" t="inlineStr">
        <is>
          <t>Hey everyone I'm gunna try to head to the store soon to try the brown rice thing but I was wondering if anyone had any smoothie recipes for soothing really irritated and swollen esophagus from all the acid? I can't afford to get any acid watcher books right now and I am trying to drink water but I keep throwing it up in my mouth and am in alot of pain. I can't tolerate yogurt, dairy or alot of sugar and the last smoothie I tried was banana and berries with almond milk but I'm not sure if I made it right coz it was ok one day then the next it bothered me so I didn't even finish it. I use a ninja which often smells really burnt up and doesn't always grind things up so we'll but I don't really have any other options either. I'm jus trying to make it until my appointment Monday where hopefully the Dr might send me for a test but I'm not sure if that's going to happen. I really don't want to show up in the hospital for any reason becoz last time I went for my stomach and expressed pain they thought I was looking for pain medicine and they keep giving me dycclomine which doesn't actually do anything. I can't stop burping and feeling absolutely awful is there anything I can even do about it it just is so distressing and painful I can't take it anymore.i feel like I need to vomit so bad and I just keep burping.</t>
        </is>
      </c>
      <c r="D1960" t="n">
        <v>3</v>
      </c>
      <c r="E1960" t="n">
        <v>6</v>
      </c>
      <c r="F1960">
        <f>HYPERLINK("https://www.reddit.com/r/GERD/comments/cfe3ki/soothing_recipe_help_please_cant_afford_a_recipe/")</f>
        <v/>
      </c>
      <c r="G1960" t="inlineStr">
        <is>
          <t>2019-07-19 15:21:01</t>
        </is>
      </c>
      <c r="H1960" t="inlineStr"/>
    </row>
    <row r="1961">
      <c r="A1961" t="inlineStr">
        <is>
          <t>cff3qn</t>
        </is>
      </c>
      <c r="B1961" t="inlineStr">
        <is>
          <t>I think I maybe found the culprit</t>
        </is>
      </c>
      <c r="C1961" t="inlineStr">
        <is>
          <t>It’s been an insanely stressful year. And since we’re on the topic of stress we’ve been treating that with a very very low dose of Xanax. I just read some studies showing it’s effects on the UES. Which is exactly my issue, LPR or silent reflux if you will. 
Time to jump off slowly and see if that improves things! I never would have thought it would be a med but my diets always been excellent so this ones been tricky. Hopefully we can get it all dialed in!</t>
        </is>
      </c>
      <c r="D1961" t="n">
        <v>2</v>
      </c>
      <c r="E1961" t="n">
        <v>6</v>
      </c>
      <c r="F1961">
        <f>HYPERLINK("https://www.reddit.com/r/GERD/comments/cff3qn/i_think_i_maybe_found_the_culprit/")</f>
        <v/>
      </c>
      <c r="G1961" t="inlineStr">
        <is>
          <t>2019-07-19 16:49:57</t>
        </is>
      </c>
      <c r="H1961" t="inlineStr"/>
    </row>
    <row r="1962">
      <c r="A1962" t="inlineStr">
        <is>
          <t>cffsng</t>
        </is>
      </c>
      <c r="B1962" t="inlineStr">
        <is>
          <t>Grateful for your any hard and fast rules I should stick to</t>
        </is>
      </c>
      <c r="C1962" t="inlineStr">
        <is>
          <t>I'm fairly certain I am dealing with GERD. It popped up out of nowhere but I have since learned it runs in the family. I'm turned off by the idea of adding another prescription to my life and would like to manage this through diet if possible. 
Here's my background: 34 years old, female, keto for appx 4 years ("dirty keto" most of the time. I.e I cheat occasionally and eat too much full fat dairy) and probably still have about 20- 25 lbs to lose. This summer I started to drink a lot of diet carbonated drinks daily and enjoying wine every weekend. Nothing else has changed.
Regrettably everything I love is a trigger: coffee, dairy, chocolate, carbonated beverages and alcohol 
Symptoms: constant gas and feeling the urge to burp, annoying feeling in my throat like something is stuck. Sometimes when I'm eating if feels like the food doesn't really go down, like it's not travelling down my esophagus.
For those of you who read this far, can you suggest any foods I should try that might soothe these symptoms? Is it necessary to completely avoid the above list of triggers!? I need to know how serious to treat this 
Thanks!</t>
        </is>
      </c>
      <c r="D1962" t="n">
        <v>1</v>
      </c>
      <c r="E1962" t="n">
        <v>19</v>
      </c>
      <c r="F1962">
        <f>HYPERLINK("https://www.reddit.com/r/GERD/comments/cffsng/grateful_for_your_any_hard_and_fast_rules_i/")</f>
        <v/>
      </c>
      <c r="G1962" t="inlineStr">
        <is>
          <t>2019-07-19 17:57:52</t>
        </is>
      </c>
      <c r="H1962" t="inlineStr"/>
    </row>
    <row r="1963">
      <c r="A1963" t="inlineStr">
        <is>
          <t>cffzhr</t>
        </is>
      </c>
      <c r="B1963" t="inlineStr">
        <is>
          <t>Hiccuping?</t>
        </is>
      </c>
      <c r="C1963" t="inlineStr">
        <is>
          <t>does anyone else hiccup all the time after you eat? or feel like they have to burp constantly? every time i eat i’m always hiccuping for a while afterwards.</t>
        </is>
      </c>
      <c r="D1963" t="n">
        <v>8</v>
      </c>
      <c r="E1963" t="n">
        <v>2</v>
      </c>
      <c r="F1963">
        <f>HYPERLINK("https://www.reddit.com/r/GERD/comments/cffzhr/hiccuping/")</f>
        <v/>
      </c>
      <c r="G1963" t="inlineStr">
        <is>
          <t>2019-07-19 18:17:23</t>
        </is>
      </c>
      <c r="H1963" t="inlineStr"/>
    </row>
    <row r="1964">
      <c r="A1964" t="inlineStr">
        <is>
          <t>cfg6xx</t>
        </is>
      </c>
      <c r="B1964" t="inlineStr">
        <is>
          <t>GERD related, or cancer?</t>
        </is>
      </c>
      <c r="C1964" t="inlineStr">
        <is>
          <t>Hi guys,
I recently just started having a lot of pain when swallowing food, and started to research on what it could be. I have had on/off heartburn through the past few years (took prilosec a couple times and went away) but i just woke up one day and it started to hurt when i swallowed food. This was about 5 days ago, and its pretty much the same as before. I feel it go down and then it hits a spot on the lower part of my chest and it hurts as it goes down. Theres definitely a bit of burning afterwards, which i believe is stomach acid?
Wondering if this is the same thing as you guys are experiencing or if it’s something like an esophageal cancer.
Can you guys shine some light on how it feels for you guys, and if this is somewhat similar to your experiences?
Feeling really anxious/scared..having an appointment next week (earliest i can do) but trying to learn more in the time being.FYI Im a 23 year old male, no smoking, average weight, almost 0 drinking. 
Feeling really anxious/scared..having an appointment next week (earliest i can do) but trying to learn more in the time being.</t>
        </is>
      </c>
      <c r="D1964" t="n">
        <v>0</v>
      </c>
      <c r="E1964" t="n">
        <v>6</v>
      </c>
      <c r="F1964">
        <f>HYPERLINK("https://www.reddit.com/r/GERD/comments/cfg6xx/gerd_related_or_cancer/")</f>
        <v/>
      </c>
      <c r="G1964" t="inlineStr">
        <is>
          <t>2019-07-19 18:38:48</t>
        </is>
      </c>
      <c r="H1964" t="inlineStr"/>
    </row>
    <row r="1965">
      <c r="A1965" t="inlineStr">
        <is>
          <t>cfidkw</t>
        </is>
      </c>
      <c r="B1965" t="inlineStr">
        <is>
          <t>What is the worst food or drink for you that triggers the worst heartburn?</t>
        </is>
      </c>
      <c r="C1965" t="inlineStr">
        <is>
          <t>For me it's 💯 orange juice. Usually I can eat or drink almost anything if I take my pill but it doesn't work with orange juice.</t>
        </is>
      </c>
      <c r="D1965" t="n">
        <v>3</v>
      </c>
      <c r="E1965" t="n">
        <v>25</v>
      </c>
      <c r="F1965">
        <f>HYPERLINK("https://www.reddit.com/r/GERD/comments/cfidkw/what_is_the_worst_food_or_drink_for_you_that/")</f>
        <v/>
      </c>
      <c r="G1965" t="inlineStr">
        <is>
          <t>2019-07-19 22:41:33</t>
        </is>
      </c>
      <c r="H1965" t="inlineStr"/>
    </row>
    <row r="1966">
      <c r="A1966" t="inlineStr">
        <is>
          <t>cfiksn</t>
        </is>
      </c>
      <c r="B1966" t="inlineStr">
        <is>
          <t>How to swallow correctly?</t>
        </is>
      </c>
      <c r="C1966" t="inlineStr">
        <is>
          <t>I have symptoms of acid reflux, but I know that I also eat too quickly and swallow air often when I drink. I am starting to work on eating more slowly. Does anyone have any tips for swallowing correctly without any air bubbles? This has been a consistent problem of mine and a solution would be amazing. Thank you.</t>
        </is>
      </c>
      <c r="D1966" t="n">
        <v>3</v>
      </c>
      <c r="E1966" t="n">
        <v>3</v>
      </c>
      <c r="F1966">
        <f>HYPERLINK("https://www.reddit.com/r/GERD/comments/cfiksn/how_to_swallow_correctly/")</f>
        <v/>
      </c>
      <c r="G1966" t="inlineStr">
        <is>
          <t>2019-07-19 23:07:49</t>
        </is>
      </c>
      <c r="H1966" t="inlineStr"/>
    </row>
    <row r="1967">
      <c r="A1967" t="inlineStr">
        <is>
          <t>cfno9f</t>
        </is>
      </c>
      <c r="B1967" t="inlineStr">
        <is>
          <t>Exercise flare up</t>
        </is>
      </c>
      <c r="C1967" t="inlineStr">
        <is>
          <t>I recently started ramping my workouts up with some high intensity heavy bag training.  It's a lot of fun, and exhausting.  Ever since I have started this I have been in a flare up of some kind.  It's not traditional exercise induced reflux, its a steady increase of symptoms throughout the following day.  Breakthrough heartburn, mild nausea, and dizziness.  Does anyone else have issues like this ?</t>
        </is>
      </c>
      <c r="D1967" t="n">
        <v>3</v>
      </c>
      <c r="E1967" t="n">
        <v>5</v>
      </c>
      <c r="F1967">
        <f>HYPERLINK("https://www.reddit.com/r/GERD/comments/cfno9f/exercise_flare_up/")</f>
        <v/>
      </c>
      <c r="G1967" t="inlineStr">
        <is>
          <t>2019-07-20 09:26:20</t>
        </is>
      </c>
      <c r="H1967" t="inlineStr"/>
    </row>
    <row r="1968">
      <c r="A1968" t="inlineStr">
        <is>
          <t>cfo87z</t>
        </is>
      </c>
      <c r="B1968" t="inlineStr">
        <is>
          <t>Vomiting stomach acid</t>
        </is>
      </c>
      <c r="C1968" t="inlineStr">
        <is>
          <t>Hello all!
I was wondering if you had any advice for me. Since I’ve been off my PPIs as ordered by my doctor I’ve been occasionally throwing up in the middle of the night and in the morning. Doc let’s me take Zantac and it has mostly been helping me. I’m allowed to take 2 daily but I only take one before bed because my symptoms are at the worst night/morning. I do sleep at an incline as well. When do you take your 2 pills of Zantac if you do/ what helps you when you are vomiting stomach acid/bile? Thanks</t>
        </is>
      </c>
      <c r="D1968" t="n">
        <v>6</v>
      </c>
      <c r="E1968" t="n">
        <v>11</v>
      </c>
      <c r="F1968">
        <f>HYPERLINK("https://www.reddit.com/r/GERD/comments/cfo87z/vomiting_stomach_acid/")</f>
        <v/>
      </c>
      <c r="G1968" t="inlineStr">
        <is>
          <t>2019-07-20 10:15:29</t>
        </is>
      </c>
      <c r="H1968" t="inlineStr"/>
    </row>
    <row r="1969">
      <c r="A1969" t="inlineStr">
        <is>
          <t>cfpcdt</t>
        </is>
      </c>
      <c r="B1969" t="inlineStr">
        <is>
          <t>GERD and SIBO or something else? Constant and intense heartburn even after fasting for 24 hours.</t>
        </is>
      </c>
      <c r="C1969" t="inlineStr">
        <is>
          <t>Has anyone ever heard of Atrantíl? It's a product that contains peppermint, quebracho, and horse chestnut. I started taking this for gas and bloating about two weeks ago but proceeded to experience terrible heartburn and acid reflux shortly thereafter. Upon making the connection that peppermint can often trigger these things, I immediately discontinued the product but have since continued to experience the same issues. I am not sure whether this is a case of correlation or causation; however, I will say that perhaps counterintuitively I did notice a significant increase in gas and bloating during the brief time that I was on Atrantíl.
Prior to this, or about a month or so ago, I encountered what I can only describe as episodic or intermittent gastroparesis. I would eat something and still feel full hours later and eventually to the point where I became nauseous and started vomiting and having diarrhea. This happened on three different weekends, prompting a visit to the ER each time. After the latest episode, I began paying closer attention to my fat intake, having long dealt with fat malabsorption issues, and, more recently, or as of April of this year, unusually lighter colored stools. While I have long suspected that gallbladder or bile issues may be present, every ultrasound or MRI that I have done has always come back normal. About a month ago though, I began having dark green stools, which is obviously in stark contrast to the lighter colored stools that I was previously having. I have no idea as to what may have caused this, especially as I am not eating an unusual amount of dark leaf greens or anything that could be associated with changes in stool color. The only thing that I have been able to find online is that dark green stools may indicate the presence of too much bile, which, again, goes back to possible gallbladder issues.
Aside from leukopenia (chronically low white blood cell counts) and idiopathic thrombocytopenic purpura (chronically low palette counts), which may or may not be indicative of autoimmune activity, all of my bloodwork has been fine. The only test that I've had done recently that's shown anything was a breath test that came back positive for SIBO. As a result, I am eager to begin taking Rifaximin and Neomycin or FC Cidal and Dysbiocide to treat my SIBO, knowing that GERD and SIBO are often associated with one another. Has anyone else dealt with SIBO and experienced relief either from antibiotics or herbal therapy? What about from probiotics that do not contain D-lactic acid producing strains like Lactobacillus acidophilus? Or probiotic yeast like Saccharomyces Boulardii? 
In the meantime, is there anything I can do to try and relieve incredibly persistent heartburn and reflux? I've tried backing soda in water, prelief, zinc carnosine, d-limonene, aloe vera, marshmallow root, and zantac but nothing seems to really help. Admittedly my diet has not been that clean though I have never had a problem eating the types of the foods that I have only until very recently where it seems like everything is bothering me now. For breakfast, I was eating brown rice cereal with a banana, blueberries, honey, and almond milk. Sometimes I would switch out the brown rice cereal for gluten-free, sprouted oatmeal. And I would usually eat an organic, plant-based protein bar that consisted of pea protein, peanut butter, and a few other ingredients. For lunch, I was eating turkey meatballs made with ginger, zucchini, and carrots. I would also have some rutabaga or celery root and spinach.</t>
        </is>
      </c>
      <c r="D1969" t="n">
        <v>2</v>
      </c>
      <c r="E1969" t="n">
        <v>2</v>
      </c>
      <c r="F1969">
        <f>HYPERLINK("https://www.reddit.com/r/GERD/comments/cfpcdt/gerd_and_sibo_or_something_else_constant_and/")</f>
        <v/>
      </c>
      <c r="G1969" t="inlineStr">
        <is>
          <t>2019-07-20 11:50:20</t>
        </is>
      </c>
      <c r="H1969" t="inlineStr"/>
    </row>
    <row r="1970">
      <c r="A1970" t="inlineStr">
        <is>
          <t>cfpgb1</t>
        </is>
      </c>
      <c r="B1970" t="inlineStr">
        <is>
          <t>Is Gaviscon safe?</t>
        </is>
      </c>
      <c r="C1970" t="inlineStr">
        <is>
          <t>In theory, it sounds great.  Some studies have shown it is as effective as PPIs, and I like that it's a local treatment rather than affecting the whole body.  However, I see it contains aluminum, which can lead to big problems if it accumulates in the body.
I'm assuming taking it for a just a week or two is fine, but sounds like long-term use would be bad.</t>
        </is>
      </c>
      <c r="D1970" t="n">
        <v>8</v>
      </c>
      <c r="E1970" t="n">
        <v>24</v>
      </c>
      <c r="F1970">
        <f>HYPERLINK("https://www.reddit.com/r/GERD/comments/cfpgb1/is_gaviscon_safe/")</f>
        <v/>
      </c>
      <c r="G1970" t="inlineStr">
        <is>
          <t>2019-07-20 12:00:02</t>
        </is>
      </c>
      <c r="H1970" t="inlineStr"/>
    </row>
    <row r="1971">
      <c r="A1971" t="inlineStr">
        <is>
          <t>cfq6e3</t>
        </is>
      </c>
      <c r="B1971" t="inlineStr">
        <is>
          <t>Any good strategies for deducing if you have a food intolerance?</t>
        </is>
      </c>
      <c r="C1971" t="inlineStr">
        <is>
          <t>Because my omeprazole (20mg) has worked so well for my GERD, my issue is less GERD right now than it is LPR (I believe). Mostly because my throat is frequently sore or scratchy or feeling as if I'm having bad postnasal drip (allergies are tough right now, too, so it's hard to decide what's what).
But I did one of those 23andme tests recently and it said that I'm more likely to have celiac disease *and* "likely" lactose intolerant, so I figured it wouldn't hurt to see if either of those were causing the issue. But I also know that if I quit them both at the same time, I won't know which is the culprit (unless it's both, but even then I wouldn't know).
Even though I noticed an increase in GERD with some weight gain, dropping some weight hasn't seemed to fix things for me. 
So I thought I'd ask if there were a more regimented diet on a timeline to help people figure out what their intolerances were and if anyone had had good look with them.</t>
        </is>
      </c>
      <c r="D1971" t="n">
        <v>3</v>
      </c>
      <c r="E1971" t="n">
        <v>6</v>
      </c>
      <c r="F1971">
        <f>HYPERLINK("https://www.reddit.com/r/GERD/comments/cfq6e3/any_good_strategies_for_deducing_if_you_have_a/")</f>
        <v/>
      </c>
      <c r="G1971" t="inlineStr">
        <is>
          <t>2019-07-20 13:03:03</t>
        </is>
      </c>
      <c r="H1971" t="inlineStr"/>
    </row>
    <row r="1972">
      <c r="A1972" t="inlineStr">
        <is>
          <t>cfsx5h</t>
        </is>
      </c>
      <c r="B1972" t="inlineStr">
        <is>
          <t>Could this really be GERD?</t>
        </is>
      </c>
      <c r="C1972" t="inlineStr">
        <is>
          <t>Hoping someone could shed some light on this. Been having stomach problems since October. Started with bloating and discomfort for a few months with no medication working. Was eventually diagnosed with h pylori via a breath test. Took antibiotics etc that seemed to clear it up, but shortly after started getting symptoms again. 
Been on a series of PPIs (was on lansoprazole for a few months that seemed to work for a while, but symptoms returned once off them, and then eventually started to appear when I was on them - now on Omeprazole that helped a little bit still having problems. 
The thing is that I'm not getting symptoms like most people here. I don't get the burning, only stomach cramping, throbbing under left ribs and recently a sore throat that makes it feel gravely just below Adams apple. 
I don't eat spicy foods, tomatoes etc. And don't drink or smoke. 
I've tried to eat as bland as I can - for nearly 4 days last week I had no symptoms, but these last few nights I've started to get a really yucky throat and throbs in left side of stomach. Os this GERD? Gastritis? Or stomach cancer?</t>
        </is>
      </c>
      <c r="D1972" t="n">
        <v>3</v>
      </c>
      <c r="E1972" t="n">
        <v>6</v>
      </c>
      <c r="F1972">
        <f>HYPERLINK("https://www.reddit.com/r/GERD/comments/cfsx5h/could_this_really_be_gerd/")</f>
        <v/>
      </c>
      <c r="G1972" t="inlineStr">
        <is>
          <t>2019-07-20 17:21:54</t>
        </is>
      </c>
      <c r="H1972" t="inlineStr"/>
    </row>
    <row r="1973">
      <c r="A1973" t="inlineStr">
        <is>
          <t>cftpkh</t>
        </is>
      </c>
      <c r="B1973" t="inlineStr">
        <is>
          <t>Can you take digestive enzymes, aloe vera juice, Glutamine with antiacids and asthma medication?</t>
        </is>
      </c>
      <c r="C1973" t="inlineStr">
        <is>
          <t>Hey guys,
&amp;amp;#x200B;
Currently, I am taking medication (Breao Ellipta) to control my asthma  and medication (vonoprozan) for GERD. My asthma has calmed down but I have pretty bad case of GERD. 
&amp;amp;#x200B;
I want to start taking some supplements to help the healing process. I am thinking to start taking digestive enzymes, aloe vera juice, and glutamine. 
&amp;amp;#x200B;
Is there interaction between this things? Have anybody tried taking these supplements? Do they worK in reducing the symptoms? 
&amp;amp;#x200B;
Does GERD ever go away? 
&amp;amp;#x200B;
Thank you!</t>
        </is>
      </c>
      <c r="D1973" t="n">
        <v>1</v>
      </c>
      <c r="E1973" t="n">
        <v>0</v>
      </c>
      <c r="F1973">
        <f>HYPERLINK("https://www.reddit.com/r/GERD/comments/cftpkh/can_you_take_digestive_enzymes_aloe_vera_juice/")</f>
        <v/>
      </c>
      <c r="G1973" t="inlineStr">
        <is>
          <t>2019-07-20 18:43:56</t>
        </is>
      </c>
      <c r="H1973" t="inlineStr"/>
    </row>
    <row r="1974">
      <c r="A1974" t="inlineStr">
        <is>
          <t>cfw6dt</t>
        </is>
      </c>
      <c r="B1974" t="inlineStr">
        <is>
          <t>Was prescribed Esomeprazol, but reacted horribly to it. Afraid to try other meprazols because of this.</t>
        </is>
      </c>
      <c r="C1974" t="inlineStr">
        <is>
          <t>Dealing with GERD using algae extract mixture but even that doesn’t always work. Has anyone else reacted to esomeprazol but found other solutions?</t>
        </is>
      </c>
      <c r="D1974" t="n">
        <v>1</v>
      </c>
      <c r="E1974" t="n">
        <v>2</v>
      </c>
      <c r="F1974">
        <f>HYPERLINK("https://www.reddit.com/r/GERD/comments/cfw6dt/was_prescribed_esomeprazol_but_reacted_horribly/")</f>
        <v/>
      </c>
      <c r="G1974" t="inlineStr">
        <is>
          <t>2019-07-20 23:38:28</t>
        </is>
      </c>
      <c r="H1974" t="inlineStr"/>
    </row>
    <row r="1975">
      <c r="A1975" t="inlineStr">
        <is>
          <t>cfw92m</t>
        </is>
      </c>
      <c r="B1975" t="inlineStr">
        <is>
          <t>A short rant from a newbie</t>
        </is>
      </c>
      <c r="C1975" t="inlineStr">
        <is>
          <t>Hello friends, I just joined and I’m not sure if rants are allowed but I really need to let this out right now. 
Today I was at a family party and as soon as dinner was served, i felt the instant “oh no” that it would probably cause me trouble later on. Lots of fatty/greasy meat and very spicy. 
Then, I had some beer as it was the only alcohol there and at some point I couldn’t stop declining all the offers. 
Fast forward to a few hours later, still at the party but some of my cousins (who I just met) want to go out to a different bar and hang out and what not. 
I already wasn’t feeling too good but I figured I could suck it up for a few more hours. Boy was I wrong, THE WHOLE TIME we were there all I felt was nausea and reflux. I couldn’t eat anything or even finish half of my drink because I felt like if anything went down my throat everything would just come out. It was really frustrating because I felt so rude to just be there turning down all the drinks and bar snacks they were offering but at the same time it would be a lot to just start explaining my gerd history to relatives I had just met. I ended up leaving early with little explanation and I just feel really shitty about how the whole night ended. I hate how there’s been a couple of times where my symptoms seem to be worst at situations like this but then again I knew where I went wrong with the spicy greasy food AND the carbonation from the beer.  
Anyone else get really frustrated considering sometimes you try so hard to avoid a situation like this but then end up in a tight spot where you just can’t? Also since I’ve never been part of a community with this issue, what are some of your personal worst “triggers” and symptoms of your gerd?
Thanks for reading if you made it this far!</t>
        </is>
      </c>
      <c r="D1975" t="n">
        <v>4</v>
      </c>
      <c r="E1975" t="n">
        <v>13</v>
      </c>
      <c r="F1975">
        <f>HYPERLINK("https://www.reddit.com/r/GERD/comments/cfw92m/a_short_rant_from_a_newbie/")</f>
        <v/>
      </c>
      <c r="G1975" t="inlineStr">
        <is>
          <t>2019-07-20 23:49:02</t>
        </is>
      </c>
      <c r="H1975" t="inlineStr"/>
    </row>
    <row r="1976">
      <c r="A1976" t="inlineStr">
        <is>
          <t>cfwua3</t>
        </is>
      </c>
      <c r="B1976" t="inlineStr">
        <is>
          <t>Anyone taking Nexium 40mg everyday?</t>
        </is>
      </c>
      <c r="C1976" t="inlineStr">
        <is>
          <t>I've been on it ever since I was diagnosed with GERD. It's been 6 months and I was wondering if I should cut back to 20mg a day. Nexium works well for me but I'm not sure about taking it everyday longterm. 
I'm 21 ,Male btw</t>
        </is>
      </c>
      <c r="D1976" t="n">
        <v>2</v>
      </c>
      <c r="E1976" t="n">
        <v>5</v>
      </c>
      <c r="F1976">
        <f>HYPERLINK("https://www.reddit.com/r/GERD/comments/cfwua3/anyone_taking_nexium_40mg_everyday/")</f>
        <v/>
      </c>
      <c r="G1976" t="inlineStr">
        <is>
          <t>2019-07-21 01:19:38</t>
        </is>
      </c>
      <c r="H1976" t="inlineStr"/>
    </row>
    <row r="1977">
      <c r="A1977" t="inlineStr">
        <is>
          <t>cfxux2</t>
        </is>
      </c>
      <c r="B1977" t="inlineStr">
        <is>
          <t>Probably have gerd</t>
        </is>
      </c>
      <c r="C1977" t="inlineStr">
        <is>
          <t>Hey, I'm 24F. I think I have gerd because I've had heartburn every day for the last week or 2. I'm also a hypochondriac and have anxiety, but I'm very sure the pain is real. It's really scaring me researching this and knowing I'm gonna feel this way every day forever.. I'm pretty depressed even though I have yet to get an official diagnosis. I get the burps really badly and that makes it worse. I went to the er and was prescribed anxiety meds and also a stronger version on zantac I believe. Tums and zantac don't help though, but sometimes my anxiety meds calm me down enough I hardly feel anything.. (until I think about it or eat and am miserable again)
I was recommended trying omeprazole, but I researched it and maybe I shouldn't?
My doctor appointment isnt for another 2 weeks or so and I can hardly stand the dialy pain. I'm really scared this is going to be an every day thing, and I don't want to live with this pain every single day. Does it every get better or am I doomed? 
I keep hearing people say "it doesnt go away but you can manage it." Does that mean "its permanent, but you learn to live with it"
Is there any chance this isnt gerd? Heartburn every day = gerd, yes?
Should I tough it out until my dr or try omeprazole?  Thank you for reading</t>
        </is>
      </c>
      <c r="D1977" t="n">
        <v>3</v>
      </c>
      <c r="E1977" t="n">
        <v>14</v>
      </c>
      <c r="F1977">
        <f>HYPERLINK("https://www.reddit.com/r/GERD/comments/cfxux2/probably_have_gerd/")</f>
        <v/>
      </c>
      <c r="G1977" t="inlineStr">
        <is>
          <t>2019-07-21 04:02:07</t>
        </is>
      </c>
      <c r="H1977" t="inlineStr"/>
    </row>
    <row r="1978">
      <c r="A1978" t="inlineStr">
        <is>
          <t>cfz018</t>
        </is>
      </c>
      <c r="B1978" t="inlineStr">
        <is>
          <t>GERD symptoms 10 hours after eating/drinking?</t>
        </is>
      </c>
      <c r="C1978" t="inlineStr">
        <is>
          <t>Is this normal? I finished eating a meal I shouldn't have at around 9-10pm and woke up this morning at 4am with bad heartburn and back/chest pain. I took 5 tums over a course of 4 hours and it mostly helped so I went to lie down to sleep (while sitting up halfway) and it came back within an hour. Threw up about an hour ago and again 5 minutes ago (the food hasn't digested yet I guess?) and have been drinking water since then. I have only mild heartburn, my back pain went away, and I'm no longer nauseous. I feel like the food should have digested already and find it really strange that I've been sick for the past 5, almost 6 hours. What can I do to relieve this other than sit up straight? I feel like consuming anything, even water, is making it worse.</t>
        </is>
      </c>
      <c r="D1978" t="n">
        <v>2</v>
      </c>
      <c r="E1978" t="n">
        <v>4</v>
      </c>
      <c r="F1978">
        <f>HYPERLINK("https://www.reddit.com/r/GERD/comments/cfz018/gerd_symptoms_10_hours_after_eatingdrinking/")</f>
        <v/>
      </c>
      <c r="G1978" t="inlineStr">
        <is>
          <t>2019-07-21 06:30:04</t>
        </is>
      </c>
      <c r="H1978" t="inlineStr"/>
    </row>
    <row r="1979">
      <c r="A1979" t="inlineStr">
        <is>
          <t>cfzmf7</t>
        </is>
      </c>
      <c r="B1979" t="inlineStr">
        <is>
          <t>This is my third day of missing Nexium, I have not had really any rebound at all, but still some silent reflux.</t>
        </is>
      </c>
      <c r="C1979" t="inlineStr">
        <is>
          <t>I didn't even get worse, kinda just stayed status quo. Maybe I feel a little tiny more acidity in the reflux, but still no heartburn like symptoms.
&amp;amp;#x200B;
I have silent reflucx/LPR btw which I know some people claim the PPI drugs do not help with, which I guess is my case. Could this be an indication that low stomach acid is to blame?</t>
        </is>
      </c>
      <c r="D1979" t="n">
        <v>2</v>
      </c>
      <c r="E1979" t="n">
        <v>6</v>
      </c>
      <c r="F1979">
        <f>HYPERLINK("https://www.reddit.com/r/GERD/comments/cfzmf7/this_is_my_third_day_of_missing_nexium_i_have_not/")</f>
        <v/>
      </c>
      <c r="G1979" t="inlineStr">
        <is>
          <t>2019-07-21 07:34:36</t>
        </is>
      </c>
      <c r="H1979" t="inlineStr"/>
    </row>
    <row r="1980">
      <c r="A1980" t="inlineStr">
        <is>
          <t>cfzreq</t>
        </is>
      </c>
      <c r="B1980" t="inlineStr">
        <is>
          <t>Has anyone had a positive manometry test, followed by surgery - and it's all worked out really well?</t>
        </is>
      </c>
      <c r="C1980" t="inlineStr">
        <is>
          <t>Give me hope, anyone. Am a week away from my second attempt at the manometry and pH test - after I bailed during the first attempt. (TLDR : the nurse started talking about surgery just as she was putting the probe in, and I haven'd even thought that far ahead, and had a panic!)
Does the surgery work?
My symptoms - strong lump in throat 24/7, headaches, shoulder, jaw and neck ache, Chest pain from time to time.</t>
        </is>
      </c>
      <c r="D1980" t="n">
        <v>1</v>
      </c>
      <c r="E1980" t="n">
        <v>1</v>
      </c>
      <c r="F1980">
        <f>HYPERLINK("https://www.reddit.com/r/GERD/comments/cfzreq/has_anyone_had_a_positive_manometry_test_followed/")</f>
        <v/>
      </c>
      <c r="G1980" t="inlineStr">
        <is>
          <t>2019-07-21 07:48:05</t>
        </is>
      </c>
      <c r="H1980" t="inlineStr"/>
    </row>
    <row r="1981">
      <c r="A1981" t="inlineStr">
        <is>
          <t>cg0086</t>
        </is>
      </c>
      <c r="B1981" t="inlineStr">
        <is>
          <t>What do you think about this video?</t>
        </is>
      </c>
      <c r="C1981" t="inlineStr">
        <is>
          <t>[https://www.youtube.com/watch?v=McXhHJ0rQug](https://www.youtube.com/watch?v=McXhHJ0rQug)
Basically, his recommendation is give up antacids and PPI - and go on a low carb diet.</t>
        </is>
      </c>
      <c r="D1981" t="n">
        <v>4</v>
      </c>
      <c r="E1981" t="n">
        <v>13</v>
      </c>
      <c r="F1981">
        <f>HYPERLINK("https://www.reddit.com/r/GERD/comments/cg0086/what_do_you_think_about_this_video/")</f>
        <v/>
      </c>
      <c r="G1981" t="inlineStr">
        <is>
          <t>2019-07-21 08:11:22</t>
        </is>
      </c>
      <c r="H1981" t="inlineStr"/>
    </row>
    <row r="1982">
      <c r="A1982" t="inlineStr">
        <is>
          <t>cg3qcl</t>
        </is>
      </c>
      <c r="B1982" t="inlineStr">
        <is>
          <t>Could I have GERD? Full symptom recount with dates.</t>
        </is>
      </c>
      <c r="C1982" t="inlineStr">
        <is>
          <t xml:space="preserve">
April 18 - Later in the day, I felt a burning sensation in my throat, then nausea, went to the bathroom, just burped, nausea went away immediately, then later the burning sensation went away, then I went to sleep
April 19 - I barely felt like eating earlier in the day, ate very little whole day, then at night for dinner I ate normally, at that point I thought it had just been a stomach bug
April 20- at night I felt a burning sensation in my throat again, became very intense, and then slowly went away
April 21- same sensation as night before, in the afternoon just less intense, and it went away quickly
April 29 - nausea later in the day, went to the bathroom, burped a lot, nausea faded then went to sleep
April 30- no appetite earlier in the day, but by 5, I was okay
May 6-10 no appetite, barely ate anything whole week, by the 10th in the afternoon, I was okay
May 12 -nausea in the afternoon, went to the bathroom, felt sick whole day, when I tried to go to sleep, I could feel something stuck in my throat when I laid down
May 13 - 15 except the nausea, same thing as May 12
May 16 - my mom took me to my pediatrician, she noted I had lost 15 pounds since she last saw me in February, she ordered blood tests, and an ultrasound, which all came back normal, she then ordered a endoscopy 
May 19 - after lunch, nausea, went to the bathroom, feeling slowly went away, I ate dinner normally
May 21 - no appetite at lunch, barely ate anything at lunch, ate dinner normally
June 7 - nausea after lunch, feeling went away, then rest of day normal
July 16 - brief nausea, went away in about 5 minutes, I think it was due to stress though, i could eat afterwards like always
all the time after eating, I feel something stuck in my throat afterwards, I also have to burp a lot more than normal all the time. I have lost 5 more pounds since my pediatrician saw me in May. Most of the time now I eat normally, note it says “most”, sometimes I still don’t feel like eating at all. 
I also note that when I get nauseous and lose appetite is after eating spicy things, beef, peanut butter, fatty things or drink coffee.</t>
        </is>
      </c>
      <c r="D1982" t="n">
        <v>2</v>
      </c>
      <c r="E1982" t="n">
        <v>11</v>
      </c>
      <c r="F1982">
        <f>HYPERLINK("https://www.reddit.com/r/GERD/comments/cg3qcl/could_i_have_gerd_full_symptom_recount_with_dates/")</f>
        <v/>
      </c>
      <c r="G1982" t="inlineStr">
        <is>
          <t>2019-07-21 13:34:44</t>
        </is>
      </c>
      <c r="H1982" t="inlineStr"/>
    </row>
    <row r="1983">
      <c r="A1983" t="inlineStr">
        <is>
          <t>cg5oep</t>
        </is>
      </c>
      <c r="B1983" t="inlineStr">
        <is>
          <t>Are lower dosages of Esomeprazole or PPIs as dangerous in long-term use as higher ones? Switching from 10mg to 5mg.</t>
        </is>
      </c>
      <c r="C1983" t="inlineStr">
        <is>
          <t>I’ve been dealing with acid reflux for quite some time and I’ve had to rely on 10mg of Esomeprazole daily. I received medical advice and started to try 5mg dosages and they’ve been very effective.
Are lower dosages of Esomeprazole or PPIs as dangerous in long-term use as higher ones? I’d like to completely stop taking it but I cannot yet. 
I spent a whole week without Esomeprazole and I didn’t have any acid reflux symptoms, but a specific food triggered them again.</t>
        </is>
      </c>
      <c r="D1983" t="n">
        <v>1</v>
      </c>
      <c r="E1983" t="n">
        <v>0</v>
      </c>
      <c r="F1983">
        <f>HYPERLINK("https://www.reddit.com/r/GERD/comments/cg5oep/are_lower_dosages_of_esomeprazole_or_ppis_as/")</f>
        <v/>
      </c>
      <c r="G1983" t="inlineStr">
        <is>
          <t>2019-07-21 16:31:59</t>
        </is>
      </c>
      <c r="H1983" t="inlineStr"/>
    </row>
    <row r="1984">
      <c r="A1984" t="inlineStr">
        <is>
          <t>cg7esb</t>
        </is>
      </c>
      <c r="B1984" t="inlineStr">
        <is>
          <t>Natural remedies for GERD?</t>
        </is>
      </c>
      <c r="C1984" t="inlineStr">
        <is>
          <t>I have been struggling with GERD for over a year now (it’s probably been longer, but that was when I was diagnosed). I’m on 40 mg of Omeprazole, but it doesn’t seem to be helping right now. Has anyone found any natural remedies that have helped?</t>
        </is>
      </c>
      <c r="D1984" t="n">
        <v>4</v>
      </c>
      <c r="E1984" t="n">
        <v>23</v>
      </c>
      <c r="F1984">
        <f>HYPERLINK("https://www.reddit.com/r/GERD/comments/cg7esb/natural_remedies_for_gerd/")</f>
        <v/>
      </c>
      <c r="G1984" t="inlineStr">
        <is>
          <t>2019-07-21 19:24:02</t>
        </is>
      </c>
      <c r="H1984" t="inlineStr"/>
    </row>
    <row r="1985">
      <c r="A1985" t="inlineStr">
        <is>
          <t>cga8yj</t>
        </is>
      </c>
      <c r="B1985" t="inlineStr">
        <is>
          <t>Extremely thick mucus or saliva making it hard to swallow and it constantly feels like it's just sitting in my throat? I have a couple other symptoms that relate to gerd/LPR but this is by far the most frustrating and annoying. Anybody else experience this? It's almost constant everyday.</t>
        </is>
      </c>
      <c r="C1985" t="inlineStr">
        <is>
          <t>Currently freaking out about esphoghal cancer or throat cancer right now and I'm only 19 years old :/</t>
        </is>
      </c>
      <c r="D1985" t="n">
        <v>5</v>
      </c>
      <c r="E1985" t="n">
        <v>10</v>
      </c>
      <c r="F1985">
        <f>HYPERLINK("https://www.reddit.com/r/GERD/comments/cga8yj/extremely_thick_mucus_or_saliva_making_it_hard_to/")</f>
        <v/>
      </c>
      <c r="G1985" t="inlineStr">
        <is>
          <t>2019-07-22 00:46:46</t>
        </is>
      </c>
      <c r="H1985" t="inlineStr"/>
    </row>
    <row r="1986">
      <c r="A1986" t="inlineStr">
        <is>
          <t>cgafab</t>
        </is>
      </c>
      <c r="B1986" t="inlineStr">
        <is>
          <t>GERD, Amphetamines, ADHD and high blood pressure</t>
        </is>
      </c>
      <c r="C1986" t="inlineStr">
        <is>
          <t>Hello, does someone here with GERD uses amphetamines or other stimulant, dopaminergics, mood stabilizers or things as such ? 
I have ADHD and depend on amphetamines to have attention, and recently figure I have GERD and it makes spikes in my blood pressure, withing some meds like amphetamines that can go high as 180/120.
&amp;amp;#x200B;
If anyone goes thought that, did something fix it for you ? 
&amp;amp;#x200B;
I have a doctor appointment for GERD meds but it could take a while and I am afraid I wont be able stop those pressure spikes.</t>
        </is>
      </c>
      <c r="D1986" t="n">
        <v>1</v>
      </c>
      <c r="E1986" t="n">
        <v>1</v>
      </c>
      <c r="F1986">
        <f>HYPERLINK("https://www.reddit.com/r/GERD/comments/cgafab/gerd_amphetamines_adhd_and_high_blood_pressure/")</f>
        <v/>
      </c>
      <c r="G1986" t="inlineStr">
        <is>
          <t>2019-07-22 01:10:44</t>
        </is>
      </c>
      <c r="H1986" t="inlineStr"/>
    </row>
    <row r="1987">
      <c r="A1987" t="inlineStr">
        <is>
          <t>cgaq3t</t>
        </is>
      </c>
      <c r="B1987" t="inlineStr">
        <is>
          <t>Is this GERD?</t>
        </is>
      </c>
      <c r="C1987" t="inlineStr">
        <is>
          <t>I have a lot of post nasal drip, there is a constant feeling of an object in my stomach?throat, acid is constantly coming up and I can feel it sliding up. My stomach constantly burns and hurts, in fact it is when I eat that it stops hurting for a time.   
I'm cutting out all coffee and alcohol from this point on.  
It has gotten really bad and I'm getting bad smells in the back of my throat.</t>
        </is>
      </c>
      <c r="D1987" t="n">
        <v>1</v>
      </c>
      <c r="E1987" t="n">
        <v>2</v>
      </c>
      <c r="F1987">
        <f>HYPERLINK("https://www.reddit.com/r/GERD/comments/cgaq3t/is_this_gerd/")</f>
        <v/>
      </c>
      <c r="G1987" t="inlineStr">
        <is>
          <t>2019-07-22 01:53:01</t>
        </is>
      </c>
      <c r="H1987" t="inlineStr"/>
    </row>
    <row r="1988">
      <c r="A1988" t="inlineStr">
        <is>
          <t>cge91t</t>
        </is>
      </c>
      <c r="B1988" t="inlineStr">
        <is>
          <t>Does this sound like GERD or something more serious?</t>
        </is>
      </c>
      <c r="C1988" t="inlineStr">
        <is>
          <t>Hey guys,
So I'm pretty familiar with my symptoms, what to avoid, etc and haven't had problems in several months. I'll get queasy occasionally but sometimes forget I have GERD. I went on a trip recently and did more drinking and snacking than usual, and have been having serious heartburn and rib pain. It didn't hit me until the 3rd day of the trip, so I started taking it easy and eating/drinking as a I normally would, but the problems persisted. For the past 2 days I've woken up at 4-5am in a lot of pain. Yesterday for sure felt like typical GERD but this morning (and now) feels different. I don't feel any acid coming up, my stomach keeps grumbling, and my ribs and middle of my back hurt. I also noticed that my tongue is extremely white when it's typically pink, so I find that strange as well. I'm on 3 antacids and 3 tylonal (spelled wrong, sorry) so the pain is dulled, but it's there. Is this just more serious GERD because of all the drinking (and vomiting) I did the past week? I'm concerned because I was very careful last night and waited 3 hours before sleeping after eating, and I still woke up like this. Do I have to sleep sitting up now until something heals?</t>
        </is>
      </c>
      <c r="D1988" t="n">
        <v>6</v>
      </c>
      <c r="E1988" t="n">
        <v>5</v>
      </c>
      <c r="F1988">
        <f>HYPERLINK("https://www.reddit.com/r/GERD/comments/cge91t/does_this_sound_like_gerd_or_something_more/")</f>
        <v/>
      </c>
      <c r="G1988" t="inlineStr">
        <is>
          <t>2019-07-22 07:57:47</t>
        </is>
      </c>
      <c r="H1988" t="inlineStr"/>
    </row>
    <row r="1989">
      <c r="A1989" t="inlineStr">
        <is>
          <t>cgf6rx</t>
        </is>
      </c>
      <c r="B1989" t="inlineStr">
        <is>
          <t>Please help! Throat problem</t>
        </is>
      </c>
      <c r="C1989" t="inlineStr">
        <is>
          <t>Hi, last night and this morning my throat has been feeling really uncomfortable. So basically the last few days I've only been able to use the left side of my throat due to a lump from GERD. However right now I don't feel anything passing down my throat. When I drink water it feels like it just disappears mid throat I don't feel it go down anymore. I don't choke on my water or food though, I even took a pill right now but I don't know if it actually got down there. I mean can it go anywhere else? Does anyone have this issue? Anyway to treat it?</t>
        </is>
      </c>
      <c r="D1989" t="n">
        <v>1</v>
      </c>
      <c r="E1989" t="n">
        <v>4</v>
      </c>
      <c r="F1989">
        <f>HYPERLINK("https://www.reddit.com/r/GERD/comments/cgf6rx/please_help_throat_problem/")</f>
        <v/>
      </c>
      <c r="G1989" t="inlineStr">
        <is>
          <t>2019-07-22 09:11:13</t>
        </is>
      </c>
      <c r="H1989" t="inlineStr"/>
    </row>
    <row r="1990">
      <c r="A1990" t="inlineStr">
        <is>
          <t>cgfdn5</t>
        </is>
      </c>
      <c r="B1990" t="inlineStr">
        <is>
          <t>What is happening to me?</t>
        </is>
      </c>
      <c r="C1990" t="inlineStr">
        <is>
          <t>For the past 2 months I have felt like there is something stuck in my throat and it just never goes away. Sometimes its is less severe and others it is overwhelming. I went to an ENT at about 3 weeks in and he said it was GERD and prescribed Pantoprazole 20mg after dinner once a day.  It has been a little over a month now and I have had zero improvement. It feels as though this lump will never leave. I take ant acid after meals and daily rinse nose with saline. The real problem is I left the county at the 4 week mark and still have 2 months before I return home. I am really struggling with the lump and no improvement. And I cant just book another appointment in another county. Does anyone have any advice or anything that will help? 
Thanks ?</t>
        </is>
      </c>
      <c r="D1990" t="n">
        <v>1</v>
      </c>
      <c r="E1990" t="n">
        <v>11</v>
      </c>
      <c r="F1990">
        <f>HYPERLINK("https://www.reddit.com/r/GERD/comments/cgfdn5/what_is_happening_to_me/")</f>
        <v/>
      </c>
      <c r="G1990" t="inlineStr">
        <is>
          <t>2019-07-22 09:26:31</t>
        </is>
      </c>
      <c r="H1990" t="inlineStr"/>
    </row>
    <row r="1991">
      <c r="A1991" t="inlineStr">
        <is>
          <t>cggmtr</t>
        </is>
      </c>
      <c r="B1991" t="inlineStr">
        <is>
          <t>PH Impedance test and medication</t>
        </is>
      </c>
      <c r="C1991" t="inlineStr">
        <is>
          <t>So i am thinking of getting a surgery to cure my LPR / GERD but I need a few tests done before I see the surgeon.
One of these tests is a PH Impedance test in which they see how many times you reflux and the PH of it. My GI doctor wants to put me back on PPI (Pantorpazole 40mg 2x a day) while i get the test done and before it. I am currently off PPI's and taking Zantac 150 2x a day (previously took nexium 20mg 1x a day). When i confronted the GI doctor about taking this test while on heavy PPI's he was quite uncomfortable and did not like the challenge. I really don't want to go back on PPI's especially 80mg a day. 
&amp;amp;#x200B;
Anybody have any useful information for me?</t>
        </is>
      </c>
      <c r="D1991" t="n">
        <v>2</v>
      </c>
      <c r="E1991" t="n">
        <v>9</v>
      </c>
      <c r="F1991">
        <f>HYPERLINK("https://www.reddit.com/r/GERD/comments/cggmtr/ph_impedance_test_and_medication/")</f>
        <v/>
      </c>
      <c r="G1991" t="inlineStr">
        <is>
          <t>2019-07-22 11:02:03</t>
        </is>
      </c>
      <c r="H1991" t="inlineStr"/>
    </row>
    <row r="1992">
      <c r="A1992" t="inlineStr">
        <is>
          <t>cgiu7s</t>
        </is>
      </c>
      <c r="B1992" t="inlineStr">
        <is>
          <t>LPR- should it be easier to burp with this or harder?</t>
        </is>
      </c>
      <c r="C1992" t="inlineStr">
        <is>
          <t>I find it exceptionally difficult to burp and get mega bloated. Part of the problem is the post nasal drip always making me swallow, and filling up with air.
&amp;amp;#x200B;
But if the LES is having difficulty closing, why is it so difficult to burp? 
&amp;amp;#x200B;
I was told I had a hernia via endoscopy, but again, wouldn't that make it easier to burp since the LES would be open more? My theory is it is a rolling hernia and the air is getting trapped in it, is that common?</t>
        </is>
      </c>
      <c r="D1992" t="n">
        <v>2</v>
      </c>
      <c r="E1992" t="n">
        <v>9</v>
      </c>
      <c r="F1992">
        <f>HYPERLINK("https://www.reddit.com/r/GERD/comments/cgiu7s/lpr_should_it_be_easier_to_burp_with_this_or/")</f>
        <v/>
      </c>
      <c r="G1992" t="inlineStr">
        <is>
          <t>2019-07-22 13:53:02</t>
        </is>
      </c>
      <c r="H1992" t="inlineStr"/>
    </row>
    <row r="1993">
      <c r="A1993" t="inlineStr">
        <is>
          <t>cgk7n2</t>
        </is>
      </c>
      <c r="B1993" t="inlineStr">
        <is>
          <t>Chest/Back Pain lasting for days</t>
        </is>
      </c>
      <c r="C1993" t="inlineStr">
        <is>
          <t>Has anyone with GERD/acid reflux/a hiatal hernia/heartburn-in-general experienced chest and back pain that prevented them from swallowing  for days on end? It feels like something is constantly stuck in my chest and the pain radiates to my back. It makes eating and drinking (and sleeping and breathing) miserable... like my esophagus is the size of a pinhole and whatever I’m swallowing has to force its way down.  
On day 4 of this and have never experienced anything like it. Antacids do not help. Med Center gave me a GI cocktail that didn’t help much either. My CT scan appeared ok but my white count is high. I have an appt with a GI doctor on Thursday but I’m tired of Googling.</t>
        </is>
      </c>
      <c r="D1993" t="n">
        <v>1</v>
      </c>
      <c r="E1993" t="n">
        <v>0</v>
      </c>
      <c r="F1993">
        <f>HYPERLINK("https://www.reddit.com/r/GERD/comments/cgk7n2/chestback_pain_lasting_for_days/")</f>
        <v/>
      </c>
      <c r="G1993" t="inlineStr">
        <is>
          <t>2019-07-22 15:40:39</t>
        </is>
      </c>
      <c r="H1993" t="inlineStr"/>
    </row>
    <row r="1994">
      <c r="A1994" t="inlineStr">
        <is>
          <t>cgkey8</t>
        </is>
      </c>
      <c r="B1994" t="inlineStr">
        <is>
          <t>Diagnosed with Barrett's and Considering Surgery. Advice?</t>
        </is>
      </c>
      <c r="C1994" t="inlineStr">
        <is>
          <t>Just had my first endoscopy and it came back suggestive of Barrett's Esophagus. 39yo caucasian male, having reflux symptoms for about 6 months. Jumped between famatodine, ranitidine, and omneprazole to treat it, avoided trigger foods (kept a diet spreadsheet), eating healthier and using acids reflux cookbooks, sleeping elevated - it's getting better, but so far I haven't been able to shake it without medication. In addition to the diet and lifestyle changes I've been doing, my doctor wants me on omneprazole long term (2x 20mg / day for 3 months, then dropping to 1x day). I'm reluctant to rely on PPIs for the foreseeable future, so I've started researching surgery options in case the diet/medication doesn't work as effectively as I want - I want to tackle this head on. I'm scheduling a consult with a doctor who does nissen fundoplication and linx next month.
For those of you who have taken the surgery route:
1. How did you personally decide with which method to go for?
2. Did it work as you expected it to? Do you feel 100% "cured" or not?
Or alternatively, if you decided against surgery, I'd love to hear those stories too. Thanks!</t>
        </is>
      </c>
      <c r="D1994" t="n">
        <v>9</v>
      </c>
      <c r="E1994" t="n">
        <v>30</v>
      </c>
      <c r="F1994">
        <f>HYPERLINK("https://www.reddit.com/r/GERD/comments/cgkey8/diagnosed_with_barretts_and_considering_surgery/")</f>
        <v/>
      </c>
      <c r="G1994" t="inlineStr">
        <is>
          <t>2019-07-22 15:57:35</t>
        </is>
      </c>
      <c r="H1994" t="inlineStr"/>
    </row>
    <row r="1995">
      <c r="A1995" t="inlineStr">
        <is>
          <t>cgkp5e</t>
        </is>
      </c>
      <c r="B1995" t="inlineStr">
        <is>
          <t>For those who had the PH Impedance test, what were your results?</t>
        </is>
      </c>
      <c r="C1995" t="inlineStr">
        <is>
          <t>For those who had the PH Impedance test, what were your results?
How many times did you have acid and non acid reflux?
&amp;amp;#x200B;
Also, what did the doctor say about these results?
&amp;amp;#x200B;
Any surgeries after these results?</t>
        </is>
      </c>
      <c r="D1995" t="n">
        <v>1</v>
      </c>
      <c r="E1995" t="n">
        <v>5</v>
      </c>
      <c r="F1995">
        <f>HYPERLINK("https://www.reddit.com/r/GERD/comments/cgkp5e/for_those_who_had_the_ph_impedance_test_what_were/")</f>
        <v/>
      </c>
      <c r="G1995" t="inlineStr">
        <is>
          <t>2019-07-22 16:21:50</t>
        </is>
      </c>
      <c r="H1995" t="inlineStr"/>
    </row>
    <row r="1996">
      <c r="A1996" t="inlineStr">
        <is>
          <t>cglbi1</t>
        </is>
      </c>
      <c r="B1996" t="inlineStr">
        <is>
          <t>Would throat pain keep going even if I'm not eating trigger food?</t>
        </is>
      </c>
      <c r="C1996" t="inlineStr">
        <is>
          <t>I feel like my throat symptoms keep getting worse but I honestly haven't eaten anything that could make it worse. I've been eating nothing but fruits and vegetables, also peanut butter sandwiches. Why is it getting worse? Is this normal?</t>
        </is>
      </c>
      <c r="D1996" t="n">
        <v>6</v>
      </c>
      <c r="E1996" t="n">
        <v>5</v>
      </c>
      <c r="F1996">
        <f>HYPERLINK("https://www.reddit.com/r/GERD/comments/cglbi1/would_throat_pain_keep_going_even_if_im_not/")</f>
        <v/>
      </c>
      <c r="G1996" t="inlineStr">
        <is>
          <t>2019-07-22 17:16:53</t>
        </is>
      </c>
      <c r="H1996" t="inlineStr"/>
    </row>
    <row r="1997">
      <c r="A1997" t="inlineStr">
        <is>
          <t>cglpwr</t>
        </is>
      </c>
      <c r="B1997" t="inlineStr">
        <is>
          <t>Finally found out I have GERD</t>
        </is>
      </c>
      <c r="C1997" t="inlineStr">
        <is>
          <t>I think I have had severe Acid Reflux/GERD for most of my life but I didn't know it until recently.  It had never been detected during physical exams but my dentist recently found that I have some tooth erosion and that it is probably acid reflux.  I am waiting to see a doctor but wanted to ask a few questions until I can be seen. 
\-I am in my mid thirties and have never been treated, could this have already caused significant problem?
\-Is the risk of Barrets esophagus and cancer high?  My dentist scared me when they started talking about cancer
\-I have a frequent cough, feeling of lump in the throat, mild trouble swallowing.  Are these normal acid reflux symptoms?
\-Is is worth getting surgery? I have tried diet changes but my problems still persist
Thanks for any help.  I have googled</t>
        </is>
      </c>
      <c r="D1997" t="n">
        <v>1</v>
      </c>
      <c r="E1997" t="n">
        <v>10</v>
      </c>
      <c r="F1997">
        <f>HYPERLINK("https://www.reddit.com/r/GERD/comments/cglpwr/finally_found_out_i_have_gerd/")</f>
        <v/>
      </c>
      <c r="G1997" t="inlineStr">
        <is>
          <t>2019-07-22 17:54:45</t>
        </is>
      </c>
      <c r="H1997" t="inlineStr"/>
    </row>
    <row r="1998">
      <c r="A1998" t="inlineStr">
        <is>
          <t>cgn73z</t>
        </is>
      </c>
      <c r="B1998" t="inlineStr">
        <is>
          <t>LPR condition is making me depressed, and making my anxiety even worse...</t>
        </is>
      </c>
      <c r="C1998" t="inlineStr">
        <is>
          <t>I just don’t understand. I’ve cut out 90% of acidic foods out of my diet, researched the condition I know everything that I need to know about it, and yet STILL despite being on a PPI twice daily and H2 blocker before bed I have symptoms.... I don’t get heartburn, my main symptoms are throat clearing all day, mucus type feeling when I swallow and that’s what brings on the throat clearing, lump in throat, and lately it feels like my throat muscles are fatigued and ache if that makes any sense. LPR apparently takes “months” to resolve or see any improvement but not it’s affecting my life, I can’t even eat what I want, can’t go to dinners with friends and or family, it’s dumb, and this all came on like a month ago, randomly started with a globus sensation and I backed off eating food in fear of food getting stuck in the throat. I’d like to hear some stories from people who suffer or did suffer from LPR/ GERD what helped them, and positive recovery. I know the whole raise your bed up, don’t eat 3-4 hours before bed, avoid acidic food, alcohol, tobacco, caffeine (which I don’t drink alcohol, occasional pop 1-2x a week, I workout 6 days a week, my body fat is like 13%, I’m in good shape).</t>
        </is>
      </c>
      <c r="D1998" t="n">
        <v>5</v>
      </c>
      <c r="E1998" t="n">
        <v>25</v>
      </c>
      <c r="F1998">
        <f>HYPERLINK("https://www.reddit.com/r/GERD/comments/cgn73z/lpr_condition_is_making_me_depressed_and_making/")</f>
        <v/>
      </c>
      <c r="G1998" t="inlineStr">
        <is>
          <t>2019-07-22 20:16:03</t>
        </is>
      </c>
      <c r="H1998" t="inlineStr"/>
    </row>
    <row r="1999">
      <c r="A1999" t="inlineStr">
        <is>
          <t>cgqrny</t>
        </is>
      </c>
      <c r="B1999" t="inlineStr">
        <is>
          <t>Has omeprazole ever stopped working for anyone?</t>
        </is>
      </c>
      <c r="C1999" t="inlineStr">
        <is>
          <t>I’ve taken 20mg 1x day for 10+ yrs and it’s always worked, but lately I’ve had bad bad GERD and dr increased my dose to 40mg 2x a day and I’m still suffering! No major changes to diet, perhaps a bit more stress... I’m dyin here</t>
        </is>
      </c>
      <c r="D1999" t="n">
        <v>2</v>
      </c>
      <c r="E1999" t="n">
        <v>13</v>
      </c>
      <c r="F1999">
        <f>HYPERLINK("https://www.reddit.com/r/GERD/comments/cgqrny/has_omeprazole_ever_stopped_working_for_anyone/")</f>
        <v/>
      </c>
      <c r="G1999" t="inlineStr">
        <is>
          <t>2019-07-23 03:16:51</t>
        </is>
      </c>
      <c r="H1999" t="inlineStr"/>
    </row>
    <row r="2000">
      <c r="A2000" t="inlineStr">
        <is>
          <t>cgsbc7</t>
        </is>
      </c>
      <c r="B2000" t="inlineStr">
        <is>
          <t>Has anyone tried water kefir?</t>
        </is>
      </c>
      <c r="C2000" t="inlineStr">
        <is>
          <t>I've heard a lot of good feedbacks from people with acid reflux/GERD about easing their condition with kefir. I'm found articles to back this up but generally more about creating healthy gut, not really specific about GERD. 
I have access now to water kefir. I'd like to know if anyone here has tried water kefir and has, in anyway, ease your acid reflux/GERD.</t>
        </is>
      </c>
      <c r="D2000" t="n">
        <v>0</v>
      </c>
      <c r="E2000" t="n">
        <v>9</v>
      </c>
      <c r="F2000">
        <f>HYPERLINK("https://www.reddit.com/r/GERD/comments/cgsbc7/has_anyone_tried_water_kefir/")</f>
        <v/>
      </c>
      <c r="G2000" t="inlineStr">
        <is>
          <t>2019-07-23 06:01:19</t>
        </is>
      </c>
      <c r="H2000" t="inlineStr"/>
    </row>
    <row r="2001">
      <c r="A2001" t="inlineStr">
        <is>
          <t>cgsl93</t>
        </is>
      </c>
      <c r="B2001" t="inlineStr">
        <is>
          <t>Stand up desk at work with a hernia</t>
        </is>
      </c>
      <c r="C2001" t="inlineStr">
        <is>
          <t>Hi guys
Has anyone ever got a stand up desk at work? I got a hernia and I think standing will help with GERD and posture.
What are your thoughts on this.
Thanks</t>
        </is>
      </c>
      <c r="D2001" t="n">
        <v>1</v>
      </c>
      <c r="E2001" t="n">
        <v>5</v>
      </c>
      <c r="F2001">
        <f>HYPERLINK("https://www.reddit.com/r/GERD/comments/cgsl93/stand_up_desk_at_work_with_a_hernia/")</f>
        <v/>
      </c>
      <c r="G2001" t="inlineStr">
        <is>
          <t>2019-07-23 06:26:28</t>
        </is>
      </c>
      <c r="H2001" t="inlineStr"/>
    </row>
    <row r="2002">
      <c r="A2002" t="inlineStr">
        <is>
          <t>cgvnwa</t>
        </is>
      </c>
      <c r="B2002" t="inlineStr">
        <is>
          <t>Ear pain while swallowing</t>
        </is>
      </c>
      <c r="C2002" t="inlineStr">
        <is>
          <t>I was recently diagnosed with GERD. I have some pretty standard symptoms but one odd symptom I’m having is a pain in my ear/throat when swallowing. Is this normal? I’m planning on asking my GI specialist as well but I just wanted to get a feel from the community as well.</t>
        </is>
      </c>
      <c r="D2002" t="n">
        <v>3</v>
      </c>
      <c r="E2002" t="n">
        <v>6</v>
      </c>
      <c r="F2002">
        <f>HYPERLINK("https://www.reddit.com/r/GERD/comments/cgvnwa/ear_pain_while_swallowing/")</f>
        <v/>
      </c>
      <c r="G2002" t="inlineStr">
        <is>
          <t>2019-07-23 10:30:29</t>
        </is>
      </c>
      <c r="H2002" t="inlineStr"/>
    </row>
    <row r="2003">
      <c r="A2003" t="inlineStr">
        <is>
          <t>cgxldv</t>
        </is>
      </c>
      <c r="B2003" t="inlineStr">
        <is>
          <t>Diagnosed but untreated LPR is setting me back in my ED recovery.</t>
        </is>
      </c>
      <c r="C2003" t="inlineStr">
        <is>
          <t>I was diagnosed by an ENT after repeated ear infections with LPR. I didn’t realize at the time how bad it was because I was in denial about my eating disorder. (Anorexia) I tried a month ago to take a 14 day course of Omeprazole but had to stop at day 3 due to what I thought were side effects. I spent the weeks after relying on Tums and then was confronted with my ED and began seeking recovery. Problem is, my LPR is going crazy with the intake of food. I’m eating small meals through the day that are about 150 to 300 calories each. But, the intake itself is the issue. I normally would sit on a meal and the delay would help reduce my symptoms but with recovery, I have such a small time frame and I have to force it. The most concerning symptoms are the chronic LPR cough, nausea, and a potential ear infection brewing. I already had a chest CT and an x-ray to make sure it wasn’t an infection.
Any advice on how to reduce this? I’m concerned about how far back this is setting me.
- Milk is “mostly” eliminated. I have to keep a few products due to the recovery. (Ensure &amp;amp; this cream stuff.)
- I cut back on fruit aside from bananas and an apple every other day.
- No caffeine at all, coffee is gone. 
- No carbonated beverages.
- No chocolate.
- No spicy food.
- Mild to moderate salt. (Can’t cut this out either.)
- Heavy fats until my calorie intake/weight is higher.</t>
        </is>
      </c>
      <c r="D2003" t="n">
        <v>2</v>
      </c>
      <c r="E2003" t="n">
        <v>1</v>
      </c>
      <c r="F2003">
        <f>HYPERLINK("https://www.reddit.com/r/GERD/comments/cgxldv/diagnosed_but_untreated_lpr_is_setting_me_back_in/")</f>
        <v/>
      </c>
      <c r="G2003" t="inlineStr">
        <is>
          <t>2019-07-23 12:57:08</t>
        </is>
      </c>
      <c r="H2003" t="inlineStr"/>
    </row>
    <row r="2004">
      <c r="A2004" t="inlineStr">
        <is>
          <t>cgxypr</t>
        </is>
      </c>
      <c r="B2004" t="inlineStr">
        <is>
          <t>Can reflux cause your throat tissues to secrete mucous?</t>
        </is>
      </c>
      <c r="C2004" t="inlineStr">
        <is>
          <t>I thought I read that somewhere, the peptides can irritate the throat lining and cause mucous to be secreted, but that  sounds odd. Is this true?</t>
        </is>
      </c>
      <c r="D2004" t="n">
        <v>2</v>
      </c>
      <c r="E2004" t="n">
        <v>5</v>
      </c>
      <c r="F2004">
        <f>HYPERLINK("https://www.reddit.com/r/GERD/comments/cgxypr/can_reflux_cause_your_throat_tissues_to_secrete/")</f>
        <v/>
      </c>
      <c r="G2004" t="inlineStr">
        <is>
          <t>2019-07-23 13:25:44</t>
        </is>
      </c>
      <c r="H2004" t="inlineStr"/>
    </row>
    <row r="2005">
      <c r="A2005" t="inlineStr">
        <is>
          <t>cgyk3p</t>
        </is>
      </c>
      <c r="B2005" t="inlineStr">
        <is>
          <t>Could I have GERD?</t>
        </is>
      </c>
      <c r="C2005" t="inlineStr">
        <is>
          <t>My symptoms are lack of appetite that comes and goes, currently I have barely eaten anything and same yesterday. Sometimes nausea but it’s rare. I always have to burp a lot more than normal. After eating I feel very full, and sometimes feel like something is stuck in my throat. I have also lost considerable weight. I already had an endoscopy but it came normal, even the biopsies which means no infections or ulcers or inflammation. I also had an ultrasound and a blood test, all normal. My last test will be an esophageal manometry, if it’s normal also, my gastroenterologist will have me referred to psychology. Even with all those tests normal, could I still have GERD? If so, would the esophageal manometry find it?</t>
        </is>
      </c>
      <c r="D2005" t="n">
        <v>3</v>
      </c>
      <c r="E2005" t="n">
        <v>4</v>
      </c>
      <c r="F2005">
        <f>HYPERLINK("https://www.reddit.com/r/GERD/comments/cgyk3p/could_i_have_gerd/")</f>
        <v/>
      </c>
      <c r="G2005" t="inlineStr">
        <is>
          <t>2019-07-23 14:11:35</t>
        </is>
      </c>
      <c r="H2005" t="inlineStr"/>
    </row>
    <row r="2006">
      <c r="A2006" t="inlineStr">
        <is>
          <t>ch11fo</t>
        </is>
      </c>
      <c r="B2006" t="inlineStr">
        <is>
          <t>Just had an endoscopy 24 hours ago</t>
        </is>
      </c>
      <c r="C2006" t="inlineStr">
        <is>
          <t>I’m experiencing discomfort in my upper chest and it hurts to swallow. Each time I eat, drink, or swallow it hurts my upper chest and it feels like I have to burp. I’ve had acid reflux for years but I’ve never experienced chest pain after consuming anything. I also take Nexium every morning and that is usually a life saver. Is this normal?</t>
        </is>
      </c>
      <c r="D2006" t="n">
        <v>3</v>
      </c>
      <c r="E2006" t="n">
        <v>13</v>
      </c>
      <c r="F2006">
        <f>HYPERLINK("https://www.reddit.com/r/GERD/comments/ch11fo/just_had_an_endoscopy_24_hours_ago/")</f>
        <v/>
      </c>
      <c r="G2006" t="inlineStr">
        <is>
          <t>2019-07-23 17:41:33</t>
        </is>
      </c>
      <c r="H2006" t="inlineStr"/>
    </row>
    <row r="2007">
      <c r="A2007" t="inlineStr">
        <is>
          <t>ch1k5y</t>
        </is>
      </c>
      <c r="B2007" t="inlineStr">
        <is>
          <t>Can a hiatal hernia cause constant chest pain?</t>
        </is>
      </c>
      <c r="C2007" t="inlineStr">
        <is>
          <t>All the time constant and especially after eating. Today is worse than others and it’s ruining my life quality. If yes, why does my chest hurt this much? Also, does this mean my esophagus is inflamed which is causing this pain? I don’t want to be scared but I can’t help it, i haven’t slept all might.</t>
        </is>
      </c>
      <c r="D2007" t="n">
        <v>6</v>
      </c>
      <c r="E2007" t="n">
        <v>16</v>
      </c>
      <c r="F2007">
        <f>HYPERLINK("https://www.reddit.com/r/GERD/comments/ch1k5y/can_a_hiatal_hernia_cause_constant_chest_pain/")</f>
        <v/>
      </c>
      <c r="G2007" t="inlineStr">
        <is>
          <t>2019-07-23 18:29:42</t>
        </is>
      </c>
      <c r="H2007" t="inlineStr"/>
    </row>
    <row r="2008">
      <c r="A2008" t="inlineStr">
        <is>
          <t>ch60j0</t>
        </is>
      </c>
      <c r="B2008" t="inlineStr">
        <is>
          <t>Got diagnosed today with esophagitis, minute gastric ulcerations, and hiatal hernia.</t>
        </is>
      </c>
      <c r="C2008" t="inlineStr">
        <is>
          <t>Hello, i was diagnosed today of the above conditions through an endoscopy. I would like to ask tips on what foods are best to eat to improve my condition and lifestyle changes thay worked for you. Also, can hiatal hernias be fixed without needing surgery?Thanks in advance!</t>
        </is>
      </c>
      <c r="D2008" t="n">
        <v>3</v>
      </c>
      <c r="E2008" t="n">
        <v>13</v>
      </c>
      <c r="F2008">
        <f>HYPERLINK("https://www.reddit.com/r/GERD/comments/ch60j0/got_diagnosed_today_with_esophagitis_minute/")</f>
        <v/>
      </c>
      <c r="G2008" t="inlineStr">
        <is>
          <t>2019-07-24 02:37:53</t>
        </is>
      </c>
      <c r="H2008" t="inlineStr"/>
    </row>
    <row r="2009">
      <c r="A2009" t="inlineStr">
        <is>
          <t>ch6g04</t>
        </is>
      </c>
      <c r="B2009" t="inlineStr">
        <is>
          <t>Post-op</t>
        </is>
      </c>
      <c r="C2009" t="inlineStr">
        <is>
          <t>Hi everyone! I’m a 28F and had the Nissen Fundoplication surgery on June 4th. My period is now almost 2 weeks late, and I’ve taken pregnancy tests that came back negative.
I’m wondering if the stress of the surgery or the diet changes may have something to do with it. Are there any other women who have had similar experiences?</t>
        </is>
      </c>
      <c r="D2009" t="n">
        <v>1</v>
      </c>
      <c r="E2009" t="n">
        <v>6</v>
      </c>
      <c r="F2009">
        <f>HYPERLINK("https://www.reddit.com/r/GERD/comments/ch6g04/postop/")</f>
        <v/>
      </c>
      <c r="G2009" t="inlineStr">
        <is>
          <t>2019-07-24 03:29:49</t>
        </is>
      </c>
      <c r="H2009" t="inlineStr"/>
    </row>
    <row r="2010">
      <c r="A2010" t="inlineStr">
        <is>
          <t>ch726b</t>
        </is>
      </c>
      <c r="B2010" t="inlineStr">
        <is>
          <t>Has anyone had success with gaviscon liquid but not the tablets?</t>
        </is>
      </c>
      <c r="C2010" t="inlineStr">
        <is>
          <t>Honestly the tablets never seemed to work for me. But i started using the liquid stuff and damn its great. I usually have reflux while hungry but lately nothing at all. What peace im having!</t>
        </is>
      </c>
      <c r="D2010" t="n">
        <v>5</v>
      </c>
      <c r="E2010" t="n">
        <v>5</v>
      </c>
      <c r="F2010">
        <f>HYPERLINK("https://www.reddit.com/r/GERD/comments/ch726b/has_anyone_had_success_with_gaviscon_liquid_but/")</f>
        <v/>
      </c>
      <c r="G2010" t="inlineStr">
        <is>
          <t>2019-07-24 04:39:20</t>
        </is>
      </c>
      <c r="H2010" t="inlineStr"/>
    </row>
    <row r="2011">
      <c r="A2011" t="inlineStr">
        <is>
          <t>cha7nr</t>
        </is>
      </c>
      <c r="B2011" t="inlineStr">
        <is>
          <t>Drank 32oz of beef bone stock</t>
        </is>
      </c>
      <c r="C2011" t="inlineStr">
        <is>
          <t>Now I feel horrible.  It's been 5 hours.  Symptoms started 3-4 hours after drinking.  Feel very nauseous and bad reflux.  What would help right now?</t>
        </is>
      </c>
      <c r="D2011" t="n">
        <v>2</v>
      </c>
      <c r="E2011" t="n">
        <v>3</v>
      </c>
      <c r="F2011">
        <f>HYPERLINK("https://www.reddit.com/r/GERD/comments/cha7nr/drank_32oz_of_beef_bone_stock/")</f>
        <v/>
      </c>
      <c r="G2011" t="inlineStr">
        <is>
          <t>2019-07-24 09:12:50</t>
        </is>
      </c>
      <c r="H2011" t="inlineStr"/>
    </row>
    <row r="2012">
      <c r="A2012" t="inlineStr">
        <is>
          <t>chb5tl</t>
        </is>
      </c>
      <c r="B2012" t="inlineStr">
        <is>
          <t>What's the best milk to drink with Gerd?</t>
        </is>
      </c>
      <c r="C2012" t="inlineStr">
        <is>
          <t>I haven't had any milk in over a year due to fear of it causing a bad acid reflux episode. Cheese doesn't trigger me, nor does like butter. But I didn't know because of the sugar in milk if it would. Sugar is a trigger for me usually. What kind do you guys usually drink?</t>
        </is>
      </c>
      <c r="D2012" t="n">
        <v>2</v>
      </c>
      <c r="E2012" t="n">
        <v>22</v>
      </c>
      <c r="F2012">
        <f>HYPERLINK("https://www.reddit.com/r/GERD/comments/chb5tl/whats_the_best_milk_to_drink_with_gerd/")</f>
        <v/>
      </c>
      <c r="G2012" t="inlineStr">
        <is>
          <t>2019-07-24 10:25:45</t>
        </is>
      </c>
      <c r="H2012" t="inlineStr"/>
    </row>
    <row r="2013">
      <c r="A2013" t="inlineStr">
        <is>
          <t>chbiny</t>
        </is>
      </c>
      <c r="B2013" t="inlineStr">
        <is>
          <t>Endoscopy a few days ago</t>
        </is>
      </c>
      <c r="C2013" t="inlineStr">
        <is>
          <t>I've been having discomfort in my chest and throat area ever since the endoscopy 2 days ago. I've been having acid reflux the past few years and take nexium once a day but this discomfort feeling is new. Doctor suggested going to the ER and so I did, they didn't find anything on the X-ray and blood work was okay. Then I got the biopsy back and they said I have a small hiatal hernia (which is nothing new) and moderate acid reflux (already knew this). 
&amp;amp;#x200B;
So is this discomfort just from the endoscopy irritating my esophagus? it's been very annoying and unpleasant the past few days. I really feel the discomfort when I eat or drink anything, any suggestions on food to eat that is both filling and not irritating to the esophagus if that is the problem? Thank you, all advice welcome!</t>
        </is>
      </c>
      <c r="D2013" t="n">
        <v>5</v>
      </c>
      <c r="E2013" t="n">
        <v>10</v>
      </c>
      <c r="F2013">
        <f>HYPERLINK("https://www.reddit.com/r/GERD/comments/chbiny/endoscopy_a_few_days_ago/")</f>
        <v/>
      </c>
      <c r="G2013" t="inlineStr">
        <is>
          <t>2019-07-24 10:52:50</t>
        </is>
      </c>
      <c r="H2013" t="inlineStr"/>
    </row>
    <row r="2014">
      <c r="A2014" t="inlineStr">
        <is>
          <t>chcddq</t>
        </is>
      </c>
      <c r="B2014" t="inlineStr">
        <is>
          <t>Omeprazole side effects?</t>
        </is>
      </c>
      <c r="C2014" t="inlineStr">
        <is>
          <t>My Dr put me on Omeprazole about a year ago for GERD. Since then I've had frequent episodes of dizziness, my sinus feel full, my ear rings/hurts, and my vision gets blurry (almost feels like vertigo). Recently I missed about 6 days of Omeprazole and realized I didn't feel any of the aforementioned issues. Yesterday I started Omeprazole again and the issues are back. Any information would be appreciated.</t>
        </is>
      </c>
      <c r="D2014" t="n">
        <v>2</v>
      </c>
      <c r="E2014" t="n">
        <v>14</v>
      </c>
      <c r="F2014">
        <f>HYPERLINK("https://www.reddit.com/r/GERD/comments/chcddq/omeprazole_side_effects/")</f>
        <v/>
      </c>
      <c r="G2014" t="inlineStr">
        <is>
          <t>2019-07-24 11:59:19</t>
        </is>
      </c>
      <c r="H2014" t="inlineStr"/>
    </row>
    <row r="2015">
      <c r="A2015" t="inlineStr">
        <is>
          <t>chdb5e</t>
        </is>
      </c>
      <c r="B2015" t="inlineStr">
        <is>
          <t>Is there any information on Nissen Fundoplication long term?</t>
        </is>
      </c>
      <c r="C2015" t="inlineStr">
        <is>
          <t>I've tried to research it, but I'm not finding many answers on it. I'm particularly interested in 20+ years. My main concerns with NF are how it holds up over the years and if it's still helping prevent symptoms.
While I would love relief of my symptoms even in the short term, I think it's important to ask about the long term implications? 
NF is likely my only option as I just literally can't afford to get Linx. Don't get me wrong with how bad things are right now I'd probably go ahead with it even if it's not really viable long term.</t>
        </is>
      </c>
      <c r="D2015" t="n">
        <v>2</v>
      </c>
      <c r="E2015" t="n">
        <v>3</v>
      </c>
      <c r="F2015">
        <f>HYPERLINK("https://www.reddit.com/r/GERD/comments/chdb5e/is_there_any_information_on_nissen_fundoplication/")</f>
        <v/>
      </c>
      <c r="G2015" t="inlineStr">
        <is>
          <t>2019-07-24 13:12:29</t>
        </is>
      </c>
      <c r="H2015" t="inlineStr"/>
    </row>
    <row r="2016">
      <c r="A2016" t="inlineStr">
        <is>
          <t>chdhec</t>
        </is>
      </c>
      <c r="B2016" t="inlineStr">
        <is>
          <t>Educational: I'm an MD and I've developed a free mobile app, to allow my patients to calculate their personal risk of cancer, which includes the links between cancer and GERD. If any of you are interested, feel free to try it.</t>
        </is>
      </c>
      <c r="C2016" t="inlineStr">
        <is>
          <t>I'm a radiation oncologist, so I obviously get many questions about all aspects of cancer. I found that many patients were particularly concerned about the exact causes of their cancer and wondered whether the same causes could provoke the development of another cancer or could provoke a similar cancer for the people around them. So I decided to create an app to adress those concerns!
The aim of the application I have developed is estimating the risk of cancer for any individual based on all the risk factors that can be found in the scientific literature. It includes 250 different risk factors and can calculate the risk for 26 different cancers. This includes GERD. It also gives you a breakdown of each of those risks by showing you all the risk factors influencing it (both positive and negative) with detailed figures, possible lifestyle changes one could make and references. It is completely free and does not transmit any medical or personal information to us or any other party.
To be clear, the app is **strictly educational** and all information contained within **cannot and should not replace assessment by a physician**. It is aimed at the general public, to clarify exactly what causes cancer and give some idea which risk factors have a larger or smaller impact.
The app is called 'Cancer Risk Calculator' and is available for both Android and Apple devices. If any of you would like to see the effects of a condition on the risk of cancer or would like to calculate your own risks, please feel free to try it.
Android: [https://play.google.com/store/apps/details?id=be.tdf\_it.cancerrisk](https://play.google.com/store/apps/details?id=be.tdf_it.cancerrisk)
Apple: [https://itunes.apple.com/be/app/cancer-risk-calculator/id1452067400?mt=8](https://itunes.apple.com/be/app/cancer-risk-calculator/id1452067400?mt=8)
\[Submitted to moderators before posting, no objections\]</t>
        </is>
      </c>
      <c r="D2016" t="n">
        <v>8</v>
      </c>
      <c r="E2016" t="n">
        <v>3</v>
      </c>
      <c r="F2016">
        <f>HYPERLINK("https://www.reddit.com/r/GERD/comments/chdhec/educational_im_an_md_and_ive_developed_a_free/")</f>
        <v/>
      </c>
      <c r="G2016" t="inlineStr">
        <is>
          <t>2019-07-24 13:25:50</t>
        </is>
      </c>
      <c r="H2016" t="inlineStr"/>
    </row>
    <row r="2017">
      <c r="A2017" t="inlineStr">
        <is>
          <t>che5uo</t>
        </is>
      </c>
      <c r="B2017" t="inlineStr">
        <is>
          <t>Bad smell in nose</t>
        </is>
      </c>
      <c r="C2017" t="inlineStr">
        <is>
          <t>Does anyone else get a bad smell in their nose in the mornings? I believe I have LPR that flares up during the night, and I get a bad smell in my nose in the morning that gradually goes away as the day goes on.</t>
        </is>
      </c>
      <c r="D2017" t="n">
        <v>2</v>
      </c>
      <c r="E2017" t="n">
        <v>1</v>
      </c>
      <c r="F2017">
        <f>HYPERLINK("https://www.reddit.com/r/GERD/comments/che5uo/bad_smell_in_nose/")</f>
        <v/>
      </c>
      <c r="G2017" t="inlineStr">
        <is>
          <t>2019-07-24 14:17:59</t>
        </is>
      </c>
      <c r="H2017" t="inlineStr"/>
    </row>
    <row r="2018">
      <c r="A2018" t="inlineStr">
        <is>
          <t>che97j</t>
        </is>
      </c>
      <c r="B2018" t="inlineStr">
        <is>
          <t>Been experiencing odd symptons for a month</t>
        </is>
      </c>
      <c r="C2018" t="inlineStr">
        <is>
          <t>I did fasting periods over a month ago as an attempt to lose weight and quit fasting due to the acidic taste in my mouth that would last for weeks. Unfortunately the acidic taste never left fully, it is still present at the back of my mouth, I feel very minor heartburn and a strange need to burp constantly? Do the symptons I mentioned sound like GERD? These symptons have now lasted for a month.</t>
        </is>
      </c>
      <c r="D2018" t="n">
        <v>1</v>
      </c>
      <c r="E2018" t="n">
        <v>1</v>
      </c>
      <c r="F2018">
        <f>HYPERLINK("https://www.reddit.com/r/GERD/comments/che97j/been_experiencing_odd_symptons_for_a_month/")</f>
        <v/>
      </c>
      <c r="G2018" t="inlineStr">
        <is>
          <t>2019-07-24 14:24:28</t>
        </is>
      </c>
      <c r="H2018" t="inlineStr"/>
    </row>
    <row r="2019">
      <c r="A2019" t="inlineStr">
        <is>
          <t>cheex1</t>
        </is>
      </c>
      <c r="B2019" t="inlineStr">
        <is>
          <t>Shortness of breath - please read</t>
        </is>
      </c>
      <c r="C2019" t="inlineStr">
        <is>
          <t>Has anyone ever experienced shortness of breath that can be relieved when your body is in certain positions? I’m having a hard time explaining it, but I’ve been struggling with the SOB for about a month now, and when I stretch to the side  or lean forward a certain way I feel like I can get a full breath. 
Really curious if anyone else had experienced this! I’ve been evaluated and cleared by a cardiologist and a pulmonologist so far.</t>
        </is>
      </c>
      <c r="D2019" t="n">
        <v>3</v>
      </c>
      <c r="E2019" t="n">
        <v>7</v>
      </c>
      <c r="F2019">
        <f>HYPERLINK("https://www.reddit.com/r/GERD/comments/cheex1/shortness_of_breath_please_read/")</f>
        <v/>
      </c>
      <c r="G2019" t="inlineStr">
        <is>
          <t>2019-07-24 14:36:05</t>
        </is>
      </c>
      <c r="H2019" t="inlineStr"/>
    </row>
    <row r="2020">
      <c r="A2020" t="inlineStr">
        <is>
          <t>chepu7</t>
        </is>
      </c>
      <c r="B2020" t="inlineStr">
        <is>
          <t>Barrett's Esophagus - Importance of 2nd Opinion</t>
        </is>
      </c>
      <c r="C2020" t="inlineStr">
        <is>
          <t>I have what I think is an interesting case and wanted to share for those going through a similar siutation.  
Back in March of 2019 I started having shortness of breath with no significant GI symptoms.  I had a slight butterfly feeling in my esophagus and would occassionally burp after eating.  I was initially going to go to the cardiologist, but decided to go to the GI docter as my GF thought I had reflux issues.
My initial GI visit was to have an endocsopy done along with a chest and abdominal scan.  Both scans came out fine.  My endoscopy came back showing Esophigitis Grad B and Barrett's Esophagus - small segment non dysplasia.  
After having a bad experience with my GI doctor (was awful in many ways but that's another story), I decided to go to a highly regarded group of GI doctors affiliated with a top notch hospital in the Philadelphia area.  Upon a 2nd edonscopy, the results came back showing no signs of Barrett's or Esophagitis Grade B.  I asked my GI doctor if it went away or whether I ever had it.  He said his biopsies did not show Barrett's however, my prior biopsies did.  This could mean I have a very small amount of BE that can be missed with biopsies.  However it is important that I remain on antacid medications and recheck in 3 years to see if anything has changed.  
I was happy with that news.  I've had some success with Nexium and Gaviscon Advance (UK).  If you can get a second opinion, I'd go for it.</t>
        </is>
      </c>
      <c r="D2020" t="n">
        <v>14</v>
      </c>
      <c r="E2020" t="n">
        <v>10</v>
      </c>
      <c r="F2020">
        <f>HYPERLINK("https://www.reddit.com/r/GERD/comments/chepu7/barretts_esophagus_importance_of_2nd_opinion/")</f>
        <v/>
      </c>
      <c r="G2020" t="inlineStr">
        <is>
          <t>2019-07-24 14:59:31</t>
        </is>
      </c>
      <c r="H2020" t="inlineStr"/>
    </row>
    <row r="2021">
      <c r="A2021" t="inlineStr">
        <is>
          <t>chgp11</t>
        </is>
      </c>
      <c r="B2021" t="inlineStr">
        <is>
          <t>Just got approved for LINX Surgery, seeking opinions on it</t>
        </is>
      </c>
      <c r="C2021" t="inlineStr">
        <is>
          <t>Hi all, just hoping it might be possible to get some feedback/opinions around the LINX procedure for GERD, from those who have either had it or are familiar with it.
I recently underwent 24-hour pH testing and I was found to have pretty bad reflux, and my medical insurance just provided authorization to cover me for the LINX procedure.  I pretty much had a few questions related to side effects and outcome, specifically:
* What are the most common side effects, and which are the most cumbersome to deal with?  
* Am I not going to be able to eat big meals anymore?  Will I get bloated if I eat too much?
* Any long-term side inconvenience associated with this procedure?  E.g. Since the ring is made of titanium, will issues arise when dealing with MRI machines, X-rays, airport security, etc.?
* How bad/noticeable do the scars tend to get on the abdominal area?  Would they be conspicuous when going shirtless at the beach/pool?
* What's recovery like?  I understand it's much less of an ordeal than the aftermath of Nissen surgery, but just some feedback from someone who has experienced it first-hand.
* How pleased are you of the outcome and its benefits?  Noticeable and worth it?
Thank you kindly in advance for any information at all you might be able to provide...much appreciated!</t>
        </is>
      </c>
      <c r="D2021" t="n">
        <v>3</v>
      </c>
      <c r="E2021" t="n">
        <v>10</v>
      </c>
      <c r="F2021">
        <f>HYPERLINK("https://www.reddit.com/r/GERD/comments/chgp11/just_got_approved_for_linx_surgery_seeking/")</f>
        <v/>
      </c>
      <c r="G2021" t="inlineStr">
        <is>
          <t>2019-07-24 17:49:59</t>
        </is>
      </c>
      <c r="H2021" t="inlineStr"/>
    </row>
    <row r="2022">
      <c r="A2022" t="inlineStr">
        <is>
          <t>chhu1g</t>
        </is>
      </c>
      <c r="B2022" t="inlineStr">
        <is>
          <t>Tips to help cough?</t>
        </is>
      </c>
      <c r="C2022" t="inlineStr">
        <is>
          <t>My meds have made the “acid” go away but I still have awful reflux...the kind where it feels like you’re right on the edge of a burp and your throat feels full but you can’t force a burp. 
About 3 or 4 weeks ago I started having a cough at bedtime and in the morning...then it would wake me up at night...now it’s throughout the day. It feels like a tickle in the back of my throat and takes forever to go away. Sometimes I cough to the point of vomiting, and a few times I’ve had a solitary gentle cough that caused me to throw up. 
Anyways, I have some leftover tessalon perles and I’ve been taking one before bed and it helps for a couple hours. 
Are there any OTC remedies that will help? Even if it doesn’t go away all the way, just something to ease it a bit.
I am having an upper endoscopy next week because my GERD has been getting worse in general to the point of being on omeprazole 40mg twice/day and ranitidine at night and sometimes that’s still not enough. 
Thanks!</t>
        </is>
      </c>
      <c r="D2022" t="n">
        <v>3</v>
      </c>
      <c r="E2022" t="n">
        <v>1</v>
      </c>
      <c r="F2022">
        <f>HYPERLINK("https://www.reddit.com/r/GERD/comments/chhu1g/tips_to_help_cough/")</f>
        <v/>
      </c>
      <c r="G2022" t="inlineStr">
        <is>
          <t>2019-07-24 19:37:14</t>
        </is>
      </c>
      <c r="H2022" t="inlineStr"/>
    </row>
    <row r="2023">
      <c r="A2023" t="inlineStr">
        <is>
          <t>chnvth</t>
        </is>
      </c>
      <c r="B2023" t="inlineStr">
        <is>
          <t>Taking nexium everyday without a prescription?</t>
        </is>
      </c>
      <c r="C2023" t="inlineStr">
        <is>
          <t>20 mg, one pill a day. I’ve been taking it for a month but i feel like i probably shouldn’t. Was planning to buy some until my next appointment in half a month but now I’m hesitating. I’ve been diagnosed with GERD and a hiatal hernia.</t>
        </is>
      </c>
      <c r="D2023" t="n">
        <v>2</v>
      </c>
      <c r="E2023" t="n">
        <v>1</v>
      </c>
      <c r="F2023">
        <f>HYPERLINK("https://www.reddit.com/r/GERD/comments/chnvth/taking_nexium_everyday_without_a_prescription/")</f>
        <v/>
      </c>
      <c r="G2023" t="inlineStr">
        <is>
          <t>2019-07-25 06:48:42</t>
        </is>
      </c>
      <c r="H2023" t="inlineStr"/>
    </row>
    <row r="2024">
      <c r="A2024" t="inlineStr">
        <is>
          <t>choipb</t>
        </is>
      </c>
      <c r="B2024" t="inlineStr">
        <is>
          <t>Nexium 40mg for over 12 years</t>
        </is>
      </c>
      <c r="C2024" t="inlineStr">
        <is>
          <t>I've been taking Nexium 40 mg for over 12 years for my GERD. Been OK so far, no issues I can think of.</t>
        </is>
      </c>
      <c r="D2024" t="n">
        <v>10</v>
      </c>
      <c r="E2024" t="n">
        <v>25</v>
      </c>
      <c r="F2024">
        <f>HYPERLINK("https://www.reddit.com/r/GERD/comments/choipb/nexium_40mg_for_over_12_years/")</f>
        <v/>
      </c>
      <c r="G2024" t="inlineStr">
        <is>
          <t>2019-07-25 07:37:57</t>
        </is>
      </c>
      <c r="H2024" t="inlineStr"/>
    </row>
    <row r="2025">
      <c r="A2025" t="inlineStr">
        <is>
          <t>choull</t>
        </is>
      </c>
      <c r="B2025" t="inlineStr">
        <is>
          <t>21 years old; having severe trouble swallowing and constant burping</t>
        </is>
      </c>
      <c r="C2025" t="inlineStr">
        <is>
          <t>Got prescribed omeprazole but i havent been taking it because i thought i felt better but it suddenly came back. Some days i can swallow ok but never fully mormally. Always need water to push down the food. I just want this to stop. What could be causing this?</t>
        </is>
      </c>
      <c r="D2025" t="n">
        <v>2</v>
      </c>
      <c r="E2025" t="n">
        <v>5</v>
      </c>
      <c r="F2025">
        <f>HYPERLINK("https://www.reddit.com/r/GERD/comments/choull/21_years_old_having_severe_trouble_swallowing_and/")</f>
        <v/>
      </c>
      <c r="G2025" t="inlineStr">
        <is>
          <t>2019-07-25 08:02:10</t>
        </is>
      </c>
      <c r="H2025" t="inlineStr"/>
    </row>
    <row r="2026">
      <c r="A2026" t="inlineStr">
        <is>
          <t>chozfk</t>
        </is>
      </c>
      <c r="B2026" t="inlineStr">
        <is>
          <t>Good advice for weaning off omeprazole with LPR symptoms?</t>
        </is>
      </c>
      <c r="C2026" t="inlineStr">
        <is>
          <t>I've been on a 20mg daily dose of omeprazole for GERD for about 1.5 years now. In the same sitting, my doctor had prescribed me an inhaler for what appeared to be wheezing, though he never made an official diagnosis. I'm beginning to realize now that it may have been due to LPR, which has never come up with a doctor in the long time I'm been visiting them over these complaints.
I've committed to a workout regimen and am slowly losing weight, as I think 15 lbs or so of weight gain brought this on in the first place, but I'm noticing LPR symptoms appear to be worse than usual lately (maybe exacerbated by seasonal allergies which are horrible here?) despite the fact that the omeprazole has made my GERD disappear almost completely. 
The problem is--I've heard about all the problems with long-term omeprazole use and I'm worried about being on it for so long. I'm tired all the time, I feel weaker and I've noticed gray hairs (I hear these are all symptoms of a B deficiency). 
I'm also worried about the rebound being worse the longer I'm on omeprazole, so I thought I'd wean off now.
But I wanted to ask if this would be a mistake when the LPR (occasional globus, scratchy throat, postnasal drip sensation, throat clearing, wheezy) is more noticeable than usual lately.
I guess it's about weighing the risks, but I'm not sure which is greater or if there are better weighs to counter LPR than with a PPI. Hoping continued weight loss helps fix the problem but I don't know that I've seen that much improvement from it yet.</t>
        </is>
      </c>
      <c r="D2026" t="n">
        <v>1</v>
      </c>
      <c r="E2026" t="n">
        <v>0</v>
      </c>
      <c r="F2026">
        <f>HYPERLINK("https://www.reddit.com/r/GERD/comments/chozfk/good_advice_for_weaning_off_omeprazole_with_lpr/")</f>
        <v/>
      </c>
      <c r="G2026" t="inlineStr">
        <is>
          <t>2019-07-25 08:11:14</t>
        </is>
      </c>
      <c r="H2026" t="inlineStr"/>
    </row>
    <row r="2027">
      <c r="A2027" t="inlineStr">
        <is>
          <t>chpnjs</t>
        </is>
      </c>
      <c r="B2027" t="inlineStr">
        <is>
          <t>Any noticable reduction in symptoms from Pre and Probiotics?</t>
        </is>
      </c>
      <c r="C2027" t="inlineStr">
        <is>
          <t>I've always had gastro issues, particularly IBS. I've also always had acid reflux and was diagnosed with GERD about 2 years ago. My current prescription, Famotidine is only helping slightly and I can't seem to get my prescription for Pantoprazole filled (I'm going back and forth with the doctor and pharmacy, and no one seems to be doing their job correctly, super annoying) and it's the only thing that really helps so I've been in a lot of pain. Forgot to mention I've had an endoscopy and found out I have a hiatal hernia.
Due to all the gastro issues I've decided to start taking Probiotics and prebiotic fiber supplements. I was wondering if anyone else has had any success with having less GERD flare-ups due to adding these things to their diet? My stomach has been a mess since for the last few days but I only started this about a week and a half ago and I read that is normal. So far today, I haven't had an attack, which is unusual cause I've had my morning coffee and that's my trigger.</t>
        </is>
      </c>
      <c r="D2027" t="n">
        <v>2</v>
      </c>
      <c r="E2027" t="n">
        <v>3</v>
      </c>
      <c r="F2027">
        <f>HYPERLINK("https://www.reddit.com/r/GERD/comments/chpnjs/any_noticable_reduction_in_symptoms_from_pre_and/")</f>
        <v/>
      </c>
      <c r="G2027" t="inlineStr">
        <is>
          <t>2019-07-25 09:02:09</t>
        </is>
      </c>
      <c r="H2027" t="inlineStr"/>
    </row>
    <row r="2028">
      <c r="A2028" t="inlineStr">
        <is>
          <t>chq4jm</t>
        </is>
      </c>
      <c r="B2028" t="inlineStr">
        <is>
          <t>Surgery vs Medication</t>
        </is>
      </c>
      <c r="C2028" t="inlineStr">
        <is>
          <t>Hi folks, 
&amp;amp;#x200B;
Looking for some feedback to make sure I'm not jumping the gun by looking for a surgical fix. 
&amp;amp;#x200B;
I had an endoscopy a month ago - small hiatal hernia and mild-moderate gastritis. I've had worsening reflux symptoms over the past year, primarily throat burn, bad breath, and dry mouth. I tried nexium, then pantoprazole, and now dexilant for the past month. I've streamlined my diet and cut out caffeine entirely, and my symptoms have mostly resolved. The main symptom I still have is dry mouth, which means I have to chew gum, use mouth rinse, or drink water all day long.  The problem is that if I deviate even a little bit from my diet I get pretty bad heartburn. I also work in a profession that requires 24 hour shifts, so not having the freedom to drink any form of caffeine is going to be tough in the long run. I would also rather not being on such a strong, and expensive, medication for the rest of my life.
&amp;amp;#x200B;
I had my endoscopy follow-up appointment with my GI today, and I went in to it hoping to discuss surgical options. The doc was strongly urging me to stick to medication only, since he sees my symptoms as well-controlled. He also wants me to see an ENT, as he's convinced that my dry mouth (which happens when I get reflux) is unrelated to the reflux. At this point, I want a long-term fix that will allow me to get back to a somewhat normal diet. I'm not talking about pounding hot wings and beer every night for dinner, but I'd like to have some flexibility. Also, I need to be able to drink coffee or tea. Is it crazy for me to push for surgery for these reasons? I've read studies that talk about using LINX, TIF, etc for patients whose symptoms are well-controlled on medication but want to avoid long-term usage. I want to make sure I'm not looking at this in the wrong way, given that my GI wasn't very supportive of moving forward with surgery. 
&amp;amp;#x200B;
Thanks for the feedback.</t>
        </is>
      </c>
      <c r="D2028" t="n">
        <v>5</v>
      </c>
      <c r="E2028" t="n">
        <v>39</v>
      </c>
      <c r="F2028">
        <f>HYPERLINK("https://www.reddit.com/r/GERD/comments/chq4jm/surgery_vs_medication/")</f>
        <v/>
      </c>
      <c r="G2028" t="inlineStr">
        <is>
          <t>2019-07-25 09:38:44</t>
        </is>
      </c>
      <c r="H2028" t="inlineStr"/>
    </row>
    <row r="2029">
      <c r="A2029" t="inlineStr">
        <is>
          <t>chqnzz</t>
        </is>
      </c>
      <c r="B2029" t="inlineStr">
        <is>
          <t>Silent reflux after surgery? Breathing difficulty.</t>
        </is>
      </c>
      <c r="C2029" t="inlineStr">
        <is>
          <t>Had hernia surgery last November where they installed a breathing tube during the procedure. 
The end of January I started having shortness of breath. All test come back normal (stress test, x rays, breathing tests) and it was suggested it is a result of acid. 
I never had these symptoms beforehand. I did, and still do have mild asthma which is what this shortness of breath feels like. The inhaler just doesn’t fix it.</t>
        </is>
      </c>
      <c r="D2029" t="n">
        <v>3</v>
      </c>
      <c r="E2029" t="n">
        <v>18</v>
      </c>
      <c r="F2029">
        <f>HYPERLINK("https://www.reddit.com/r/GERD/comments/chqnzz/silent_reflux_after_surgery_breathing_difficulty/")</f>
        <v/>
      </c>
      <c r="G2029" t="inlineStr">
        <is>
          <t>2019-07-25 10:20:12</t>
        </is>
      </c>
      <c r="H2029" t="inlineStr"/>
    </row>
    <row r="2030">
      <c r="A2030" t="inlineStr">
        <is>
          <t>chs92p</t>
        </is>
      </c>
      <c r="B2030" t="inlineStr">
        <is>
          <t>PPI Medicine</t>
        </is>
      </c>
      <c r="C2030" t="inlineStr">
        <is>
          <t>I recently took omerapazole for 5 days even though I did not have reflux my doctor said to take it  and after 5 days of taking omerapazole I stopped and after a couple of days now I am having reflux is this ppi rebound because I did not have reflux before I took omerapazole so is this ppi rebound ???</t>
        </is>
      </c>
      <c r="D2030" t="n">
        <v>3</v>
      </c>
      <c r="E2030" t="n">
        <v>11</v>
      </c>
      <c r="F2030">
        <f>HYPERLINK("https://www.reddit.com/r/GERD/comments/chs92p/ppi_medicine/")</f>
        <v/>
      </c>
      <c r="G2030" t="inlineStr">
        <is>
          <t>2019-07-25 12:23:24</t>
        </is>
      </c>
      <c r="H2030" t="inlineStr"/>
    </row>
    <row r="2031">
      <c r="A2031" t="inlineStr">
        <is>
          <t>chtj08</t>
        </is>
      </c>
      <c r="B2031" t="inlineStr">
        <is>
          <t>Recipes</t>
        </is>
      </c>
      <c r="C2031" t="inlineStr">
        <is>
          <t>Anyone have any good go-to recipes for variety? I'm trying to switch things up on occasion but obviously GERD complicates things.</t>
        </is>
      </c>
      <c r="D2031" t="n">
        <v>2</v>
      </c>
      <c r="E2031" t="n">
        <v>6</v>
      </c>
      <c r="F2031">
        <f>HYPERLINK("https://www.reddit.com/r/GERD/comments/chtj08/recipes/")</f>
        <v/>
      </c>
      <c r="G2031" t="inlineStr">
        <is>
          <t>2019-07-25 14:04:32</t>
        </is>
      </c>
      <c r="H2031" t="inlineStr"/>
    </row>
    <row r="2032">
      <c r="A2032" t="inlineStr">
        <is>
          <t>chtnrn</t>
        </is>
      </c>
      <c r="B2032" t="inlineStr">
        <is>
          <t>Bile Reflux</t>
        </is>
      </c>
      <c r="C2032" t="inlineStr">
        <is>
          <t>Anyone tested for bile reflux? I just read that what docs assume is gerd from acid could sometimes really be bile reflux and they may not do proper tests to make this distinction. Anyone gave knowledge experience in any way with this?</t>
        </is>
      </c>
      <c r="D2032" t="n">
        <v>7</v>
      </c>
      <c r="E2032" t="n">
        <v>10</v>
      </c>
      <c r="F2032">
        <f>HYPERLINK("https://www.reddit.com/r/GERD/comments/chtnrn/bile_reflux/")</f>
        <v/>
      </c>
      <c r="G2032" t="inlineStr">
        <is>
          <t>2019-07-25 14:15:19</t>
        </is>
      </c>
      <c r="H2032" t="inlineStr"/>
    </row>
    <row r="2033">
      <c r="A2033" t="inlineStr">
        <is>
          <t>chuhd7</t>
        </is>
      </c>
      <c r="B2033" t="inlineStr">
        <is>
          <t>Food getting stuck in esophagus/lower throat and not going down? Feeling the need to constantly regurgitate. Worried.</t>
        </is>
      </c>
      <c r="C2033" t="inlineStr">
        <is>
          <t>Hey guys, new to the forum. 
Just wondering if anyone has dealt with this. For the past couple days I've felt like there's food that just kinda gets stuck at the back of my throat/upper esophagus area. That feeling of food being stuck has caused me to have some back tightness in that area. 
Due to this I have urges to regurgitate it back up by force burping it out which causes pain in my esophagus area, but it rarely ever works. When it does, I only get a little bit of mucus which I proceed to spit out, but then feel most of the food/ mucus or whatever it is moving back down my lower throat into my upper esophagus area. It just feels like most of the matter is just stuck there and it's causing a lot of discomfort and a little bit of pain/shortness of breath. 
I am taking 150mg of Ranitidine daily for the last year and have already been taking 40mg of Pantaprazole for the last month. 
I am a 25 y/o male, average weight, don't smoke, don't drink. I have a history of GI issues. Diagnosed with GERD and IBD. I got an endoscopy like 14 months ago in which I tested positive for h. pylori and also had some gastritis. 
Just wondering if anyone has dealt with this or if it's more uncommon. 80% of the links that show up when I google are for esophagus cancer, so naturally just getting really worried. Any insights or thoughts would be appreciated. Thanks.</t>
        </is>
      </c>
      <c r="D2033" t="n">
        <v>2</v>
      </c>
      <c r="E2033" t="n">
        <v>4</v>
      </c>
      <c r="F2033">
        <f>HYPERLINK("https://www.reddit.com/r/GERD/comments/chuhd7/food_getting_stuck_in_esophaguslower_throat_and/")</f>
        <v/>
      </c>
      <c r="G2033" t="inlineStr">
        <is>
          <t>2019-07-25 15:23:45</t>
        </is>
      </c>
      <c r="H2033" t="inlineStr"/>
    </row>
    <row r="2034">
      <c r="A2034" t="inlineStr">
        <is>
          <t>chumq9</t>
        </is>
      </c>
      <c r="B2034" t="inlineStr">
        <is>
          <t>I feel hopeless</t>
        </is>
      </c>
      <c r="C2034" t="inlineStr">
        <is>
          <t>Went to the doctor for difficulty swallowing/lump in throat feeling that goes away after like 30 minutes if i dan burp. He gave me Prilosec to take for 2 weeks and if I don’t notice a difference he’ll do an endoscopy. 
It’s been almost a week and no difference, am I just being impatient? 
Also, my insurance sucks ass and doesn’t cover a good portion of the endoscopy. The front desk told me I’ll have to pay a lot more than I can afford up front.
My father has acid reflux and tells me I should just scrap the endoscopy. He has bad acid reflux yet still eats like shit, so I was kinda brought up eating very unhealthily. I blame him for it all tbh. 
I just don’t know what to do anymore, I’m trying to remain positive but idk what to do. I can’t find any solutions to this anywhere</t>
        </is>
      </c>
      <c r="D2034" t="n">
        <v>5</v>
      </c>
      <c r="E2034" t="n">
        <v>5</v>
      </c>
      <c r="F2034">
        <f>HYPERLINK("https://www.reddit.com/r/GERD/comments/chumq9/i_feel_hopeless/")</f>
        <v/>
      </c>
      <c r="G2034" t="inlineStr">
        <is>
          <t>2019-07-25 15:36:23</t>
        </is>
      </c>
      <c r="H2034" t="inlineStr"/>
    </row>
    <row r="2035">
      <c r="A2035" t="inlineStr">
        <is>
          <t>chundp</t>
        </is>
      </c>
      <c r="B2035" t="inlineStr">
        <is>
          <t>How did you get GERD?</t>
        </is>
      </c>
      <c r="C2035" t="inlineStr">
        <is>
          <t>Last week I noticed that my throat felt strange when i laid down.
Since then, i feel uncomfortable and a kind of liquid in my throat.
I'm suspecting this is stomach acid and that this may be gerd. (dr appointment booked for tomorrow).
This all happened so suddenly.
Wondering how you found out you had this? Did it come suddenly? Over time?
This really sucks.....</t>
        </is>
      </c>
      <c r="D2035" t="n">
        <v>2</v>
      </c>
      <c r="E2035" t="n">
        <v>7</v>
      </c>
      <c r="F2035">
        <f>HYPERLINK("https://www.reddit.com/r/GERD/comments/chundp/how_did_you_get_gerd/")</f>
        <v/>
      </c>
      <c r="G2035" t="inlineStr">
        <is>
          <t>2019-07-25 15:38:00</t>
        </is>
      </c>
      <c r="H2035" t="inlineStr"/>
    </row>
    <row r="2036">
      <c r="A2036" t="inlineStr">
        <is>
          <t>chuy8c</t>
        </is>
      </c>
      <c r="B2036" t="inlineStr">
        <is>
          <t>Breathing with LPR</t>
        </is>
      </c>
      <c r="C2036" t="inlineStr">
        <is>
          <t>Hi everyone - prospective LPR sufferer here. (And suffering it truly is, wow.) I’ve had symptoms for ~1 month and am hoping for any clarity on what’s going on. I’ll be detailed in case my description can help anyone else.
Around 4 weeks ago, I suddenly started to have trouble breathing. I’d describe it as struggling to take a deep breath; it’s been consistent since then, and doesn’t get better/worse with exercise. I also had a strange pop (or catch) in my throat/upper chest with many breaths and a lot of burping (in fact, I can force a burp whenever — not the superpower I was hoping for as a kid!). However, I didn’t have a history of reflux or a cough so I assumed it was something much worse. The mental fogginess was off the charts nuts.
Fast forward 2 hyperventilation episodes, 1 ER visit, a laryngoscopy, an endoscopy, PFT, and a lot of shitty days... you get the idea. I cut out coffee, fatty foods, etc. There’s nothing wrong with my chest or lungs, and only mild gastritis in my stomach. 
Docs had no idea what my issue was, so my GI prescribed omeprazole (20-40mg) for 3 weeks but it hasn’t improved my breathing. Instead, I picked up other symptoms, including muscle aches, random pains, and what felt like an acid flare-up after eating and bending over to tie my shoe (lol). Since the latter event, I now have hoarseness, constant nasal drip, intermittent globus/choking - the works!
I’m now planning to switch it up and fix my diet, sleep, etc. since I don’t see other options.
Tl;dr - started with trouble breathing and burping but no other reflux symptoms. PPIs made it worse.
That’s the situation. On to my questions:
-- Does this sound like LPR? I’m still blown away that the breathing phenomenon would start so suddenly with no cough.  Anyone have similar progression and/or popping sensation? It’s freaky.
-- Have PPIs made it worse for anyone else? My hypothesis is it created bloating, increasing my IAB and forcing more acid through the LES. 
-- I’m a fit dude in my early 20s. I was bulking before this and work late nights, so I’m thinking I overate and drank too much coffee late, weakening my LES.  Anyone run into something similar? 
If you’re still with me, thanks for finishing this long post. Peace &amp;amp; love and hope we can all find some relief.</t>
        </is>
      </c>
      <c r="D2036" t="n">
        <v>2</v>
      </c>
      <c r="E2036" t="n">
        <v>5</v>
      </c>
      <c r="F2036">
        <f>HYPERLINK("https://www.reddit.com/r/GERD/comments/chuy8c/breathing_with_lpr/")</f>
        <v/>
      </c>
      <c r="G2036" t="inlineStr">
        <is>
          <t>2019-07-25 16:04:47</t>
        </is>
      </c>
      <c r="H2036" t="inlineStr"/>
    </row>
    <row r="2037">
      <c r="A2037" t="inlineStr">
        <is>
          <t>chwhot</t>
        </is>
      </c>
      <c r="B2037" t="inlineStr">
        <is>
          <t>Question about probability of Barrett’s (afraid to ask...)</t>
        </is>
      </c>
      <c r="C2037" t="inlineStr">
        <is>
          <t>So. I recently switched health insurance and have a new gastro. I have had an absurdly stressful year and, as expected, my reflux, which until now I had been controlling through lifestyle changes, has flared up pretty bad. So I figured I would go see him.
My previous doctors wanted to do an endoscopy on me yearly for checkups. This guy basically said that if Barrett’s hadn’t shown up on my first endoscopy, in his experience it was very unlikely (not impossible, but very unlikely) that I would develop it later. And since I had had multiple endoscopies showing no Barrett’s, it wasn’t likely that I have it now. 
This helped me let go of some anxiety, so I have been afraid to ask here, but need to know...has that been anyone else’s experience? Those of you who have Barrett’s: did you get diagnosed with it on your first endoscopy? 
He also basically said that, no matter what they find on endoscopies, the suggested therapies are usually all the same and if my lifestyle changes had been working, keep up with them. And maybe be more strict with them to try to heal this flare up.
Eh? Thoughts?</t>
        </is>
      </c>
      <c r="D2037" t="n">
        <v>1</v>
      </c>
      <c r="E2037" t="n">
        <v>0</v>
      </c>
      <c r="F2037">
        <f>HYPERLINK("https://www.reddit.com/r/GERD/comments/chwhot/question_about_probability_of_barretts_afraid_to/")</f>
        <v/>
      </c>
      <c r="G2037" t="inlineStr">
        <is>
          <t>2019-07-25 18:29:41</t>
        </is>
      </c>
      <c r="H2037" t="inlineStr"/>
    </row>
    <row r="2038">
      <c r="A2038" t="inlineStr">
        <is>
          <t>chyoan</t>
        </is>
      </c>
      <c r="B2038" t="inlineStr">
        <is>
          <t>Endoscopy?</t>
        </is>
      </c>
      <c r="C2038" t="inlineStr">
        <is>
          <t>I have been having constapation after my endoscopy is this normal ???</t>
        </is>
      </c>
      <c r="D2038" t="n">
        <v>1</v>
      </c>
      <c r="E2038" t="n">
        <v>7</v>
      </c>
      <c r="F2038">
        <f>HYPERLINK("https://www.reddit.com/r/GERD/comments/chyoan/endoscopy/")</f>
        <v/>
      </c>
      <c r="G2038" t="inlineStr">
        <is>
          <t>2019-07-25 22:13:51</t>
        </is>
      </c>
      <c r="H2038" t="inlineStr"/>
    </row>
    <row r="2039">
      <c r="A2039" t="inlineStr">
        <is>
          <t>chz6rr</t>
        </is>
      </c>
      <c r="B2039" t="inlineStr">
        <is>
          <t>Three weeks ago I had to take a lot of NSAIDS and antibiotics -- is it possible that I'm experiencing GERD only just now?</t>
        </is>
      </c>
      <c r="C2039" t="inlineStr">
        <is>
          <t>I've had GERD for over a year now but only got myself checked about 4 months ago. I stopped taking Omeprazole after 1 week of taking it because I seem to have gotten better, but three weeks ago I got very sick and I had to take many NSAIDS and antibiotics, and now I've been experiencing GERD three weeks later. Could it be the NSAIDS and antibiotics that have been the cause or something else? It's also worth noting that last week I haven't eaten much, and there were days when I could only eat once a day. I work from home on a night shift, and sometimes I'd rather just sleep during the day than eat, and then I'll just take dinner and go back to work again. It really hurts whenever I finish eating, but taking antacids help too. I'm just a bit worried. Is the meds that I took weeks before to blame or my lack of eating?</t>
        </is>
      </c>
      <c r="D2039" t="n">
        <v>2</v>
      </c>
      <c r="E2039" t="n">
        <v>3</v>
      </c>
      <c r="F2039">
        <f>HYPERLINK("https://www.reddit.com/r/GERD/comments/chz6rr/three_weeks_ago_i_had_to_take_a_lot_of_nsaids_and/")</f>
        <v/>
      </c>
      <c r="G2039" t="inlineStr">
        <is>
          <t>2019-07-25 23:14:19</t>
        </is>
      </c>
      <c r="H2039" t="inlineStr"/>
    </row>
    <row r="2040">
      <c r="A2040" t="inlineStr">
        <is>
          <t>ci147v</t>
        </is>
      </c>
      <c r="B2040" t="inlineStr">
        <is>
          <t>Is the Magnetic Sphincter Augmentation(MSA) Available in Australia?</t>
        </is>
      </c>
      <c r="C2040" t="inlineStr">
        <is>
          <t>I'm asking because while MSA is new and approved by the FDA in 2012, Australia tends to fall behind in technology.
I haven't been able to find much based on my own research and I was wondering if anyone knew the answer.
Any replies are appreciated!
Thanks!</t>
        </is>
      </c>
      <c r="D2040" t="n">
        <v>4</v>
      </c>
      <c r="E2040" t="n">
        <v>2</v>
      </c>
      <c r="F2040">
        <f>HYPERLINK("https://www.reddit.com/r/GERD/comments/ci147v/is_the_magnetic_sphincter_augmentationmsa/")</f>
        <v/>
      </c>
      <c r="G2040" t="inlineStr">
        <is>
          <t>2019-07-26 03:22:11</t>
        </is>
      </c>
      <c r="H2040" t="inlineStr"/>
    </row>
    <row r="2041">
      <c r="A2041" t="inlineStr">
        <is>
          <t>ci2lwi</t>
        </is>
      </c>
      <c r="B2041" t="inlineStr">
        <is>
          <t>Virus/Bacteria or LPR?</t>
        </is>
      </c>
      <c r="C2041" t="inlineStr">
        <is>
          <t>Hello, I hope you'll read everything.
Side notes: I am skinny, under 18, female.
about a little more than 3 weeks ago it felt like i was being strangled and i got a sore throat, it got worse and the next day when i woke up i also felt really sick. went to a doctor because i never experienced this before. He measured my body temperature and it was **37,5 Celsius (fever**) I do have to mention that i went to another ENT doctor and she looked in my nose. (for a mucus problem, which is caused by something with my nose, dont know what but when i took a nasal spray it pretty much went away) literally that night it was hard to breathe all of a sudden and the next day i had a very sore throat and the feeling like i was being strangled. (My voice also changed, that went away and i havent had that since)
I went to an ENT doctor that same day and he looked in my throat, he saw that my throat and vocal cords were a bit red and swollen and he thought it was acid reflux. He said that it was just a hypothesis and that he wasnt sure and that the ppis were just a test to see if the symptoms would go away. He prescribed me a PPI (pantoprazol) but when i read the side effects i decided not to take them. I bought maalox and gaviscon and first took gaviscon before i went to bed but i still had a sore throat and the feeling like a lump in my throat. I was also very sick at the time (I had a fever, just felt bad in general) that went on for 2 weeks and then the sore throat starting decreasing. I randomly got chest pains (not in the middle, more to the left side, and it wasnt after eating or anything) that went on for 3 days or so.
 also ate bananas every day and that would give me an acidic taste in my mouth, when i quit those it went away. (I also overate quite a bit, especially on bread, i started eating less bread too.)
During this time i also had to burp a lot, i only regurgitated once after laying down and the other times were when i was extremely nauseous from taking the antacids. Because i got so sick from the antacids i quit them, nausea, stomach pains went away.
Then i got very low blood pressure, i'd get really cold, dizziness, lack of concentration, shortness of breath, fever (felt sick). (occasionally my throat would hurt but it wasnt as bad as before) Went to a doctor and he thought the chest pains were because of a muscle or a rib because when he pressed on it, it hurt. (this went away after 5 days or so)
I when i went back to that ENT doc (the one before the symptoms started) (2 weeks after symptoms started, but my throat didnt hurt anymore) i went to first and she looked at my throat it looked fine. When i left that place  my throat started to hurt again and that lasted for 3 days. (i also had pretty bad body aches and my muscles would hurt everywhere) After those 3 days my throat didnt hurt at all.
I also have some type of problem with my toe, not sure how that happened.
Went to another doctor for my low blood pressure and did an examination on my body and everything was fine except that i had a fever (37,5C). I did a blood test and the results were all fine. She thinks that it's a virus that is causing my sore throat and other problems and that it's just taking a long time and that it should go away within 2 weeks from now.
My sore throat got less and less, I even didn't have it for a few days- until I got extremely stressed again (crying etc), i overate and then my throat started hurting again and i had to burp again. that went on for 3 days (third day now and my throat doesn't really hurt anymore but i still have to burp but that's less now.) I ate way too much those days and especially way too much bread (like 8 slices of bread, overate on pizza (5 slices)) during this time. I regurgitated after i went for a walk and walked with crutches after i ate that pizza) I especially burp after drinking water. The burping has decreased now, my throat also barely hurts. I didn't really get the globus sensation feeling this time. I also did not have a sour taste in my mouth except for when  i regurgitated after that pizza.
I just don't know what to do. I don't know if its LPR or just a virus. I really hope it's not LPR. I quit bread again now and I'm hoping it goes away.</t>
        </is>
      </c>
      <c r="D2041" t="n">
        <v>1</v>
      </c>
      <c r="E2041" t="n">
        <v>4</v>
      </c>
      <c r="F2041">
        <f>HYPERLINK("https://www.reddit.com/r/GERD/comments/ci2lwi/virusbacteria_or_lpr/")</f>
        <v/>
      </c>
      <c r="G2041" t="inlineStr">
        <is>
          <t>2019-07-26 06:04:06</t>
        </is>
      </c>
      <c r="H2041" t="inlineStr"/>
    </row>
    <row r="2042">
      <c r="A2042" t="inlineStr">
        <is>
          <t>ci3j7l</t>
        </is>
      </c>
      <c r="B2042" t="inlineStr">
        <is>
          <t>Do y'all get chest pain on left side?</t>
        </is>
      </c>
      <c r="C2042" t="inlineStr">
        <is>
          <t>Does this mean anything different or is it pretty common with all types of reflux?  [picture of area](http://doctorakil.com/wp-content/uploads/2016/03/heartburn-indigestion-940x600.jpg)</t>
        </is>
      </c>
      <c r="D2042" t="n">
        <v>14</v>
      </c>
      <c r="E2042" t="n">
        <v>15</v>
      </c>
      <c r="F2042">
        <f>HYPERLINK("https://www.reddit.com/r/GERD/comments/ci3j7l/do_yall_get_chest_pain_on_left_side/")</f>
        <v/>
      </c>
      <c r="G2042" t="inlineStr">
        <is>
          <t>2019-07-26 07:27:21</t>
        </is>
      </c>
      <c r="H2042" t="inlineStr"/>
    </row>
    <row r="2043">
      <c r="A2043" t="inlineStr">
        <is>
          <t>ci70yc</t>
        </is>
      </c>
      <c r="B2043" t="inlineStr">
        <is>
          <t>Barium Swallow Instructions</t>
        </is>
      </c>
      <c r="C2043" t="inlineStr">
        <is>
          <t xml:space="preserve"> What were your instructions before taking the Barium Swallow? I was told I can eat right before but when I look online it says do not eat 6-8 hours prior. Any suggestions? My logical brain tells me not eating 6 hours prior is most likely going to result in a more accurate outcome. Can I take my meds in the morning with water?
&amp;amp;#x200B;
My doctors office said it doesn't matter. They are a joke of a facility. 
&amp;amp;#x200B;
Mines scheduled for monday
[ ](https://www.facebook.com/ufi/reaction/profile/browser/?ft_ent_identifier=ZmVlZGJhY2s6MjIzNzc4NzM1OTY4Mjc1NQ%3D%3D&amp;amp;av=100001655401968)</t>
        </is>
      </c>
      <c r="D2043" t="n">
        <v>2</v>
      </c>
      <c r="E2043" t="n">
        <v>8</v>
      </c>
      <c r="F2043">
        <f>HYPERLINK("https://www.reddit.com/r/GERD/comments/ci70yc/barium_swallow_instructions/")</f>
        <v/>
      </c>
      <c r="G2043" t="inlineStr">
        <is>
          <t>2019-07-26 12:06:21</t>
        </is>
      </c>
      <c r="H2043" t="inlineStr"/>
    </row>
    <row r="2044">
      <c r="A2044" t="inlineStr">
        <is>
          <t>ci8lly</t>
        </is>
      </c>
      <c r="B2044" t="inlineStr">
        <is>
          <t>Betaine HCL helped me years ago with GERD. This time around, I can take over 12 pills, with 650 mg of acid in each, but I still feel nothing. Who can relate?</t>
        </is>
      </c>
      <c r="C2044" t="inlineStr">
        <is>
          <t>Should I increase the dosage? I'm pretty sure I took 20 in one sitting, and/or 12 on an empty stomach and felt nothing.
 Or is there another issue at play?</t>
        </is>
      </c>
      <c r="D2044" t="n">
        <v>1</v>
      </c>
      <c r="E2044" t="n">
        <v>0</v>
      </c>
      <c r="F2044">
        <f>HYPERLINK("https://www.reddit.com/r/GERD/comments/ci8lly/betaine_hcl_helped_me_years_ago_with_gerd_this/")</f>
        <v/>
      </c>
      <c r="G2044" t="inlineStr">
        <is>
          <t>2019-07-26 14:13:35</t>
        </is>
      </c>
      <c r="H2044" t="inlineStr"/>
    </row>
    <row r="2045">
      <c r="A2045" t="inlineStr">
        <is>
          <t>ci99m2</t>
        </is>
      </c>
      <c r="B2045" t="inlineStr">
        <is>
          <t>Need to burp but can’t - HELP</t>
        </is>
      </c>
      <c r="C2045" t="inlineStr">
        <is>
          <t>Man... this is a horrible feeling.  I have air trapped... I can get it to release a little, but only sometimes and if I turn my head a certain way.  There’s never full relief though... For those with similar symptoms, how do you relieve it?  It’s giving me anxiety which makes me tense up.... like feeling if claustrophobia.</t>
        </is>
      </c>
      <c r="D2045" t="n">
        <v>1</v>
      </c>
      <c r="E2045" t="n">
        <v>0</v>
      </c>
      <c r="F2045">
        <f>HYPERLINK("https://www.reddit.com/r/GERD/comments/ci99m2/need_to_burp_but_cant_help/")</f>
        <v/>
      </c>
      <c r="G2045" t="inlineStr">
        <is>
          <t>2019-07-26 15:08:37</t>
        </is>
      </c>
      <c r="H2045" t="inlineStr"/>
    </row>
    <row r="2046">
      <c r="A2046" t="inlineStr">
        <is>
          <t>ci9n5g</t>
        </is>
      </c>
      <c r="B2046" t="inlineStr">
        <is>
          <t>Am I worrying too much? Is it GERD related?</t>
        </is>
      </c>
      <c r="C2046" t="inlineStr">
        <is>
          <t>Hi all. I've been experiencing "some" symptoms of GERD / Heartburn whatever this is but I'll keep it short.
Basically, last week I started feeling uncomfortable in the chest region (breathing is fine, I sleep well, no nausea, or chest pain nor burning chest feeling), as anxiety kicked in, I got desperate. I've been skipping lots of fatty food and spicy foods until today (July, 26th).
So, as I said, I've all these weird feelings and I thought it was heartburn or GERD, so I started taking TUMs but I still feel kinda weird despite being cautious.
What exactly am I feeling? Anxiety causing this? Or its just a start of the formation of GERD? I really need some perspective on this as I'm feeling pretty down with this and its causing me to lose apetite. Thanks!</t>
        </is>
      </c>
      <c r="D2046" t="n">
        <v>1</v>
      </c>
      <c r="E2046" t="n">
        <v>2</v>
      </c>
      <c r="F2046">
        <f>HYPERLINK("https://www.reddit.com/r/GERD/comments/ci9n5g/am_i_worrying_too_much_is_it_gerd_related/")</f>
        <v/>
      </c>
      <c r="G2046" t="inlineStr">
        <is>
          <t>2019-07-26 15:41:10</t>
        </is>
      </c>
      <c r="H2046" t="inlineStr"/>
    </row>
    <row r="2047">
      <c r="A2047" t="inlineStr">
        <is>
          <t>ci9rtf</t>
        </is>
      </c>
      <c r="B2047" t="inlineStr">
        <is>
          <t>Hiatal hernia surgery</t>
        </is>
      </c>
      <c r="C2047" t="inlineStr">
        <is>
          <t>About 2 years ago I was diagnosed with GERD, a (probably congenital) hiatal hernia, and gastritis. As
of now it hasn’t been said that I need the surgery to repair the hernia. With that said though there’s a good chance I will in the future if my acid doesn’t get in check. I’ve been on Zantac and a protonic for over 1 yr. Because I also have IBS-A I’m limited in what medications I can take. Basically I want to know if the repair surgery is worth it. If it actually helps and what the recovery is like. Any info helps. Thanks !</t>
        </is>
      </c>
      <c r="D2047" t="n">
        <v>2</v>
      </c>
      <c r="E2047" t="n">
        <v>9</v>
      </c>
      <c r="F2047">
        <f>HYPERLINK("https://www.reddit.com/r/GERD/comments/ci9rtf/hiatal_hernia_surgery/")</f>
        <v/>
      </c>
      <c r="G2047" t="inlineStr">
        <is>
          <t>2019-07-26 15:51:53</t>
        </is>
      </c>
      <c r="H2047" t="inlineStr"/>
    </row>
    <row r="2048">
      <c r="A2048" t="inlineStr">
        <is>
          <t>ci9wrd</t>
        </is>
      </c>
      <c r="B2048" t="inlineStr">
        <is>
          <t>stomach ache</t>
        </is>
      </c>
      <c r="C2048" t="inlineStr">
        <is>
          <t>Is gerd also supposed to make your stomach hurt in addition to having a burning feeling in the oesophagus ? If not do you have any idea what is the most probable cause of the burning feeling ? I am taking PPIs so it might also be that ?</t>
        </is>
      </c>
      <c r="D2048" t="n">
        <v>3</v>
      </c>
      <c r="E2048" t="n">
        <v>3</v>
      </c>
      <c r="F2048">
        <f>HYPERLINK("https://www.reddit.com/r/GERD/comments/ci9wrd/stomach_ache/")</f>
        <v/>
      </c>
      <c r="G2048" t="inlineStr">
        <is>
          <t>2019-07-26 16:04:00</t>
        </is>
      </c>
      <c r="H2048" t="inlineStr"/>
    </row>
    <row r="2049">
      <c r="A2049" t="inlineStr">
        <is>
          <t>ciafdr</t>
        </is>
      </c>
      <c r="B2049" t="inlineStr">
        <is>
          <t>What helps y'all sleep on your side?</t>
        </is>
      </c>
      <c r="C2049" t="inlineStr">
        <is>
          <t>I try but it's harder to fall asleep and when I do I usually wake up on my back anyways.  I try to sleep on my left side but it doesn't seem to help the reflux at all, almost feels worse.</t>
        </is>
      </c>
      <c r="D2049" t="n">
        <v>1</v>
      </c>
      <c r="E2049" t="n">
        <v>3</v>
      </c>
      <c r="F2049">
        <f>HYPERLINK("https://www.reddit.com/r/GERD/comments/ciafdr/what_helps_yall_sleep_on_your_side/")</f>
        <v/>
      </c>
      <c r="G2049" t="inlineStr">
        <is>
          <t>2019-07-26 16:49:34</t>
        </is>
      </c>
      <c r="H2049" t="inlineStr"/>
    </row>
    <row r="2050">
      <c r="A2050" t="inlineStr">
        <is>
          <t>cic2mg</t>
        </is>
      </c>
      <c r="B2050" t="inlineStr">
        <is>
          <t>Birth control &amp;amp; GERD?</t>
        </is>
      </c>
      <c r="C2050" t="inlineStr">
        <is>
          <t>Just met with my doctor who decided to switch the pill I’ve been on for 2 years to something with less hormones because of symptoms I developed. The symptoms were due to an excess of estrogen. When I was researching other symptoms that aren’t as common, I noticed GERD symptoms were among them. 
Has anyone else developed GERD while on birth control? Just wondering if this is the reason I randomly developed it at such a young age with no problems beforehand.</t>
        </is>
      </c>
      <c r="D2050" t="n">
        <v>3</v>
      </c>
      <c r="E2050" t="n">
        <v>10</v>
      </c>
      <c r="F2050">
        <f>HYPERLINK("https://www.reddit.com/r/GERD/comments/cic2mg/birth_control_gerd/")</f>
        <v/>
      </c>
      <c r="G2050" t="inlineStr">
        <is>
          <t>2019-07-26 19:31:41</t>
        </is>
      </c>
      <c r="H2050" t="inlineStr"/>
    </row>
    <row r="2051">
      <c r="A2051" t="inlineStr">
        <is>
          <t>cidbx1</t>
        </is>
      </c>
      <c r="B2051" t="inlineStr">
        <is>
          <t>Ate something, now HUGE globus in throat and painful!</t>
        </is>
      </c>
      <c r="C2051" t="inlineStr">
        <is>
          <t>I have had a sore throat and fever since a couple days ago but since I have a tendency to catch a cold at least once a month, i don't really think much of it. Today, as an after dinner snack, I ate some pork rinds. Normally, I do not have issues with food. But today, my throat feels like I swallowed a golf ball or something. It flippin' hurts; like I can feel the pain in my chest, sides, back, and temple area. I know I chewed carefully but it feels like I swallowed one of the pork rinds whole. 
I checked my throat just to be sure and I don't see anything stuck. My tonsils are not big at all. I can breathe normally through my mouth and nose. 
Anyone have this before and any tips?? I am very eager to get rid of this pain.</t>
        </is>
      </c>
      <c r="D2051" t="n">
        <v>1</v>
      </c>
      <c r="E2051" t="n">
        <v>0</v>
      </c>
      <c r="F2051">
        <f>HYPERLINK("https://www.reddit.com/r/GERD/comments/cidbx1/ate_something_now_huge_globus_in_throat_and/")</f>
        <v/>
      </c>
      <c r="G2051" t="inlineStr">
        <is>
          <t>2019-07-26 21:50:54</t>
        </is>
      </c>
      <c r="H2051" t="inlineStr"/>
    </row>
    <row r="2052">
      <c r="A2052" t="inlineStr">
        <is>
          <t>ciegbj</t>
        </is>
      </c>
      <c r="B2052" t="inlineStr">
        <is>
          <t>Having my endoscopy on Monday</t>
        </is>
      </c>
      <c r="C2052" t="inlineStr">
        <is>
          <t>Male 31 YO, been experiencing LPR and esophagitis symptoms for the past 2 months (painful throat, chest discomfort swallowing bread or grains) constant fizzy burps specially when eating stuff like avocados (not having them no more) 
I’ve changed my diet drastically, which made me lose about 5-6 kg but I can’t really see a way out of it, my doctor believes I have an ulcer and diagnosed me as reflux esophagitis before getting the endoscopy, prescribid me Rabeprazole and some ulcer healing meds.
I suffer from health anxiety for about a decade now, I’m terrified of what they could find this Monday, I’m hoping is nothing serious.</t>
        </is>
      </c>
      <c r="D2052" t="n">
        <v>4</v>
      </c>
      <c r="E2052" t="n">
        <v>14</v>
      </c>
      <c r="F2052">
        <f>HYPERLINK("https://www.reddit.com/r/GERD/comments/ciegbj/having_my_endoscopy_on_monday/")</f>
        <v/>
      </c>
      <c r="G2052" t="inlineStr">
        <is>
          <t>2019-07-27 00:06:57</t>
        </is>
      </c>
      <c r="H2052" t="inlineStr"/>
    </row>
    <row r="2053">
      <c r="A2053" t="inlineStr">
        <is>
          <t>cif8vn</t>
        </is>
      </c>
      <c r="B2053" t="inlineStr">
        <is>
          <t>Surgery</t>
        </is>
      </c>
      <c r="C2053" t="inlineStr">
        <is>
          <t>Hi has anyone had surgery or do they know if a fundoplication surgery without a hiatel hernia repair as I haven’t got one is a lot more straightforward and the chances of longevity better? Or are the surgeries the same with or without a hernia? I don’t think I have a hernia but must have a weak les</t>
        </is>
      </c>
      <c r="D2053" t="n">
        <v>2</v>
      </c>
      <c r="E2053" t="n">
        <v>1</v>
      </c>
      <c r="F2053">
        <f>HYPERLINK("https://www.reddit.com/r/GERD/comments/cif8vn/surgery/")</f>
        <v/>
      </c>
      <c r="G2053" t="inlineStr">
        <is>
          <t>2019-07-27 01:51:46</t>
        </is>
      </c>
      <c r="H2053" t="inlineStr"/>
    </row>
    <row r="2054">
      <c r="A2054" t="inlineStr">
        <is>
          <t>cifczc</t>
        </is>
      </c>
      <c r="B2054" t="inlineStr">
        <is>
          <t>Globus Sensation</t>
        </is>
      </c>
      <c r="C2054" t="inlineStr">
        <is>
          <t>I’ve had Globus Sensation for about a week now, and I went to the doctor yesterday and they gave me some Nasal Spray. Should I be worried it could turn into something worse like cancer if it doesn’t get treated? Looking up my symptoms into google does not make me feel good at all.</t>
        </is>
      </c>
      <c r="D2054" t="n">
        <v>1</v>
      </c>
      <c r="E2054" t="n">
        <v>4</v>
      </c>
      <c r="F2054">
        <f>HYPERLINK("https://www.reddit.com/r/GERD/comments/cifczc/globus_sensation/")</f>
        <v/>
      </c>
      <c r="G2054" t="inlineStr">
        <is>
          <t>2019-07-27 02:06:55</t>
        </is>
      </c>
      <c r="H2054" t="inlineStr"/>
    </row>
    <row r="2055">
      <c r="A2055" t="inlineStr">
        <is>
          <t>cigm13</t>
        </is>
      </c>
      <c r="B2055" t="inlineStr">
        <is>
          <t>I've to get a repeat endoscopy. Any idea why?</t>
        </is>
      </c>
      <c r="C2055" t="inlineStr">
        <is>
          <t>I got my endoscopy results the other day, but they still don't have my biopsy results.
Anyway, I was told by my doctor that the results were for the most part fine other than my hernia that we already knew about. 
Today I get a letter saying that I've to get another endoscopy and to phone on Monday to make an appointment. Any idea why that might be? I only had my endoscopy about 4 weeks ago. The only thing I can think of is that my Doctor somehow arranged another one I told him my symptoms remain unchanged. (When I was getting my results)</t>
        </is>
      </c>
      <c r="D2055" t="n">
        <v>1</v>
      </c>
      <c r="E2055" t="n">
        <v>1</v>
      </c>
      <c r="F2055">
        <f>HYPERLINK("https://www.reddit.com/r/GERD/comments/cigm13/ive_to_get_a_repeat_endoscopy_any_idea_why/")</f>
        <v/>
      </c>
      <c r="G2055" t="inlineStr">
        <is>
          <t>2019-07-27 04:53:03</t>
        </is>
      </c>
      <c r="H2055" t="inlineStr"/>
    </row>
    <row r="2056">
      <c r="A2056" t="inlineStr">
        <is>
          <t>ciig66</t>
        </is>
      </c>
      <c r="B2056" t="inlineStr">
        <is>
          <t>Is it effective to take PPI every other day if I can manage the symptoms?</t>
        </is>
      </c>
      <c r="C2056" t="inlineStr">
        <is>
          <t>As the title says. I’ve been taking Esomeprazole (Nexium) 20mg capsules (btw very cute looking little capsules lol) every other day. On the end of the day when I didn’t take them I sometimes start to feel the symptoms such as belching, discomfort in stomach and more excessive salivation so I just take Tums and wait for morning to take another cute pill. 
How good/bad is that considering that PPI don’t start to work as soon as you take them, such as antacids or h2 blockers?</t>
        </is>
      </c>
      <c r="D2056" t="n">
        <v>1</v>
      </c>
      <c r="E2056" t="n">
        <v>0</v>
      </c>
      <c r="F2056">
        <f>HYPERLINK("https://www.reddit.com/r/GERD/comments/ciig66/is_it_effective_to_take_ppi_every_other_day_if_i/")</f>
        <v/>
      </c>
      <c r="G2056" t="inlineStr">
        <is>
          <t>2019-07-27 07:57:08</t>
        </is>
      </c>
      <c r="H2056" t="inlineStr"/>
    </row>
    <row r="2057">
      <c r="A2057" t="inlineStr">
        <is>
          <t>ciio4i</t>
        </is>
      </c>
      <c r="B2057" t="inlineStr">
        <is>
          <t>New to GERD</t>
        </is>
      </c>
      <c r="C2057" t="inlineStr">
        <is>
          <t>Hey guys, I’ve recently started keto and during the fat adaptation phase acid reflux is going up. 
Just curious if these symptoms are in line with GERD or if it’s something else.
Headaches, nausea, waking up at 3-4 am.</t>
        </is>
      </c>
      <c r="D2057" t="n">
        <v>4</v>
      </c>
      <c r="E2057" t="n">
        <v>22</v>
      </c>
      <c r="F2057">
        <f>HYPERLINK("https://www.reddit.com/r/GERD/comments/ciio4i/new_to_gerd/")</f>
        <v/>
      </c>
      <c r="G2057" t="inlineStr">
        <is>
          <t>2019-07-27 08:15:38</t>
        </is>
      </c>
      <c r="H2057" t="inlineStr"/>
    </row>
    <row r="2058">
      <c r="A2058" t="inlineStr">
        <is>
          <t>cijruc</t>
        </is>
      </c>
      <c r="B2058" t="inlineStr">
        <is>
          <t>collagen powder is very acidic</t>
        </is>
      </c>
      <c r="C2058" t="inlineStr">
        <is>
          <t>I put baking soda imy coffee to neutralize the acid and noticed when I add collagen powder I get a ton of foam. Not as bad as vinegar obviously but a good quarter inch more of foam forms. And I get heart burn sooner on those days.</t>
        </is>
      </c>
      <c r="D2058" t="n">
        <v>0</v>
      </c>
      <c r="E2058" t="n">
        <v>6</v>
      </c>
      <c r="F2058">
        <f>HYPERLINK("https://www.reddit.com/r/GERD/comments/cijruc/collagen_powder_is_very_acidic/")</f>
        <v/>
      </c>
      <c r="G2058" t="inlineStr">
        <is>
          <t>2019-07-27 09:47:15</t>
        </is>
      </c>
      <c r="H2058" t="inlineStr"/>
    </row>
    <row r="2059">
      <c r="A2059" t="inlineStr">
        <is>
          <t>cikgw5</t>
        </is>
      </c>
      <c r="B2059" t="inlineStr">
        <is>
          <t>Chest pressure in center of chest that feels like elephant ? Anyone else get ?</t>
        </is>
      </c>
      <c r="C2059" t="inlineStr">
        <is>
          <t>Hi guys ! I’m pretty new to acid reflux . Recently I’ve been experiencing this horrible chest tightness and pressure in the center of my chest (to the point I feel like I’m suffocating and fear an asthma attack even though I’ve never been diagnosed with that). Sometimes this lasts all day and will persist for about 3 days at a time . Sometimes it only last 30 mins to an hour. Does anyone else get this? Or know something to help it so I can get sleep on the nights it gets bad?</t>
        </is>
      </c>
      <c r="D2059" t="n">
        <v>1</v>
      </c>
      <c r="E2059" t="n">
        <v>19</v>
      </c>
      <c r="F2059">
        <f>HYPERLINK("https://www.reddit.com/r/GERD/comments/cikgw5/chest_pressure_in_center_of_chest_that_feels_like/")</f>
        <v/>
      </c>
      <c r="G2059" t="inlineStr">
        <is>
          <t>2019-07-27 10:42:37</t>
        </is>
      </c>
      <c r="H2059" t="inlineStr"/>
    </row>
    <row r="2060">
      <c r="A2060" t="inlineStr">
        <is>
          <t>ciktyt</t>
        </is>
      </c>
      <c r="B2060" t="inlineStr">
        <is>
          <t>The forbidden fruit - tomato</t>
        </is>
      </c>
      <c r="C2060" t="inlineStr">
        <is>
          <t>This is my first post here, so hello everyone!
I had a big flare up of stomach pain and acid reflux about a month ago as I had to eat mostly tomato-based food for a few days (family dinners, travelling, etc). It was the worst pain and indigestion I've ever experienced, and my antacids didn't do much to help.
Anyway, here I am craving tomatoes again, and I just wanted to know if any of you still manage to eat them despite GERD? Is there medication you take that makes symptoms better? Or will tomatoes damage my stomach and is it best for me to keep avoiding them completely?</t>
        </is>
      </c>
      <c r="D2060" t="n">
        <v>15</v>
      </c>
      <c r="E2060" t="n">
        <v>13</v>
      </c>
      <c r="F2060">
        <f>HYPERLINK("https://www.reddit.com/r/GERD/comments/ciktyt/the_forbidden_fruit_tomato/")</f>
        <v/>
      </c>
      <c r="G2060" t="inlineStr">
        <is>
          <t>2019-07-27 11:11:45</t>
        </is>
      </c>
      <c r="H2060" t="inlineStr"/>
    </row>
    <row r="2061">
      <c r="A2061" t="inlineStr">
        <is>
          <t>cilpug</t>
        </is>
      </c>
      <c r="B2061" t="inlineStr">
        <is>
          <t>Trouble swallowing</t>
        </is>
      </c>
      <c r="C2061" t="inlineStr">
        <is>
          <t>Lately I've had trouble swallowing. My throat feels tight and my stomach feels like it's full of air.  I burp alot. Ive taken zantac 75 which helps a little bit not much. It's hard to eat and drink. Any advice?</t>
        </is>
      </c>
      <c r="D2061" t="n">
        <v>2</v>
      </c>
      <c r="E2061" t="n">
        <v>13</v>
      </c>
      <c r="F2061">
        <f>HYPERLINK("https://www.reddit.com/r/GERD/comments/cilpug/trouble_swallowing/")</f>
        <v/>
      </c>
      <c r="G2061" t="inlineStr">
        <is>
          <t>2019-07-27 12:21:56</t>
        </is>
      </c>
      <c r="H2061" t="inlineStr"/>
    </row>
    <row r="2062">
      <c r="A2062" t="inlineStr">
        <is>
          <t>cio1hm</t>
        </is>
      </c>
      <c r="B2062" t="inlineStr">
        <is>
          <t>Suffering from an attack</t>
        </is>
      </c>
      <c r="C2062" t="inlineStr">
        <is>
          <t>Hey all. Im not one to usually get heartburn but ive been suffering all day since i woke up with it. Its so unbearable. I ran out to CVS to get those alka seltzer chewables (calcium carb 700) so i took two instantly and they probably only worked for an hour. I keep burping and theres such a burning sensation in my throat, idk what to do. I do have an RX of ranitidine 300 in my medicine cabinet but that was for a previous condition when i was taking nsaids for costochondritis. I still have some ranitidine 300 tablets left though, would it be safe to take it? And will it be better than the calcium carb? Thank you</t>
        </is>
      </c>
      <c r="D2062" t="n">
        <v>1</v>
      </c>
      <c r="E2062" t="n">
        <v>4</v>
      </c>
      <c r="F2062">
        <f>HYPERLINK("https://www.reddit.com/r/GERD/comments/cio1hm/suffering_from_an_attack/")</f>
        <v/>
      </c>
      <c r="G2062" t="inlineStr">
        <is>
          <t>2019-07-27 15:41:22</t>
        </is>
      </c>
      <c r="H2062" t="inlineStr"/>
    </row>
    <row r="2063">
      <c r="A2063" t="inlineStr">
        <is>
          <t>cir08g</t>
        </is>
      </c>
      <c r="B2063" t="inlineStr">
        <is>
          <t>After over a decade of Gerd, I'm now concerned(long)</t>
        </is>
      </c>
      <c r="C2063" t="inlineStr">
        <is>
          <t>40(M) here. My first bout of reflux started so long ago, that I cant remember. All I remember is I figured I needed to finally see a doctor about it. Had my first endoscopy and nothing was severe but they noted allergies, stomach not fully emptying and mild gastroparesis. This started my first prescription-Aciphex. Thought it was a miracle drug as I was able to eat and drink what I wanted as long as I popped this magic pill. A year or so went by and I noticed that I was feeling a little off(anxiety and not feeling right). But my heartburn was gone so I continued with the pill.
I eventually saw another doctor and had another endoscopy and again, nothing to serious was found. So I just kept on taking Aciphex. This eventually changed to omeprazole by a nurse practitioner because I told her I didnt like the way i was feeling with Aciphex. 
Another few years on 40mg of Omeprazole, once a day. And that gets us about current. So over the past few years, I've been throwing in Tums every now and then. Its OTC and I never thought much of it; read the back and it said not to take max dosage for two weeks. I've always only taken 2 or max 3 every now and then. But, I noticed i have been through two bottles over the last year or so; both max strength. 
This is where I started to first feel, my miracle pills are no longer miracle pills. My stomach has started to feel more "hot" than usual. I also felt some shortness of breath and pain at the opening of the ribcage. I'm decently in shape and run when I can but have a desk job. So I went to a cardiologist just in case. Everything was fine.
Pain wasnt going away, BP was elevated so I went to a new gasto. I had a recent bad habit of eating a bowl of ice cream before bed, but I didnt think it was a big problem. Well he shrugged it off and said it didnt sound like anything serious and I asked to switch to generic Nexium. 
So here I am with my new med, cutting out as much dairy as I can currently take(regular ice cream has been mostly cut), always sleep elevated and only left, and I now eat my biggest meal at lunch instead of dinner. Yet, the burning feeling in my stomach is there most days.
I have two small kids and I'm now very concerned because for the first time(that I can remember), I noticed a bit of pale stool. I dont have any other symptoms so I'm hoping it is from the tums, but I never noticed it before. 
I guess I'm looking for advice or anyone willing to help with my story. I know I need another scope but 2k is hard to pay for anyone. 
I also read this site:
https://www.google.com/amp/s/naturalhealthtechniques.com/antacids-antacid-side-effects/amp/
And I had no idea that Tums and Ppi's could be that potentially harmful; especially tums. I'm not taking that site as gospel but a ton of the stuff I thought was old age catching up, could have all been related to my Gerd, and lack of proper management.
Please help!
TL;DR: Have had Gerd for years, meds are not working anymore, been adding Tums as supplement, concerned with pale stool, also concerned my gerd has caused other health issues that I thought was due to getting older.</t>
        </is>
      </c>
      <c r="D2063" t="n">
        <v>1</v>
      </c>
      <c r="E2063" t="n">
        <v>15</v>
      </c>
      <c r="F2063">
        <f>HYPERLINK("https://www.reddit.com/r/GERD/comments/cir08g/after_over_a_decade_of_gerd_im_now_concernedlong/")</f>
        <v/>
      </c>
      <c r="G2063" t="inlineStr">
        <is>
          <t>2019-07-27 20:25:16</t>
        </is>
      </c>
      <c r="H2063" t="inlineStr"/>
    </row>
    <row r="2064">
      <c r="A2064" t="inlineStr">
        <is>
          <t>cirvir</t>
        </is>
      </c>
      <c r="B2064" t="inlineStr">
        <is>
          <t>Saw internist for third time- starting to narrow down the possibilities.</t>
        </is>
      </c>
      <c r="C2064" t="inlineStr">
        <is>
          <t>I saw my doctor, who is an internist (a type of specialist who focuses on adult medicine) for the third time in two months regarding stomach pain, heartburn, and indigestion. I've been on omeprazole and famotidine the entire time. This is the summary of my meeting:
1) My doc is referring me to a general surgeon for an endoscopy. Unfortunately, I'll have to wait until September 18th due to low availability of surgeons in the area.
2) She believes that the problem is not GERD, but something actually going on with my stomach. Initially she thought gastritis, but is now concerned because of the length of time that this has been going on with little improvement.
3) Although I haven't had any blood in my stool (that I can see visibly), she hasn't ruled out ulcers as a possibility. Particularly because my symptoms improve dramatically when I eat, and worsen when my stomach is empty. Ulcers also take longer than gastritis to heal, so we're still in the window of recovery time for an ulcer.
4) Unfortunately, she also suspects some more serious things. One is called Zollinger-Ellison Syndrome, and is when the stomach creates a tumor or multiple tumors that cause excessive levels of gastrin, which creates severely high levels of stomach acid. This causes gastritis and stomach problems. This syndrome is rare but it does happen.
5) Gastric cancer is another possibility. She said that typically she'll see dramatic weight loss and bleeding with gastric cancer, and that often there is not pain or indigestion with it. However, she said that not every patient presents with typical symptoms, and with the length of time this has been going on we have to consider it as a possibility.
6) She switched me from omeprazole to pantoprazole. She also prescribed sulcrafate, which she explained basically coats the inside of the stomach and some of the intestines. I think that it helps at least a little.
7) She says hiatal hernia is definitely a possibility, but she emphasized that the severity my symptoms is not consistent with patients who have hiatal hernias that produce symptoms (most hiatal hernias do not cause symptoms or require treatment). She said that if they find a hernia, it is most likely incidental to whatever else is going on.
She took a bunch of blood samples and is testing me for a LOT of stuff. Like seriously ten different panels/tests. I'm also having an ultrasound done tomorrow morning on my abdomen (which I have to fast for, so my symptoms are currently bugging me- yayyy).
Overall I guess I feel a little validated that my doctor has acknowledged something is really going on. It's not in my head or anything like that. Unfortunately it's also not something that will go away overnight. I'm definitely a little concerned about the scary stuff like cancer. My doctor generally is really optimistic and reassuring to her patients, so if she's at a point where she's talking about the possibility of cancer then I have to consider that it is at least a possibility.
At any rate, at least now I'm not fixated on hiatal hernia. I mean, I may have one, but at least now I recognize that it's not what's causing all this pain.
Also I have one weird question: 
Whenever I get the hiccups, I get them for like half an hour. It's super annoying.
Since all this started, I've been doing this thing where I hiccup *exactly once*, and with the hiccup comes a burp. It's an exactly simultaneous hiccup/burp. Does anyone else get this? My doctor said that it's probably that my vagus nerve in my stomach is a little irritated, causing the hiccup, and I'm also experiencing bloating/gas build up due to the inflammation, so out comes a little burp. Was wondering if anyone else had experienced this.
If I'm *still* not feeling better in two months when I get my EGD done, then at that point I'm going to start to worry a little more aggressively, because that'll mean it isn't GERD, gastritis, OR an ulcer. That doesn't leave a lot of possibilities that are very good. It's funny to say, but I *really* hope that I have an ulcer and this is something that can eventually be cured.
Oh, if anyone was wondering, I had a stool sample checked for H. Pylori when this first started and it was negative. However I only had one test done, and it was early on, so my doctor mentioned it isn't totally conclusive. They can do a biopsy with my EGD to check if they suspect something bacterial.
TL;DR: Whatever I have going on isn't GERD, and it isn't a simple case of gastritis. Could be an ulcer(s), Zollinger-Ellison Syndrome, or even cancer. I'll know more in two months when I have an EGD done.</t>
        </is>
      </c>
      <c r="D2064" t="n">
        <v>0</v>
      </c>
      <c r="E2064" t="n">
        <v>14</v>
      </c>
      <c r="F2064">
        <f>HYPERLINK("https://www.reddit.com/r/GERD/comments/cirvir/saw_internist_for_third_time_starting_to_narrow/")</f>
        <v/>
      </c>
      <c r="G2064" t="inlineStr">
        <is>
          <t>2019-07-27 22:01:46</t>
        </is>
      </c>
      <c r="H2064" t="inlineStr"/>
    </row>
    <row r="2065">
      <c r="A2065" t="inlineStr">
        <is>
          <t>cisbbg</t>
        </is>
      </c>
      <c r="B2065" t="inlineStr">
        <is>
          <t>Another possible Gerd</t>
        </is>
      </c>
      <c r="C2065" t="inlineStr">
        <is>
          <t>So I wanna make this post short &amp;amp; sweet. I read a lot about Gut health and the connection to GERD, or any digestive health pretty much.  I recently came across something called "Resistant Starch". Long story short this type of Starch acts like a fiber and is very beneficial to your gut bacteria &amp;amp; great for your colon. Acts like soluble fiber but doesn't get digested (a large % of it). You can take this in the form of very green bananas, potato starch powder, are the two main sources. This is definitely gonna take time to heal and for it to work, I'm just assuming. I'm not a doctor nor do I advise anyone to stop taking any meds, do what your doctor says. Just leaving this option for people to try it may or may not work, but logically speaking it does seem like an imbalance of bad/good bacteria is a large cause of symptoms for indigestion. Research just doesn't have the proof yet basically, or it does but not enough proof to be 'valid'. I guess sucking on PPI's my doctor gave just isn't cutting it for me. I feel it in my mind &amp;amp; body that something isn't right in my gut &amp;amp; I'm gonna do what it takes to fix it. Cutting stomach acid just isn't a natural thing in my opinion and just makes the problem worse.</t>
        </is>
      </c>
      <c r="D2065" t="n">
        <v>4</v>
      </c>
      <c r="E2065" t="n">
        <v>6</v>
      </c>
      <c r="F2065">
        <f>HYPERLINK("https://www.reddit.com/r/GERD/comments/cisbbg/another_possible_gerd/")</f>
        <v/>
      </c>
      <c r="G2065" t="inlineStr">
        <is>
          <t>2019-07-27 22:54:01</t>
        </is>
      </c>
      <c r="H2065" t="inlineStr"/>
    </row>
    <row r="2066">
      <c r="A2066" t="inlineStr">
        <is>
          <t>ciufbo</t>
        </is>
      </c>
      <c r="B2066" t="inlineStr">
        <is>
          <t>Had GERD-like symptoms four years ago, it suddenly stopped, and now it's back</t>
        </is>
      </c>
      <c r="C2066" t="inlineStr">
        <is>
          <t>I first had a round of GERD in fall 2015 when i was in college and mainly eating at my school's dining hall. It was my second year at that school so it's not like it was a sudden diet change. But I had it for a few weeks and would usually heave up a considerable amount of food shortly after consuming it. I went to my school's doctor since I was paying for it and she said she would probably have to send me to a specialist. But then I went on an out-of-state weekend trip for a convention, which meant eating at restaurants all the time, and suddenly it just stopped and never came back.
Until maybe like a week or two ago. So far, not much food coming back out tho. Just a lot of dry heaving and often until I have a forced burp. The only thing I can think of this time is that I've been working out for about a month now and also doing some face/neck exercises. One night, I did feel my throat a little uncomfortable but idk. I should also note that through the years, I've usually always started coughing a bit maybe 10–20 minutes after consuming food, and I feel like my jaw placement has never ever really allowed me to learn to breathe through my nose naturally. So yes, I'm a mouth-breather lol.
So this is GERD? Anyone experience anything similar? Any kind of fixes maybe? Of course I think an obvious answer is to finally see a specialist soon.</t>
        </is>
      </c>
      <c r="D2066" t="n">
        <v>1</v>
      </c>
      <c r="E2066" t="n">
        <v>0</v>
      </c>
      <c r="F2066">
        <f>HYPERLINK("https://www.reddit.com/r/GERD/comments/ciufbo/had_gerdlike_symptoms_four_years_ago_it_suddenly/")</f>
        <v/>
      </c>
      <c r="G2066" t="inlineStr">
        <is>
          <t>2019-07-28 03:43:05</t>
        </is>
      </c>
      <c r="H2066" t="inlineStr"/>
    </row>
    <row r="2067">
      <c r="A2067" t="inlineStr">
        <is>
          <t>civtzr</t>
        </is>
      </c>
      <c r="B2067" t="inlineStr">
        <is>
          <t>How long for the lumpiness in the throat to go off?</t>
        </is>
      </c>
      <c r="C2067" t="inlineStr">
        <is>
          <t>Hello, first post here. Due to sports practices at college few months back, I couldn't eat properly and that resulted in Gastritis and GERD. Suffered a lot but I've been taking meds for almost 4 weeks (Esomaprazole) and I don't feel like throwing up anymore (once in a while the gas comes off as Saliva and it's quite controllable.) However the hoarseness of my throat is still there and I can't sing (member of a choir) properly like I used to. Is it normal and does it go off in time or should I take medical advice?</t>
        </is>
      </c>
      <c r="D2067" t="n">
        <v>1</v>
      </c>
      <c r="E2067" t="n">
        <v>4</v>
      </c>
      <c r="F2067">
        <f>HYPERLINK("https://www.reddit.com/r/GERD/comments/civtzr/how_long_for_the_lumpiness_in_the_throat_to_go_off/")</f>
        <v/>
      </c>
      <c r="G2067" t="inlineStr">
        <is>
          <t>2019-07-28 06:30:32</t>
        </is>
      </c>
      <c r="H2067" t="inlineStr"/>
    </row>
    <row r="2068">
      <c r="A2068" t="inlineStr">
        <is>
          <t>cixzq8</t>
        </is>
      </c>
      <c r="B2068" t="inlineStr">
        <is>
          <t>throats feels hoarse and trouble swallowing</t>
        </is>
      </c>
      <c r="C2068" t="inlineStr">
        <is>
          <t>Hey y'all , so I feel like twice a week , I just can't get myself to swallow solid foods so I usually just eat soup or make smoothies, scramble some eggs , etc . Also on these days my throat is hoarse and usually all of my symptoms get worse altogether. But then I'll feel fine out of nowhere and get back to eating regular. I think some of the anxiety that comes with it is to blame too , I almost ALWAYS feel like I might choke.  Anybody else ???</t>
        </is>
      </c>
      <c r="D2068" t="n">
        <v>2</v>
      </c>
      <c r="E2068" t="n">
        <v>3</v>
      </c>
      <c r="F2068">
        <f>HYPERLINK("https://www.reddit.com/r/GERD/comments/cixzq8/throats_feels_hoarse_and_trouble_swallowing/")</f>
        <v/>
      </c>
      <c r="G2068" t="inlineStr">
        <is>
          <t>2019-07-28 09:36:18</t>
        </is>
      </c>
      <c r="H2068" t="inlineStr"/>
    </row>
    <row r="2069">
      <c r="A2069" t="inlineStr">
        <is>
          <t>ciyvnj</t>
        </is>
      </c>
      <c r="B2069" t="inlineStr">
        <is>
          <t>bubbly feeling that starts in the base of my throat(just the top of my collarbone)</t>
        </is>
      </c>
      <c r="C2069" t="inlineStr">
        <is>
          <t>This started like 2 days ago, I don't burp.. it sort of like air /water trickles down my throat,.. and it happens when I try to do a swallowing motion, it is more noticeable at night when I lay down because it is so quiet and it happens often too,I don't feel nauseous or having trouble swallowing, I have never been to the doctor before but was planning to if this sort of sensation doesn't go away. any idea if this is gerd?</t>
        </is>
      </c>
      <c r="D2069" t="n">
        <v>3</v>
      </c>
      <c r="E2069" t="n">
        <v>2</v>
      </c>
      <c r="F2069">
        <f>HYPERLINK("https://www.reddit.com/r/GERD/comments/ciyvnj/bubbly_feeling_that_starts_in_the_base_of_my/")</f>
        <v/>
      </c>
      <c r="G2069" t="inlineStr">
        <is>
          <t>2019-07-28 10:47:21</t>
        </is>
      </c>
      <c r="H2069" t="inlineStr"/>
    </row>
    <row r="2070">
      <c r="A2070" t="inlineStr">
        <is>
          <t>ciyw4v</t>
        </is>
      </c>
      <c r="B2070" t="inlineStr">
        <is>
          <t>Citrate pills bad for GERD?</t>
        </is>
      </c>
      <c r="C2070" t="inlineStr">
        <is>
          <t>I'm starting to take magnesium citrate and potassium citrate as supplements.  Citrates are supposed to help absorb vitamins well, but I'm wondering if they have bad effects like regular citrus fruits and juices do.  Anyone know?</t>
        </is>
      </c>
      <c r="D2070" t="n">
        <v>3</v>
      </c>
      <c r="E2070" t="n">
        <v>4</v>
      </c>
      <c r="F2070">
        <f>HYPERLINK("https://www.reddit.com/r/GERD/comments/ciyw4v/citrate_pills_bad_for_gerd/")</f>
        <v/>
      </c>
      <c r="G2070" t="inlineStr">
        <is>
          <t>2019-07-28 10:48:22</t>
        </is>
      </c>
      <c r="H2070" t="inlineStr"/>
    </row>
    <row r="2071">
      <c r="A2071" t="inlineStr">
        <is>
          <t>cizzbp</t>
        </is>
      </c>
      <c r="B2071" t="inlineStr">
        <is>
          <t>Had GERD-like symptoms four years ago, it suddenly stopped, and now it's back</t>
        </is>
      </c>
      <c r="C2071" t="inlineStr">
        <is>
          <t>I first had a round of GERD in fall 2015 when i was in college and mainly eating at my school's dining hall. It was my second year at that school so it's not like it was a sudden diet change. But I had it for a few weeks and would usually heave up a considerable amount of food shortly after consuming it. I went to my school's doctor since I was paying for it and she said she would probably have to send me to a specialist. But then I went on an out-of-state weekend trip to Austin, Texas for a convention, which meant eating at restaurants (but drinking a lot of alcohol too), and suddenly it just stopped and never came back.
Until maybe like a week or two ago. So far, not much food coming out tho. Just a lot of dry heaving and often until I have a forced burp. The only thing I can think of this time is that I've been working out for about a month now and also doing some face/neck exercises (making an O face and holding for 15 secs, sticking tongue out as far as can, looking up at ceiling and opening/closing mouth as wide as can, etc). One night, I did feel my throat a little uncomfortable but idk.
I should also note that through the years, I've usually always started coughing or needing to lightly clear my throat maybe 10–20 minutes after consuming food, and I feel like my jaw placement has never ever really allowed me to learn to breathe through my nose naturally. So yes, I'm a mouth-breather lol.
So this is GERD? Anyone experience anything similar? Any kind of fixes maybe? Of course I think an obvious answer is to finally see a specialist soon. I've tried taking a 20 mg omeprazole dose but didn't seem to help.</t>
        </is>
      </c>
      <c r="D2071" t="n">
        <v>3</v>
      </c>
      <c r="E2071" t="n">
        <v>0</v>
      </c>
      <c r="F2071">
        <f>HYPERLINK("https://www.reddit.com/r/GERD/comments/cizzbp/had_gerdlike_symptoms_four_years_ago_it_suddenly/")</f>
        <v/>
      </c>
      <c r="G2071" t="inlineStr">
        <is>
          <t>2019-07-28 12:13:34</t>
        </is>
      </c>
      <c r="H2071" t="inlineStr"/>
    </row>
    <row r="2072">
      <c r="A2072" t="inlineStr">
        <is>
          <t>cj1wuz</t>
        </is>
      </c>
      <c r="B2072" t="inlineStr">
        <is>
          <t>Is it possible to avoid an endoscopy?</t>
        </is>
      </c>
      <c r="C2072" t="inlineStr">
        <is>
          <t>My doctor has put me on Prilosec and said if I don’t feel better I should do an endoscopy.
Problem is it costs a lot due to my bad insurance so is it possible for me to just avoid it completely? And just continue with the medicine?</t>
        </is>
      </c>
      <c r="D2072" t="n">
        <v>1</v>
      </c>
      <c r="E2072" t="n">
        <v>9</v>
      </c>
      <c r="F2072">
        <f>HYPERLINK("https://www.reddit.com/r/GERD/comments/cj1wuz/is_it_possible_to_avoid_an_endoscopy/")</f>
        <v/>
      </c>
      <c r="G2072" t="inlineStr">
        <is>
          <t>2019-07-28 14:46:43</t>
        </is>
      </c>
      <c r="H2072" t="inlineStr"/>
    </row>
    <row r="2073">
      <c r="A2073" t="inlineStr">
        <is>
          <t>cj2qta</t>
        </is>
      </c>
      <c r="B2073" t="inlineStr">
        <is>
          <t>GERD Venting Thread</t>
        </is>
      </c>
      <c r="C2073" t="inlineStr">
        <is>
          <t>I’m having a bad GERD day and I thought it would be cathartic to make a thread for all of us to complain about what we have to put up with on a daily basis. So go ahead and get it all out with people who know what you’re going through</t>
        </is>
      </c>
      <c r="D2073" t="n">
        <v>8</v>
      </c>
      <c r="E2073" t="n">
        <v>25</v>
      </c>
      <c r="F2073">
        <f>HYPERLINK("https://www.reddit.com/r/GERD/comments/cj2qta/gerd_venting_thread/")</f>
        <v/>
      </c>
      <c r="G2073" t="inlineStr">
        <is>
          <t>2019-07-28 15:56:07</t>
        </is>
      </c>
      <c r="H2073" t="inlineStr"/>
    </row>
    <row r="2074">
      <c r="A2074" t="inlineStr">
        <is>
          <t>cj2rmj</t>
        </is>
      </c>
      <c r="B2074" t="inlineStr">
        <is>
          <t>GERD, reflux, hernia, endoscopy, Dexilant - where to go from here?</t>
        </is>
      </c>
      <c r="C2074" t="inlineStr">
        <is>
          <t>As the title implies, I've dealt with GERD in one form or another for a year or two, had acid reflux, tried to fight it with OTC meds, went to a GI specialist who performed an endoscopy, was diagnosed with a sliding hiatal hernia, and prescribed Dexilant.
The GI expects me to be on Dexilant for a year, and that scares the hell out of me. What are your experiences with weening yourself off medication? Do I really need to be on this for a year? Is it possible for me to be on it even longer than that?</t>
        </is>
      </c>
      <c r="D2074" t="n">
        <v>1</v>
      </c>
      <c r="E2074" t="n">
        <v>1</v>
      </c>
      <c r="F2074">
        <f>HYPERLINK("https://www.reddit.com/r/GERD/comments/cj2rmj/gerd_reflux_hernia_endoscopy_dexilant_where_to_go/")</f>
        <v/>
      </c>
      <c r="G2074" t="inlineStr">
        <is>
          <t>2019-07-28 15:58:06</t>
        </is>
      </c>
      <c r="H2074" t="inlineStr"/>
    </row>
    <row r="2075">
      <c r="A2075" t="inlineStr">
        <is>
          <t>cj2u8y</t>
        </is>
      </c>
      <c r="B2075" t="inlineStr">
        <is>
          <t>Do you have a small hiatal hernia? What are your symptoms?</t>
        </is>
      </c>
      <c r="C2075" t="inlineStr">
        <is>
          <t>I got an endoscopy about a week ago and they found one. The doctor didn’t make it into a big deal because apparently these are common. She didn’t find any GERD. I’ve been going through IBS symptoms and I’m confused what exactly is upsetting my stomach. 
The problem is at night because I wake up around 2am with stomach pains. Usually drinking water and sitting up some so gas can pass through helps relieve the pain and then eventually I can fall back to sleep. I was wondering if it’s the hernia that’s causing the problem? I’m on 20mg pantoprazole but the bones in my hand really hurt, I feel constipated, and I’m still having night sickness.</t>
        </is>
      </c>
      <c r="D2075" t="n">
        <v>6</v>
      </c>
      <c r="E2075" t="n">
        <v>12</v>
      </c>
      <c r="F2075">
        <f>HYPERLINK("https://www.reddit.com/r/GERD/comments/cj2u8y/do_you_have_a_small_hiatal_hernia_what_are_your/")</f>
        <v/>
      </c>
      <c r="G2075" t="inlineStr">
        <is>
          <t>2019-07-28 16:04:15</t>
        </is>
      </c>
      <c r="H2075" t="inlineStr"/>
    </row>
    <row r="2076">
      <c r="A2076" t="inlineStr">
        <is>
          <t>cj4f13</t>
        </is>
      </c>
      <c r="B2076" t="inlineStr">
        <is>
          <t>Just had my endoscopy</t>
        </is>
      </c>
      <c r="C2076" t="inlineStr">
        <is>
          <t>I’m high as shit, lovely, peace ! ♥️</t>
        </is>
      </c>
      <c r="D2076" t="n">
        <v>13</v>
      </c>
      <c r="E2076" t="n">
        <v>37</v>
      </c>
      <c r="F2076">
        <f>HYPERLINK("https://www.reddit.com/r/GERD/comments/cj4f13/just_had_my_endoscopy/")</f>
        <v/>
      </c>
      <c r="G2076" t="inlineStr">
        <is>
          <t>2019-07-28 18:25:14</t>
        </is>
      </c>
      <c r="H2076" t="inlineStr"/>
    </row>
    <row r="2077">
      <c r="A2077" t="inlineStr">
        <is>
          <t>cj71vr</t>
        </is>
      </c>
      <c r="B2077" t="inlineStr">
        <is>
          <t>What the fuck do I do for symptoms?</t>
        </is>
      </c>
      <c r="C2077" t="inlineStr">
        <is>
          <t>The first like 3 quarters of my day are dominated by shitload of discomfort and its driving me crazy. I have PTSD and it makes its also making me anxious and stressed as fuck... The end part of my day it improves but it lasts all day.
I get this gurgling in my chest area when I eat, especially early in the day when its bad. I think I have that whole thing where theres alot of acid thats being used up by my food.
I've tried rolaids, including eating like 5 and it doesnt work. Can someone help me?</t>
        </is>
      </c>
      <c r="D2077" t="n">
        <v>1</v>
      </c>
      <c r="E2077" t="n">
        <v>4</v>
      </c>
      <c r="F2077">
        <f>HYPERLINK("https://www.reddit.com/r/GERD/comments/cj71vr/what_the_fuck_do_i_do_for_symptoms/")</f>
        <v/>
      </c>
      <c r="G2077" t="inlineStr">
        <is>
          <t>2019-07-28 22:46:37</t>
        </is>
      </c>
      <c r="H2077" t="inlineStr"/>
    </row>
    <row r="2078">
      <c r="A2078" t="inlineStr">
        <is>
          <t>cj7hlw</t>
        </is>
      </c>
      <c r="B2078" t="inlineStr">
        <is>
          <t>Be strict with Diet</t>
        </is>
      </c>
      <c r="C2078" t="inlineStr">
        <is>
          <t>Here , i would like to share my exp on GERD . I had endoscopy and diagnosed with pan gastritis .Doctor suggested me two weeks medication with antibiotics and some other tabs which are related to gas pain.However, I was fine when i was on medication and after that , started eating non veg thought it was cured.Not at all its irritating again.I would suggest please stop having non Veg.
We can definitely heal from GERD. 
Good Luck!</t>
        </is>
      </c>
      <c r="D2078" t="n">
        <v>2</v>
      </c>
      <c r="E2078" t="n">
        <v>5</v>
      </c>
      <c r="F2078">
        <f>HYPERLINK("https://www.reddit.com/r/GERD/comments/cj7hlw/be_strict_with_diet/")</f>
        <v/>
      </c>
      <c r="G2078" t="inlineStr">
        <is>
          <t>2019-07-28 23:36:18</t>
        </is>
      </c>
      <c r="H2078" t="inlineStr"/>
    </row>
    <row r="2079">
      <c r="A2079" t="inlineStr">
        <is>
          <t>cj8nj1</t>
        </is>
      </c>
      <c r="B2079" t="inlineStr">
        <is>
          <t>What is your worst trigger food?</t>
        </is>
      </c>
      <c r="C2079" t="inlineStr">
        <is>
          <t>I have officially deduced that my worst is hot dogs. Be it in the form of corn dogs or regular hot dogs. It makes me so nauseated I worry about throwing up. I can eat bratwurst fine and other “hot dog” shaped foods, but it’s beef and/or mixed meat hot dogs wreck me. (Odd side note...I can eat spaghetti and pasta sauce without any issues).</t>
        </is>
      </c>
      <c r="D2079" t="n">
        <v>1</v>
      </c>
      <c r="E2079" t="n">
        <v>11</v>
      </c>
      <c r="F2079">
        <f>HYPERLINK("https://www.reddit.com/r/GERD/comments/cj8nj1/what_is_your_worst_trigger_food/")</f>
        <v/>
      </c>
      <c r="G2079" t="inlineStr">
        <is>
          <t>2019-07-29 01:59:07</t>
        </is>
      </c>
      <c r="H2079" t="inlineStr"/>
    </row>
    <row r="2080">
      <c r="A2080" t="inlineStr">
        <is>
          <t>cjbba0</t>
        </is>
      </c>
      <c r="B2080" t="inlineStr">
        <is>
          <t>What do you drink other than water?</t>
        </is>
      </c>
      <c r="C2080" t="inlineStr">
        <is>
          <t>I’m looking for suggestions. Typically I drink a lot of seltzer water, but need to find something that treats me better.</t>
        </is>
      </c>
      <c r="D2080" t="n">
        <v>3</v>
      </c>
      <c r="E2080" t="n">
        <v>17</v>
      </c>
      <c r="F2080">
        <f>HYPERLINK("https://www.reddit.com/r/GERD/comments/cjbba0/what_do_you_drink_other_than_water/")</f>
        <v/>
      </c>
      <c r="G2080" t="inlineStr">
        <is>
          <t>2019-07-29 06:34:16</t>
        </is>
      </c>
      <c r="H2080" t="inlineStr"/>
    </row>
    <row r="2081">
      <c r="A2081" t="inlineStr">
        <is>
          <t>cjbexz</t>
        </is>
      </c>
      <c r="B2081" t="inlineStr">
        <is>
          <t>Heart palpitations and rabeprazole?</t>
        </is>
      </c>
      <c r="C2081" t="inlineStr">
        <is>
          <t>I had an upper endoscopy almost two weeks ago, and found out I have a hiatal hernia, and severe GERD. The gastroenterologist prescribed me rabeprazole to start healing the inflammation to my esophagus, so I started taking it that same day. Within a couple of days, I started experiencing heart palpitations, especially when lying down. It felt like my heart was trying to desperately flop its way out of my chest, and was disconcerting to say the least. This happened every day, intermittently. I called my pharmacist to see if it was a known side effect, and she said no, this is not typical. 
I decided to stop taking the pills and see what happened, and sure enough, the heart palpitations have stopped. Anyone ever experienced anything like this on PPIs before? I'm very hesitant to go back to taking them, but I don't know if discontinuing them will hinder the healing process. I have a follow up with my family doctor to go over the results of my biopsies and discuss a plan going forward, but couldn't get in until late August. In the meantime, not sure what to do. 
Any advice?</t>
        </is>
      </c>
      <c r="D2081" t="n">
        <v>2</v>
      </c>
      <c r="E2081" t="n">
        <v>13</v>
      </c>
      <c r="F2081">
        <f>HYPERLINK("https://www.reddit.com/r/GERD/comments/cjbexz/heart_palpitations_and_rabeprazole/")</f>
        <v/>
      </c>
      <c r="G2081" t="inlineStr">
        <is>
          <t>2019-07-29 06:43:11</t>
        </is>
      </c>
      <c r="H2081" t="inlineStr"/>
    </row>
    <row r="2082">
      <c r="A2082" t="inlineStr">
        <is>
          <t>cjc0ml</t>
        </is>
      </c>
      <c r="B2082" t="inlineStr">
        <is>
          <t>Does anyone else experience the THROAT CROAK??? + nausea</t>
        </is>
      </c>
      <c r="C2082" t="inlineStr">
        <is>
          <t>Hi! 
So recently I’ve been seeing MANY doctors for various issues (gastritis, GERD, SIBO, IBS) and have been put on various treatments for them. 
All my life I’ve been experiencing this “throat croak”. It starts around halfway up my chest and makes it’s way to my throat where it comes out as an audible croak that everyone around me can hear. Usually it happens after I eat but later in the day. 
UNFORTUNATELY the Protonix I’m on (Prilosec did the same thing) makes the croak way worse to the point where I’ll have it hours after I eat anything. The noise doesn’t bother me but if it continues long enough I’ll get NAUSEOUS and the only thing that stops the croak and the pressure in my stomach is by laying flat on my back. The symptoms disappear immediately but come back the second I sit up. 
Does anyone experience this? Can anyone tell me what may help or If they’ve had the same issue taking ppi? My doctors have no earthly clue what I’m talking about when I try to explain it to them.</t>
        </is>
      </c>
      <c r="D2082" t="n">
        <v>20</v>
      </c>
      <c r="E2082" t="n">
        <v>14</v>
      </c>
      <c r="F2082">
        <f>HYPERLINK("https://www.reddit.com/r/GERD/comments/cjc0ml/does_anyone_else_experience_the_throat_croak/")</f>
        <v/>
      </c>
      <c r="G2082" t="inlineStr">
        <is>
          <t>2019-07-29 07:32:30</t>
        </is>
      </c>
      <c r="H2082" t="inlineStr"/>
    </row>
    <row r="2083">
      <c r="A2083" t="inlineStr">
        <is>
          <t>cjd56n</t>
        </is>
      </c>
      <c r="B2083" t="inlineStr">
        <is>
          <t>Abnormal symptom</t>
        </is>
      </c>
      <c r="C2083" t="inlineStr">
        <is>
          <t>So for the past couple months I've been having this really wierd symptom. Checked everywhere and can't find anything like it. 
Basically every time I go poo, right after, my stomach hurts. I get nauseous and feel like my food comes up. My throat gets tight and becomes hard to swallow for the rest of the day. I also burp alot, sometimes get heartburn and my stomach will feel inflammed kinda like gastritis pain. Doesn't really matter what I eat it always happens when I go. 
Anyone ever experience this or have any advice?</t>
        </is>
      </c>
      <c r="D2083" t="n">
        <v>1</v>
      </c>
      <c r="E2083" t="n">
        <v>0</v>
      </c>
      <c r="F2083">
        <f>HYPERLINK("https://www.reddit.com/r/GERD/comments/cjd56n/abnormal_symptom/")</f>
        <v/>
      </c>
      <c r="G2083" t="inlineStr">
        <is>
          <t>2019-07-29 08:57:33</t>
        </is>
      </c>
      <c r="H2083" t="inlineStr"/>
    </row>
    <row r="2084">
      <c r="A2084" t="inlineStr">
        <is>
          <t>cje1vp</t>
        </is>
      </c>
      <c r="B2084" t="inlineStr">
        <is>
          <t>Omeprozole vs zantac</t>
        </is>
      </c>
      <c r="C2084" t="inlineStr">
        <is>
          <t>Hi everyone. I've been on 40mg of Omeprozole and it hasn't really helped much. Today I took zantac instead and I feel better.
What's your experience with both?</t>
        </is>
      </c>
      <c r="D2084" t="n">
        <v>3</v>
      </c>
      <c r="E2084" t="n">
        <v>21</v>
      </c>
      <c r="F2084">
        <f>HYPERLINK("https://www.reddit.com/r/GERD/comments/cje1vp/omeprozole_vs_zantac/")</f>
        <v/>
      </c>
      <c r="G2084" t="inlineStr">
        <is>
          <t>2019-07-29 10:02:56</t>
        </is>
      </c>
      <c r="H2084" t="inlineStr"/>
    </row>
    <row r="2085">
      <c r="A2085" t="inlineStr">
        <is>
          <t>cjei40</t>
        </is>
      </c>
      <c r="B2085" t="inlineStr">
        <is>
          <t>I think I have Silent Reflux :/ What would be your number 1 tip?</t>
        </is>
      </c>
      <c r="C2085" t="inlineStr">
        <is>
          <t>I've been having issues with throat tension and neck stiffness on and off for about 7 months now, but I always thought it was some form of muscle tension dysphonia from a strep throat stretch back in January. After a few visits to an ENT, he finally suggested maybe trying Zantac to see if it could be some reflux issue. I thought it was BS since I never had any indigestion issues, but I tried taking it along with restricting my diet, and man my throat felt nice and relaxed for the first time in weeks.
It makes sense as the tension is the worst right after I eat lunch, I also began to look at all the triggers for silent reflux and holy shit, I eat/do all of them. Multiple seltzer waters a day, spicy foods, pasta sauce, coffee, alcohol, sleeping without an incline, overeating, eating right before bed/exercise, etc. I'm going to make a conscious effort to make some changes, but I do not know if I can live without coffee, seltzers, and vodka clubs :/
What would be your best tip for someone just getting over silent reflux?</t>
        </is>
      </c>
      <c r="D2085" t="n">
        <v>2</v>
      </c>
      <c r="E2085" t="n">
        <v>28</v>
      </c>
      <c r="F2085">
        <f>HYPERLINK("https://www.reddit.com/r/GERD/comments/cjei40/i_think_i_have_silent_reflux_what_would_be_your/")</f>
        <v/>
      </c>
      <c r="G2085" t="inlineStr">
        <is>
          <t>2019-07-29 10:35:20</t>
        </is>
      </c>
      <c r="H2085" t="inlineStr"/>
    </row>
    <row r="2086">
      <c r="A2086" t="inlineStr">
        <is>
          <t>cjevkt</t>
        </is>
      </c>
      <c r="B2086" t="inlineStr">
        <is>
          <t>I'm having the manometry and ph monitoring test tomorrow and i'm honestly terrified. (18f)</t>
        </is>
      </c>
      <c r="C2086" t="inlineStr">
        <is>
          <t>so yeah, I'm going to the hospital at 3; 15 pm for the tests and coming back the next day to get it removed. When looking for previous experiences, everything I've seen has been negative and only made my fear worse. to note, I've already had an endoscopy - but they inserted the tube before the meds took effect so the last memory I had was heaving heavily and feeling like I was choking. Now that has made me even more scared, since I'm worried that the test will feel the same - only this time I have no drugs to make me feel calmer. help!!</t>
        </is>
      </c>
      <c r="D2086" t="n">
        <v>1</v>
      </c>
      <c r="E2086" t="n">
        <v>9</v>
      </c>
      <c r="F2086">
        <f>HYPERLINK("https://www.reddit.com/r/GERD/comments/cjevkt/im_having_the_manometry_and_ph_monitoring_test/")</f>
        <v/>
      </c>
      <c r="G2086" t="inlineStr">
        <is>
          <t>2019-07-29 11:01:47</t>
        </is>
      </c>
      <c r="H2086" t="inlineStr"/>
    </row>
    <row r="2087">
      <c r="A2087" t="inlineStr">
        <is>
          <t>cjfnwl</t>
        </is>
      </c>
      <c r="B2087" t="inlineStr">
        <is>
          <t>Fainting?</t>
        </is>
      </c>
      <c r="C2087" t="inlineStr">
        <is>
          <t>Anyone experience any low blood sugar/pressure feeling of faint with the pantoprazole medication?? I feel hopeless every day that passes I feel like I am going to die.</t>
        </is>
      </c>
      <c r="D2087" t="n">
        <v>2</v>
      </c>
      <c r="E2087" t="n">
        <v>11</v>
      </c>
      <c r="F2087">
        <f>HYPERLINK("https://www.reddit.com/r/GERD/comments/cjfnwl/fainting/")</f>
        <v/>
      </c>
      <c r="G2087" t="inlineStr">
        <is>
          <t>2019-07-29 11:58:41</t>
        </is>
      </c>
      <c r="H2087" t="inlineStr"/>
    </row>
    <row r="2088">
      <c r="A2088" t="inlineStr">
        <is>
          <t>cjg8kq</t>
        </is>
      </c>
      <c r="B2088" t="inlineStr">
        <is>
          <t>Unrelenting throat soreness and rawness..</t>
        </is>
      </c>
      <c r="C2088" t="inlineStr">
        <is>
          <t>I haven't been formally tested for GERD, but in the span of 3 years, I've gone to the doctor twice thinking I had something like strep throat, and all my tests came out negative so the doctor suggested it might be GERD. Between these two events, I started to manage my habits better, not eating before bed, avoiding triggers, etc. But a couple of weeks ago my symptoms came back with a vengeance. This last time I rushed to see a doctor when I woke up one morning and my throat was actually bleeding. 
I had to get on antibiotics for an unidentified secondary infection likely due to reflux damaging my throat. I'm scheduled for a gastroscopy in a couple of weeks, but for the past 3 weeks, despite taking Omeprazole every day, I can barely get through one day without my throat becoming raw. I'm starting to feel desperate. I don't know how much more I can restrict my diet. Does anyone have any experience with something like this? Any remedies? This is pretty much my only symptom, but it's so severe.</t>
        </is>
      </c>
      <c r="D2088" t="n">
        <v>4</v>
      </c>
      <c r="E2088" t="n">
        <v>14</v>
      </c>
      <c r="F2088">
        <f>HYPERLINK("https://www.reddit.com/r/GERD/comments/cjg8kq/unrelenting_throat_soreness_and_rawness/")</f>
        <v/>
      </c>
      <c r="G2088" t="inlineStr">
        <is>
          <t>2019-07-29 12:39:29</t>
        </is>
      </c>
      <c r="H2088" t="inlineStr"/>
    </row>
    <row r="2089">
      <c r="A2089" t="inlineStr">
        <is>
          <t>cji8m5</t>
        </is>
      </c>
      <c r="B2089" t="inlineStr">
        <is>
          <t>Uncontrollable cough/itch in throat</t>
        </is>
      </c>
      <c r="C2089" t="inlineStr">
        <is>
          <t>I've been coughing up a storm uncontrollably for about 12 hours now. It's happened to me before but never this long. Nothive I've done seem to be able to stop it. Does anyone else experience this? No mucus, dry cough so intense that I almost threw up because of gagging. Help! Thank you all.</t>
        </is>
      </c>
      <c r="D2089" t="n">
        <v>5</v>
      </c>
      <c r="E2089" t="n">
        <v>1</v>
      </c>
      <c r="F2089">
        <f>HYPERLINK("https://www.reddit.com/r/GERD/comments/cji8m5/uncontrollable_coughitch_in_throat/")</f>
        <v/>
      </c>
      <c r="G2089" t="inlineStr">
        <is>
          <t>2019-07-29 15:06:19</t>
        </is>
      </c>
      <c r="H2089" t="inlineStr"/>
    </row>
    <row r="2090">
      <c r="A2090" t="inlineStr">
        <is>
          <t>cji909</t>
        </is>
      </c>
      <c r="B2090" t="inlineStr">
        <is>
          <t>Living hell with Prevacid (possibly)</t>
        </is>
      </c>
      <c r="C2090" t="inlineStr">
        <is>
          <t>Hello fellow GERD sufferers.  I'm hoping someone has some ideas, or has experienced the same or similar side effect to prevacid.  I've had GERD for many, many years, so my wife suggested that I try taking over the counter Prevacid. Did so for five days without any issues. Last night I started developing a possible side effect from the medication. It's hard to describe, but it's pretty much the taste and smell of burnt plastic or metal. It comes in waves from very faint to very strong. Barely slept last night, and even tried to sleep in my car to make sure it wasn't the apartment. Had the same smell and taste in the car as well. It's nearly 24 hours without taking any Prevacid, and this still won't abate. Already vomited from the smell, and not sure how I'm going to get to sleep tonight. This has become literal hell. Has anyone else had a similar issue with Prevacid? Or even with GERD in general? Any help would be greatly appreciated, my quality of live is slowly becoming unbearable. Thank you so much in advance.</t>
        </is>
      </c>
      <c r="D2090" t="n">
        <v>2</v>
      </c>
      <c r="E2090" t="n">
        <v>4</v>
      </c>
      <c r="F2090">
        <f>HYPERLINK("https://www.reddit.com/r/GERD/comments/cji909/living_hell_with_prevacid_possibly/")</f>
        <v/>
      </c>
      <c r="G2090" t="inlineStr">
        <is>
          <t>2019-07-29 15:07:09</t>
        </is>
      </c>
      <c r="H2090" t="inlineStr"/>
    </row>
    <row r="2091">
      <c r="A2091" t="inlineStr">
        <is>
          <t>cjjjff</t>
        </is>
      </c>
      <c r="B2091" t="inlineStr">
        <is>
          <t>Radiating heartburn to upper chest area?</t>
        </is>
      </c>
      <c r="C2091" t="inlineStr">
        <is>
          <t>I always feel heartburn in my upper chest area, especially when I lie down at night. 
My friend who had reflux says if it’s reached the upper chest then it’s grade 3 and that it’s the most severe kind. 
Is this true?</t>
        </is>
      </c>
      <c r="D2091" t="n">
        <v>1</v>
      </c>
      <c r="E2091" t="n">
        <v>2</v>
      </c>
      <c r="F2091">
        <f>HYPERLINK("https://www.reddit.com/r/GERD/comments/cjjjff/radiating_heartburn_to_upper_chest_area/")</f>
        <v/>
      </c>
      <c r="G2091" t="inlineStr">
        <is>
          <t>2019-07-29 16:50:12</t>
        </is>
      </c>
      <c r="H2091" t="inlineStr"/>
    </row>
    <row r="2092">
      <c r="A2092" t="inlineStr">
        <is>
          <t>cjkhfv</t>
        </is>
      </c>
      <c r="B2092" t="inlineStr">
        <is>
          <t>Flu symptoms with Pantoprazole?</t>
        </is>
      </c>
      <c r="C2092" t="inlineStr">
        <is>
          <t>Gosh, I really wish I could figure out what the hell is going on with me. I’m having acid reflux issues AND ibs issues. 
My doctor gave me pantoprazole which helps with acid reflux. But I’m having these weird symptoms that are on and off, so I’m not even sure it’s the medication. I feel really hot especially when I have stomach pains. I feel really nauseas and I just need to sit still. I use to be able to take these sleeping pills but now I can’t because it really messes me up. I can’t sleep because I wake up dizzy. Drinking water helps. What were some side effects you went through ????</t>
        </is>
      </c>
      <c r="D2092" t="n">
        <v>2</v>
      </c>
      <c r="E2092" t="n">
        <v>3</v>
      </c>
      <c r="F2092">
        <f>HYPERLINK("https://www.reddit.com/r/GERD/comments/cjkhfv/flu_symptoms_with_pantoprazole/")</f>
        <v/>
      </c>
      <c r="G2092" t="inlineStr">
        <is>
          <t>2019-07-29 18:10:50</t>
        </is>
      </c>
      <c r="H2092" t="inlineStr"/>
    </row>
    <row r="2093">
      <c r="A2093" t="inlineStr">
        <is>
          <t>cjr0f3</t>
        </is>
      </c>
      <c r="B2093" t="inlineStr">
        <is>
          <t>mucus in throat each morning, is this gerd?</t>
        </is>
      </c>
      <c r="C2093" t="inlineStr">
        <is>
          <t>I've suffered from gerd for awhile but this is something ive noticed and i was just trying to find out, is this a part of gerd?</t>
        </is>
      </c>
      <c r="D2093" t="n">
        <v>1</v>
      </c>
      <c r="E2093" t="n">
        <v>3</v>
      </c>
      <c r="F2093">
        <f>HYPERLINK("https://www.reddit.com/r/GERD/comments/cjr0f3/mucus_in_throat_each_morning_is_this_gerd/")</f>
        <v/>
      </c>
      <c r="G2093" t="inlineStr">
        <is>
          <t>2019-07-30 05:24:23</t>
        </is>
      </c>
      <c r="H2093" t="inlineStr"/>
    </row>
    <row r="2094">
      <c r="A2094" t="inlineStr">
        <is>
          <t>cjraw4</t>
        </is>
      </c>
      <c r="B2094" t="inlineStr">
        <is>
          <t>Anyone else here have changes in stool after GERD??</t>
        </is>
      </c>
      <c r="C2094" t="inlineStr">
        <is>
          <t>I was diagnosed with GERD about 2 months ago. It came pretty suddenly after I had gotten sick. Since then my stool has been very soft to the point where it just disintegrates after sitting for a minute in the toilet. It also seems like it takes me a long time to digest my food now. Have anyone else had this before? Sorry for the TMI.</t>
        </is>
      </c>
      <c r="D2094" t="n">
        <v>9</v>
      </c>
      <c r="E2094" t="n">
        <v>30</v>
      </c>
      <c r="F2094">
        <f>HYPERLINK("https://www.reddit.com/r/GERD/comments/cjraw4/anyone_else_here_have_changes_in_stool_after_gerd/")</f>
        <v/>
      </c>
      <c r="G2094" t="inlineStr">
        <is>
          <t>2019-07-30 05:49:29</t>
        </is>
      </c>
      <c r="H2094" t="inlineStr"/>
    </row>
    <row r="2095">
      <c r="A2095" t="inlineStr">
        <is>
          <t>cjvaj7</t>
        </is>
      </c>
      <c r="B2095" t="inlineStr">
        <is>
          <t>Haven't had any symptoms for 10 years... Woke up yesterday with my body trying to destroy itself. I forgot how awful this is.</t>
        </is>
      </c>
      <c r="C2095" t="inlineStr">
        <is>
          <t>I'm so frustrated and at a loss of what to do. Reading this subreddit has given me a lot of hope though and I'm getting the impression GERD can vary A LOT along with how people treat it. Some of my backstory: when I was in college, (I'm 30 now), a doctor I saw gave me a sample pack of Dexilant and said I had GERD. I haven't really had any issues with it until yesterday... 
Cue cyclic vomiting from 7am until 10pm. My boyfriend took me to urgent care where they gave me a shot of Zofran in the booty, GI cocktail (threw that up when I got home) and a prescription for Omerpazle. They tried to IV me up for a banana bag but they were having too much trouble finding a vein thanks to my dehydration (oh the irony). I took the Omeprazle when I got home, but started getting a weird sodium/chlorine taste in my mouth and threw up some more. Oh and I can't forget the nonstop belching, throat croak, dry heaving and seeing trailing light spots. Yesterday was hell-ish and I was damn near convinced I was going to die. Is it possible to run out of stomach bile to puke up?
Today, I have a terrible burning sensation in my chest that I'm constantly reminding myself isn't a heart attack, I haven't eaten for 24 hours, my anxiety is flaring up with everything going on and since I couldn't keep down my SSRI yesterday, I'm afraid to take it today.
I'm making an appointment with my PCP and GI but haven't heard back yet. I'm feeling really discouraged, depressed and sick of being sick. Whew. Thank you for letting me vent and if you can provide any guidance to help me get back to 100~, I'd greatly appreciate it.</t>
        </is>
      </c>
      <c r="D2095" t="n">
        <v>12</v>
      </c>
      <c r="E2095" t="n">
        <v>11</v>
      </c>
      <c r="F2095">
        <f>HYPERLINK("https://www.reddit.com/r/GERD/comments/cjvaj7/havent_had_any_symptoms_for_10_years_woke_up/")</f>
        <v/>
      </c>
      <c r="G2095" t="inlineStr">
        <is>
          <t>2019-07-30 10:45:54</t>
        </is>
      </c>
      <c r="H2095" t="inlineStr"/>
    </row>
    <row r="2096">
      <c r="A2096" t="inlineStr">
        <is>
          <t>cjvo93</t>
        </is>
      </c>
      <c r="B2096" t="inlineStr">
        <is>
          <t>Anybody tried the Smart Belt?</t>
        </is>
      </c>
      <c r="C2096" t="inlineStr">
        <is>
          <t>Just checking if anybody had success with the smart belt? I haven’t been able to wear a belt for a decade since I got diagnosed.</t>
        </is>
      </c>
      <c r="D2096" t="n">
        <v>1</v>
      </c>
      <c r="E2096" t="n">
        <v>0</v>
      </c>
      <c r="F2096">
        <f>HYPERLINK("https://www.reddit.com/r/GERD/comments/cjvo93/anybody_tried_the_smart_belt/")</f>
        <v/>
      </c>
      <c r="G2096" t="inlineStr">
        <is>
          <t>2019-07-30 11:12:41</t>
        </is>
      </c>
      <c r="H2096" t="inlineStr"/>
    </row>
    <row r="2097">
      <c r="A2097" t="inlineStr">
        <is>
          <t>cjx5k9</t>
        </is>
      </c>
      <c r="B2097" t="inlineStr">
        <is>
          <t>Made such a stupid mistake on the weekend, still feeling it</t>
        </is>
      </c>
      <c r="C2097" t="inlineStr">
        <is>
          <t>Bit of history, I have a Hiatus Hernia and I’m on Omeprazole.
Stupidly drank a lot of beer on Saturday and well, never had heartburn, stomach pain like it. 
It started about 2am (Sunday), felt the heartburn coming so popped an Omeprazole thinking it would help, but no. Ended up actually vomiting and afterwards it just really did me. 
The whole next day I was in a lot of pain, even swallowing water hurt and I could feel it hurting the top of my stomach, anything going down was painful. 
Just wondered whether I should be concerned, I have drank this much before and been ok... has my HH gotten worse? Is something else going on nowadays? Been very anxious the last few days.</t>
        </is>
      </c>
      <c r="D2097" t="n">
        <v>2</v>
      </c>
      <c r="E2097" t="n">
        <v>15</v>
      </c>
      <c r="F2097">
        <f>HYPERLINK("https://www.reddit.com/r/GERD/comments/cjx5k9/made_such_a_stupid_mistake_on_the_weekend_still/")</f>
        <v/>
      </c>
      <c r="G2097" t="inlineStr">
        <is>
          <t>2019-07-30 12:57:57</t>
        </is>
      </c>
      <c r="H2097" t="inlineStr"/>
    </row>
    <row r="2098">
      <c r="A2098" t="inlineStr">
        <is>
          <t>ck08nv</t>
        </is>
      </c>
      <c r="B2098" t="inlineStr">
        <is>
          <t>Who uses glutamine?</t>
        </is>
      </c>
      <c r="C2098" t="inlineStr">
        <is>
          <t>Anyone here? Hearing good things for gut health.</t>
        </is>
      </c>
      <c r="D2098" t="n">
        <v>1</v>
      </c>
      <c r="E2098" t="n">
        <v>0</v>
      </c>
      <c r="F2098">
        <f>HYPERLINK("https://www.reddit.com/r/GERD/comments/ck08nv/who_uses_glutamine/")</f>
        <v/>
      </c>
      <c r="G2098" t="inlineStr">
        <is>
          <t>2019-07-30 16:48:36</t>
        </is>
      </c>
      <c r="H2098" t="inlineStr"/>
    </row>
    <row r="2099">
      <c r="A2099" t="inlineStr">
        <is>
          <t>ck12ut</t>
        </is>
      </c>
      <c r="B2099" t="inlineStr">
        <is>
          <t>I could not understand why stomach secret acid outside meal times</t>
        </is>
      </c>
      <c r="C2099" t="inlineStr">
        <is>
          <t>I suddenly think about this after I have quite bad acid reflux last night while sleeping.
If only stomach does not secret acid at wrong time, no one would have problem with acid reflux.
Seriously, stomach, why do we even need acid between meal or while we sleeping. This did nothing but slowly killing your own body.
Even gallbladder only release bile only when there are food in small intestine, why can't you just do something like that.
I always eat on time everyday for damm 8 months, but stomach almost always release acid 1-2 hours prior to the time.
I really want to ask some researcher or doctor on reddit, but no other medical subreddits would allow me to post this. So I just share my thought here.</t>
        </is>
      </c>
      <c r="D2099" t="n">
        <v>3</v>
      </c>
      <c r="E2099" t="n">
        <v>10</v>
      </c>
      <c r="F2099">
        <f>HYPERLINK("https://www.reddit.com/r/GERD/comments/ck12ut/i_could_not_understand_why_stomach_secret_acid/")</f>
        <v/>
      </c>
      <c r="G2099" t="inlineStr">
        <is>
          <t>2019-07-30 17:59:28</t>
        </is>
      </c>
      <c r="H2099" t="inlineStr"/>
    </row>
    <row r="2100">
      <c r="A2100" t="inlineStr">
        <is>
          <t>ck16mc</t>
        </is>
      </c>
      <c r="B2100" t="inlineStr">
        <is>
          <t>Taking two PPI's a day for LPR. Is this a bad idea?</t>
        </is>
      </c>
      <c r="C2100" t="inlineStr">
        <is>
          <t>This is what I was told to do by a specialist, whom saw no damage done by acid when he did the scope.
&amp;amp;#x200B;
I've read PPIs can be bad for LPR. Is this true?</t>
        </is>
      </c>
      <c r="D2100" t="n">
        <v>3</v>
      </c>
      <c r="E2100" t="n">
        <v>18</v>
      </c>
      <c r="F2100">
        <f>HYPERLINK("https://www.reddit.com/r/GERD/comments/ck16mc/taking_two_ppis_a_day_for_lpr_is_this_a_bad_idea/")</f>
        <v/>
      </c>
      <c r="G2100" t="inlineStr">
        <is>
          <t>2019-07-30 18:08:02</t>
        </is>
      </c>
      <c r="H2100" t="inlineStr"/>
    </row>
    <row r="2101">
      <c r="A2101" t="inlineStr">
        <is>
          <t>ck1dij</t>
        </is>
      </c>
      <c r="B2101" t="inlineStr">
        <is>
          <t>GERD vs colonoscopy prep?</t>
        </is>
      </c>
      <c r="C2101" t="inlineStr">
        <is>
          <t>I have a colonoscopy (preventative) and upper endo (diagnostic) tomorrow. I’ve gotten through the first part of the prep ok. 
However my gerd/hiatal hernia/whatever it is prevents me from drinking liquids in volume. I’ve made it halfway through my first bottle of mag citrate and have to drink the other in about 6 hours. It’s taken me 2 hours to make it halfway through the first because I keep burping it up. 
Any tips/tricks?</t>
        </is>
      </c>
      <c r="D2101" t="n">
        <v>2</v>
      </c>
      <c r="E2101" t="n">
        <v>0</v>
      </c>
      <c r="F2101">
        <f>HYPERLINK("https://www.reddit.com/r/GERD/comments/ck1dij/gerd_vs_colonoscopy_prep/")</f>
        <v/>
      </c>
      <c r="G2101" t="inlineStr">
        <is>
          <t>2019-07-30 18:24:36</t>
        </is>
      </c>
      <c r="H2101" t="inlineStr"/>
    </row>
    <row r="2102">
      <c r="A2102" t="inlineStr">
        <is>
          <t>ck1tnk</t>
        </is>
      </c>
      <c r="B2102" t="inlineStr">
        <is>
          <t>Anyone had their medicine just stop working?</t>
        </is>
      </c>
      <c r="C2102" t="inlineStr">
        <is>
          <t>So I’ve been on 20mg Prilosec once a day since May and I’ve been taking florastor probiotic every night as well. The burping and nasty poop taste in my mouth didn’t go away but the burning stomach pain did, but now the stomach pain is back and it’s constant. Has anyone else had this issue? I really don’t want to go up to 40mg a day.</t>
        </is>
      </c>
      <c r="D2102" t="n">
        <v>3</v>
      </c>
      <c r="E2102" t="n">
        <v>4</v>
      </c>
      <c r="F2102">
        <f>HYPERLINK("https://www.reddit.com/r/GERD/comments/ck1tnk/anyone_had_their_medicine_just_stop_working/")</f>
        <v/>
      </c>
      <c r="G2102" t="inlineStr">
        <is>
          <t>2019-07-30 19:03:52</t>
        </is>
      </c>
      <c r="H2102" t="inlineStr"/>
    </row>
    <row r="2103">
      <c r="A2103" t="inlineStr">
        <is>
          <t>ck1zzi</t>
        </is>
      </c>
      <c r="B2103" t="inlineStr">
        <is>
          <t>Anyone Diagnosed With/Treated for H. Pylori? Did It Help?</t>
        </is>
      </c>
      <c r="C2103" t="inlineStr">
        <is>
          <t>I haven't been...yet.  But if I'm negative I'll be at a loss for what's causing all these little ulcerations &amp;amp; massive inflammation that showed up on the endoscopy.  My stomach lining simply shouldn't be that inflamed with all the Carafate, Dexilant &amp;amp; H2 meds I take daily.  Not because of a stupid hiatal hernia.  Right?
Have any of you guys/gals been found to have this mythical H. Pylori bacteria?  Did treating it improve your symptoms in any measurable way?  Or do you know someone who had it?  I read somewhere that treating H. pylori could cause rampant weight gain, which would be a nightmare in my case.  Any experience there?
I've never actually known an American who had it as it's mostly eradicated here, but I consume substances like kratom &amp;amp; tianeptine from countries like Indonesia, China, etc where it's probably more common so that's where I might've picked it up.  Guess I'll find out when I finally get my EGD results back after Medicaid decides to let me go back to the doc.</t>
        </is>
      </c>
      <c r="D2103" t="n">
        <v>9</v>
      </c>
      <c r="E2103" t="n">
        <v>21</v>
      </c>
      <c r="F2103">
        <f>HYPERLINK("https://www.reddit.com/r/GERD/comments/ck1zzi/anyone_diagnosed_withtreated_for_h_pylori_did_it/")</f>
        <v/>
      </c>
      <c r="G2103" t="inlineStr">
        <is>
          <t>2019-07-30 19:19:19</t>
        </is>
      </c>
      <c r="H2103" t="inlineStr"/>
    </row>
    <row r="2104">
      <c r="A2104" t="inlineStr">
        <is>
          <t>ck2882</t>
        </is>
      </c>
      <c r="B2104" t="inlineStr">
        <is>
          <t>How long after stopping PPI's cold turkey should it take for the acid rebound to kick in?</t>
        </is>
      </c>
      <c r="C2104" t="inlineStr">
        <is>
          <t>I had stopped for a week and had barely any kind of uptick in acid, maybe a little more acidity tasting reflux but nothing that would even come close to burning.</t>
        </is>
      </c>
      <c r="D2104" t="n">
        <v>5</v>
      </c>
      <c r="E2104" t="n">
        <v>16</v>
      </c>
      <c r="F2104">
        <f>HYPERLINK("https://www.reddit.com/r/GERD/comments/ck2882/how_long_after_stopping_ppis_cold_turkey_should/")</f>
        <v/>
      </c>
      <c r="G2104" t="inlineStr">
        <is>
          <t>2019-07-30 19:39:24</t>
        </is>
      </c>
      <c r="H2104" t="inlineStr"/>
    </row>
    <row r="2105">
      <c r="A2105" t="inlineStr">
        <is>
          <t>ck361c</t>
        </is>
      </c>
      <c r="B2105" t="inlineStr">
        <is>
          <t>Passing on some info</t>
        </is>
      </c>
      <c r="C2105" t="inlineStr">
        <is>
          <t>Hi guys I just want to pass on some information Left to me by a little old lady. I use Famotidine from Walmart (no they don't sponsor me. No they don't pay me.) I still have GERD but it's not as bad. I have changed my diet a lot but it doesn't always work. These pills really help and maybe a benefit to someone else.</t>
        </is>
      </c>
      <c r="D2105" t="n">
        <v>3</v>
      </c>
      <c r="E2105" t="n">
        <v>2</v>
      </c>
      <c r="F2105">
        <f>HYPERLINK("https://www.reddit.com/r/GERD/comments/ck361c/passing_on_some_info/")</f>
        <v/>
      </c>
      <c r="G2105" t="inlineStr">
        <is>
          <t>2019-07-30 21:05:12</t>
        </is>
      </c>
      <c r="H2105" t="inlineStr"/>
    </row>
    <row r="2106">
      <c r="A2106" t="inlineStr">
        <is>
          <t>ck528x</t>
        </is>
      </c>
      <c r="B2106" t="inlineStr">
        <is>
          <t>Help! Eating out is miserable! What do you order when the occasion arises?</t>
        </is>
      </c>
      <c r="C2106" t="inlineStr">
        <is>
          <t>Firstly, I used to love eating out, and still do! Cafes, restaurants wherever. Yet, after recently suffering a pretty bad flare up, this is now nigh on impossible to do, or more so, to enjoy! 
I've removed things completely from my diet: chocolate, coffee, onions, tomatoes, obvious fats, oils, and my favorite, alcohol.
So, when it comes to ordering food - what do you do? 
What's everyone's experiences with eating out?</t>
        </is>
      </c>
      <c r="D2106" t="n">
        <v>3</v>
      </c>
      <c r="E2106" t="n">
        <v>8</v>
      </c>
      <c r="F2106">
        <f>HYPERLINK("https://www.reddit.com/r/GERD/comments/ck528x/help_eating_out_is_miserable_what_do_you_order/")</f>
        <v/>
      </c>
      <c r="G2106" t="inlineStr">
        <is>
          <t>2019-07-31 00:21:33</t>
        </is>
      </c>
      <c r="H2106" t="inlineStr"/>
    </row>
    <row r="2107">
      <c r="A2107" t="inlineStr">
        <is>
          <t>ck6qmt</t>
        </is>
      </c>
      <c r="B2107" t="inlineStr">
        <is>
          <t>Just a quick question about Omeprazole</t>
        </is>
      </c>
      <c r="C2107" t="inlineStr">
        <is>
          <t>My doctor prescribed Omeprazole to me 2 weeks ago now, and I've been taking the 40mg doses every day since. 
I'm now reading a lot of things about Omeprazole that make me think I should stop taking them ASAP.
Not sure what to do.
A little background on why I'm taking it;
Nothing serious, for a while, longer than a month now, I've had what feels like a lump in the back of my throat, it goes down when I swallow hard, and it's not there when I first wake up in the morning, so I know it's mucus (Or at least very, very sure it is)
When I told my doc this she said it sounded like acid reflux that was messing with my throat, so then mucus was "sent" to help protect my throat.
That and after I eat I have small burps that are quick and only after I eat, I don't have them regularly. 
I started changing my diet 4 days ago, and I'm wondering if I should just stick to that and not even mess with the PPI?
My diet currently consists of: Oatmeal in the morning, with a banana shortly after. A sandwhich with whole wheat bread and chicken or turkey lunch meat, lettuce, and miracle whip. 
Then for lunch I have 2 more sandwiches of the same sort. 
Then when I get home I have more sandwiches with a side of broccoli or carrots. 
Don't judge, I really like sandwiches haha. 
Any advice you guys could give me would be great, thanks for taking the time to read this!</t>
        </is>
      </c>
      <c r="D2107" t="n">
        <v>2</v>
      </c>
      <c r="E2107" t="n">
        <v>4</v>
      </c>
      <c r="F2107">
        <f>HYPERLINK("https://www.reddit.com/r/GERD/comments/ck6qmt/just_a_quick_question_about_omeprazole/")</f>
        <v/>
      </c>
      <c r="G2107" t="inlineStr">
        <is>
          <t>2019-07-31 03:39:46</t>
        </is>
      </c>
      <c r="H2107" t="inlineStr"/>
    </row>
    <row r="2108">
      <c r="A2108" t="inlineStr">
        <is>
          <t>ck73h8</t>
        </is>
      </c>
      <c r="B2108" t="inlineStr">
        <is>
          <t>Pantoprazole / PPIs and depression</t>
        </is>
      </c>
      <c r="C2108" t="inlineStr">
        <is>
          <t>I was prescribed Pantoprazole and have been taking it daily (20mg) for almost two months.  I don't take medication for anything else.  The past couple of weeks I've been in an unusually dark mental funk and started to think I was going through a crisis or something.  A lightbulb went off in my head to see if it's maybe a symptom of the Pantoprazole, so I did some research yesterday and lo and behold, there are a bunch of studies linking PPIs with depression.  I've looked up past posts and it seems that some people have had this same reaction.  I'm going to go off the Pantoprazole today and just go back to Zantac for a few days to see if it makes a difference, hopefully it is just a side effect of the medication.
Has anyone else experienced anything like this?</t>
        </is>
      </c>
      <c r="D2108" t="n">
        <v>2</v>
      </c>
      <c r="E2108" t="n">
        <v>5</v>
      </c>
      <c r="F2108">
        <f>HYPERLINK("https://www.reddit.com/r/GERD/comments/ck73h8/pantoprazole_ppis_and_depression/")</f>
        <v/>
      </c>
      <c r="G2108" t="inlineStr">
        <is>
          <t>2019-07-31 04:17:07</t>
        </is>
      </c>
      <c r="H2108" t="inlineStr"/>
    </row>
    <row r="2109">
      <c r="A2109" t="inlineStr">
        <is>
          <t>ck84pm</t>
        </is>
      </c>
      <c r="B2109" t="inlineStr">
        <is>
          <t>Still have mild discomfort 1 month after endoscopy</t>
        </is>
      </c>
      <c r="C2109" t="inlineStr">
        <is>
          <t>I'm still having some mild discomfort when eating 1 month after I've had my endoscopy done...is that normal?</t>
        </is>
      </c>
      <c r="D2109" t="n">
        <v>1</v>
      </c>
      <c r="E2109" t="n">
        <v>2</v>
      </c>
      <c r="F2109">
        <f>HYPERLINK("https://www.reddit.com/r/GERD/comments/ck84pm/still_have_mild_discomfort_1_month_after_endoscopy/")</f>
        <v/>
      </c>
      <c r="G2109" t="inlineStr">
        <is>
          <t>2019-07-31 05:54:27</t>
        </is>
      </c>
      <c r="H2109" t="inlineStr"/>
    </row>
    <row r="2110">
      <c r="A2110" t="inlineStr">
        <is>
          <t>ck92vk</t>
        </is>
      </c>
      <c r="B2110" t="inlineStr">
        <is>
          <t>Any Tips for Stopping Regurgitation?</t>
        </is>
      </c>
      <c r="C2110" t="inlineStr">
        <is>
          <t>So I'm a 19 year old dude, I had acid reflux for about 7 years since I was 12. It's not as severe as some cases I see on the sub, it's on and off. However, when it does get triggered I have slight episodes of regurgitation to which I do not know how to solve. I can't go to sleep and I'm am very tired. Every single time I doze off I feel it coming up and it pisses me off. IDK if I have H. Pylori or not. Last time I had an endoscopy done was a year ago where I tested negative for it.
So here's what I did so far 
I haven't taken my Omeprazole in months due to me feeling fine, and I noticed that it expired on the first of June. I took it anyways, but idk if that was really the smartest idea. It hasn't fixed me like it usually does.
I ate a peanut butter sandwich on wheat bread hoping that it would provide temporary relief in which it did, but I still can't sleep. 
I'm thinking about probably making some ginger tea
Any more suggestions?</t>
        </is>
      </c>
      <c r="D2110" t="n">
        <v>2</v>
      </c>
      <c r="E2110" t="n">
        <v>14</v>
      </c>
      <c r="F2110">
        <f>HYPERLINK("https://www.reddit.com/r/GERD/comments/ck92vk/any_tips_for_stopping_regurgitation/")</f>
        <v/>
      </c>
      <c r="G2110" t="inlineStr">
        <is>
          <t>2019-07-31 07:16:43</t>
        </is>
      </c>
      <c r="H2110" t="inlineStr"/>
    </row>
    <row r="2111">
      <c r="A2111" t="inlineStr">
        <is>
          <t>ck98sv</t>
        </is>
      </c>
      <c r="B2111" t="inlineStr">
        <is>
          <t>Has anyone found that nothing seemed to help?</t>
        </is>
      </c>
      <c r="C2111" t="inlineStr">
        <is>
          <t>Hello,
About 6 months ago my girlfriend started to experience symptoms. It started with diarrhea and really bright yellow poop. Originally thought it was SIBO but that test came back negative. She had a endoscopy/ colonoscopy in June and am currently awaiting a follow up. Having read the report, she was diagnosed with Hiatal hernia, GERD, gastritis and Barrett’s esophagus. We really would like to keep the acid down but it seems like nothing is working. We have tried many antacids, ppis, diet etc but it seems like the acid is still there, especially at night and her symptoms seem to continue to be progressing as her voice seems to be getting hoarse now. 
Has anyone had a similar situation like this?</t>
        </is>
      </c>
      <c r="D2111" t="n">
        <v>2</v>
      </c>
      <c r="E2111" t="n">
        <v>4</v>
      </c>
      <c r="F2111">
        <f>HYPERLINK("https://www.reddit.com/r/GERD/comments/ck98sv/has_anyone_found_that_nothing_seemed_to_help/")</f>
        <v/>
      </c>
      <c r="G2111" t="inlineStr">
        <is>
          <t>2019-07-31 07:30:28</t>
        </is>
      </c>
      <c r="H2111" t="inlineStr"/>
    </row>
    <row r="2112">
      <c r="A2112" t="inlineStr">
        <is>
          <t>ck9ljo</t>
        </is>
      </c>
      <c r="B2112" t="inlineStr">
        <is>
          <t>Question about Alcohol and GERD</t>
        </is>
      </c>
      <c r="C2112" t="inlineStr">
        <is>
          <t>**Backstory**: Long time sufferer here (8-10 years), in my late 20's. Currently directed by my doctor to swap between Ranitidine (150 mg, 2x daily) and Omeprazole (20mg, 1x daily) every two weeks. This is because I had a bad case of C. Diff earlier this year, originally brought on from antibiotics, but I was also more susceptible to it because of taking Omeprazole (it makes you much more susceptible because it lowers stomach acid, which is what normally kills off bad bacteria in your gut, just an FYI). I've been doing this for about two months and haven't had any major issues, thankfully.
I'm going to a wedding this weekend. It's an open bar and I will probably have 1 or 2 drinks, depending on how I feel. My friends all want me to get drunk, but we'll see lol. Anyways, besides some rare social occasions, I RARELY drink alcohol. I drink water probably 80% of the time. I'm switching back to Omeprazole a day early so my body can adjust to that vs. the Rantidine I've been on for the past week and a half. Omeprazole has always worked better for me than Ranitidine, so that's why I wanted to make sure it was in my system before the wedding/drinking. I likely won't drink a ton, but it would be nice to have a light drink or two for the occasion. Of course I will also be bringing a case of Tums with me.
**Question:** Does anyone notice one type of alcohol being worse than the other, in terms of GERD symptoms?  Anyone have any drink recommendations that are easier on the gut/reflux?</t>
        </is>
      </c>
      <c r="D2112" t="n">
        <v>4</v>
      </c>
      <c r="E2112" t="n">
        <v>7</v>
      </c>
      <c r="F2112">
        <f>HYPERLINK("https://www.reddit.com/r/GERD/comments/ck9ljo/question_about_alcohol_and_gerd/")</f>
        <v/>
      </c>
      <c r="G2112" t="inlineStr">
        <is>
          <t>2019-07-31 07:58:51</t>
        </is>
      </c>
      <c r="H2112" t="inlineStr"/>
    </row>
    <row r="2113">
      <c r="A2113" t="inlineStr">
        <is>
          <t>ck9tok</t>
        </is>
      </c>
      <c r="B2113" t="inlineStr">
        <is>
          <t>How was your first experience at the GI? Is this normal?</t>
        </is>
      </c>
      <c r="C2113" t="inlineStr">
        <is>
          <t>I have had mucus going on in my throat since March. I initially went to the ENT and we figured it was acid reflux since the PPI's I was prescribed cut down the mucus/post nasal drip 80%. I decided I should go to a gastroenterologist since this is more their field. Plus I was bloating and burping like crazy for a month. Anyways, I go to my appointment he tells me it's not related to anything gastro. I had to fight him and tell him repeatedly that the ppis cut down on my mucus and even told him an incident which I ate something and woke up with an extremely sore and red throat and he finally agreed it was acid reflux. But he didnt seem all that interested in treating that. He just said itll go away eventually with the ppis (I've had this 4+ months now). He then just sent me off the get an stool test for h pylori (came back negative) bc of my bloating. Is this normal? I feel he blew off my acid reflux. All he said he would consider doing an upper endoscope for my bloating. No follow up appointment or anything. 
Also, anyone experience upper abdomen bloating and burping? Can that be related to acid reflux?</t>
        </is>
      </c>
      <c r="D2113" t="n">
        <v>10</v>
      </c>
      <c r="E2113" t="n">
        <v>21</v>
      </c>
      <c r="F2113">
        <f>HYPERLINK("https://www.reddit.com/r/GERD/comments/ck9tok/how_was_your_first_experience_at_the_gi_is_this/")</f>
        <v/>
      </c>
      <c r="G2113" t="inlineStr">
        <is>
          <t>2019-07-31 08:15:47</t>
        </is>
      </c>
      <c r="H2113" t="inlineStr"/>
    </row>
    <row r="2114">
      <c r="A2114" t="inlineStr">
        <is>
          <t>ckazsq</t>
        </is>
      </c>
      <c r="B2114" t="inlineStr">
        <is>
          <t>How to stop throwing up in Basketball Games with EOE</t>
        </is>
      </c>
      <c r="C2114" t="inlineStr">
        <is>
          <t xml:space="preserve"> 
Hello, is there anything I can do to stop throwing up. Everytime i go for a dunk, run up the court 1 or 2 times i throw up. I had to stop going to my rec center to play pickup games because I kept having to have someone play for me while I dryheave a couple times then throw up everythign I have in me. This is my Senior Year and I am so sad that i may not be able to play basketball due to this rare disease. I stopped vaping dabcarts and juul (which i think is what caused it) and Im on a diet which I sometimes crack and eat something Im not supposed to. I really just want my body to go back to normal where I can do 21 suicides without throwing up. What do I do!
**Comment**</t>
        </is>
      </c>
      <c r="D2114" t="n">
        <v>1</v>
      </c>
      <c r="E2114" t="n">
        <v>0</v>
      </c>
      <c r="F2114">
        <f>HYPERLINK("https://www.reddit.com/r/GERD/comments/ckazsq/how_to_stop_throwing_up_in_basketball_games_with/")</f>
        <v/>
      </c>
      <c r="G2114" t="inlineStr">
        <is>
          <t>2019-07-31 09:46:04</t>
        </is>
      </c>
      <c r="H2114" t="inlineStr"/>
    </row>
    <row r="2115">
      <c r="A2115" t="inlineStr">
        <is>
          <t>ckb2yy</t>
        </is>
      </c>
      <c r="B2115" t="inlineStr">
        <is>
          <t>What are your tips for keeping a food log?</t>
        </is>
      </c>
      <c r="C2115" t="inlineStr">
        <is>
          <t>After a few months I have finally gotten fed up with having no idea what my trigger foods are. I avoid the usual suspects, but will have random episodes and I’ll have no clue what actually caused the flare up. I want to start logging my food, but I have some questions. 
1) Do you just log what you eat or do you log every single ingredient in each food? 
2) Do you log other things as well, like the time?
3) Do your symptoms flare immediately after eating a trigger food or could a flare up be caused by something you’ve eaten the day prior?  Like is it hard to figure out what the flare up was due to? (Sorry this whole illness confuses the hell out of me)
4) How often do you introduce a new food that you think might be a trigger?  For example I think I might be triggered by dairy, but I’m not sure so I’ve just stopped eating it, but I’d like to test it out so I know for sure. 
5) and finally, how long did it take you to figure out your triggers?  And after you did are you living a better life? (Looking for some hope on this question lol)</t>
        </is>
      </c>
      <c r="D2115" t="n">
        <v>0</v>
      </c>
      <c r="E2115" t="n">
        <v>2</v>
      </c>
      <c r="F2115">
        <f>HYPERLINK("https://www.reddit.com/r/GERD/comments/ckb2yy/what_are_your_tips_for_keeping_a_food_log/")</f>
        <v/>
      </c>
      <c r="G2115" t="inlineStr">
        <is>
          <t>2019-07-31 09:52:36</t>
        </is>
      </c>
      <c r="H2115" t="inlineStr"/>
    </row>
    <row r="2116">
      <c r="A2116" t="inlineStr">
        <is>
          <t>ckbq19</t>
        </is>
      </c>
      <c r="B2116" t="inlineStr">
        <is>
          <t>TIF vs. Toupet Fundoplication</t>
        </is>
      </c>
      <c r="C2116" t="inlineStr">
        <is>
          <t>Hello, I'm 27, have had severe reflux and esophagitis for at least 10 years, and am really struggling with the decision between a TIF and a Toupet.
I have dysmotility as well as low sphincter pressure.   Can anyone speak to their experience with either surgery?
My quality of life right now is absolute garbage, and I feel like I'm in a place of mental/physical suffering at all times which is really not contributing to my ability to make this decision.</t>
        </is>
      </c>
      <c r="D2116" t="n">
        <v>6</v>
      </c>
      <c r="E2116" t="n">
        <v>12</v>
      </c>
      <c r="F2116">
        <f>HYPERLINK("https://www.reddit.com/r/GERD/comments/ckbq19/tif_vs_toupet_fundoplication/")</f>
        <v/>
      </c>
      <c r="G2116" t="inlineStr">
        <is>
          <t>2019-07-31 10:39:04</t>
        </is>
      </c>
      <c r="H2116" t="inlineStr"/>
    </row>
    <row r="2117">
      <c r="A2117" t="inlineStr">
        <is>
          <t>ckggy7</t>
        </is>
      </c>
      <c r="B2117" t="inlineStr">
        <is>
          <t>I need some opinions</t>
        </is>
      </c>
      <c r="C2117" t="inlineStr">
        <is>
          <t>To put in brief I’ve had really bad stomach pains/chronic nausea/ lightheadedness/indigestion so I had to go on a gluten and dairy free FOODMAP and low carb diet. I’m only eating soup and gluten free Millet and chia bread and I’m still experiencing symptoms. 
So I got an endoscopy done and apparently I have acid reflux, an ulcer in my esophagus, gastritis and they found (TMI sorry) 200cc of bile in my stomach. I also tested negative for celiac. 
After I got a stomach emptying test to see if I had gastroparesis my doctor just diagnosed it as regular bile reflux. Does anyone else have something like this? I thought it was odd because I’ve never had stomach surgery and I don’t have a stomach ulcer which seem to be the main causes. I’ve just felt shitty for so long I don’t want to take a diagnosis and find out it wasn’t right. I’ve also read horror stories of people with bile reflux and I feel like what I have isn’t nearly as severe as the people who suffer from it. 
BRIEF: got diagnosed with bile reflux, does anyone else have this without stomach surgery or a stomach ulcer? 
If you have any advice please let me know:)</t>
        </is>
      </c>
      <c r="D2117" t="n">
        <v>2</v>
      </c>
      <c r="E2117" t="n">
        <v>1</v>
      </c>
      <c r="F2117">
        <f>HYPERLINK("https://www.reddit.com/r/GERD/comments/ckggy7/i_need_some_opinions/")</f>
        <v/>
      </c>
      <c r="G2117" t="inlineStr">
        <is>
          <t>2019-07-31 16:49:41</t>
        </is>
      </c>
      <c r="H2117" t="inlineStr"/>
    </row>
    <row r="2118">
      <c r="A2118" t="inlineStr">
        <is>
          <t>ckhhph</t>
        </is>
      </c>
      <c r="B2118" t="inlineStr">
        <is>
          <t>Can you get heartburn from cutting out acid?</t>
        </is>
      </c>
      <c r="C2118" t="inlineStr">
        <is>
          <t>Recently I virtually cut out all acidic foods to help my teeth. Vinegar, tomatoes, lemon juice, sugar, anything that has the potential to avoid erosion, because I'm sick of getting cavities. Now I'm getting heartburn that is worsening. The Dr gave me a prescription for it but I don't want to rely on that long term. I suspect this has been an issue with me without knowing it because I have often choked on my saliva when going to sleep. But I never had it this bad and it was quite sudden and at the same time as cutting out these foods.
I'm very confused because I read that most GERD sufferers are advised to avoid acid?</t>
        </is>
      </c>
      <c r="D2118" t="n">
        <v>1</v>
      </c>
      <c r="E2118" t="n">
        <v>2</v>
      </c>
      <c r="F2118">
        <f>HYPERLINK("https://www.reddit.com/r/GERD/comments/ckhhph/can_you_get_heartburn_from_cutting_out_acid/")</f>
        <v/>
      </c>
      <c r="G2118" t="inlineStr">
        <is>
          <t>2019-07-31 18:19:13</t>
        </is>
      </c>
      <c r="H2118" t="inlineStr"/>
    </row>
    <row r="2119">
      <c r="A2119" t="inlineStr">
        <is>
          <t>ckk14j</t>
        </is>
      </c>
      <c r="B2119" t="inlineStr">
        <is>
          <t>Unexplained stomach bloating/GERD in the evening</t>
        </is>
      </c>
      <c r="C2119" t="inlineStr">
        <is>
          <t>So I’ve had major digestive problems over the last 4 years, symptoms ranging from nausea, bloating, indigestion, and pain. I’ve had 2 endoscopies, 2 ultrasounds, CT scans, a gastric emptying study, and a HIDA scan. The only thing that was abnormal was mild gastritis found in endoscopies and a 35% gallbladder ejection fraction with the HIDA scan.
I finally went ahead and got my gallbladder taken out, as I was experiencing chronic pain under my right rib cage. It’s been 24 hours since getting my gallbladder taken out, and I’m seeing that the gallbladder pain is gone which is good. However, I have the same symptoms of not being able to eat as much (hardly anything) at dinner/night for some reason. When I eat/drink things at night, i get full within 1 minute of any consumption, marked by visible bloating of my left upper abdominal region underneath my left rib cage. Then a few minutes later I get very aggressive acid reflux and nausea that lasts for at least 1 hour.
Does anyone have any experience with this? Gastric emptying study was normal, surgeon looked around my abdominal cavity yesterday during surgery and found nothing abnormal while taking out my gallbladder. I just don’t understand why I have the strange bloating in the left epigastric region under the ribs followed by severe reflux and nausea. I’ll also add that this happens no matter what I eat or drink, and the bloating even occurs if I haven’t had anything to eat that night. Daytime is relatively uneventful compared to night time also.</t>
        </is>
      </c>
      <c r="D2119" t="n">
        <v>2</v>
      </c>
      <c r="E2119" t="n">
        <v>5</v>
      </c>
      <c r="F2119">
        <f>HYPERLINK("https://www.reddit.com/r/GERD/comments/ckk14j/unexplained_stomach_bloatinggerd_in_the_evening/")</f>
        <v/>
      </c>
      <c r="G2119" t="inlineStr">
        <is>
          <t>2019-07-31 22:23:39</t>
        </is>
      </c>
      <c r="H2119" t="inlineStr"/>
    </row>
    <row r="2120">
      <c r="A2120" t="inlineStr">
        <is>
          <t>ckk8se</t>
        </is>
      </c>
      <c r="B2120" t="inlineStr">
        <is>
          <t>Soda burns my stomach like crazy</t>
        </is>
      </c>
      <c r="C2120" t="inlineStr">
        <is>
          <t>I don't drink it often, only once in awhile, but i've noticed that anything carbonated is like torture (even if my stomach is full). Anyone else?</t>
        </is>
      </c>
      <c r="D2120" t="n">
        <v>1</v>
      </c>
      <c r="E2120" t="n">
        <v>5</v>
      </c>
      <c r="F2120">
        <f>HYPERLINK("https://www.reddit.com/r/GERD/comments/ckk8se/soda_burns_my_stomach_like_crazy/")</f>
        <v/>
      </c>
      <c r="G2120" t="inlineStr">
        <is>
          <t>2019-07-31 22:47:41</t>
        </is>
      </c>
      <c r="H2120" t="inlineStr"/>
    </row>
    <row r="2121">
      <c r="A2121" t="inlineStr">
        <is>
          <t>ckljlp</t>
        </is>
      </c>
      <c r="B2121" t="inlineStr">
        <is>
          <t>Esophagitis (mild) how to heal ?</t>
        </is>
      </c>
      <c r="C2121" t="inlineStr">
        <is>
          <t>So I got an endoscopy after a really long time of not going because I was just trying my own remedies to get rid of my 'heartburn' aka, silent reflux more like because I have no heartburn. After getting the results I had mild esophagitis, the Doctors literally didn't recommend anything to me either, when I called for my results (they did 3 different biopsies, for H pylori, acid reflux and I believe the lower intestine or something, everything came out normal except mild esophagitis. I've taken Nexium before for like a month or two, sometimes switching it up from 1 &amp;amp; 2 capsules, but non of that really ever helped completely, I guess managed symptoms a little at most.   So currently , I just want to completely get RID of this silent reflux (don't we all). So I stopped taking all my meds, most of my symptoms are gone except I have really delayed stomach emptying ( is what it feels like). I tried drinking EXTREMELY diluted Apple cider vinegar (I know it's dangerous if you're not careful and drink it without diluting it so I'm being very careful. I just did this as a test for 'low stomach acid' today, and literally my stomach felt COMPLETELY normal after. But I don't want to rely on this as my throat / esophagus is obviously inflamed. So what exactly would I do ? Take PPI heavily until the esophagitis is gone first , and THEN treat the core problem ? I don't want to take PPI's the rest of my life, if my problem comes from the gut/low stomach acid , then how am I supposed to completely get rid of the issue. 
&amp;amp;#x200B;
I just bought this today  : [https://www.amazon.com/gp/product/B003SGIVP4/ref=ppx\_yo\_dt\_b\_asin\_title\_o00\_s00?ie=UTF8&amp;amp;psc=1](https://www.amazon.com/gp/product/B003SGIVP4/ref=ppx_yo_dt_b_asin_title_o00_s00?ie=UTF8&amp;amp;psc=1) 
&amp;amp;#x200B;
&amp;amp;#x200B;
Low dosage amount of the HCL, seems a lot safer than drinking ACV in the long run. I know nobody on here can give medical advice, but I'm determined to tackle this issue no matter how much it costs me, I'll pay a personal nutritionist just to fully heal me if I have to, but I want to get down to the bottom</t>
        </is>
      </c>
      <c r="D2121" t="n">
        <v>4</v>
      </c>
      <c r="E2121" t="n">
        <v>13</v>
      </c>
      <c r="F2121">
        <f>HYPERLINK("https://www.reddit.com/r/GERD/comments/ckljlp/esophagitis_mild_how_to_heal/")</f>
        <v/>
      </c>
      <c r="G2121" t="inlineStr">
        <is>
          <t>2019-08-01 01:22:43</t>
        </is>
      </c>
      <c r="H2121" t="inlineStr"/>
    </row>
    <row r="2122">
      <c r="A2122" t="inlineStr">
        <is>
          <t>ckogek</t>
        </is>
      </c>
      <c r="B2122" t="inlineStr">
        <is>
          <t>I was diagnosed with GERD, had symptoms for 6 months, on 40mg of omeprazole every day for 2 months, and still feeling symptoms. Where do I go from here?</t>
        </is>
      </c>
      <c r="C2122" t="inlineStr">
        <is>
          <t>I a male in my early twenties and have been experiencing GERD symptoms back in February when I had a sore throat (more like scratchy throat) which I have never had anything like it before. After the sore throat, I had the typical mucus problems, and I noticed that I started burping. I thought I was just recovering from the sore throat and that the burping would go away eventually, but I was wrong. The burping never went away.
From that point until late May, I continue to burp more than usual. I also experienced tightness in my throat from time to time, mostly when I think about it or when I’m driving or doing something that causes me a bit of anxiety. Additionally, my cousin [M39] died of stage 4 esophageal cancer in March, so that didn’t help my anxiety. I also experienced weight loss. I lost 25 pounds from June 2018 to May 2019. Once I was done with college and summer break began, I went to see my doctor, who diagnosed GERD after me mentioning my symptoms, and prescribed me 40mg of omeprazole for 3 months. She said the omeprazole will cut back on heartburn (which I seldom experienced) and helped my esophagus heal.
We had a followup appointment last month to update. I had no more heartburn but I was still burping as much as ever and the tightness in the throat was still there. For the burping, I still burp regardless of whether or not I ate and what I ate. She suggested that I might have H. pylori. I did the stool test and it came back negative. She told me to continue taking the omeprazole and wait until August 20, when I have my next followup appointment to see where to go depending on my symptoms. That appointment is significant because it would mark the end of my 3 months on omeprazole. Also, I would be moving back up to my university the following week, so my doctor will not be as accessible. According to her, possible actions include renewing the omeprazole and scheduling an endoscopy. I wanted to do an endoscopy because I have no idea what is happening inside me and I want it treated before something serious develops. I want it done soon but my doctor says I can wait until Thanksgiving break to have it done and I should not worry about it too much now.
However, I feel my GERD has been slowly getting worse. Before, it was just burping and tightness in my throat. Now, I experience very mild episodes of heartburn every morning and my chest seems very stuffed. I also experience constipation and nausea, but I do not if that is related to GERD. I should note that I have been obese as a preteen and I used to eat very fast because I did not know any better. I am currently just slightly overweight. I also just remembered my dentist telling me about 2 years back that I produce more saliva than the average person. I had no idea what that meant and I did not have GERD symptoms that I can recall. Could that be connected with GERD? Could I have had GERD for years without knowing it?
To all my fellow GERD readers, what do I do now? I have been patient with GERD ever since I was diagnosed with it albeit I do get anxious sometimes. I understand that it takes years upon years to develop into something more serious (Barrett’s, esophageal cancer, etc.), but I want to do an endoscopy to know for sure so I can get treatment. So where do I go from here? Should I wait until the appointment or move it up so I can fit the endoscopy in before I go back to college?
Here’s my “TL;DR”. The bottom line is that I still feel GERD symptoms after being on 40mg of omeprazole. I am burping (and farting just recently) more than usual and I occasionally have tightness in my throat. I avoid the trigger foods, but even if I eat a GERD-friendly diet, I still burp. Even when I do not eat first thing in the morning, I still burp. I am now experiencing small episodes of mild heartburn. I have a followup doctor’s appointment later this month to decide where to go from here. What do I do?</t>
        </is>
      </c>
      <c r="D2122" t="n">
        <v>12</v>
      </c>
      <c r="E2122" t="n">
        <v>31</v>
      </c>
      <c r="F2122">
        <f>HYPERLINK("https://www.reddit.com/r/GERD/comments/ckogek/i_was_diagnosed_with_gerd_had_symptoms_for_6/")</f>
        <v/>
      </c>
      <c r="G2122" t="inlineStr">
        <is>
          <t>2019-08-01 06:34:48</t>
        </is>
      </c>
      <c r="H2122" t="inlineStr"/>
    </row>
    <row r="2123">
      <c r="A2123" t="inlineStr">
        <is>
          <t>ckq6p1</t>
        </is>
      </c>
      <c r="B2123" t="inlineStr">
        <is>
          <t>Took cbd and having gerd</t>
        </is>
      </c>
      <c r="C2123" t="inlineStr">
        <is>
          <t>Hi been taking cbd oil isolated for pas 5days..when i took it..yes i felt instant positive calmness bt after few hours i have v bad chest pain..jittery all.over
Waking up w panic attacks...everynite
2day Day 5...
After takin 5drops instantly felt more anxiety and chest pain as i was alrdy feeling jittery after a full.blown panic attack..i thought of i take some drops it wil.soothe me...well.it did d opposite
I do have health anxiety ..so i end up goin 2 ER..i cant tell.doc im takin cbd as its not openly sold here..chck ecg so far all ok..doc ruled its GERd
I belif its GERD too cs i be bleching..stomah cramps 
Im on ssri escitalopram 5mg + low dose of benzo kpin 0.35mg</t>
        </is>
      </c>
      <c r="D2123" t="n">
        <v>0</v>
      </c>
      <c r="E2123" t="n">
        <v>15</v>
      </c>
      <c r="F2123">
        <f>HYPERLINK("https://www.reddit.com/r/GERD/comments/ckq6p1/took_cbd_and_having_gerd/")</f>
        <v/>
      </c>
      <c r="G2123" t="inlineStr">
        <is>
          <t>2019-08-01 08:54:24</t>
        </is>
      </c>
      <c r="H2123" t="inlineStr"/>
    </row>
    <row r="2124">
      <c r="A2124" t="inlineStr">
        <is>
          <t>ckqwgx</t>
        </is>
      </c>
      <c r="B2124" t="inlineStr">
        <is>
          <t>Tips for weaning off nexium?</t>
        </is>
      </c>
      <c r="C2124" t="inlineStr">
        <is>
          <t>Was taking 20mg nexium for a year, then doctor upped it to 40mg. Been taking it everyday for two years. Recently, my doctor advised me to wean myself off of nexium. I have a little anxiety about this, as taking nexium helped me start working out again.
I've been taking 40mg every seccond day, and have dropped it down to 20mg every seccond day with zantac in between, and am now experiencing horrible stomach pain, heart burn, and a sore throat.
Does anyone have any tips for tapering off, or any success stories?</t>
        </is>
      </c>
      <c r="D2124" t="n">
        <v>3</v>
      </c>
      <c r="E2124" t="n">
        <v>4</v>
      </c>
      <c r="F2124">
        <f>HYPERLINK("https://www.reddit.com/r/GERD/comments/ckqwgx/tips_for_weaning_off_nexium/")</f>
        <v/>
      </c>
      <c r="G2124" t="inlineStr">
        <is>
          <t>2019-08-01 09:47:20</t>
        </is>
      </c>
      <c r="H2124" t="inlineStr"/>
    </row>
    <row r="2125">
      <c r="A2125" t="inlineStr">
        <is>
          <t>ckrxqh</t>
        </is>
      </c>
      <c r="B2125" t="inlineStr">
        <is>
          <t>Is this LPR?</t>
        </is>
      </c>
      <c r="C2125" t="inlineStr">
        <is>
          <t>I have never really struggled with reflux, but when I was pregnant I had horrible heartburn. Things seemed to get better after I had her in oct 2018, but about 4 months post partum I developed a really annoying hacking cough and also started getting the feeling that something was stuck in my throat and that I had to burp all the time. 
Fast forward to 7.5 months post partum, my cough got so bad I went to urgent care and got a steroid shot, antibiotics and oral steroids. Things got better for a couple weeks. But now 2 months later things are worse again. I’m burping all the time, even when I wake up in the morning. Clearing my throat, mucusy, etc. 
The worst part is the NIGHT COUGH - every night when I go to lie down I get an extremely raspy, productive cough. Breathing in and out causes my chest to rattle very audibly. 
Does this sound like LPR?  I’ve tried everything - 14 days of Zantac, tums &amp;amp; Gaviscon, Zyrtec and Allegra and Benadryl when I thought it was allergies, robutussin and mucinex, melatonin - the only thing that made a big dent seems to be the steroids and / or antibiotics. 
I’m at a loss. First time my primary care doc could see me was 8/30, but I’m getting to the point where I can’t sleep at night - I get enough of that from the baby!!!</t>
        </is>
      </c>
      <c r="D2125" t="n">
        <v>2</v>
      </c>
      <c r="E2125" t="n">
        <v>2</v>
      </c>
      <c r="F2125">
        <f>HYPERLINK("https://www.reddit.com/r/GERD/comments/ckrxqh/is_this_lpr/")</f>
        <v/>
      </c>
      <c r="G2125" t="inlineStr">
        <is>
          <t>2019-08-01 11:05:17</t>
        </is>
      </c>
      <c r="H2125" t="inlineStr"/>
    </row>
    <row r="2126">
      <c r="A2126" t="inlineStr">
        <is>
          <t>ckt8sq</t>
        </is>
      </c>
      <c r="B2126" t="inlineStr">
        <is>
          <t>Omeprazole 20mg vs Pantoprazol 20mg</t>
        </is>
      </c>
      <c r="C2126" t="inlineStr">
        <is>
          <t>Which one doesn’t effect your health that much?</t>
        </is>
      </c>
      <c r="D2126" t="n">
        <v>1</v>
      </c>
      <c r="E2126" t="n">
        <v>1</v>
      </c>
      <c r="F2126">
        <f>HYPERLINK("https://www.reddit.com/r/GERD/comments/ckt8sq/omeprazole_20mg_vs_pantoprazol_20mg/")</f>
        <v/>
      </c>
      <c r="G2126" t="inlineStr">
        <is>
          <t>2019-08-01 12:42:39</t>
        </is>
      </c>
      <c r="H2126" t="inlineStr"/>
    </row>
    <row r="2127">
      <c r="A2127" t="inlineStr">
        <is>
          <t>cktq9s</t>
        </is>
      </c>
      <c r="B2127" t="inlineStr">
        <is>
          <t>Thinking my issues could have been reflux related all along, but still unsure</t>
        </is>
      </c>
      <c r="C2127" t="inlineStr">
        <is>
          <t>I am 28F and at the beginning of the year began experiencing episodes of shortness of breath and tachycardia. My doctor did several EKGs, a chest x-ray, extensive blood tests, a holter monitor, 
a 24 hour urine test, and everything came back normal.
I didn't even consider this could be GI related until a few months later when I started having regurgitation issues after eating. It was then that I realized my breathing and heart rate problems almost always occurred after eating. I also started having burping and bloating issues, along with occasionally feeling hoarse after eating soon after this. I started taking an antacid before eating and have been avoiding laying down after meals and this has helped my symptoms somewhat. I've tried to see if any specific foods trigger me, but it seems like I have these issues after eating anything.
This sub is actually the first time I've heard of silent reflux and it seems like I'm ticking a few of the boxes. Also, I'm not sure if there is a genetic component to reflux, but my younger sister has fairly severe acid reflux and has to be on a strict diet for it.
My insurance is not very good and I'm still paying off the bills from all the visits and tests from earlier this year, so I'd prefer to wait a bit before seeing a gastroenterologist. So if anyone has any suggestions for supplements or other natural remedies that might help or have worked for them, I'd really appreciate it.</t>
        </is>
      </c>
      <c r="D2127" t="n">
        <v>1</v>
      </c>
      <c r="E2127" t="n">
        <v>1</v>
      </c>
      <c r="F2127">
        <f>HYPERLINK("https://www.reddit.com/r/GERD/comments/cktq9s/thinking_my_issues_could_have_been_reflux_related/")</f>
        <v/>
      </c>
      <c r="G2127" t="inlineStr">
        <is>
          <t>2019-08-01 13:19:46</t>
        </is>
      </c>
      <c r="H2127" t="inlineStr"/>
    </row>
    <row r="2128">
      <c r="A2128" t="inlineStr">
        <is>
          <t>ckulik</t>
        </is>
      </c>
      <c r="B2128" t="inlineStr">
        <is>
          <t>Acid Reflux...?</t>
        </is>
      </c>
      <c r="C2128" t="inlineStr">
        <is>
          <t>The only symptom I really have is a little bit of discomfort in my left lower ribs, to the left of the xiphoid process. Occasionally it turns into a burning pain (probably a 1-3/10). This is not impacted before, during, or after eating.
I saw a doctor who prescribed Zantac 150 for acid reflux. That didn't do anything and I was then put on a two week course of pantoprazole. It didn't make my symptoms go away.
One thing that made them better was stopping a multivitamin I was taking shortly after I stopped the pantoprazole, but the symptoms eventually came back a month ago.
Had a chest x-ray that was unremarkable. H. Pylori test was negative.
I don't have any heartburn and very rarely any acid coming up into the back of my mouth.
Could this be acid reflux? Or a hiatal hernia? Or...?</t>
        </is>
      </c>
      <c r="D2128" t="n">
        <v>2</v>
      </c>
      <c r="E2128" t="n">
        <v>2</v>
      </c>
      <c r="F2128">
        <f>HYPERLINK("https://www.reddit.com/r/GERD/comments/ckulik/acid_reflux/")</f>
        <v/>
      </c>
      <c r="G2128" t="inlineStr">
        <is>
          <t>2019-08-01 14:27:05</t>
        </is>
      </c>
      <c r="H2128" t="inlineStr"/>
    </row>
    <row r="2129">
      <c r="A2129" t="inlineStr">
        <is>
          <t>ckvyxs</t>
        </is>
      </c>
      <c r="B2129" t="inlineStr">
        <is>
          <t>Anything I can take to relieve the coughing?</t>
        </is>
      </c>
      <c r="C2129" t="inlineStr">
        <is>
          <t>So I'm currently in the beginning process of trying to appease my GERD. Taking Prilosec and not eating everything spicy/acidic under the sun for starters. So far so good, I no longer have that lump feeling in my throat nor am I waking up to acid in my throat. Haven't experienced heart burn in awhile.
I'm still having a lot of post nasal drip and coughing though, to the point where I cough almost every time I try to talk. Just this constant annoying tickle in my throat, no pain or anything. Any medicine recommendations to appease it while my throat heals?</t>
        </is>
      </c>
      <c r="D2129" t="n">
        <v>8</v>
      </c>
      <c r="E2129" t="n">
        <v>7</v>
      </c>
      <c r="F2129">
        <f>HYPERLINK("https://www.reddit.com/r/GERD/comments/ckvyxs/anything_i_can_take_to_relieve_the_coughing/")</f>
        <v/>
      </c>
      <c r="G2129" t="inlineStr">
        <is>
          <t>2019-08-01 16:17:44</t>
        </is>
      </c>
      <c r="H2129" t="inlineStr"/>
    </row>
    <row r="2130">
      <c r="A2130" t="inlineStr">
        <is>
          <t>ckz0gk</t>
        </is>
      </c>
      <c r="B2130" t="inlineStr">
        <is>
          <t>Weird question but swimming with a hiatal hernia?</t>
        </is>
      </c>
      <c r="C2130" t="inlineStr">
        <is>
          <t>I want to swim but i keep imagine the buoyancy messing up the hiatal hernia if you know what i mean. Afraid that it’ll make things worse.</t>
        </is>
      </c>
      <c r="D2130" t="n">
        <v>2</v>
      </c>
      <c r="E2130" t="n">
        <v>1</v>
      </c>
      <c r="F2130">
        <f>HYPERLINK("https://www.reddit.com/r/GERD/comments/ckz0gk/weird_question_but_swimming_with_a_hiatal_hernia/")</f>
        <v/>
      </c>
      <c r="G2130" t="inlineStr">
        <is>
          <t>2019-08-01 20:58:13</t>
        </is>
      </c>
      <c r="H2130" t="inlineStr"/>
    </row>
    <row r="2131">
      <c r="A2131" t="inlineStr">
        <is>
          <t>ckz59v</t>
        </is>
      </c>
      <c r="B2131" t="inlineStr">
        <is>
          <t>Does Ranitidine help constipation or makes it worse?</t>
        </is>
      </c>
      <c r="C2131" t="inlineStr">
        <is>
          <t>I’ve had acid reflux and constipation for about three weeks now and my doctor prescribed me this ranitidine medicine which helps with the GERD and stuff but I’ve been reading on the internet and it’s says that constipation is one of the side effects of ranitidine but one other source said that it makes constipation better. So I’m confused, does it make it worse or does it treat it? Someone give me a solid answer.</t>
        </is>
      </c>
      <c r="D2131" t="n">
        <v>5</v>
      </c>
      <c r="E2131" t="n">
        <v>12</v>
      </c>
      <c r="F2131">
        <f>HYPERLINK("https://www.reddit.com/r/GERD/comments/ckz59v/does_ranitidine_help_constipation_or_makes_it/")</f>
        <v/>
      </c>
      <c r="G2131" t="inlineStr">
        <is>
          <t>2019-08-01 21:11:21</t>
        </is>
      </c>
      <c r="H2131" t="inlineStr"/>
    </row>
    <row r="2132">
      <c r="A2132" t="inlineStr">
        <is>
          <t>cl0gg6</t>
        </is>
      </c>
      <c r="B2132" t="inlineStr">
        <is>
          <t>Is GERD necessarily visible on endoscopy?</t>
        </is>
      </c>
      <c r="C2132" t="inlineStr">
        <is>
          <t>I have GERD like symptoms and had an endoscopy, but according to my gi doctor, it was all normal, even the biopsies which means also no h pylori which I also suspected because of symptom similarity. I’m getting manometry now, would it detect it?</t>
        </is>
      </c>
      <c r="D2132" t="n">
        <v>3</v>
      </c>
      <c r="E2132" t="n">
        <v>10</v>
      </c>
      <c r="F2132">
        <f>HYPERLINK("https://www.reddit.com/r/GERD/comments/cl0gg6/is_gerd_necessarily_visible_on_endoscopy/")</f>
        <v/>
      </c>
      <c r="G2132" t="inlineStr">
        <is>
          <t>2019-08-01 23:34:05</t>
        </is>
      </c>
      <c r="H2132" t="inlineStr"/>
    </row>
    <row r="2133">
      <c r="A2133" t="inlineStr">
        <is>
          <t>cl0jbm</t>
        </is>
      </c>
      <c r="B2133" t="inlineStr">
        <is>
          <t>hard/swollen stomach</t>
        </is>
      </c>
      <c r="C2133" t="inlineStr">
        <is>
          <t>i’ve had lots of issues lately—at first (months/years ago) it just presented as GERD, but after certain symptoms have progressed these past few months, i started to wonder if my issues could possibly be stemming from LPR, low stomach acid, h. pylori, ulcers, or something else. 
but the past couple weeks, i’ve been feeling extremely bloated, all the time (even if i fast, or eat nothing but kefir and raw fibrous vegetables). and i haven’t been able to figure out why. then today i was getting in the shower, looking at how much fatter i look even though the scale has me on the low end of my normal weight range. and i started prodding my midsection in disgust (as one does). i realized that a very large portion of my abdomen feels hard/swollen. it goes from my diaphragm down to my waist in a long section, about 6-8” wide. it’s doesn’t hurt and isn’t necessarily sensitive to the touch, but i just feel uncomfortably fat and distended all the time. and i would really love to know what’s going on in my body. 
i started a new job three weeks ago, so my health insurance hasn’t kicked in yet (god bless america /s), and i have months to go before i can see my GP again without paying out of pocket. as soon as i get insurance coverage i plan on booking an endoscopy and blood panel. but in the meantime i figured i’d post this on the off-chance of someone here having an idea of what might be going on and how i can minimize its effects in the meantime while i wait to see a doctor.</t>
        </is>
      </c>
      <c r="D2133" t="n">
        <v>3</v>
      </c>
      <c r="E2133" t="n">
        <v>5</v>
      </c>
      <c r="F2133">
        <f>HYPERLINK("https://www.reddit.com/r/GERD/comments/cl0jbm/hardswollen_stomach/")</f>
        <v/>
      </c>
      <c r="G2133" t="inlineStr">
        <is>
          <t>2019-08-01 23:43:45</t>
        </is>
      </c>
      <c r="H2133" t="inlineStr"/>
    </row>
    <row r="2134">
      <c r="A2134" t="inlineStr">
        <is>
          <t>cl0t67</t>
        </is>
      </c>
      <c r="B2134" t="inlineStr">
        <is>
          <t>Esomprazole 40mg (PPI) is the only things that works for me, has anyone successfully gotten off of PPIs and returned to normal life? [25M, Fitness enthusiast]</t>
        </is>
      </c>
      <c r="C2134" t="inlineStr">
        <is>
          <t>I have been using Esomprazole for a year now and it works even when I pop 40mg once a day in the morning. I tried getting off of this and my heartburn symptoms just come back in a couple of days. While the meds work I always feel the taste of the medicine in my mouth through the day, I can’t really eat like how I used to eat before I got GERD. I have been losing weight and this concerns me. I still get a slight burning sensation now and then but I guess I have to live with it. I need someone’s help from here to suggest how to get back to a natural life without medication. Ayurveda is an option... but I would love to hear from you guys. This is my first post ever. Hope it’s worth it! Thanks Reddit!</t>
        </is>
      </c>
      <c r="D2134" t="n">
        <v>1</v>
      </c>
      <c r="E2134" t="n">
        <v>0</v>
      </c>
      <c r="F2134">
        <f>HYPERLINK("https://www.reddit.com/r/GERD/comments/cl0t67/esomprazole_40mg_ppi_is_the_only_things_that/")</f>
        <v/>
      </c>
      <c r="G2134" t="inlineStr">
        <is>
          <t>2019-08-02 00:16:07</t>
        </is>
      </c>
      <c r="H2134" t="inlineStr"/>
    </row>
    <row r="2135">
      <c r="A2135" t="inlineStr">
        <is>
          <t>cl2tbc</t>
        </is>
      </c>
      <c r="B2135" t="inlineStr">
        <is>
          <t>Constant throat pain.</t>
        </is>
      </c>
      <c r="C2135" t="inlineStr">
        <is>
          <t>Been having constant throat pain although for the last week it's eased off a bit. Been having it since January. 
Seen an ENT today who stuck a camera up my nose and into my throat. No signs of damage, no redness, vocal chords are fine. Amazing result. She told me it's probably my stomach/ hiatus hernia.
&amp;amp;#x200B;
But how is it possible to have a sore throat every day and there be no damage?</t>
        </is>
      </c>
      <c r="D2135" t="n">
        <v>3</v>
      </c>
      <c r="E2135" t="n">
        <v>10</v>
      </c>
      <c r="F2135">
        <f>HYPERLINK("https://www.reddit.com/r/GERD/comments/cl2tbc/constant_throat_pain/")</f>
        <v/>
      </c>
      <c r="G2135" t="inlineStr">
        <is>
          <t>2019-08-02 04:23:10</t>
        </is>
      </c>
      <c r="H2135" t="inlineStr"/>
    </row>
    <row r="2136">
      <c r="A2136" t="inlineStr">
        <is>
          <t>cl2ve9</t>
        </is>
      </c>
      <c r="B2136" t="inlineStr">
        <is>
          <t>Has anyone tried Nexabiotic?</t>
        </is>
      </c>
      <c r="C2136" t="inlineStr">
        <is>
          <t>I feel like I talk about it nonstop but it’s really helped me a lot.</t>
        </is>
      </c>
      <c r="D2136" t="n">
        <v>1</v>
      </c>
      <c r="E2136" t="n">
        <v>1</v>
      </c>
      <c r="F2136">
        <f>HYPERLINK("https://www.reddit.com/r/GERD/comments/cl2ve9/has_anyone_tried_nexabiotic/")</f>
        <v/>
      </c>
      <c r="G2136" t="inlineStr">
        <is>
          <t>2019-08-02 04:29:04</t>
        </is>
      </c>
      <c r="H2136" t="inlineStr"/>
    </row>
    <row r="2137">
      <c r="A2137" t="inlineStr">
        <is>
          <t>cl6ckw</t>
        </is>
      </c>
      <c r="B2137" t="inlineStr">
        <is>
          <t>Is it hard for you to eat breakfast in the morning? But you have to so your PPI works?</t>
        </is>
      </c>
      <c r="C2137" t="inlineStr">
        <is>
          <t>Get some Boost or Ensure, or any meal replacement drink. They have been a life saver for me for taking my morning pill when eating food seems impossible. since I started drinking these in the morning I feel so much better than I did before trying to make eggs or cereal in a hurry and just take a couple bites. 
Thought I’d share</t>
        </is>
      </c>
      <c r="D2137" t="n">
        <v>2</v>
      </c>
      <c r="E2137" t="n">
        <v>12</v>
      </c>
      <c r="F2137">
        <f>HYPERLINK("https://www.reddit.com/r/GERD/comments/cl6ckw/is_it_hard_for_you_to_eat_breakfast_in_the/")</f>
        <v/>
      </c>
      <c r="G2137" t="inlineStr">
        <is>
          <t>2019-08-02 09:26:39</t>
        </is>
      </c>
      <c r="H2137" t="inlineStr"/>
    </row>
    <row r="2138">
      <c r="A2138" t="inlineStr">
        <is>
          <t>cl83ek</t>
        </is>
      </c>
      <c r="B2138" t="inlineStr">
        <is>
          <t>7" Avana Foam Mattress Elevator</t>
        </is>
      </c>
      <c r="C2138" t="inlineStr">
        <is>
          <t>Has anyone tried using the 7" Avana foam mattress elevator?  You can find it on Amazon.  I was looking at this to try on my 4 year old who has really bad acid reflux at night to keep him elevated.  The doctor said this should help.  Just not sure if it's too steep of an incline, I don't want him rolling off the bed at night.  They also sell a 5" one, but I thought the elevation needed to be between 6 and 8 inches to effectively work?
Here's a link to the 7" one:   https://www.amazon.com/Avana-Mattress-Elevator-Incline-Support/dp/B077KHHG7K</t>
        </is>
      </c>
      <c r="D2138" t="n">
        <v>0</v>
      </c>
      <c r="E2138" t="n">
        <v>3</v>
      </c>
      <c r="F2138">
        <f>HYPERLINK("https://www.reddit.com/r/GERD/comments/cl83ek/7_avana_foam_mattress_elevator/")</f>
        <v/>
      </c>
      <c r="G2138" t="inlineStr">
        <is>
          <t>2019-08-02 11:40:38</t>
        </is>
      </c>
      <c r="H2138" t="inlineStr"/>
    </row>
    <row r="2139">
      <c r="A2139" t="inlineStr">
        <is>
          <t>cla456</t>
        </is>
      </c>
      <c r="B2139" t="inlineStr">
        <is>
          <t>Clearing out pepsin from the throat, lungs, nasal passages due to LPR?</t>
        </is>
      </c>
      <c r="C2139" t="inlineStr">
        <is>
          <t>I was thinking of trying an alkaline water + baking soda spray into the nose and throat similar to this video..
  [https://www.youtube.com/watch?v=2H\_VvFO3Fp8](https://www.youtube.com/watch?v=2H_VvFO3Fp8) 
&amp;amp;#x200B;
I was also thinking of trying  Sucralfate but I'm not sure if this would help the throat? Maybe f I let it dissolve in my mouth and swallow it?
&amp;amp;#x200B;
Is there any good method for this?</t>
        </is>
      </c>
      <c r="D2139" t="n">
        <v>0</v>
      </c>
      <c r="E2139" t="n">
        <v>4</v>
      </c>
      <c r="F2139">
        <f>HYPERLINK("https://www.reddit.com/r/GERD/comments/cla456/clearing_out_pepsin_from_the_throat_lungs_nasal/")</f>
        <v/>
      </c>
      <c r="G2139" t="inlineStr">
        <is>
          <t>2019-08-02 14:20:58</t>
        </is>
      </c>
      <c r="H2139" t="inlineStr"/>
    </row>
    <row r="2140">
      <c r="A2140" t="inlineStr">
        <is>
          <t>clbk0a</t>
        </is>
      </c>
      <c r="B2140" t="inlineStr">
        <is>
          <t>Natural Remedies for GERD?</t>
        </is>
      </c>
      <c r="C2140" t="inlineStr">
        <is>
          <t>Hey everyone! I’m new to this subreddit—and to acid reflux. I’m a 23 year old male with a normal BMI, although I could certainly exercise more. Though I’ve already taken a pass at modifying my diet and getting more active, I’m posting here to see if I’ve missed any promising conservative remedies. 
About a month ago, I noticed a feeling of fullness in my throat similar to what I’ve experienced in the past before vomiting. I have health anxiety and a history of somaticizing symptoms, so I wrote it off as nothing more than stress. However, around a week later, I began to have heartburn and reflux every day. While I’ve occasionally burped up stomach acid in the past, I’d never done so with such frequency. 
Rather quickly, I wondered whether my symptoms were due to something I’d eaten. I rarely drink when I’m on my own and, though not the healthiest, my diet isn’t terribly laden with rich or fatty foods. About a month before my symptoms began, though, I came home to spend the summer with my parents. The two of them down a bottle or two of wine between themselves practically every other night, and I took on their habits while I was in town. I also ate a ton more sweets than I’m accustomed to.
Starting about a week and a half ago, I made a concerted effort to cut alcohol, caffeine, and chocolate out of my diet. Since then, my symptoms have subsided relative to what they were all of three weeks ago. However, I still have the occasional reflux and nausea throughout the day, especially if I slip up and have a heavy meal. 
Last Tuesday, I met with a holistic doctor and had my blood tested for h. pylori and Candida antibodies as well as vitamin deficiencies. I was negative for h. pylori, though I did have mildly elevated levels of IgA antibodies against Candida as well as a vitamin D deficiency.
Today, I had an appointment with an internist (a traditional MD; no alternative bent). He prescribed me Nexium. Though I understand its side effects are limited in the short term, I’m not anxious to get on a PPI. My symptoms don’t keep me up at night and, other than stimulating my anxiety, don’t interfere enough with day-to-day life enough for me to jump to medication. That said, I want to make sure that I’m not doing permanent damage to my esophagus and lower esophageal sphincter by choosing a limited approach to symptom reduction.
I requested to be referred to a gastroenterologist, whom I’ll most likely see in a couple of weeks. I’m hoping to get tested for a hiatal hernia, though I have no idea how I could’ve gotten one. I don’t lift weights, don’t cough all that frequently, haven’t been seriously injured in the past, and neither of my parents has one. 
In the meantime, is there anything beyond what I’m already doing—and short of medication—that I can do to improve my indigestion and nausea? I’m getting married in three weeks and starting law school a week after that, so I’m anxious to handle my health woes as much as possible in the short term! I should mention that this confluence of life changes, coupled with a ton of free time in which to ruminate, has definitely sent my anxiety through the roof. I wouldn’t be surprised if this is to blame for some of my digestive issues.
Anyhow, thank you for hearing out a stressed-out 20-something. Any and all feedback is appreciated!</t>
        </is>
      </c>
      <c r="D2140" t="n">
        <v>9</v>
      </c>
      <c r="E2140" t="n">
        <v>25</v>
      </c>
      <c r="F2140">
        <f>HYPERLINK("https://www.reddit.com/r/GERD/comments/clbk0a/natural_remedies_for_gerd/")</f>
        <v/>
      </c>
      <c r="G2140" t="inlineStr">
        <is>
          <t>2019-08-02 16:23:32</t>
        </is>
      </c>
      <c r="H2140" t="inlineStr"/>
    </row>
    <row r="2141">
      <c r="A2141" t="inlineStr">
        <is>
          <t>clbnp4</t>
        </is>
      </c>
      <c r="B2141" t="inlineStr">
        <is>
          <t>PPI: 20mg vs 40mg experiences?</t>
        </is>
      </c>
      <c r="C2141" t="inlineStr">
        <is>
          <t>Before I start this just a quick note: I'm not here to hear a lecture on how bad PPIs are for you both in the short/longterm. Plenty of that in other threads.
Anyway...
Without launching into my 4 month ordeal with my ongoing gastric problems I'm at a bit of a cross-roads. I was prescribed 40mg esomeprazole back in April which I took daily for 5-ish weeks. Stopped them for 4 weeks (had a Endoscopy and PH test during that time). I ended up taking 40mg for 8 days in early June. 
Long story short I haven't taken a PPI since June 10tg primarily because I was feeling an overwhelming sense of slow gastric empying. Had this feeling that it was taking hours upon hours to digest a meal out of my stomach. Switched to a popular digestive enzyme which really seemed to help me for 3.5 weeks until I started having chronic burping, bloating, chest discomfort, and a feeling of full burning in my stomach. I'm at the point now where I strongly believe I have gastrits (likely from me ceasing my PPIs).
Long story short (for real this time): Has anyone here noticed a significant difference in gastric emptying (fullness) when switching between 40mg and 20mg PPI? In this case it would be esomeprazole (Nexium). From the many studies I've looked up there doesnt really seem to be a major difference between effectiveness between the two but none of the studies really addresses whether or not one slows you down more than the other. I mean yeah on paper you'd think a double dose of 20mg would be signifiantly more aggresive (both the good and bad aspects) but i'm really not so sure. 
The reason I ask this is because in the next 24 hours or so I'll likely start a 2 week run on a PPI. I'd love to get away with as little of it as I can. If anyone has any experience with those two dosages please let me know. I appreciate it.</t>
        </is>
      </c>
      <c r="D2141" t="n">
        <v>3</v>
      </c>
      <c r="E2141" t="n">
        <v>5</v>
      </c>
      <c r="F2141">
        <f>HYPERLINK("https://www.reddit.com/r/GERD/comments/clbnp4/ppi_20mg_vs_40mg_experiences/")</f>
        <v/>
      </c>
      <c r="G2141" t="inlineStr">
        <is>
          <t>2019-08-02 16:33:10</t>
        </is>
      </c>
      <c r="H2141" t="inlineStr"/>
    </row>
    <row r="2142">
      <c r="A2142" t="inlineStr">
        <is>
          <t>clbp6e</t>
        </is>
      </c>
      <c r="B2142" t="inlineStr">
        <is>
          <t>Is it GERD?</t>
        </is>
      </c>
      <c r="C2142" t="inlineStr">
        <is>
          <t>Around 2 weeks ago I overate on some really greasy stuff and got really really nauseus. Ever since then Ive been having issues with nausea/heartburn or well, mostly heartburn. I have never really had issues with heartburn in my life prior to this. My stomach and chest dont hurt, my stool is normal, its just the heartburn thats causing me problems and now its not really making me hungry. I did an abdomenal ultrasound which found nothing and showed all my organs in the area being okay. I guess Im here to ask if this could be GERD or something else, unfortunately my doctor isnt around till monday and Im really anxious and would really like to eat. Im getting an IV tomorrow to get some strength back.
If it helps im a 23 year old male. Thank you guys in advance.</t>
        </is>
      </c>
      <c r="D2142" t="n">
        <v>2</v>
      </c>
      <c r="E2142" t="n">
        <v>5</v>
      </c>
      <c r="F2142">
        <f>HYPERLINK("https://www.reddit.com/r/GERD/comments/clbp6e/is_it_gerd/")</f>
        <v/>
      </c>
      <c r="G2142" t="inlineStr">
        <is>
          <t>2019-08-02 16:36:47</t>
        </is>
      </c>
      <c r="H2142" t="inlineStr"/>
    </row>
    <row r="2143">
      <c r="A2143" t="inlineStr">
        <is>
          <t>clbubf</t>
        </is>
      </c>
      <c r="B2143" t="inlineStr">
        <is>
          <t>Chronic Cough...lung problems caused by GERD/LPR?</t>
        </is>
      </c>
      <c r="C2143" t="inlineStr">
        <is>
          <t>Does coughing caused by GERD mean that the acid is  getting into and doing damage to the lungs or can it also be a caused by irritating the throat?</t>
        </is>
      </c>
      <c r="D2143" t="n">
        <v>2</v>
      </c>
      <c r="E2143" t="n">
        <v>8</v>
      </c>
      <c r="F2143">
        <f>HYPERLINK("https://www.reddit.com/r/GERD/comments/clbubf/chronic_coughlung_problems_caused_by_gerdlpr/")</f>
        <v/>
      </c>
      <c r="G2143" t="inlineStr">
        <is>
          <t>2019-08-02 16:50:14</t>
        </is>
      </c>
      <c r="H2143" t="inlineStr"/>
    </row>
    <row r="2144">
      <c r="A2144" t="inlineStr">
        <is>
          <t>cle9wq</t>
        </is>
      </c>
      <c r="B2144" t="inlineStr">
        <is>
          <t>How long does it typically take to see relief from symptoms?</t>
        </is>
      </c>
      <c r="C2144" t="inlineStr">
        <is>
          <t>I’ve had LPR for about 3 years now, and until recently wasn’t treating it at all. I’m a very healthy 21 year old male and my doctors always dismissed my complaints about throat and breathing issues as being in my head. Saw a great ENT about 5 months ago who looked down my throat and said he noticed chemical burns and immediately recommended me to go get a barium swallow done. I did that which showed no symptoms, but at our follow up appointment he scheduled me an upper endoscopy after another look down my throat and seeing more burns. 
Since my last doctors visit I’ve been extremely worried about letting it go untreated, and the PPI’s are not helping at all. I’m on 20mg 2x a day before breakfast and dinner, and Zantac at night before bed. I already know the dangers of those drugs so I’m trying to take matters into my own hands through dieting and have basically not been eating anything other than fruits and veggies with very lean meat and eggs here and there for the past week and a half with only slight decreases in symptoms. How long should I wait before trying another diet change and ruling this one out? 
TLDR; Made diet changes just over a week ago. How long until I should see symptom relief?</t>
        </is>
      </c>
      <c r="D2144" t="n">
        <v>2</v>
      </c>
      <c r="E2144" t="n">
        <v>16</v>
      </c>
      <c r="F2144">
        <f>HYPERLINK("https://www.reddit.com/r/GERD/comments/cle9wq/how_long_does_it_typically_take_to_see_relief/")</f>
        <v/>
      </c>
      <c r="G2144" t="inlineStr">
        <is>
          <t>2019-08-02 20:49:43</t>
        </is>
      </c>
      <c r="H2144" t="inlineStr"/>
    </row>
    <row r="2145">
      <c r="A2145" t="inlineStr">
        <is>
          <t>cleb6e</t>
        </is>
      </c>
      <c r="B2145" t="inlineStr">
        <is>
          <t>GERD Medicine - are these side effects?</t>
        </is>
      </c>
      <c r="C2145" t="inlineStr">
        <is>
          <t>Was on Omeprazole 20 mg for 10 years on and off, and now again back at it for a few months, now prevacid and zantac.
I am 6'2'' 250 lbs. 
I love spicy food but try to cut back. 
SIDE EFFECTS
1 - Omeprazole 20 mg
a. Weakness in legs to once in a while (once every 3 months) to the point that I cannot walk, need iburpofren 600mg.
b. FOrgetfullness
c. FALLING ASLEEP randomly, I fall asleep when I am just sitting on the bed at 7pm, or sometimes its hard to fight staying up while driving at night.
d. Weaknesses not able to workout for long, tired quick.
Overall I liked the medicine for how it worked but hated the side effects. 
Prevadic- Prevacid worked longer for me, about 1.5 days per pill, dont want to get addicted to it. Tried it for 2 weeks then its power started to fade.
Zantac- Switched to Zantac, Had to take a pill at 3pm everyday or else somehow right around 3pm acid comes back with a vengence. 
It worked ok but had terrible stomach pains, GAS, etc.
Now I am trying to go cold turkey with just TUMS.
Am I going to be on omeprazole my whole life? What are these side effects caused by
My GERD doctor (Gastro) wants to 
1) do a bone density test 
2) potentially do a surgery to WRAP my stomach in a knot to stop the acid from coming up.
I am not interested in #2 as it causes crazy permanent issues.</t>
        </is>
      </c>
      <c r="D2145" t="n">
        <v>1</v>
      </c>
      <c r="E2145" t="n">
        <v>2</v>
      </c>
      <c r="F2145">
        <f>HYPERLINK("https://www.reddit.com/r/GERD/comments/cleb6e/gerd_medicine_are_these_side_effects/")</f>
        <v/>
      </c>
      <c r="G2145" t="inlineStr">
        <is>
          <t>2019-08-02 20:53:33</t>
        </is>
      </c>
      <c r="H2145" t="inlineStr"/>
    </row>
    <row r="2146">
      <c r="A2146" t="inlineStr">
        <is>
          <t>clj8r4</t>
        </is>
      </c>
      <c r="B2146" t="inlineStr">
        <is>
          <t>Acid reflux and bowel changes?</t>
        </is>
      </c>
      <c r="C2146" t="inlineStr">
        <is>
          <t>Does anyone else have bathroom issues when they have a flare-up? I've had really bad heartburn for the past week, and I've been having to poop 3-4 times a day! (Usually just once a day) I'm not on any GERD medicine so it can't be a side effect or anything. Just seeing if anyone can commiserate or offer advice.</t>
        </is>
      </c>
      <c r="D2146" t="n">
        <v>12</v>
      </c>
      <c r="E2146" t="n">
        <v>7</v>
      </c>
      <c r="F2146">
        <f>HYPERLINK("https://www.reddit.com/r/GERD/comments/clj8r4/acid_reflux_and_bowel_changes/")</f>
        <v/>
      </c>
      <c r="G2146" t="inlineStr">
        <is>
          <t>2019-08-03 07:18:58</t>
        </is>
      </c>
      <c r="H2146" t="inlineStr"/>
    </row>
    <row r="2147">
      <c r="A2147" t="inlineStr">
        <is>
          <t>clnynb</t>
        </is>
      </c>
      <c r="B2147" t="inlineStr">
        <is>
          <t>Not even Omeprazole 40mg works.</t>
        </is>
      </c>
      <c r="C2147" t="inlineStr">
        <is>
          <t>Nothing has worked. I've also tried zantac 150mg nope nothing. Whyyyyy???</t>
        </is>
      </c>
      <c r="D2147" t="n">
        <v>0</v>
      </c>
      <c r="E2147" t="n">
        <v>15</v>
      </c>
      <c r="F2147">
        <f>HYPERLINK("https://www.reddit.com/r/GERD/comments/clnynb/not_even_omeprazole_40mg_works/")</f>
        <v/>
      </c>
      <c r="G2147" t="inlineStr">
        <is>
          <t>2019-08-03 14:15:34</t>
        </is>
      </c>
      <c r="H2147" t="inlineStr"/>
    </row>
    <row r="2148">
      <c r="A2148" t="inlineStr">
        <is>
          <t>clpjex</t>
        </is>
      </c>
      <c r="B2148" t="inlineStr">
        <is>
          <t>Acid reflux silent reflux breathing issues</t>
        </is>
      </c>
      <c r="C2148" t="inlineStr">
        <is>
          <t>So I took myself to the hospital because I felt like I couldn’t breath I have acid reflux(silent reflux) and this particular day my acid reflux flare up was really bad and I felt like I had shortness of breath so then I had a full blown panic attack saw the emergency doctor did X-rays of the lungs throat and chest and they pretty much said my airways and X-rays where normal had anyone with acid or silent reflux had this issues?  the doctor prescribed me a pepcid</t>
        </is>
      </c>
      <c r="D2148" t="n">
        <v>6</v>
      </c>
      <c r="E2148" t="n">
        <v>14</v>
      </c>
      <c r="F2148">
        <f>HYPERLINK("https://www.reddit.com/r/GERD/comments/clpjex/acid_reflux_silent_reflux_breathing_issues/")</f>
        <v/>
      </c>
      <c r="G2148" t="inlineStr">
        <is>
          <t>2019-08-03 16:40:59</t>
        </is>
      </c>
      <c r="H2148" t="inlineStr"/>
    </row>
    <row r="2149">
      <c r="A2149" t="inlineStr">
        <is>
          <t>clqqdp</t>
        </is>
      </c>
      <c r="B2149" t="inlineStr">
        <is>
          <t>Severe GERD and Traveling</t>
        </is>
      </c>
      <c r="C2149" t="inlineStr">
        <is>
          <t>I’ve had severe reflux since I was 5/6 and it used to help to drink water. I would start randomly gagging and feeling nauseous. The condition would kind of come and go. Then it suddenly got worse, and right now I haven’t eaten for an entire day, can’t swallow much, even water is difficult, and it feels like my throat is clogged with mucus. It’s also getting sore from all the acid. I’m in Europe right now and I’m flying back to America tomorrow, what can I do? I’m worried I won’t survive the flight seriously since this condition is preventing me from getting nutrients :( I also can’t really sleep.</t>
        </is>
      </c>
      <c r="D2149" t="n">
        <v>8</v>
      </c>
      <c r="E2149" t="n">
        <v>13</v>
      </c>
      <c r="F2149">
        <f>HYPERLINK("https://www.reddit.com/r/GERD/comments/clqqdp/severe_gerd_and_traveling/")</f>
        <v/>
      </c>
      <c r="G2149" t="inlineStr">
        <is>
          <t>2019-08-03 18:39:36</t>
        </is>
      </c>
      <c r="H2149" t="inlineStr"/>
    </row>
    <row r="2150">
      <c r="A2150" t="inlineStr">
        <is>
          <t>clrnyx</t>
        </is>
      </c>
      <c r="B2150" t="inlineStr">
        <is>
          <t>40mg Esomeprazole not working anymore and symptoms are worse</t>
        </is>
      </c>
      <c r="C2150" t="inlineStr">
        <is>
          <t>Hi guys! 
I’ve been on prescription strength Omeprazole in the past and now been on 40mg Esomeprazole extended release  for about 2 years. 
For the past 6(!!) months I’ve been waking up feeling nauseous and like there’s stomach acid just flooding my chest. I’ve also been feeling like the stomach acid is reaching up in my nose and it burns and leaves my throat and nose super sore. I’ve already had an upper endoscopy and the doctor said my esophagus was irritated (They didn’t find any bacteria or abnormalities)  and should just keep taking my meds. However, certain foods that were not trigger foods before are becoming a huge problem for me and I just feel like I’m on square -10 instead of one. 
Does anyone have any good suggestions of meals to eat to make it less irritated? I was also wondering if I should talk to my doctor about switching my medicine or upping the dosage?</t>
        </is>
      </c>
      <c r="D2150" t="n">
        <v>2</v>
      </c>
      <c r="E2150" t="n">
        <v>8</v>
      </c>
      <c r="F2150">
        <f>HYPERLINK("https://www.reddit.com/r/GERD/comments/clrnyx/40mg_esomeprazole_not_working_anymore_and/")</f>
        <v/>
      </c>
      <c r="G2150" t="inlineStr">
        <is>
          <t>2019-08-03 20:17:34</t>
        </is>
      </c>
      <c r="H2150" t="inlineStr"/>
    </row>
    <row r="2151">
      <c r="A2151" t="inlineStr">
        <is>
          <t>clrq8f</t>
        </is>
      </c>
      <c r="B2151" t="inlineStr">
        <is>
          <t>Pepcid medication 40 mg</t>
        </is>
      </c>
      <c r="C2151" t="inlineStr">
        <is>
          <t>I got prescribed a Pepcid for my silent reflux for the first time did anyone have tried it ? Or have any success on it ? Please thank you</t>
        </is>
      </c>
      <c r="D2151" t="n">
        <v>0</v>
      </c>
      <c r="E2151" t="n">
        <v>1</v>
      </c>
      <c r="F2151">
        <f>HYPERLINK("https://www.reddit.com/r/GERD/comments/clrq8f/pepcid_medication_40_mg/")</f>
        <v/>
      </c>
      <c r="G2151" t="inlineStr">
        <is>
          <t>2019-08-03 20:24:25</t>
        </is>
      </c>
      <c r="H2151" t="inlineStr"/>
    </row>
    <row r="2152">
      <c r="A2152" t="inlineStr">
        <is>
          <t>clrw11</t>
        </is>
      </c>
      <c r="B2152" t="inlineStr">
        <is>
          <t>GERD/LPR no heartburn</t>
        </is>
      </c>
      <c r="C2152" t="inlineStr">
        <is>
          <t>I've been dealing with primarily a sore throat going on a year now since symptoms started and increasingly reflux after almost every meal. Is it common to not have heartburn with GERD/LPR?  I can count on my hand the amount of times I've had heartburn since symptoms started.  I've been on again and off PPI's over the last 12 months and they haven't really helped but I'm giving them another try along with trying to eat frequent small meals.</t>
        </is>
      </c>
      <c r="D2152" t="n">
        <v>1</v>
      </c>
      <c r="E2152" t="n">
        <v>9</v>
      </c>
      <c r="F2152">
        <f>HYPERLINK("https://www.reddit.com/r/GERD/comments/clrw11/gerdlpr_no_heartburn/")</f>
        <v/>
      </c>
      <c r="G2152" t="inlineStr">
        <is>
          <t>2019-08-03 20:42:32</t>
        </is>
      </c>
      <c r="H2152" t="inlineStr"/>
    </row>
    <row r="2153">
      <c r="A2153" t="inlineStr">
        <is>
          <t>clrzu0</t>
        </is>
      </c>
      <c r="B2153" t="inlineStr">
        <is>
          <t>Does anyone take Prilosec and Lexapro?</t>
        </is>
      </c>
      <c r="C2153" t="inlineStr">
        <is>
          <t>If so, do you take them at the same time? Thanks.</t>
        </is>
      </c>
      <c r="D2153" t="n">
        <v>0</v>
      </c>
      <c r="E2153" t="n">
        <v>4</v>
      </c>
      <c r="F2153">
        <f>HYPERLINK("https://www.reddit.com/r/GERD/comments/clrzu0/does_anyone_take_prilosec_and_lexapro/")</f>
        <v/>
      </c>
      <c r="G2153" t="inlineStr">
        <is>
          <t>2019-08-03 20:54:30</t>
        </is>
      </c>
      <c r="H2153" t="inlineStr"/>
    </row>
    <row r="2154">
      <c r="A2154" t="inlineStr">
        <is>
          <t>cls3b1</t>
        </is>
      </c>
      <c r="B2154" t="inlineStr">
        <is>
          <t>Omeprazole and dementia?</t>
        </is>
      </c>
      <c r="C2154" t="inlineStr">
        <is>
          <t>I just saw a new doctor and she was talking about how Omeprazole is linked to Alzheimer’s and dementia. I’m freaking out a little. I’ve been on O for about 8-9 years, 20 mg I think, once a day. 
She suggested I take Zantac instead, since that’s not a PPI. It’s an H2 blocker and doesn’t have the same risks. 
Has anyone switched from O to Z? Will Z be as effective? 
Anyone else worried about dementia risk?
Here’s one of the studies in case you like reading:
https://www.hindawi.com/journals/np/2018/5257285/</t>
        </is>
      </c>
      <c r="D2154" t="n">
        <v>4</v>
      </c>
      <c r="E2154" t="n">
        <v>5</v>
      </c>
      <c r="F2154">
        <f>HYPERLINK("https://www.reddit.com/r/GERD/comments/cls3b1/omeprazole_and_dementia/")</f>
        <v/>
      </c>
      <c r="G2154" t="inlineStr">
        <is>
          <t>2019-08-03 21:05:31</t>
        </is>
      </c>
      <c r="H2154" t="inlineStr"/>
    </row>
    <row r="2155">
      <c r="A2155" t="inlineStr">
        <is>
          <t>clsxzt</t>
        </is>
      </c>
      <c r="B2155" t="inlineStr">
        <is>
          <t>Is Carafate (sucralfate) ever used to treat a hiatal hernia?</t>
        </is>
      </c>
      <c r="C2155" t="inlineStr">
        <is>
          <t>I have burning abdominal pain that is relieved with eating, indigestion/dyspepsia, and some reflux (it rarely makes it to my mouth, usually only after a huge meal, but I usually have a little burning in my lower chest just where my chest and stomach connect).
My doctor believes I have gastritis, peptic ulcer disease, or a combination of the two. I have asked about hiatal hernia and she has repeatedly dismissed my concerns. She believes my symptoms can be explained by irritation in the stomach lining.
Several weeks of PPIs and H2s did not help very much at all. My stomach itself felt just awful. It was very painful. I was finally prescribed sucralfate about two weeks ago and it made a *huge* difference. Almost immediately. I still have constant burning pain in my stomach (except after I eat- then I feel almost normal), but it is much better with the sucralfate. I also still get a little heartburn but not a ton.
Would sucralfate help a hiatal hernia? Heartburn has never been my primary complaint so much as the burning stomach pain, but I do have heartburn and it seems to be about as bad as it has been this entire time. Stomach pain is much better, heartburn is about the same. Still taking lots of PPIs and H2s.
My current coping strategy is to take the sucralfate and then have a meal. I'll feel almost normal for 2 - 3 hours, then the burning pain starts creeping back in. Unfortunately I'm gaining weight rapidly as I've started associating eating with relief from my symptoms.
I'm supposed to have an endoscopy soon. They should be calling me on Monday to schedule it, and then it'll be about two weeks. I have e-mailed my doctor asking for a barium swallow test because I know that endoscopies often do not catch hiatal hernia, but she has denied my request again. She says she wants to get the EGD results first. My concern is that the EGD will show an ulcer or gastritis, and she will assume that's the only problem. I want to know if I have a hiatal hernia or not, so I want to get a barium swallow. Unfortunately I can't force my doctor to order a certain test. I may end up going to a different doctor!
I also have been having these bizarre "strong hiccups" that come out of nowhere several times a day. I looked it up and apparently gastritis and ulcers can cause hiccuping due to irritation to the vagus nerve. I'm not sure if hiatal hernia can cause hiccups. Sometimes my diaphragm starts "fluttering" and I wonder if it's having spasms, or perhaps my stomach is what is having spasms.
Any help is appreciated. I've been quite perplexed by all these problems the last couple of months. To the best of my knowed sucralfate isn't really used to treat hiatal hernia or GERD but I suppose it could be helpful if it coats the esophagus. I think it only coats the stomach and duodenum, though?</t>
        </is>
      </c>
      <c r="D2155" t="n">
        <v>0</v>
      </c>
      <c r="E2155" t="n">
        <v>11</v>
      </c>
      <c r="F2155">
        <f>HYPERLINK("https://www.reddit.com/r/GERD/comments/clsxzt/is_carafate_sucralfate_ever_used_to_treat_a/")</f>
        <v/>
      </c>
      <c r="G2155" t="inlineStr">
        <is>
          <t>2019-08-03 22:45:49</t>
        </is>
      </c>
      <c r="H2155" t="inlineStr"/>
    </row>
    <row r="2156">
      <c r="A2156" t="inlineStr">
        <is>
          <t>clul8l</t>
        </is>
      </c>
      <c r="B2156" t="inlineStr">
        <is>
          <t>Trouble swallowing</t>
        </is>
      </c>
      <c r="C2156" t="inlineStr">
        <is>
          <t>So i have suffered from gerd since I was 11 I'm 26 now and for about 2 weeks I have been having trouble swallowing and a burning pain on top of stomach that doesn't go away. The reason i'm posting here is because it has me terrified about esophageal cancer and wanted to see if any one had similar symptoms that turned out to be nothing serious. Also I had a nasal endoscopy about 15 months ago and it turned up normal the ENT just said my esophagus was red and that it was laryngitis do you guys think 15 months is enough time for cancer to develop?</t>
        </is>
      </c>
      <c r="D2156" t="n">
        <v>1</v>
      </c>
      <c r="E2156" t="n">
        <v>8</v>
      </c>
      <c r="F2156">
        <f>HYPERLINK("https://www.reddit.com/r/GERD/comments/clul8l/trouble_swallowing/")</f>
        <v/>
      </c>
      <c r="G2156" t="inlineStr">
        <is>
          <t>2019-08-04 02:39:42</t>
        </is>
      </c>
      <c r="H2156" t="inlineStr"/>
    </row>
    <row r="2157">
      <c r="A2157" t="inlineStr">
        <is>
          <t>clvye8</t>
        </is>
      </c>
      <c r="B2157" t="inlineStr">
        <is>
          <t>Endoscopy findings - anyone in same boat?</t>
        </is>
      </c>
      <c r="C2157" t="inlineStr">
        <is>
          <t>Hello, I have been suffering heartburn, vomiting etc for about a year. Had my Endoscopy yesterday and they diagnosed oesophagitis (sorry if incorrect spelling) and gastritis, which explain my symptoms. No hernia though, yay!
Has anyone else had these? The nurse said they were reversible - is this your experience? How were you treated?
As an aside, I have stomach discomfort today from this - is this usual? No vomiting or passing blood though.
Thank you :-)</t>
        </is>
      </c>
      <c r="D2157" t="n">
        <v>2</v>
      </c>
      <c r="E2157" t="n">
        <v>19</v>
      </c>
      <c r="F2157">
        <f>HYPERLINK("https://www.reddit.com/r/GERD/comments/clvye8/endoscopy_findings_anyone_in_same_boat/")</f>
        <v/>
      </c>
      <c r="G2157" t="inlineStr">
        <is>
          <t>2019-08-04 05:50:06</t>
        </is>
      </c>
      <c r="H2157" t="inlineStr"/>
    </row>
    <row r="2158">
      <c r="A2158" t="inlineStr">
        <is>
          <t>clw1rm</t>
        </is>
      </c>
      <c r="B2158" t="inlineStr">
        <is>
          <t>Is A Barium Swallow A Good Way To Diagnose Serious Issues?</t>
        </is>
      </c>
      <c r="C2158" t="inlineStr">
        <is>
          <t>I guess I’m just worried a bit that’s all, that I could have GERD and it will affect me for the worse in the future.
I usually make these long posts but since I am fine atm, I’ll make it quick.
Basically I was on PPI’s for about 8+ months. I got a Barrium Swallow. They mentioned that nothing was wrong, everything went down properly. I just had mild dysphagia but it’s because of the way I chew/is something I could grow out of.
Sometimes after the results I stopped taking PPIs (40 mg Pantoprazole magnesium so pretty high dose wise I think), and there was NO Rebound.
Which is why I wonder if there was a serious problem in the first place or it was my nerves causing the reflux and the dysphagia making it worse.
But now I hear that Barium swallows are not a good way of diagnosing GERD, and every time I get some reflux (probably my own fault tbh now that I think about it, the way I eat/sleep), my lower throat burns and my ears burn sometimes as well...
I worry I might have GERD and that it could cause some issues in the future.</t>
        </is>
      </c>
      <c r="D2158" t="n">
        <v>1</v>
      </c>
      <c r="E2158" t="n">
        <v>2</v>
      </c>
      <c r="F2158">
        <f>HYPERLINK("https://www.reddit.com/r/GERD/comments/clw1rm/is_a_barium_swallow_a_good_way_to_diagnose/")</f>
        <v/>
      </c>
      <c r="G2158" t="inlineStr">
        <is>
          <t>2019-08-04 06:01:09</t>
        </is>
      </c>
      <c r="H2158" t="inlineStr"/>
    </row>
    <row r="2159">
      <c r="A2159" t="inlineStr">
        <is>
          <t>clxcoh</t>
        </is>
      </c>
      <c r="B2159" t="inlineStr">
        <is>
          <t>When does a person become a candidate for a Nissen surgery?</t>
        </is>
      </c>
      <c r="C2159" t="inlineStr">
        <is>
          <t>Does having a painful hiatal hernia and a weak LES surpass the tolerance of GERD medication?</t>
        </is>
      </c>
      <c r="D2159" t="n">
        <v>4</v>
      </c>
      <c r="E2159" t="n">
        <v>4</v>
      </c>
      <c r="F2159">
        <f>HYPERLINK("https://www.reddit.com/r/GERD/comments/clxcoh/when_does_a_person_become_a_candidate_for_a/")</f>
        <v/>
      </c>
      <c r="G2159" t="inlineStr">
        <is>
          <t>2019-08-04 08:10:39</t>
        </is>
      </c>
      <c r="H2159" t="inlineStr"/>
    </row>
    <row r="2160">
      <c r="A2160" t="inlineStr">
        <is>
          <t>clyfkj</t>
        </is>
      </c>
      <c r="B2160" t="inlineStr">
        <is>
          <t>Okay I have a carbonated water pop substitute recommendation if anyone wants one</t>
        </is>
      </c>
      <c r="C2160" t="inlineStr">
        <is>
          <t>It’s called bubbl’r antioxidant sparking water by klarbrunn and it is so good and doesn’t hurt my throat!! As most of you know you have to be on top of your acid reflux to drink stuff like this, but yeah just thought I’d share.</t>
        </is>
      </c>
      <c r="D2160" t="n">
        <v>0</v>
      </c>
      <c r="E2160" t="n">
        <v>0</v>
      </c>
      <c r="F2160">
        <f>HYPERLINK("https://www.reddit.com/r/GERD/comments/clyfkj/okay_i_have_a_carbonated_water_pop_substitute/")</f>
        <v/>
      </c>
      <c r="G2160" t="inlineStr">
        <is>
          <t>2019-08-04 09:43:29</t>
        </is>
      </c>
      <c r="H2160" t="inlineStr"/>
    </row>
    <row r="2161">
      <c r="A2161" t="inlineStr">
        <is>
          <t>clyqgi</t>
        </is>
      </c>
      <c r="B2161" t="inlineStr">
        <is>
          <t>Switched to hardcore mediterranean diet</t>
        </is>
      </c>
      <c r="C2161" t="inlineStr">
        <is>
          <t>Salmon, trout, avocado, salad, olives. Every meal.
GERD symptoms down a good 50%
(I needed to do it for other medical reasons)</t>
        </is>
      </c>
      <c r="D2161" t="n">
        <v>19</v>
      </c>
      <c r="E2161" t="n">
        <v>17</v>
      </c>
      <c r="F2161">
        <f>HYPERLINK("https://www.reddit.com/r/GERD/comments/clyqgi/switched_to_hardcore_mediterranean_diet/")</f>
        <v/>
      </c>
      <c r="G2161" t="inlineStr">
        <is>
          <t>2019-08-04 10:08:26</t>
        </is>
      </c>
      <c r="H2161" t="inlineStr"/>
    </row>
    <row r="2162">
      <c r="A2162" t="inlineStr">
        <is>
          <t>clzqqp</t>
        </is>
      </c>
      <c r="B2162" t="inlineStr">
        <is>
          <t>Gastro issues and kidney pain?</t>
        </is>
      </c>
      <c r="C2162" t="inlineStr">
        <is>
          <t>Disclaimer: I am going to the dr for this tomorrow. 
I’m curious to see if any of you have experienced kidney pain or a kidney infection. This is my second one, the last one I had was about a year ago. I’m wondering if I might be more prone to infections as a result of my GERD?</t>
        </is>
      </c>
      <c r="D2162" t="n">
        <v>4</v>
      </c>
      <c r="E2162" t="n">
        <v>1</v>
      </c>
      <c r="F2162">
        <f>HYPERLINK("https://www.reddit.com/r/GERD/comments/clzqqp/gastro_issues_and_kidney_pain/")</f>
        <v/>
      </c>
      <c r="G2162" t="inlineStr">
        <is>
          <t>2019-08-04 11:31:12</t>
        </is>
      </c>
      <c r="H2162" t="inlineStr"/>
    </row>
    <row r="2163">
      <c r="A2163" t="inlineStr">
        <is>
          <t>cm0yvt</t>
        </is>
      </c>
      <c r="B2163" t="inlineStr">
        <is>
          <t>Acid reflux/silent reflux/ heart palpitations</t>
        </is>
      </c>
      <c r="C2163" t="inlineStr">
        <is>
          <t>Does anyone know on any information about anxiety causing acid reflux and Gerd? And heart palpitations I just feel like they are all connected when my acid reflux Gerd  flares up and get pvcs (heart palpitations)  which just creates more anxiety it’s like a never ending cycle I’m getting my acid reflux under control through diet I may need prescribed medication for a while but does anyone also deal with this I’m prone to getting panic attacks as well and sometimes my acid reflux makes me feel like I can’t breath well</t>
        </is>
      </c>
      <c r="D2163" t="n">
        <v>2</v>
      </c>
      <c r="E2163" t="n">
        <v>2</v>
      </c>
      <c r="F2163">
        <f>HYPERLINK("https://www.reddit.com/r/GERD/comments/cm0yvt/acid_refluxsilent_reflux_heart_palpitations/")</f>
        <v/>
      </c>
      <c r="G2163" t="inlineStr">
        <is>
          <t>2019-08-04 13:11:38</t>
        </is>
      </c>
      <c r="H2163" t="inlineStr"/>
    </row>
    <row r="2164">
      <c r="A2164" t="inlineStr">
        <is>
          <t>cm2pna</t>
        </is>
      </c>
      <c r="B2164" t="inlineStr">
        <is>
          <t>Teaspoon of unrefined sunflower oil works like magic against acid reflux</t>
        </is>
      </c>
      <c r="C2164" t="inlineStr">
        <is>
          <t>I just tried it, and thought maybe it would help somebody.</t>
        </is>
      </c>
      <c r="D2164" t="n">
        <v>1</v>
      </c>
      <c r="E2164" t="n">
        <v>2</v>
      </c>
      <c r="F2164">
        <f>HYPERLINK("https://www.reddit.com/r/GERD/comments/cm2pna/teaspoon_of_unrefined_sunflower_oil_works_like/")</f>
        <v/>
      </c>
      <c r="G2164" t="inlineStr">
        <is>
          <t>2019-08-04 15:40:49</t>
        </is>
      </c>
      <c r="H2164" t="inlineStr"/>
    </row>
    <row r="2165">
      <c r="A2165" t="inlineStr">
        <is>
          <t>cm38w9</t>
        </is>
      </c>
      <c r="B2165" t="inlineStr">
        <is>
          <t>Why is LES Surgery not more common?</t>
        </is>
      </c>
      <c r="C2165" t="inlineStr">
        <is>
          <t>I can't seem to find any downsides to this procedure but I know they don't seem to offer it very often.  Are there any side effects or is it mainly a cost thing?  Are there other ways to strengthen LES?  Most medications seem to focus on reducing acid rather than improving the LES strength</t>
        </is>
      </c>
      <c r="D2165" t="n">
        <v>2</v>
      </c>
      <c r="E2165" t="n">
        <v>8</v>
      </c>
      <c r="F2165">
        <f>HYPERLINK("https://www.reddit.com/r/GERD/comments/cm38w9/why_is_les_surgery_not_more_common/")</f>
        <v/>
      </c>
      <c r="G2165" t="inlineStr">
        <is>
          <t>2019-08-04 16:29:44</t>
        </is>
      </c>
      <c r="H2165" t="inlineStr"/>
    </row>
    <row r="2166">
      <c r="A2166" t="inlineStr">
        <is>
          <t>cm3lgh</t>
        </is>
      </c>
      <c r="B2166" t="inlineStr">
        <is>
          <t>Painful breakfast</t>
        </is>
      </c>
      <c r="C2166" t="inlineStr">
        <is>
          <t>I’ve had GERD since I was 13 (I’m 24 now). Does anyone else get excruciating, twisting stomach pain in the morning if you don’t eat right away? And if you don’t eat, you feel like you could be sick? This happens to me 9/10 times. 
Also, I just joined reddit and I am so grateful for ya’ll. Thank you for normalizing my experience with GERD.</t>
        </is>
      </c>
      <c r="D2166" t="n">
        <v>16</v>
      </c>
      <c r="E2166" t="n">
        <v>9</v>
      </c>
      <c r="F2166">
        <f>HYPERLINK("https://www.reddit.com/r/GERD/comments/cm3lgh/painful_breakfast/")</f>
        <v/>
      </c>
      <c r="G2166" t="inlineStr">
        <is>
          <t>2019-08-04 17:02:36</t>
        </is>
      </c>
      <c r="H2166" t="inlineStr"/>
    </row>
    <row r="2167">
      <c r="A2167" t="inlineStr">
        <is>
          <t>cm3mgm</t>
        </is>
      </c>
      <c r="B2167" t="inlineStr">
        <is>
          <t>GERD - What Really Causes Acid Reflux, Heartburn, and GERD?</t>
        </is>
      </c>
      <c r="C2167" t="inlineStr">
        <is>
          <t>This is not exhaustive, but will inform you of a much greater perspective of GERD/acid reflux than most western doctors will know. I am likely not correct in all of my assertions, and will be happy to be proven otherwise.
GERD can be caused by many issues, but one that is often overlooked by western doctors is low stomach acid. In fact since 1975, the occurrence of reflux has increased 400 percent (almost one in five Americans now suffers from airway reflux)[1], and reflux-related esophageal cancer has increased more than 500 percent to become the most rapidly increasing cancer in the United States[2]. 
I have hypochlorhydria / achlorhydria (low stomach acid) and it appears to be very correlated with many other downstream digestive issues (SIBO, constipation/diarrhea, mental issues, physical fatigue/autoimmune). The causes of airway reflux include obesity, overeating, an unhealthy diet, too much acid in the diet(incorrect), eating too late at night, smoking and stress.[3]
Most gastro's will just tell you you have GERD/IBS/IBD and push you out the door. There is a lot of western doctors who don't believe it's an issue, and even ridicule those who do think it may be an issue. I've talked to no less than 5 Doctors (3 Gastros) who don't believe GERD is related to low stomach acid. Often they prescribe proton pump inhibitors(PPIs), H2 Receptor Blockers, or Tums ... which mostly address symptoms. The vast majority of the doctors prescribe a Proton Pump Inhibitor to address GERD ... This is actually more harmful, for the PPI prescribed population this there is an association of Long-term Proton Pump Inhibitor Therapy with Bone Fractures and effects on Absorption of Calcium, Vitamin B12, Iron, and Magnesium.[3] In fact, treating gastroesophageal reflux disease with profound acid inhibition(PPI) will never be ideal because acid secretion is not the primary underlying defect.[5] This makes sense to me, as when the stomach acid is not low enough, it can't actually break down minerals like Calcium, Iron, and magnesium. When these items are not broken down, it leads to deficiency over time. (sidenote, Magnesium glycinate, threonate, and malate, found in more expensive physician-grade supplements, are magnesium salts of organic acids with higher bioavailability, increasing absorption and minimizing GI discomfort)[4]
The lower esophageal sphincter (connects esophagus with stomach) often opens because of gas (resulting from food fermenting in stomach, potentially caused by longer digestive period due to low stomach acid) and often spills out acid into the esophagus, which causes the acid reflux and burning (GERD). 
What Really Causes Acid Reflux, Heartburn, and GERD - https://www.youtube.com/watch?v=HhUTAw6wcK8 - One of the key elements of this talk is to eliminate the possibility that it is a vitamin deficiency for you (zinc, B-12, Magnesium, watch the video, etc)
**So what's the solution?**
*1. You first have to determine if you have low stomach acid ...
*1a. Baking Soda Test is most easily accessible for at home testing - https://healthygut.com/articles/3-tests-for-low-stomach-acid/
*1b. Gastric String Test - see above article
*1c. Heidelberg Test - Gold standard, invented in Germany, gives you clear results of your stomach functioning after consumption.
*2. It can be caused by H. Pylori infection, most medical providers can test for this easily. Do this as well to rule out simple causations.
*2a. You're lucky if you have H. Pylori, as it can be remedied, and can lead to drastic relief.
*3. Nutrient Deficiencies - One of the key elements of diet/deficiency solution is to eliminate the possibility that it is a vitamin deficiency for you (zinc, B-12, Magnesium, watch the video, etc
*4. Diet changes, eating foods that are easier to digest, lower in PH(more acidic) can help alleviate some symptoms, so can ingesting less fiber (yes, you read that right).
*5. Betaine HCL + Pepsin - Consuming this supplement can give you back the Hydrochloric acid your body is not producing. Many people find relief with 1 pill with each meal containing 16g of protein or more. Some people find just 1 pill addresses the issue, others have to consume up to 15-20 pills with a meal. [6]
**Additional Information**
Posting is Inspired by This Video - What Really Causes Acid Reflux, Heartburn, and GERD - https://www.youtube.com/watch?v=HhUTAw6wcK8
Chris Kresser's valuable view - https://chriskresser.com/what-everybody-ought-to-know-but-doesnt-about-heartburn-gerd/
**Citations**
[1] - http://www.voiceinstituteofnewyork.com/wp-content/uploads/2011/01/Koufman-Low-Acid-Diet.pdf
[2] - https://www.ncbi.nlm.nih.gov/pubmed/24692500
[3] - https://www.webmd.com/heartburn-gerd/causes-of-heartburn
[4] - https://www.ncbi.nlm.nih.gov/pubmed/11550076
[5] - http://www.natap.org/2009/HIV/070409_02.htm
[6] - https://www.ncbi.nlm.nih.gov/pmc/articles/PMC4991651/</t>
        </is>
      </c>
      <c r="D2167" t="n">
        <v>1</v>
      </c>
      <c r="E2167" t="n">
        <v>7</v>
      </c>
      <c r="F2167">
        <f>HYPERLINK("https://www.reddit.com/r/GERD/comments/cm3mgm/gerd_what_really_causes_acid_reflux_heartburn_and/")</f>
        <v/>
      </c>
      <c r="G2167" t="inlineStr">
        <is>
          <t>2019-08-04 17:05:24</t>
        </is>
      </c>
      <c r="H2167" t="inlineStr"/>
    </row>
    <row r="2168">
      <c r="A2168" t="inlineStr">
        <is>
          <t>cm3tsm</t>
        </is>
      </c>
      <c r="B2168" t="inlineStr">
        <is>
          <t>Does anybody have issues with malabsorption with their GERD?</t>
        </is>
      </c>
      <c r="C2168" t="inlineStr">
        <is>
          <t>I’ve gotten both a colonoscopy and an endo. Colonoscopy had no findings and the endoscopy found I have both Hiatal Hernia &amp;amp; Gastritis. My worst symptom throughout everything is constantly feeling at a loss of energy, and I am pretty sure I’m not absorbing many nutrients based on the looks of my poop. 
Could GERD have anything to do with this? I feel out of luck since I had both procedures done and they found nothing but basically GERD. Any input, I would really appreciate. Also, is there any other good subs for these types of questions too? I am hoping to get a good amount of opinions on this.</t>
        </is>
      </c>
      <c r="D2168" t="n">
        <v>3</v>
      </c>
      <c r="E2168" t="n">
        <v>29</v>
      </c>
      <c r="F2168">
        <f>HYPERLINK("https://www.reddit.com/r/GERD/comments/cm3tsm/does_anybody_have_issues_with_malabsorption_with/")</f>
        <v/>
      </c>
      <c r="G2168" t="inlineStr">
        <is>
          <t>2019-08-04 17:24:48</t>
        </is>
      </c>
      <c r="H2168" t="inlineStr"/>
    </row>
    <row r="2169">
      <c r="A2169" t="inlineStr">
        <is>
          <t>cm5hyz</t>
        </is>
      </c>
      <c r="B2169" t="inlineStr">
        <is>
          <t>How do you know if you have a large hernia?</t>
        </is>
      </c>
      <c r="C2169" t="inlineStr">
        <is>
          <t>How do the symptoms differ from smaller ones?</t>
        </is>
      </c>
      <c r="D2169" t="n">
        <v>1</v>
      </c>
      <c r="E2169" t="n">
        <v>0</v>
      </c>
      <c r="F2169">
        <f>HYPERLINK("https://www.reddit.com/r/GERD/comments/cm5hyz/how_do_you_know_if_you_have_a_large_hernia/")</f>
        <v/>
      </c>
      <c r="G2169" t="inlineStr">
        <is>
          <t>2019-08-04 20:06:19</t>
        </is>
      </c>
      <c r="H2169" t="inlineStr"/>
    </row>
    <row r="2170">
      <c r="A2170" t="inlineStr">
        <is>
          <t>cm885f</t>
        </is>
      </c>
      <c r="B2170" t="inlineStr">
        <is>
          <t>Does it ever just stop and go away for a while?</t>
        </is>
      </c>
      <c r="C2170" t="inlineStr">
        <is>
          <t>I posted a week ago with no response/interest from anyone. But to keep it short, I had it four years ago in college and it stopped after taking an out-of-state trip for a weekend. Then recently I've had it for a few weeks and I finally decided to just try and "fight it" whenever the water brash came and the feeling was ready to come out. One time I kinda just held my breath and it passed and went away. I had a few more incidents after but they all gradually got lighter and lighter and now it's seemingly gone for the time being.</t>
        </is>
      </c>
      <c r="D2170" t="n">
        <v>3</v>
      </c>
      <c r="E2170" t="n">
        <v>3</v>
      </c>
      <c r="F2170">
        <f>HYPERLINK("https://www.reddit.com/r/GERD/comments/cm885f/does_it_ever_just_stop_and_go_away_for_a_while/")</f>
        <v/>
      </c>
      <c r="G2170" t="inlineStr">
        <is>
          <t>2019-08-05 01:14:24</t>
        </is>
      </c>
      <c r="H2170" t="inlineStr"/>
    </row>
    <row r="2171">
      <c r="A2171" t="inlineStr">
        <is>
          <t>cmam6f</t>
        </is>
      </c>
      <c r="B2171" t="inlineStr">
        <is>
          <t>Would Ginger Candy Help or Hurt?</t>
        </is>
      </c>
      <c r="C2171" t="inlineStr">
        <is>
          <t>My 11 yr old son has been dealing with stomach pain (varies from middle to right side) for nearly a week now. The other night he stayed up until 5am because of the pain (it gets worse in the evening). I don't know if it's GERD, but he has been having some acid reflux signs (burning chest pain, nausea, burping). We've got a doctor's appointment scheduled, but in the meantime I'm going to try giving him a bland low-fat diet. One thing I'm confused about is I read spicy foods are bad for GERD, but ginger is good. Would giving him Gin Gins candy be helpful or hurtful?</t>
        </is>
      </c>
      <c r="D2171" t="n">
        <v>4</v>
      </c>
      <c r="E2171" t="n">
        <v>13</v>
      </c>
      <c r="F2171">
        <f>HYPERLINK("https://www.reddit.com/r/GERD/comments/cmam6f/would_ginger_candy_help_or_hurt/")</f>
        <v/>
      </c>
      <c r="G2171" t="inlineStr">
        <is>
          <t>2019-08-05 05:54:03</t>
        </is>
      </c>
      <c r="H2171" t="inlineStr"/>
    </row>
    <row r="2172">
      <c r="A2172" t="inlineStr">
        <is>
          <t>cmciu9</t>
        </is>
      </c>
      <c r="B2172" t="inlineStr">
        <is>
          <t>PPI Side Effect</t>
        </is>
      </c>
      <c r="C2172" t="inlineStr">
        <is>
          <t>Hi I was wondering if anyone has experienced this side effect with PPIs as my gastro thinks I'm crazy and I cannot find anything about this online. I am a 25 year old male and recently had an endoscopy that showed mild gastritis, esophogeal irritation and pancreas and gallbladder inflammation. 
I was instructed to take 30mg of prevacid in the AM with ranitidine at bed time however it is day 3 of prevacid and I have had headaches that cause me to be in a fog like state with mild dizziness that makes it impossible to sleep. When I start to drift off to sleep this sensation increases in intensity into a huge swirling headrush that keeps me awake 
I had this sensation last year when I tried a bout of protonix for a month but thought it was anxiety. As soon as I take a PPI it seems to be an immediate symptom that makes sleeping a nightmare. Has anybody heard of this? I'm depressed and exhausted considering having to try another medication</t>
        </is>
      </c>
      <c r="D2172" t="n">
        <v>2</v>
      </c>
      <c r="E2172" t="n">
        <v>2</v>
      </c>
      <c r="F2172">
        <f>HYPERLINK("https://www.reddit.com/r/GERD/comments/cmciu9/ppi_side_effect/")</f>
        <v/>
      </c>
      <c r="G2172" t="inlineStr">
        <is>
          <t>2019-08-05 08:37:56</t>
        </is>
      </c>
      <c r="H2172" t="inlineStr"/>
    </row>
    <row r="2173">
      <c r="A2173" t="inlineStr">
        <is>
          <t>cmcwod</t>
        </is>
      </c>
      <c r="B2173" t="inlineStr">
        <is>
          <t>Silent Reflux Flair Up - Need Advise</t>
        </is>
      </c>
      <c r="C2173" t="inlineStr">
        <is>
          <t>Hey all, could use some advice.
About a year ago I developed silent reflux. Took forever to get finally diagnosed but my symptoms included a sour taste, bubbly acidic saliva, and a sore throat.
Went to an ENT and was told to take 300mg of Ranitidine daily.
Started working after a few weeks, the taste went away and the sore throat gradually went away over a few months (went from constant, to only first thing in the morning, to gone).
I general am pretty good about not eating or drinking 3-4 hours before going to sleep.
Last weekend however, I overate and drank pretty heavily 3 nights in a row (I generally keep it to maybe once a week if that).
The taste and spit has returned and has been full on for about 3-4 days. I've gone into emergency diet mode and am continuing to take the Ranitidine.
Any tips or medication for making this go away quicker?
Thanks!</t>
        </is>
      </c>
      <c r="D2173" t="n">
        <v>1</v>
      </c>
      <c r="E2173" t="n">
        <v>0</v>
      </c>
      <c r="F2173">
        <f>HYPERLINK("https://www.reddit.com/r/GERD/comments/cmcwod/silent_reflux_flair_up_need_advise/")</f>
        <v/>
      </c>
      <c r="G2173" t="inlineStr">
        <is>
          <t>2019-08-05 09:06:54</t>
        </is>
      </c>
      <c r="H2173" t="inlineStr"/>
    </row>
    <row r="2174">
      <c r="A2174" t="inlineStr">
        <is>
          <t>cmd1i1</t>
        </is>
      </c>
      <c r="B2174" t="inlineStr">
        <is>
          <t>Silent Reflux Flair Up - Need Advice</t>
        </is>
      </c>
      <c r="C2174" t="inlineStr">
        <is>
          <t>Hey all, could use some advice.
About a year ago I developed silent reflux. Took forever to get finally diagnosed but my symptoms included a sour taste, bubbly acidic saliva, and a sore throat.
Went to an ENT and was told to take 300mg of Ranitidine daily.
Started working after a few weeks, the taste went away and the sore throat gradually went away over a few months (went from constant, to only first thing in the morning, to gone).
I general am pretty good about not eating or drinking 3-4 hours before going to sleep.
Last weekend however, I overate and drank pretty heavily 3 nights in a row (I generally keep it to maybe once a week if that).
The taste and spit has returned and has been full on for about 3-4 days. I've gone into emergency diet mode and am continuing to take the Ranitidine.
Any tips or medications for making this go away quicker?
Thanks!</t>
        </is>
      </c>
      <c r="D2174" t="n">
        <v>9</v>
      </c>
      <c r="E2174" t="n">
        <v>13</v>
      </c>
      <c r="F2174">
        <f>HYPERLINK("https://www.reddit.com/r/GERD/comments/cmd1i1/silent_reflux_flair_up_need_advice/")</f>
        <v/>
      </c>
      <c r="G2174" t="inlineStr">
        <is>
          <t>2019-08-05 09:16:53</t>
        </is>
      </c>
      <c r="H2174" t="inlineStr"/>
    </row>
    <row r="2175">
      <c r="A2175" t="inlineStr">
        <is>
          <t>cmez1c</t>
        </is>
      </c>
      <c r="B2175" t="inlineStr">
        <is>
          <t>GERD and night sweats?</t>
        </is>
      </c>
      <c r="C2175" t="inlineStr">
        <is>
          <t>My girlfriend always says I sweat a lot when I sleep, regardless of whether I have a blanket on or not. I read something that said GERD makes you more susceptible to night sweats. Is this true? Anybody else experience this or have a solution?</t>
        </is>
      </c>
      <c r="D2175" t="n">
        <v>2</v>
      </c>
      <c r="E2175" t="n">
        <v>1</v>
      </c>
      <c r="F2175">
        <f>HYPERLINK("https://www.reddit.com/r/GERD/comments/cmez1c/gerd_and_night_sweats/")</f>
        <v/>
      </c>
      <c r="G2175" t="inlineStr">
        <is>
          <t>2019-08-05 11:39:10</t>
        </is>
      </c>
      <c r="H2175" t="inlineStr"/>
    </row>
    <row r="2176">
      <c r="A2176" t="inlineStr">
        <is>
          <t>cmf8bb</t>
        </is>
      </c>
      <c r="B2176" t="inlineStr">
        <is>
          <t>How to get rid of burning feeling in throat?</t>
        </is>
      </c>
      <c r="C2176" t="inlineStr">
        <is>
          <t>I have a hiatal hernia. I used to have constant heartburn but it went away after following an acid-free diet. Now suddenly I have a burning feeling in my throat.</t>
        </is>
      </c>
      <c r="D2176" t="n">
        <v>3</v>
      </c>
      <c r="E2176" t="n">
        <v>2</v>
      </c>
      <c r="F2176">
        <f>HYPERLINK("https://www.reddit.com/r/GERD/comments/cmf8bb/how_to_get_rid_of_burning_feeling_in_throat/")</f>
        <v/>
      </c>
      <c r="G2176" t="inlineStr">
        <is>
          <t>2019-08-05 11:58:31</t>
        </is>
      </c>
      <c r="H2176" t="inlineStr"/>
    </row>
    <row r="2177">
      <c r="A2177" t="inlineStr">
        <is>
          <t>cmfue2</t>
        </is>
      </c>
      <c r="B2177" t="inlineStr">
        <is>
          <t>Is it ok to take miralax every day to combat the constipation that comes with PPIs?</t>
        </is>
      </c>
      <c r="C2177" t="inlineStr">
        <is>
          <t>I've had GERD for a little over two years now and I never really took it as seriously as I should have and I'm paying more attention to what I do and eat now, and I need to know if its ok to take miralax every day to keep me regular.</t>
        </is>
      </c>
      <c r="D2177" t="n">
        <v>3</v>
      </c>
      <c r="E2177" t="n">
        <v>10</v>
      </c>
      <c r="F2177">
        <f>HYPERLINK("https://www.reddit.com/r/GERD/comments/cmfue2/is_it_ok_to_take_miralax_every_day_to_combat_the/")</f>
        <v/>
      </c>
      <c r="G2177" t="inlineStr">
        <is>
          <t>2019-08-05 12:41:54</t>
        </is>
      </c>
      <c r="H2177" t="inlineStr"/>
    </row>
    <row r="2178">
      <c r="A2178" t="inlineStr">
        <is>
          <t>cmgos4</t>
        </is>
      </c>
      <c r="B2178" t="inlineStr">
        <is>
          <t>GERD causing loss of appetite?</t>
        </is>
      </c>
      <c r="C2178" t="inlineStr">
        <is>
          <t>Over the last few weeks, I've been trying hard to avoid trigger foods and have also been experimenting with eating gluten-free (for whatever reason, it seems to help. placebo effect maybe?). Unfortunately, while I still get "hungry" normally, my interest in food is slowly waning. Nothing really ever sounds appetizing and eating is honestly more of a chore than something I enjoy. 
I'm not sure if it's just the frustration of constantly trying to figure out what I can eat that won't hurt me or if it's actually something physiological that I should be concerned about. 
Anyone else experience loss of appetite? If so, how'd you manage it?</t>
        </is>
      </c>
      <c r="D2178" t="n">
        <v>2</v>
      </c>
      <c r="E2178" t="n">
        <v>5</v>
      </c>
      <c r="F2178">
        <f>HYPERLINK("https://www.reddit.com/r/GERD/comments/cmgos4/gerd_causing_loss_of_appetite/")</f>
        <v/>
      </c>
      <c r="G2178" t="inlineStr">
        <is>
          <t>2019-08-05 13:44:30</t>
        </is>
      </c>
      <c r="H2178" t="inlineStr"/>
    </row>
    <row r="2179">
      <c r="A2179" t="inlineStr">
        <is>
          <t>cmilb3</t>
        </is>
      </c>
      <c r="B2179" t="inlineStr">
        <is>
          <t>How much did your endoscopy cost?</t>
        </is>
      </c>
      <c r="C2179" t="inlineStr">
        <is>
          <t>Hey, just curious if you guys can give me an idea of what i should be expecting for a bill.  
Curious on:  
• insurance deductible  
• State/Country  
• Cost of endoscopy  
Thank you!</t>
        </is>
      </c>
      <c r="D2179" t="n">
        <v>2</v>
      </c>
      <c r="E2179" t="n">
        <v>15</v>
      </c>
      <c r="F2179">
        <f>HYPERLINK("https://www.reddit.com/r/GERD/comments/cmilb3/how_much_did_your_endoscopy_cost/")</f>
        <v/>
      </c>
      <c r="G2179" t="inlineStr">
        <is>
          <t>2019-08-05 16:13:50</t>
        </is>
      </c>
      <c r="H2179" t="inlineStr"/>
    </row>
    <row r="2180">
      <c r="A2180" t="inlineStr">
        <is>
          <t>cmj00g</t>
        </is>
      </c>
      <c r="B2180" t="inlineStr">
        <is>
          <t>Is this a typical symptom of GERD?</t>
        </is>
      </c>
      <c r="C2180" t="inlineStr">
        <is>
          <t>Among other symptoms, some days I don’t feel like eating and dread the thought and smell of food, but as soon as I start eating it goes away, and I eat as much as always. That is only some days, most days I actually get hungry. I have manometry on Thursday.</t>
        </is>
      </c>
      <c r="D2180" t="n">
        <v>5</v>
      </c>
      <c r="E2180" t="n">
        <v>0</v>
      </c>
      <c r="F2180">
        <f>HYPERLINK("https://www.reddit.com/r/GERD/comments/cmj00g/is_this_a_typical_symptom_of_gerd/")</f>
        <v/>
      </c>
      <c r="G2180" t="inlineStr">
        <is>
          <t>2019-08-05 16:50:21</t>
        </is>
      </c>
      <c r="H2180" t="inlineStr"/>
    </row>
    <row r="2181">
      <c r="A2181" t="inlineStr">
        <is>
          <t>cmkr2h</t>
        </is>
      </c>
      <c r="B2181" t="inlineStr">
        <is>
          <t>Those of you who incline your bed, how do you do it?</t>
        </is>
      </c>
      <c r="C2181" t="inlineStr">
        <is>
          <t>I need to incline my bed, but I'm wondering how to do it. I've read up on it a little, and it seems like the recommendation is to simply prop up the head of the bed with something underneath it. It seems like a poor solution to me, because wouldn't that end up warping the bed? I feel like it would at least bend the mattress, making for an uncomfortable sleep. If anyone does this, am I right? How does it work for you? 
Alternatively, I'd like to find a product that acts as a bed base or box spring but is at an incline itself, so the entire bed rests on an inclined base. I haven't been able to find anything like that in my googling. Does anyone know of anything like that?
Are there any other ideas that I'm not thinking of?</t>
        </is>
      </c>
      <c r="D2181" t="n">
        <v>2</v>
      </c>
      <c r="E2181" t="n">
        <v>10</v>
      </c>
      <c r="F2181">
        <f>HYPERLINK("https://www.reddit.com/r/GERD/comments/cmkr2h/those_of_you_who_incline_your_bed_how_do_you_do_it/")</f>
        <v/>
      </c>
      <c r="G2181" t="inlineStr">
        <is>
          <t>2019-08-05 19:30:48</t>
        </is>
      </c>
      <c r="H2181" t="inlineStr"/>
    </row>
    <row r="2182">
      <c r="A2182" t="inlineStr">
        <is>
          <t>cmo40i</t>
        </is>
      </c>
      <c r="B2182" t="inlineStr">
        <is>
          <t>Please help me</t>
        </is>
      </c>
      <c r="C2182" t="inlineStr">
        <is>
          <t>I have a supposedly rare presentation of GERD. Since around 9pm ( its now 4 am ) ive had the usual extreme pain that comes with an attack, and the pain will not stop. I've taken two 150 zantac, the max dose, and it only worked for about an hour. I've sit in the tub because the hot water usually helps me to at least FEEL better, but i can't spend the entire night in the tub considering i'd like some sleep at some point.
I tried to rest for a small while and woke up in 30 minutes with this feeling of pressure in my stomach and under my sternum. My back is in so much pain I can't straighten it, and sitting or standing straight causes more pain. Im exhausted. Can anyone please give me any idea how to relieve the pain, i feel like I'm going insane.</t>
        </is>
      </c>
      <c r="D2182" t="n">
        <v>3</v>
      </c>
      <c r="E2182" t="n">
        <v>18</v>
      </c>
      <c r="F2182">
        <f>HYPERLINK("https://www.reddit.com/r/GERD/comments/cmo40i/please_help_me/")</f>
        <v/>
      </c>
      <c r="G2182" t="inlineStr">
        <is>
          <t>2019-08-06 01:53:03</t>
        </is>
      </c>
      <c r="H2182" t="inlineStr"/>
    </row>
    <row r="2183">
      <c r="A2183" t="inlineStr">
        <is>
          <t>cmoayw</t>
        </is>
      </c>
      <c r="B2183" t="inlineStr">
        <is>
          <t>Taking PPI for 6 weeks, no reflux but throat still burns</t>
        </is>
      </c>
      <c r="C2183" t="inlineStr">
        <is>
          <t>The PPI stopped any reflux I had, it used to be bad coming up the back of my throat. But I thought my throat would have healed by now?
I still get a burning throat even tho' I have had no reflux, especially if I drink red wine or citrus fruit. Should I wait longer or go back to the Doc?</t>
        </is>
      </c>
      <c r="D2183" t="n">
        <v>2</v>
      </c>
      <c r="E2183" t="n">
        <v>10</v>
      </c>
      <c r="F2183">
        <f>HYPERLINK("https://www.reddit.com/r/GERD/comments/cmoayw/taking_ppi_for_6_weeks_no_reflux_but_throat_still/")</f>
        <v/>
      </c>
      <c r="G2183" t="inlineStr">
        <is>
          <t>2019-08-06 02:18:16</t>
        </is>
      </c>
      <c r="H2183" t="inlineStr"/>
    </row>
    <row r="2184">
      <c r="A2184" t="inlineStr">
        <is>
          <t>cmp8r6</t>
        </is>
      </c>
      <c r="B2184" t="inlineStr">
        <is>
          <t>What is the longest you can be on Ranitidine?</t>
        </is>
      </c>
      <c r="C2184" t="inlineStr">
        <is>
          <t>I was on Omeprazole and just completely tapered off of it but I still need Ranitidine twice a day and I’m wondering if there’s an extent it, or will I get immune to it and it won’t work anymore?</t>
        </is>
      </c>
      <c r="D2184" t="n">
        <v>4</v>
      </c>
      <c r="E2184" t="n">
        <v>27</v>
      </c>
      <c r="F2184">
        <f>HYPERLINK("https://www.reddit.com/r/GERD/comments/cmp8r6/what_is_the_longest_you_can_be_on_ranitidine/")</f>
        <v/>
      </c>
      <c r="G2184" t="inlineStr">
        <is>
          <t>2019-08-06 04:14:05</t>
        </is>
      </c>
      <c r="H2184" t="inlineStr"/>
    </row>
    <row r="2185">
      <c r="A2185" t="inlineStr">
        <is>
          <t>cmpzfx</t>
        </is>
      </c>
      <c r="B2185" t="inlineStr">
        <is>
          <t>Question</t>
        </is>
      </c>
      <c r="C2185" t="inlineStr">
        <is>
          <t>I’ve been noticing more and more now, whenever I eat spicy or saucey food, the very next day (or even when I awake) I feel a difficulty to swallow. This happens if I don’t take an antacid....I suspect I have G.E.R.D</t>
        </is>
      </c>
      <c r="D2185" t="n">
        <v>1</v>
      </c>
      <c r="E2185" t="n">
        <v>4</v>
      </c>
      <c r="F2185">
        <f>HYPERLINK("https://www.reddit.com/r/GERD/comments/cmpzfx/question/")</f>
        <v/>
      </c>
      <c r="G2185" t="inlineStr">
        <is>
          <t>2019-08-06 05:32:02</t>
        </is>
      </c>
      <c r="H2185" t="inlineStr"/>
    </row>
    <row r="2186">
      <c r="A2186" t="inlineStr">
        <is>
          <t>cmqrkq</t>
        </is>
      </c>
      <c r="B2186" t="inlineStr">
        <is>
          <t>Sulphate / Sulfite</t>
        </is>
      </c>
      <c r="C2186" t="inlineStr">
        <is>
          <t>Has any one suffering from GERD ever looked into intolerance to sulphate / sulfite?   A friend of mine mentioned this to me and so far, I found out that this is a preservative used in frozen / canned fruit, beer, wine, etc etc and sometimes fruit generate it naturally.</t>
        </is>
      </c>
      <c r="D2186" t="n">
        <v>1</v>
      </c>
      <c r="E2186" t="n">
        <v>0</v>
      </c>
      <c r="F2186">
        <f>HYPERLINK("https://www.reddit.com/r/GERD/comments/cmqrkq/sulphate_sulfite/")</f>
        <v/>
      </c>
      <c r="G2186" t="inlineStr">
        <is>
          <t>2019-08-06 06:44:50</t>
        </is>
      </c>
      <c r="H2186" t="inlineStr"/>
    </row>
    <row r="2187">
      <c r="A2187" t="inlineStr">
        <is>
          <t>cmr40g</t>
        </is>
      </c>
      <c r="B2187" t="inlineStr">
        <is>
          <t>One ear is clogged and hearing feels diminished. Have LPR but have never experienced it this bad in my ear. Anyone else experience something similar?</t>
        </is>
      </c>
      <c r="C2187" t="inlineStr">
        <is>
          <t>Just trying to figure out next steps. I have had an endoscopy this year and am on the verge of seeing an ENT now. The endoscopy showed inflammation but nothing serious was found. However, I have the classic LPR symptoms: lump in throat, chest congestion after eating, post nasal drip, sinuses clogged after eating...
Running out of ideas and $$$.</t>
        </is>
      </c>
      <c r="D2187" t="n">
        <v>1</v>
      </c>
      <c r="E2187" t="n">
        <v>5</v>
      </c>
      <c r="F2187">
        <f>HYPERLINK("https://www.reddit.com/r/GERD/comments/cmr40g/one_ear_is_clogged_and_hearing_feels_diminished/")</f>
        <v/>
      </c>
      <c r="G2187" t="inlineStr">
        <is>
          <t>2019-08-06 07:14:09</t>
        </is>
      </c>
      <c r="H2187" t="inlineStr"/>
    </row>
    <row r="2188">
      <c r="A2188" t="inlineStr">
        <is>
          <t>cmsa2b</t>
        </is>
      </c>
      <c r="B2188" t="inlineStr">
        <is>
          <t>GERD Dr.</t>
        </is>
      </c>
      <c r="C2188" t="inlineStr">
        <is>
          <t>Any tips on how you found your GERD Dr.  I've not had much success so far.  Even specialists I've seen seem to know less about GERD than myself or atleast it feels that way.</t>
        </is>
      </c>
      <c r="D2188" t="n">
        <v>0</v>
      </c>
      <c r="E2188" t="n">
        <v>6</v>
      </c>
      <c r="F2188">
        <f>HYPERLINK("https://www.reddit.com/r/GERD/comments/cmsa2b/gerd_dr/")</f>
        <v/>
      </c>
      <c r="G2188" t="inlineStr">
        <is>
          <t>2019-08-06 08:48:40</t>
        </is>
      </c>
      <c r="H2188" t="inlineStr"/>
    </row>
    <row r="2189">
      <c r="A2189" t="inlineStr">
        <is>
          <t>cmv083</t>
        </is>
      </c>
      <c r="B2189" t="inlineStr">
        <is>
          <t>Anyone else get delayed onset?</t>
        </is>
      </c>
      <c r="C2189" t="inlineStr">
        <is>
          <t>All the stuff I find online says people get their heart burn between 30 and 60 minutes after eating.  Mine is almost always about 4 hours after a meal.</t>
        </is>
      </c>
      <c r="D2189" t="n">
        <v>2</v>
      </c>
      <c r="E2189" t="n">
        <v>1</v>
      </c>
      <c r="F2189">
        <f>HYPERLINK("https://www.reddit.com/r/GERD/comments/cmv083/anyone_else_get_delayed_onset/")</f>
        <v/>
      </c>
      <c r="G2189" t="inlineStr">
        <is>
          <t>2019-08-06 12:17:55</t>
        </is>
      </c>
      <c r="H2189" t="inlineStr"/>
    </row>
    <row r="2190">
      <c r="A2190" t="inlineStr">
        <is>
          <t>cmw60l</t>
        </is>
      </c>
      <c r="B2190" t="inlineStr">
        <is>
          <t>Which does more harm: weed or alcohol?</t>
        </is>
      </c>
      <c r="C2190" t="inlineStr">
        <is>
          <t>I only socially use both, and by socially I mean a couple times a year.  Only recently have I gotten GERD symptoms and am wondering if I had to choose one or the other, which is “best”.
And yeah I know everyone is gonna say don’t do either but that’s not what I’m asking right now lol</t>
        </is>
      </c>
      <c r="D2190" t="n">
        <v>0</v>
      </c>
      <c r="E2190" t="n">
        <v>6</v>
      </c>
      <c r="F2190">
        <f>HYPERLINK("https://www.reddit.com/r/GERD/comments/cmw60l/which_does_more_harm_weed_or_alcohol/")</f>
        <v/>
      </c>
      <c r="G2190" t="inlineStr">
        <is>
          <t>2019-08-06 14:05:09</t>
        </is>
      </c>
      <c r="H2190" t="inlineStr"/>
    </row>
    <row r="2191">
      <c r="A2191" t="inlineStr">
        <is>
          <t>cmwyev</t>
        </is>
      </c>
      <c r="B2191" t="inlineStr">
        <is>
          <t>Advice on LPR related to breathing issues</t>
        </is>
      </c>
      <c r="C2191" t="inlineStr">
        <is>
          <t>Does anyone else’s have LPR (silent reflux) and feel like they can’t frkn breath!!!!!! I’ve been having breathing issues for a week now now I feel like I have asthma of something but I know it’s all from acid reflux I see an ENT next week but this is terrible I cry all the time</t>
        </is>
      </c>
      <c r="D2191" t="n">
        <v>6</v>
      </c>
      <c r="E2191" t="n">
        <v>10</v>
      </c>
      <c r="F2191">
        <f>HYPERLINK("https://www.reddit.com/r/GERD/comments/cmwyev/advice_on_lpr_related_to_breathing_issues/")</f>
        <v/>
      </c>
      <c r="G2191" t="inlineStr">
        <is>
          <t>2019-08-06 15:09:51</t>
        </is>
      </c>
      <c r="H2191" t="inlineStr"/>
    </row>
    <row r="2192">
      <c r="A2192" t="inlineStr">
        <is>
          <t>cmxyrm</t>
        </is>
      </c>
      <c r="B2192" t="inlineStr">
        <is>
          <t>pantoprazole 40mg and LPR</t>
        </is>
      </c>
      <c r="C2192" t="inlineStr">
        <is>
          <t>I just went to the ENT today and he diagnosed me with LPR. Makes sense because of the constant post nasal drip, clearing of my throat and difficulty breathing sometimes. 
He prescribed me with Pantoprazole. Does anyone have experience with this drug? Our plan right now is to try this for 30 days and reevaluate. He said this could be temporary or potentially life long, which would blow, because I’ve read about the potential harmful side effects long term. Can LPR be a temporary thing? I’m 28 and this started about 2 months ago out of nowhere (the post nasal drip).
Any advice, or even words of encouragement related to LPR, are appreciated.</t>
        </is>
      </c>
      <c r="D2192" t="n">
        <v>3</v>
      </c>
      <c r="E2192" t="n">
        <v>12</v>
      </c>
      <c r="F2192">
        <f>HYPERLINK("https://www.reddit.com/r/GERD/comments/cmxyrm/pantoprazole_40mg_and_lpr/")</f>
        <v/>
      </c>
      <c r="G2192" t="inlineStr">
        <is>
          <t>2019-08-06 16:30:16</t>
        </is>
      </c>
      <c r="H2192" t="inlineStr"/>
    </row>
    <row r="2193">
      <c r="A2193" t="inlineStr">
        <is>
          <t>cmy3hk</t>
        </is>
      </c>
      <c r="B2193" t="inlineStr">
        <is>
          <t>Any advice ??</t>
        </is>
      </c>
      <c r="C2193" t="inlineStr">
        <is>
          <t>Hello guy so I was diagnosed with silent reflux and esophagitis 1 week ago and I’ve been having my symptoms for 2 weeks now I could not swallow at all for 1 week straight until I was given omeprazole, my symptoms were a lump in throat sensation, difficulty swallowing, regurgitation, constant burping, sour taste in mouth, difficulty breathing. All my symptoms are improving but my throat is still damaged, it feels dry and it looks red and inflamed, i also have post nasal drip. I sometimes feel like it’s closing but I could still breathe, has anyone had similar symptoms? Im trying to eat healthier and change my diet, does anybody have any advice? Is my throat going to heal? I think it’s pretty damaged because of all the acid</t>
        </is>
      </c>
      <c r="D2193" t="n">
        <v>2</v>
      </c>
      <c r="E2193" t="n">
        <v>1</v>
      </c>
      <c r="F2193">
        <f>HYPERLINK("https://www.reddit.com/r/GERD/comments/cmy3hk/any_advice/")</f>
        <v/>
      </c>
      <c r="G2193" t="inlineStr">
        <is>
          <t>2019-08-06 16:40:21</t>
        </is>
      </c>
      <c r="H2193" t="inlineStr"/>
    </row>
    <row r="2194">
      <c r="A2194" t="inlineStr">
        <is>
          <t>cn03r6</t>
        </is>
      </c>
      <c r="B2194" t="inlineStr">
        <is>
          <t>Strange bedfellows ... LPR and periodontal disease?</t>
        </is>
      </c>
      <c r="C2194" t="inlineStr">
        <is>
          <t>I've noticed a pretty strong correlation b/w my LPR and periodontal disease. About a year ago I went to a dentist who gave what turned out to be a bad prognosis. He said I had gingivitis when I had periodontal disease (a more serious case of gum issues). Prior to the first examination and filling out all the forms, there's a box to check if your gums are bleeding. My gums had been bleeding for three/four months, which is the main reason I needed to find a dentist. Bad dentist looked at my gums and said they needed some TLC but were basically okay - a case of manageable gingivitis. He scheduled a cleaning and told me to floss and buy a water pik. After a couple months of use there was no improvement - gums still bleeding whenever I brush. In the meantime, he messed up a temporary filling that was supposed to be a crown and I never did get the cleaning because of scheduling issues. A year later the tooth where the bad dentist put the filling became infected and I was in quite a bit of pain. I found another dentist of course and they tell me I have periodontal disease. The new dentist gave me antibiotics to kill the infection for the bad tooth, but something else happened that caught me completely off guard: my gums stopped bleeding and the issues with my LPR (acid pains in throat, post nasal drip, throat clearing, coughing and sore throat after talking for a while) were reduced significantly. I could even go back to doing more funny voices for my 5-year-old daughter without any problems. It's been much better for the past three weeks. I still have LPR, but my throat is way less sensitive than it has been for the last year and a half. My hypothesis is that the infection in my gums was somehow aggravating the LPR. Not sure if this makes sense, but it might be something to consider for anyone grasping for reasons and relief.</t>
        </is>
      </c>
      <c r="D2194" t="n">
        <v>4</v>
      </c>
      <c r="E2194" t="n">
        <v>3</v>
      </c>
      <c r="F2194">
        <f>HYPERLINK("https://www.reddit.com/r/GERD/comments/cn03r6/strange_bedfellows_lpr_and_periodontal_disease/")</f>
        <v/>
      </c>
      <c r="G2194" t="inlineStr">
        <is>
          <t>2019-08-06 19:42:52</t>
        </is>
      </c>
      <c r="H2194" t="inlineStr"/>
    </row>
    <row r="2195">
      <c r="A2195" t="inlineStr">
        <is>
          <t>cn10gv</t>
        </is>
      </c>
      <c r="B2195" t="inlineStr">
        <is>
          <t>Anyone else have both ibs and gerd?</t>
        </is>
      </c>
      <c r="C2195" t="inlineStr">
        <is>
          <t>I was diagnosed with ibs-a back in June, and I've been experiencing symptoms of gerd fairly frequently. My father has gerd, and some of my other older relatives have it too if that means anything. I'm gonna talk to my doc about my heartburn and acid reflux when I see her this later this week</t>
        </is>
      </c>
      <c r="D2195" t="n">
        <v>12</v>
      </c>
      <c r="E2195" t="n">
        <v>15</v>
      </c>
      <c r="F2195">
        <f>HYPERLINK("https://www.reddit.com/r/GERD/comments/cn10gv/anyone_else_have_both_ibs_and_gerd/")</f>
        <v/>
      </c>
      <c r="G2195" t="inlineStr">
        <is>
          <t>2019-08-06 21:13:52</t>
        </is>
      </c>
      <c r="H2195" t="inlineStr"/>
    </row>
    <row r="2196">
      <c r="A2196" t="inlineStr">
        <is>
          <t>cn3u17</t>
        </is>
      </c>
      <c r="B2196" t="inlineStr">
        <is>
          <t>Am I experiencing GERD, or Silent Reflux?</t>
        </is>
      </c>
      <c r="C2196" t="inlineStr">
        <is>
          <t>About 2 weeks ago, I choked on a green bean and afterward my throat never felt the same again. The next day I was in the car and suddenly felt like my throat was closing up and it was harder to breathe, until I burped several times afterward. I began to feel like I couldn’t swallow food as well, and this gradually got worse and worse over time. After taking a sip of alcohol or the sour Strawberry lemonade from Costa - my throat felt TERRIBLE. As if it had formed a lump. It took over an hour or so of walking around and belches to feel better. Some days, especially at night, I find it easier to eat. Otherwise I avoid solid foods at all, cause I’m afraid to choke. I don’t experience heartburn whatsoever, but I do (rarely) get a very minor burning sensation at the back of my throat and sometimes I get quite phlegmy too (post nasal drip). I’m taking Gaviscon double-action at the moment until I see my Doctor. I’m a 20 year old girl with a very slim build and I have very minor lactose intolerance (can’t have cold milk on it’s own) but I’m not allergic to anything. But before this issue had started, I experience a month or so of having a constant upset stomach. My father has IBS and several digestion issues and worries that I may have inherited it. I went to a walk-in clinic the other week, and a nurse gave me a quick check-up, and said he didn’t feel any swelling around my neck and from looking at my throat, it seemed fine. So I’m guessing this is to do with stomach acid and my oesophagus. 
Is anyone experiencing similar symptoms? I feel like I’m losing my mind and none of these problems will ever go away! 😣</t>
        </is>
      </c>
      <c r="D2196" t="n">
        <v>1</v>
      </c>
      <c r="E2196" t="n">
        <v>16</v>
      </c>
      <c r="F2196">
        <f>HYPERLINK("https://www.reddit.com/r/GERD/comments/cn3u17/am_i_experiencing_gerd_or_silent_reflux/")</f>
        <v/>
      </c>
      <c r="G2196" t="inlineStr">
        <is>
          <t>2019-08-07 03:02:31</t>
        </is>
      </c>
      <c r="H2196" t="inlineStr"/>
    </row>
    <row r="2197">
      <c r="A2197" t="inlineStr">
        <is>
          <t>cn4a5o</t>
        </is>
      </c>
      <c r="B2197" t="inlineStr">
        <is>
          <t>Effect of Coffee pods Vs normal coffee</t>
        </is>
      </c>
      <c r="C2197" t="inlineStr">
        <is>
          <t>Anybody else come across this distinction? I've heard a few people report the pods for Nespresso machines are particularly bad for heartburn. I've recently switched myself and think some difference has been made. 
Ideally I'd like to quit coffee all together, but get awful headache if don't have one in the morning.</t>
        </is>
      </c>
      <c r="D2197" t="n">
        <v>2</v>
      </c>
      <c r="E2197" t="n">
        <v>3</v>
      </c>
      <c r="F2197">
        <f>HYPERLINK("https://www.reddit.com/r/GERD/comments/cn4a5o/effect_of_coffee_pods_vs_normal_coffee/")</f>
        <v/>
      </c>
      <c r="G2197" t="inlineStr">
        <is>
          <t>2019-08-07 03:55:01</t>
        </is>
      </c>
      <c r="H2197" t="inlineStr"/>
    </row>
    <row r="2198">
      <c r="A2198" t="inlineStr">
        <is>
          <t>cn4aag</t>
        </is>
      </c>
      <c r="B2198" t="inlineStr">
        <is>
          <t>Vitamin C</t>
        </is>
      </c>
      <c r="C2198" t="inlineStr">
        <is>
          <t>I’ve recently gone back to taking high doses of vitamin C. I notice a significant change in my energy levels and don’t even need caffeine when I’m taking it, but unfortunately, the powdered form I’m taking is burning my throat and aggravating my GERD. I was advised to take a pill form with no gel ingredients instead - does anyone here have experience with this?</t>
        </is>
      </c>
      <c r="D2198" t="n">
        <v>2</v>
      </c>
      <c r="E2198" t="n">
        <v>5</v>
      </c>
      <c r="F2198">
        <f>HYPERLINK("https://www.reddit.com/r/GERD/comments/cn4aag/vitamin_c/")</f>
        <v/>
      </c>
      <c r="G2198" t="inlineStr">
        <is>
          <t>2019-08-07 03:55:26</t>
        </is>
      </c>
      <c r="H2198" t="inlineStr"/>
    </row>
    <row r="2199">
      <c r="A2199" t="inlineStr">
        <is>
          <t>cn63zu</t>
        </is>
      </c>
      <c r="B2199" t="inlineStr">
        <is>
          <t>Recently Diagnosed</t>
        </is>
      </c>
      <c r="C2199" t="inlineStr">
        <is>
          <t>Hey everyone, I am new to this community. Monday I was diagnosed with chronic GERD. I have been dealing with this though for many months, maybe even a year. I recently switched doctors and my new doctor is finally scheduling me for an EGD. That's a procedure where they send a scope down my throat to look at my stomach and esophagus. She wants to be sure I don't have any ulcers or a hiatal hernia I believe. She also wants me to take prescription strength nexium twice a day because once a day of over the counter didn't work for me. Unfortunately the medicine isn't covered by my insurance and its expensive. I was wondering if any if you have any tips on how to reduce the symptoms of GERD? Any other kind of med I can try that is cheaper?</t>
        </is>
      </c>
      <c r="D2199" t="n">
        <v>1</v>
      </c>
      <c r="E2199" t="n">
        <v>5</v>
      </c>
      <c r="F2199">
        <f>HYPERLINK("https://www.reddit.com/r/GERD/comments/cn63zu/recently_diagnosed/")</f>
        <v/>
      </c>
      <c r="G2199" t="inlineStr">
        <is>
          <t>2019-08-07 06:56:11</t>
        </is>
      </c>
      <c r="H2199" t="inlineStr"/>
    </row>
    <row r="2200">
      <c r="A2200" t="inlineStr">
        <is>
          <t>cn6gvu</t>
        </is>
      </c>
      <c r="B2200" t="inlineStr">
        <is>
          <t>Is this silent reflux? And what to do at least short term</t>
        </is>
      </c>
      <c r="C2200" t="inlineStr">
        <is>
          <t>Hello there
I suffered from an anxiety disorder (OCD) and was prescribed SSRI-s for that last year. They helped, but after I discontinued anxiety came back, coupled with digestive problems.
I am 24, male. I used to have chest discomfort, so I checked my heart (A LOT), I have like 20 ECG-s, have sonograms, a full blown stress test on a treadmill. Everything came back fine, no history of heart disease in my family whatsoever, normal blood pressure, blood sugar and cholesterol, quit smoking two years ago. 
So then I checked with a GI. It turned out I had H Pylori, and was prescribed antibiotics for them. Levofloxacyn and amoxycilin. Levofloxacyn was fine, but amoxycilin gave me terrible side effects (crazy fatigue and breathing problems), so the doc told me to discontinue it. So essentially I had Levofloxacyn for like 12 days and just 7 amoxycilin tablets.
My symptoms improved a lot, but I still don't know if my H Pylori is eradicated or not, so now I am also trying some natural stuff (oregano oil).
At the moment my diet is impeccable - no unhealthy fats, lots of greens, fiber, meat (chicken, beef, but none of them fried), berries, fish, drink only non carbonated water. The only sin I did in the past week is pistachios.
Symptoms I NO LONGER have:
- bloating
- too much gas (an occasional burp does happen, but not as bad as it used to be)
- difficulty digesting food (I used to have symptoms that looked like gastroparesis, but no longer)
- loss of appetite (its great that I like food again) 
Heartburn is VERY RARE for me.
Now about the symptoms I currently have:
- occasional chest pain, but on the most upper part of the chest, right below my throat
- nausea
- feeling that something is stuck in my esophagus
- very rarely regurgitation
- constant throat tightness
- feeling like something is traveling up through my esophagus 
- feeling that I have to burp but I cannot
- difficulty swallowing saliva (but not food, I have no trouble eating)
- very rarely bad taste in my mouth
So here are several questions I hope you can help me with:
- should I completely forget about heart issues? I have OCD, as mentioned above, and heart attacks are a big part of my obsessions, so every time I get reflux, I start panicking whether it can be something heart related
- is this what you would call "silent reflux"? Like I don't have heartburn, but I have all the other symptoms I mentioned
- what can I do short term? I tried baking soda, but I don't do it every time, are there any antacids that are good to use for at least several weeks?
- what can I do for long term? What can I do if I still have H Pylori? I cannot take amoxycilin, and it is the main treatment option for it.
- any advice on diet? I think mine is pretty good, but maybe you guys got something that was a surprise trigger for you, that can be applicable for me.
- any advice on coping psychologically? Reflux causes my anxiety to flare up, which in turn brings more reflux.
Sorry for the long post, just had to take this off my chest.
Also, if you want to provided medication names, please give the active ingredient of the medication, rather than the trademark name, I realize many of you may live in USA or Europe, I am from Armenia and some meds may come under different names where I live.
Thank you very much in advance!</t>
        </is>
      </c>
      <c r="D2200" t="n">
        <v>0</v>
      </c>
      <c r="E2200" t="n">
        <v>12</v>
      </c>
      <c r="F2200">
        <f>HYPERLINK("https://www.reddit.com/r/GERD/comments/cn6gvu/is_this_silent_reflux_and_what_to_do_at_least/")</f>
        <v/>
      </c>
      <c r="G2200" t="inlineStr">
        <is>
          <t>2019-08-07 07:26:07</t>
        </is>
      </c>
      <c r="H2200" t="inlineStr"/>
    </row>
    <row r="2201">
      <c r="A2201" t="inlineStr">
        <is>
          <t>cn77e4</t>
        </is>
      </c>
      <c r="B2201" t="inlineStr">
        <is>
          <t>Can LPR get worse with weight loss?</t>
        </is>
      </c>
      <c r="C2201" t="inlineStr">
        <is>
          <t>I was just wondering if LPR could actually become worse with weight loss. The omeprazole my doc prescribed over a year ago has really cut down on GERD (though the rebound is pretty bad when I try to wean off), but I’ve been having a sore, scratchy throat when I wake up lately, still occasionally have internal spasms (mostly on an empty stomach) and my lungs feel full of gunk when I’m exercising. Granted, pollen/outdoor mold are pretty bad here but I’m not experiencing many other allergies symptoms so this feels GERD/LPR related.
The weird thing is I’ve been losing weight and exercising and eating much healthier than when I first noticed the symptoms. My mattress is elevated. I drink decaf chamomile and licorice/ginger tea in the evening. 
I mentioned the possibility of a hiatal hernia to my doc a year ago and he felt my stomach but never brought it up. But I did notice some abdominal pain when I got into a push-up position the other day. Wasn’t sure if slimming down could put more pressure on a stomach already in a state.
So I guess my two questions are:
- is it possible for LPR to get worse as your stomach gets flatter?
- should I get a second opinion on the hernia or just keep hoping continued weight loss will do the job (I’d only gained about 15 lbs when the GERD/LPR began and am still a somewhat slender guy)</t>
        </is>
      </c>
      <c r="D2201" t="n">
        <v>0</v>
      </c>
      <c r="E2201" t="n">
        <v>0</v>
      </c>
      <c r="F2201">
        <f>HYPERLINK("https://www.reddit.com/r/GERD/comments/cn77e4/can_lpr_get_worse_with_weight_loss/")</f>
        <v/>
      </c>
      <c r="G2201" t="inlineStr">
        <is>
          <t>2019-08-07 08:26:01</t>
        </is>
      </c>
      <c r="H2201" t="inlineStr"/>
    </row>
    <row r="2202">
      <c r="A2202" t="inlineStr">
        <is>
          <t>cn7iv3</t>
        </is>
      </c>
      <c r="B2202" t="inlineStr">
        <is>
          <t>Water is my enemy</t>
        </is>
      </c>
      <c r="C2202" t="inlineStr">
        <is>
          <t>If I could live without drinking water I would. I only get bad symptoms like globus sensation and indigestion when I drink water. Whenever I eat and don’t drink for awhile throughout the day I feel fine.</t>
        </is>
      </c>
      <c r="D2202" t="n">
        <v>3</v>
      </c>
      <c r="E2202" t="n">
        <v>4</v>
      </c>
      <c r="F2202">
        <f>HYPERLINK("https://www.reddit.com/r/GERD/comments/cn7iv3/water_is_my_enemy/")</f>
        <v/>
      </c>
      <c r="G2202" t="inlineStr">
        <is>
          <t>2019-08-07 08:51:21</t>
        </is>
      </c>
      <c r="H2202" t="inlineStr"/>
    </row>
    <row r="2203">
      <c r="A2203" t="inlineStr">
        <is>
          <t>cn7y7x</t>
        </is>
      </c>
      <c r="B2203" t="inlineStr">
        <is>
          <t>Random indigestion</t>
        </is>
      </c>
      <c r="C2203" t="inlineStr">
        <is>
          <t>Anyone seems like their acid reflux symptoms are at random at times? Literally ate a whole box of greasy pizza the other day and felt totally fine. Sometime I’ll eat pizza and I’ll get random indigestion but sometimes I won’t.  It’s like that for every greasy, spicy or acidic foods. I don’t really know what foods exactly triggers me. Also my acid reflux symptoms aren’t as bad as others on the sub reddit. My symptoms are usually indigestion like bloating and maybe a full feeling, that’s when I know I’m probably gonna have a flair up. I get nausea if it’s that bad but I found combination of medicine I use to treat it and will be 80% fine the next day.</t>
        </is>
      </c>
      <c r="D2203" t="n">
        <v>7</v>
      </c>
      <c r="E2203" t="n">
        <v>3</v>
      </c>
      <c r="F2203">
        <f>HYPERLINK("https://www.reddit.com/r/GERD/comments/cn7y7x/random_indigestion/")</f>
        <v/>
      </c>
      <c r="G2203" t="inlineStr">
        <is>
          <t>2019-08-07 09:23:35</t>
        </is>
      </c>
      <c r="H2203" t="inlineStr"/>
    </row>
    <row r="2204">
      <c r="A2204" t="inlineStr">
        <is>
          <t>cn82j9</t>
        </is>
      </c>
      <c r="B2204" t="inlineStr">
        <is>
          <t>Low acid coffee?</t>
        </is>
      </c>
      <c r="C2204" t="inlineStr">
        <is>
          <t>Working on restructuring my diet to prevent heartburn, and I wondered if any one in this community had success from switching to low acid coffee?    
Is it actually effective?</t>
        </is>
      </c>
      <c r="D2204" t="n">
        <v>1</v>
      </c>
      <c r="E2204" t="n">
        <v>5</v>
      </c>
      <c r="F2204">
        <f>HYPERLINK("https://www.reddit.com/r/GERD/comments/cn82j9/low_acid_coffee/")</f>
        <v/>
      </c>
      <c r="G2204" t="inlineStr">
        <is>
          <t>2019-08-07 09:33:12</t>
        </is>
      </c>
      <c r="H2204" t="inlineStr"/>
    </row>
    <row r="2205">
      <c r="A2205" t="inlineStr">
        <is>
          <t>cnagsm</t>
        </is>
      </c>
      <c r="B2205" t="inlineStr">
        <is>
          <t>Can esophageal spasms get in the way of a Nissen surgery?</t>
        </is>
      </c>
      <c r="C2205" t="inlineStr">
        <is>
          <t>If yes, then what are the alternatives for fixing a hiatal hernia and a weak LES?</t>
        </is>
      </c>
      <c r="D2205" t="n">
        <v>3</v>
      </c>
      <c r="E2205" t="n">
        <v>0</v>
      </c>
      <c r="F2205">
        <f>HYPERLINK("https://www.reddit.com/r/GERD/comments/cnagsm/can_esophageal_spasms_get_in_the_way_of_a_nissen/")</f>
        <v/>
      </c>
      <c r="G2205" t="inlineStr">
        <is>
          <t>2019-08-07 12:35:07</t>
        </is>
      </c>
      <c r="H2205" t="inlineStr"/>
    </row>
    <row r="2206">
      <c r="A2206" t="inlineStr">
        <is>
          <t>cnat2x</t>
        </is>
      </c>
      <c r="B2206" t="inlineStr">
        <is>
          <t>Does Nsaids like Ibuprofen make your symptoms worse?</t>
        </is>
      </c>
      <c r="C2206" t="inlineStr">
        <is>
          <t>I haven't taken any since I started having all my symptoms over a year ago. I changed my diet comepltely and with my PPI my symptoms are manageable. I'm having back pain again and I remmeber Ibuprofen always working for me. But even then it hurt my stomach unless I ate food with it. So it's iffy.</t>
        </is>
      </c>
      <c r="D2206" t="n">
        <v>6</v>
      </c>
      <c r="E2206" t="n">
        <v>14</v>
      </c>
      <c r="F2206">
        <f>HYPERLINK("https://www.reddit.com/r/GERD/comments/cnat2x/does_nsaids_like_ibuprofen_make_your_symptoms/")</f>
        <v/>
      </c>
      <c r="G2206" t="inlineStr">
        <is>
          <t>2019-08-07 13:00:56</t>
        </is>
      </c>
      <c r="H2206" t="inlineStr"/>
    </row>
    <row r="2207">
      <c r="A2207" t="inlineStr">
        <is>
          <t>cncpyn</t>
        </is>
      </c>
      <c r="B2207" t="inlineStr">
        <is>
          <t>Pantoprazole (40mg) so far....</t>
        </is>
      </c>
      <c r="C2207" t="inlineStr">
        <is>
          <t>It’s only been 24 hours so far with this prescribed to me. I’m on 40mg twice daily for a month. My stomach hurts now though, which it didn’t beforehand, and when I go to the bathroom none of the food is broken down. I just crapped out a legit perfect salad I had 4 hours ago (still had its green color and everything). Should I be concerned? I feel like that’s counterproductive that I’m now not getting nutrients.</t>
        </is>
      </c>
      <c r="D2207" t="n">
        <v>1</v>
      </c>
      <c r="E2207" t="n">
        <v>13</v>
      </c>
      <c r="F2207">
        <f>HYPERLINK("https://www.reddit.com/r/GERD/comments/cncpyn/pantoprazole_40mg_so_far/")</f>
        <v/>
      </c>
      <c r="G2207" t="inlineStr">
        <is>
          <t>2019-08-07 15:30:34</t>
        </is>
      </c>
      <c r="H2207" t="inlineStr"/>
    </row>
    <row r="2208">
      <c r="A2208" t="inlineStr">
        <is>
          <t>cnf5bs</t>
        </is>
      </c>
      <c r="B2208" t="inlineStr">
        <is>
          <t>GERD is trying to kill me</t>
        </is>
      </c>
      <c r="C2208" t="inlineStr">
        <is>
          <t>Male, 30, fit, active, healthy lifestyle, a normal balanced diet.  No high salts or fats or sugar or spice or seasoning. 
So I have been diagnosed with and seen for GERD several times in the past 2 years. I believe I have a severe case. At random I will have an attack of severe reflux within the first bite or two of food.  This attack involves espohogial spasms and clinching to the point of throat and neck fatigue, that looks like macho Man Randy Savage during his coked out interviews. I have to force purge and vomit the immediate overwhelming bike to maintain breathing. 
I have been to the ER for an attack that actually put me unconscious from the throat spasms clinching down on the small piece of chicken I had eaten. It was immediate panic trying to vomit to breathe and then blacking out. After an ER throat scope the lodging was removed and I was fine. It was chalked up to "eating to fast" (military medical BTW). 
I've been prescribed zantac with no relief. My symptoms have actually tripled in severity and my concern. Every trip to military doctor has said I need to eat small slow bites (I do) and take one zantac a day (I'm up to 3 just to try and limit the attacks). 
Please help me with some advice before I choke to death on GERD.  Thank Reddit.</t>
        </is>
      </c>
      <c r="D2208" t="n">
        <v>7</v>
      </c>
      <c r="E2208" t="n">
        <v>29</v>
      </c>
      <c r="F2208">
        <f>HYPERLINK("https://www.reddit.com/r/GERD/comments/cnf5bs/gerd_is_trying_to_kill_me/")</f>
        <v/>
      </c>
      <c r="G2208" t="inlineStr">
        <is>
          <t>2019-08-07 19:06:19</t>
        </is>
      </c>
      <c r="H2208" t="inlineStr"/>
    </row>
    <row r="2209">
      <c r="A2209" t="inlineStr">
        <is>
          <t>cnfdqb</t>
        </is>
      </c>
      <c r="B2209" t="inlineStr">
        <is>
          <t>I was given a muscle relaxant for GERD</t>
        </is>
      </c>
      <c r="C2209" t="inlineStr">
        <is>
          <t>I've had chronic digestive issues for a long time now, namely belching and dysphagia, and none of it responded to typical GERD drugs. I wish I was joking, but I wrote down every single OTC reflux pill I could and just went down the list trying each one with no relief.
Told this to my doctor thinking that I couldn't have GERD if I didn't respond to any GERD meds, but he still seems convinced I have acid reflux and has given me Baclofen to control the belching and hopefully reduce my symptoms. Thing is sources on the subject seem to be total opposites - some things say Baclofen absolutely does not work for belching or GERD and others say it absolutely does.
I was told to take 10mg three times a day, which seems excessive when I see other people talking about taking 1/4 of a pill once a day and that being sufficient.
I'm a little nervous about taking a new medication, but I'm also desperate for relief. Has anyone here been on muscle relaxants for GERD?</t>
        </is>
      </c>
      <c r="D2209" t="n">
        <v>1</v>
      </c>
      <c r="E2209" t="n">
        <v>4</v>
      </c>
      <c r="F2209">
        <f>HYPERLINK("https://www.reddit.com/r/GERD/comments/cnfdqb/i_was_given_a_muscle_relaxant_for_gerd/")</f>
        <v/>
      </c>
      <c r="G2209" t="inlineStr">
        <is>
          <t>2019-08-07 19:28:08</t>
        </is>
      </c>
      <c r="H2209" t="inlineStr"/>
    </row>
    <row r="2210">
      <c r="A2210" t="inlineStr">
        <is>
          <t>cnfz1i</t>
        </is>
      </c>
      <c r="B2210" t="inlineStr">
        <is>
          <t>Does sucralfate (Carafate) help with a hiatal hernia?</t>
        </is>
      </c>
      <c r="C2210" t="inlineStr">
        <is>
          <t>I've been taking sucralfate for several weeks now and it is the only thing that has made a difference with my abdominal pain and stomach bloating/tenderness.
I still get reflux when I go a few hours without eating. For whatever reason, if I make sure to stay full I don't have to deal with much heartburn. This seems like the opposite of what people usually report with hiatal hernia, but who knows.
I have an endoscopy Monday, finally going to get some answers. They usually don't see hernia on endoscopy but maybe they can see if something is going on in my stomach or duodenum. My stomach feels...bad. Burning/gnawing that gets better with food and an uncomfortable bloating feeling. Not like a gas bloating, more of an actual organ swelling/bloating sensation.</t>
        </is>
      </c>
      <c r="D2210" t="n">
        <v>1</v>
      </c>
      <c r="E2210" t="n">
        <v>7</v>
      </c>
      <c r="F2210">
        <f>HYPERLINK("https://www.reddit.com/r/GERD/comments/cnfz1i/does_sucralfate_carafate_help_with_a_hiatal_hernia/")</f>
        <v/>
      </c>
      <c r="G2210" t="inlineStr">
        <is>
          <t>2019-08-07 20:26:11</t>
        </is>
      </c>
      <c r="H2210" t="inlineStr"/>
    </row>
    <row r="2211">
      <c r="A2211" t="inlineStr">
        <is>
          <t>cngml9</t>
        </is>
      </c>
      <c r="B2211" t="inlineStr">
        <is>
          <t>Any tips for dealing with acid rebound?</t>
        </is>
      </c>
      <c r="C2211" t="inlineStr">
        <is>
          <t>I’ve come off of my Omeprazole recently and my heartburn has been worse than I remember. I don’t want to go back on a PPI so I’ve been trying to be careful with what I eat, and take some kind of antacid if needed like Tums or Mylanta. Anyone else experience this after stopping their PPI? Does it get better?</t>
        </is>
      </c>
      <c r="D2211" t="n">
        <v>5</v>
      </c>
      <c r="E2211" t="n">
        <v>9</v>
      </c>
      <c r="F2211">
        <f>HYPERLINK("https://www.reddit.com/r/GERD/comments/cngml9/any_tips_for_dealing_with_acid_rebound/")</f>
        <v/>
      </c>
      <c r="G2211" t="inlineStr">
        <is>
          <t>2019-08-07 21:28:38</t>
        </is>
      </c>
      <c r="H2211" t="inlineStr"/>
    </row>
    <row r="2212">
      <c r="A2212" t="inlineStr">
        <is>
          <t>cnjhit</t>
        </is>
      </c>
      <c r="B2212" t="inlineStr">
        <is>
          <t>Should GERD patient can do lying down workouts in gym?</t>
        </is>
      </c>
      <c r="C2212" t="inlineStr">
        <is>
          <t>I been having GERD for few years and i tried to stay clean in my diet but sometimes i eat spicy foods. I like to do workouts so much before and stayed fit but after i had GERD i limit my workouts because im worried whether my acid reflux get worse?  When i hit the gym i will skip the bench press, abs workouts and other sort of lying down exercises. I got  frustrated for skipping many workouts not even jogging so i stop goin to gym for more than a year. All im doin right now is brisk walking for an hour thats it. Lost my body kinda  got a saggy chest and losing my confidence. Is there any solution? Thank you 😊</t>
        </is>
      </c>
      <c r="D2212" t="n">
        <v>0</v>
      </c>
      <c r="E2212" t="n">
        <v>7</v>
      </c>
      <c r="F2212">
        <f>HYPERLINK("https://www.reddit.com/r/GERD/comments/cnjhit/should_gerd_patient_can_do_lying_down_workouts_in/")</f>
        <v/>
      </c>
      <c r="G2212" t="inlineStr">
        <is>
          <t>2019-08-08 02:49:42</t>
        </is>
      </c>
      <c r="H2212" t="inlineStr"/>
    </row>
    <row r="2213">
      <c r="A2213" t="inlineStr">
        <is>
          <t>cnnbmj</t>
        </is>
      </c>
      <c r="B2213" t="inlineStr">
        <is>
          <t>How to stop stomach bloating/pain and loss of appetite?</t>
        </is>
      </c>
      <c r="C2213" t="inlineStr">
        <is>
          <t>I went to the doctor 3 weeks ago to look into my difficulty of eating. She told me to get Nexium, I took nexium for 2 weeks while on a soft food diet. When my symptoms went away, after 2 weeks, I started eating fast food, meat and my normal diet. I went off nexium the past 4 days and now am experiencing stomach bloating and pain after eating tiny amounts of food. Should I go back on nexium or should I stay off of it? What can I do to get relief again? I have football camp soon and I’m nervous I won’t have enough energy to last.</t>
        </is>
      </c>
      <c r="D2213" t="n">
        <v>5</v>
      </c>
      <c r="E2213" t="n">
        <v>1</v>
      </c>
      <c r="F2213">
        <f>HYPERLINK("https://www.reddit.com/r/GERD/comments/cnnbmj/how_to_stop_stomach_bloatingpain_and_loss_of/")</f>
        <v/>
      </c>
      <c r="G2213" t="inlineStr">
        <is>
          <t>2019-08-08 08:30:28</t>
        </is>
      </c>
      <c r="H2213" t="inlineStr"/>
    </row>
    <row r="2214">
      <c r="A2214" t="inlineStr">
        <is>
          <t>cnoe5g</t>
        </is>
      </c>
      <c r="B2214" t="inlineStr">
        <is>
          <t>Drank meds on an empty stomach. first gulp is expected to be followed by pain. took a second gulp and I was in hell for 20 seconds.</t>
        </is>
      </c>
      <c r="C2214" t="inlineStr">
        <is>
          <t>The pain was very excruciating, like someone used a sledgehammer on my chest. I know sometimes when I take a gulp of water on an empty stomach, it hurts. I never knew gulping twice would cause me this kind of extreme pain.</t>
        </is>
      </c>
      <c r="D2214" t="n">
        <v>3</v>
      </c>
      <c r="E2214" t="n">
        <v>0</v>
      </c>
      <c r="F2214">
        <f>HYPERLINK("https://www.reddit.com/r/GERD/comments/cnoe5g/drank_meds_on_an_empty_stomach_first_gulp_is/")</f>
        <v/>
      </c>
      <c r="G2214" t="inlineStr">
        <is>
          <t>2019-08-08 09:48:23</t>
        </is>
      </c>
      <c r="H2214" t="inlineStr"/>
    </row>
    <row r="2215">
      <c r="A2215" t="inlineStr">
        <is>
          <t>cnpf9o</t>
        </is>
      </c>
      <c r="B2215" t="inlineStr">
        <is>
          <t>Pepsin and LPR?</t>
        </is>
      </c>
      <c r="C2215" t="inlineStr">
        <is>
          <t>I have read that pepsin can be a problem in LPR but all the medicines and diet seem to be focused on reducing acid.  I don't really know much about pepsin and can't find much information on how to reduce it.  Will following the normal acid reducing protocol help?</t>
        </is>
      </c>
      <c r="D2215" t="n">
        <v>5</v>
      </c>
      <c r="E2215" t="n">
        <v>11</v>
      </c>
      <c r="F2215">
        <f>HYPERLINK("https://www.reddit.com/r/GERD/comments/cnpf9o/pepsin_and_lpr/")</f>
        <v/>
      </c>
      <c r="G2215" t="inlineStr">
        <is>
          <t>2019-08-08 11:00:59</t>
        </is>
      </c>
      <c r="H2215" t="inlineStr"/>
    </row>
    <row r="2216">
      <c r="A2216" t="inlineStr">
        <is>
          <t>cnpfrx</t>
        </is>
      </c>
      <c r="B2216" t="inlineStr">
        <is>
          <t>Next Step</t>
        </is>
      </c>
      <c r="C2216" t="inlineStr">
        <is>
          <t>[Previous post here with some history.](https://www.reddit.com/r/GERD/comments/b8a258/unexpected_be/)
White male, 36 - Diagnosed with BE in March.  Had no previous history with GERD or digestive health in general.  Woke up one day last November with chest pain which led down the path in the previous post.
After the diagnosis I have been on Omeprazole and then Pantoprazole, neither of which has eliminated the chest pain.  Doctor has had me on different doses with no change.  He elected to have a full chest x ray which came back normal.  Also had an ultrasound (checking gall bladder) and a barium swallow.  The ultra sound showed a few small polyps in my gallbladder, which I need to have monitored now but aren't believed to be the source of the pain.  The barium swallow had results normal for my age and showed no GE reflux (no reflux observed on my previous endoscopy either).  
He elected to refer me to another specialist at the digestive health clinic at a university where they would have more resources to pursue the issue.
The doctor I met with doesn't believe this is a digestive health issue based on my charts/history and demographics.  He said he thinks we are looking at functional chest pain. He said that the next step in digestive health would be to rule out esophogeal issues using manometry and PH tests.  The other option would be to start a low dose anti-depressant, a common way to deal with functional chest pain.  He went ahead and ordered the tests but told me I could think about it and decide which route to go.
I have sat on this for a few weeks and have not decided what to do.  The pain is always worse when I have anxiety/stress or lack of sleep, but other times it just kinda creeps up for what seems no reason.  I'm hesitant to get the manometry and PH tests, it just seems like they are going to return normal like everything else has aside from my biopsy.  Seems like a shitty experienced based on what others have posted.  Likewise, not sure I want to go down the rabbithole that is antidepressants.</t>
        </is>
      </c>
      <c r="D2216" t="n">
        <v>3</v>
      </c>
      <c r="E2216" t="n">
        <v>7</v>
      </c>
      <c r="F2216">
        <f>HYPERLINK("https://www.reddit.com/r/GERD/comments/cnpfrx/next_step/")</f>
        <v/>
      </c>
      <c r="G2216" t="inlineStr">
        <is>
          <t>2019-08-08 11:02:01</t>
        </is>
      </c>
      <c r="H2216" t="inlineStr"/>
    </row>
    <row r="2217">
      <c r="A2217" t="inlineStr">
        <is>
          <t>cnrnqt</t>
        </is>
      </c>
      <c r="B2217" t="inlineStr">
        <is>
          <t>Acid watcher diet review?</t>
        </is>
      </c>
      <c r="C2217" t="inlineStr">
        <is>
          <t>Long-time lurker, first time poster. I was recently diagnosed with GERD and started on omeprazole + ranitidine which has helped a lot, but I'm struggling to stick with the dietary changes. I've seen a lot of people recommend the Acid Watcher Diet book but I wanted some people's opinions before I bought a copy. I'm a grad student so both time and money are issues, are the recipes in the book relatively affordable? Is it difficult to follow, time commitment-wise? If there's any other books you'd recommend let me know!</t>
        </is>
      </c>
      <c r="D2217" t="n">
        <v>1</v>
      </c>
      <c r="E2217" t="n">
        <v>4</v>
      </c>
      <c r="F2217">
        <f>HYPERLINK("https://www.reddit.com/r/GERD/comments/cnrnqt/acid_watcher_diet_review/")</f>
        <v/>
      </c>
      <c r="G2217" t="inlineStr">
        <is>
          <t>2019-08-08 13:39:26</t>
        </is>
      </c>
      <c r="H2217" t="inlineStr"/>
    </row>
    <row r="2218">
      <c r="A2218" t="inlineStr">
        <is>
          <t>cnrt7q</t>
        </is>
      </c>
      <c r="B2218" t="inlineStr">
        <is>
          <t>Can I buy 90 days omeprazole cheaper w prescription?</t>
        </is>
      </c>
      <c r="C2218" t="inlineStr">
        <is>
          <t>I buy generic omeprazole off the shelf at Walmart. Forty two days cost $15 so approximately 90 will cost $30.
Do I need a scrip to buy 90 thru the pharmacy and will it be cheaper than $90?</t>
        </is>
      </c>
      <c r="D2218" t="n">
        <v>0</v>
      </c>
      <c r="E2218" t="n">
        <v>4</v>
      </c>
      <c r="F2218">
        <f>HYPERLINK("https://www.reddit.com/r/GERD/comments/cnrt7q/can_i_buy_90_days_omeprazole_cheaper_w/")</f>
        <v/>
      </c>
      <c r="G2218" t="inlineStr">
        <is>
          <t>2019-08-08 13:50:20</t>
        </is>
      </c>
      <c r="H2218" t="inlineStr"/>
    </row>
    <row r="2219">
      <c r="A2219" t="inlineStr">
        <is>
          <t>cnu48g</t>
        </is>
      </c>
      <c r="B2219" t="inlineStr">
        <is>
          <t>Gaviscon Advance - for those outside of the UK how much do you pay?</t>
        </is>
      </c>
      <c r="C2219" t="inlineStr">
        <is>
          <t>For those who buy gaviscon advance and are based outside of UK (so need to buy it online from places like amazon), how much do you pay in total includng shipping?</t>
        </is>
      </c>
      <c r="D2219" t="n">
        <v>3</v>
      </c>
      <c r="E2219" t="n">
        <v>7</v>
      </c>
      <c r="F2219">
        <f>HYPERLINK("https://www.reddit.com/r/GERD/comments/cnu48g/gaviscon_advance_for_those_outside_of_the_uk_how/")</f>
        <v/>
      </c>
      <c r="G2219" t="inlineStr">
        <is>
          <t>2019-08-08 16:46:58</t>
        </is>
      </c>
      <c r="H2219" t="inlineStr"/>
    </row>
    <row r="2220">
      <c r="A2220" t="inlineStr">
        <is>
          <t>cnwjyw</t>
        </is>
      </c>
      <c r="B2220" t="inlineStr">
        <is>
          <t>Irregular Z-line</t>
        </is>
      </c>
      <c r="C2220" t="inlineStr">
        <is>
          <t>I just got an endoscopy and they found an irregular z-line at the gastroesophageal junction. I only got a brief explanation since I was a bit groggy but they basically said it was from acid reflux. Has anyone else had this on their endoscopy? How did it turn out?
I have read a little more about it and it seems like it could potentially be serious. They took a biopsy so I'll know more in a few weeks.</t>
        </is>
      </c>
      <c r="D2220" t="n">
        <v>2</v>
      </c>
      <c r="E2220" t="n">
        <v>20</v>
      </c>
      <c r="F2220">
        <f>HYPERLINK("https://www.reddit.com/r/GERD/comments/cnwjyw/irregular_zline/")</f>
        <v/>
      </c>
      <c r="G2220" t="inlineStr">
        <is>
          <t>2019-08-08 20:17:47</t>
        </is>
      </c>
      <c r="H2220" t="inlineStr"/>
    </row>
    <row r="2221">
      <c r="A2221" t="inlineStr">
        <is>
          <t>cnxrj9</t>
        </is>
      </c>
      <c r="B2221" t="inlineStr">
        <is>
          <t>How to gain weight?</t>
        </is>
      </c>
      <c r="C2221" t="inlineStr">
        <is>
          <t>Ive lost 25 lbs in these past 2 months that my GERD has been really bad. I get full easily so its hard to gain weight. Any advice?</t>
        </is>
      </c>
      <c r="D2221" t="n">
        <v>1</v>
      </c>
      <c r="E2221" t="n">
        <v>12</v>
      </c>
      <c r="F2221">
        <f>HYPERLINK("https://www.reddit.com/r/GERD/comments/cnxrj9/how_to_gain_weight/")</f>
        <v/>
      </c>
      <c r="G2221" t="inlineStr">
        <is>
          <t>2019-08-08 22:14:25</t>
        </is>
      </c>
      <c r="H2221" t="inlineStr"/>
    </row>
    <row r="2222">
      <c r="A2222" t="inlineStr">
        <is>
          <t>co06go</t>
        </is>
      </c>
      <c r="B2222" t="inlineStr">
        <is>
          <t>Has anyone tried Digestive Enzymes ?</t>
        </is>
      </c>
      <c r="C2222" t="inlineStr">
        <is>
          <t>Recently I've been testing a lot of different products and methods to 'cure' LPR / Silent reflux . I came across Digestive Enzymes, specifically speaking of [THIS](https://www.amazon.com/Zenwise-Health-Digestive-Prebiotics-Probiotics/dp/B00RH5K26I/ref=sr_1_1_sspa?keywords=digestive+enzymes&amp;amp;qid=1565344244&amp;amp;s=gateway&amp;amp;sr=8-1-spons&amp;amp;psc=1&amp;amp;smid=A2SXK043AMYLMQ&amp;amp;spLa=ZW5jcnlwdGVkUXVhbGlmaWVyPUEzWFFJMElJTTZRMTAmZW5jcnlwdGVkSWQ9QTAxNDMzOTVSRVkzUjI3RDM0WjYmZW5jcnlwdGVkQWRJZD1BMDExMzU3OEVWSE9QTkNZSVQ2SCZ3aWRnZXROYW1lPXNwX2F0ZiZhY3Rpb249Y2xpY2tSZWRpcmVjdCZkb05vdExvZ0NsaWNrPXRydWU=) , and I've been using it for about 4 days. I've noticed a significant reduction in reflux, bloating, and overall throat burn or anything related to, for example. Before I took this, if I were to do bench presses on chest day, consider the food I ate 3 hours ago, coming right back up. Now, for the past few days, I haven't had any food come up at all, and rarely any symptoms.I'm taking one right before each meal of the day, diluted in water (they're capsules with powder). Just wondering if anyone had similar positive response ? Of course this isn't a cure but it's a big help</t>
        </is>
      </c>
      <c r="D2222" t="n">
        <v>12</v>
      </c>
      <c r="E2222" t="n">
        <v>25</v>
      </c>
      <c r="F2222">
        <f>HYPERLINK("https://www.reddit.com/r/GERD/comments/co06go/has_anyone_tried_digestive_enzymes/")</f>
        <v/>
      </c>
      <c r="G2222" t="inlineStr">
        <is>
          <t>2019-08-09 02:54:04</t>
        </is>
      </c>
      <c r="H2222" t="inlineStr"/>
    </row>
    <row r="2223">
      <c r="A2223" t="inlineStr">
        <is>
          <t>co1w43</t>
        </is>
      </c>
      <c r="B2223" t="inlineStr">
        <is>
          <t>Random bouts of chest pressure</t>
        </is>
      </c>
      <c r="C2223" t="inlineStr">
        <is>
          <t>Does anyone else get random pressure in the chest when you stand up too quick, readjust posture, or like move your arms above your head to stretch funny? Sometimes I feel it in the morning as I'm getting out of bed too. It just happens randomly throughout the day.</t>
        </is>
      </c>
      <c r="D2223" t="n">
        <v>1</v>
      </c>
      <c r="E2223" t="n">
        <v>1</v>
      </c>
      <c r="F2223">
        <f>HYPERLINK("https://www.reddit.com/r/GERD/comments/co1w43/random_bouts_of_chest_pressure/")</f>
        <v/>
      </c>
      <c r="G2223" t="inlineStr">
        <is>
          <t>2019-08-09 05:47:04</t>
        </is>
      </c>
      <c r="H2223" t="inlineStr"/>
    </row>
    <row r="2224">
      <c r="A2224" t="inlineStr">
        <is>
          <t>co226u</t>
        </is>
      </c>
      <c r="B2224" t="inlineStr">
        <is>
          <t>Im staying away from oatmeal from now on.</t>
        </is>
      </c>
      <c r="C2224" t="inlineStr">
        <is>
          <t>Had it for breakfast the past couple days and felt bad after. I think it just plugs up the stomach. 
Anyone else have this with oatmeal?</t>
        </is>
      </c>
      <c r="D2224" t="n">
        <v>1</v>
      </c>
      <c r="E2224" t="n">
        <v>11</v>
      </c>
      <c r="F2224">
        <f>HYPERLINK("https://www.reddit.com/r/GERD/comments/co226u/im_staying_away_from_oatmeal_from_now_on/")</f>
        <v/>
      </c>
      <c r="G2224" t="inlineStr">
        <is>
          <t>2019-08-09 06:02:08</t>
        </is>
      </c>
      <c r="H2224" t="inlineStr"/>
    </row>
    <row r="2225">
      <c r="A2225" t="inlineStr">
        <is>
          <t>co31xb</t>
        </is>
      </c>
      <c r="B2225" t="inlineStr">
        <is>
          <t>On omeprazole 40mg and 20mg Domperidone. Suddenly, regurgitation symptoms appeared. Any advice?</t>
        </is>
      </c>
      <c r="C2225" t="inlineStr">
        <is>
          <t>Been treated for the past 20 days. I have another ten. I had heartburn and globus sensation, they are gone but I have regurgitation now. I can feel the "liquified" version of what I ate, coming up. Maybe even super tiny pieces (not sure).  
E.g. if I ate a rice cracker with honey, after 30mins- 1 hour I can feel the honey taste again, and I can feel something soft in my throat. Water does not help.   
Any advice?</t>
        </is>
      </c>
      <c r="D2225" t="n">
        <v>1</v>
      </c>
      <c r="E2225" t="n">
        <v>7</v>
      </c>
      <c r="F2225">
        <f>HYPERLINK("https://www.reddit.com/r/GERD/comments/co31xb/on_omeprazole_40mg_and_20mg_domperidone_suddenly/")</f>
        <v/>
      </c>
      <c r="G2225" t="inlineStr">
        <is>
          <t>2019-08-09 07:23:02</t>
        </is>
      </c>
      <c r="H2225" t="inlineStr"/>
    </row>
    <row r="2226">
      <c r="A2226" t="inlineStr">
        <is>
          <t>co3bi4</t>
        </is>
      </c>
      <c r="B2226" t="inlineStr">
        <is>
          <t>Ingredients to neutralize acid</t>
        </is>
      </c>
      <c r="C2226" t="inlineStr">
        <is>
          <t>Are there ingredients I can throw into something like a tomato sauce while I am cooking- like baking soda - that can counter some of the acidity? Or is that nonsense.</t>
        </is>
      </c>
      <c r="D2226" t="n">
        <v>2</v>
      </c>
      <c r="E2226" t="n">
        <v>8</v>
      </c>
      <c r="F2226">
        <f>HYPERLINK("https://www.reddit.com/r/GERD/comments/co3bi4/ingredients_to_neutralize_acid/")</f>
        <v/>
      </c>
      <c r="G2226" t="inlineStr">
        <is>
          <t>2019-08-09 07:43:52</t>
        </is>
      </c>
      <c r="H2226" t="inlineStr"/>
    </row>
    <row r="2227">
      <c r="A2227" t="inlineStr">
        <is>
          <t>co7hsq</t>
        </is>
      </c>
      <c r="B2227" t="inlineStr">
        <is>
          <t>Dizziness from GERD?</t>
        </is>
      </c>
      <c r="C2227" t="inlineStr">
        <is>
          <t>So I’ve had GERD for a little close to a year now and it was an awful start, but things are a little bit better/I’ve learned some of my triggers. A few months ago though, I began to experience dizzy spells and feeling lightheaded. It gets worse in certain positions.. it does sound like a vertigo situation or inner ear issue but wondering if it’s somehow related or if anyone has experienced this with GERD.</t>
        </is>
      </c>
      <c r="D2227" t="n">
        <v>4</v>
      </c>
      <c r="E2227" t="n">
        <v>24</v>
      </c>
      <c r="F2227">
        <f>HYPERLINK("https://www.reddit.com/r/GERD/comments/co7hsq/dizziness_from_gerd/")</f>
        <v/>
      </c>
      <c r="G2227" t="inlineStr">
        <is>
          <t>2019-08-09 12:47:49</t>
        </is>
      </c>
      <c r="H2227" t="inlineStr"/>
    </row>
    <row r="2228">
      <c r="A2228" t="inlineStr">
        <is>
          <t>co8twn</t>
        </is>
      </c>
      <c r="B2228" t="inlineStr">
        <is>
          <t>Experiencing LPR the past few months, need some help.</t>
        </is>
      </c>
      <c r="C2228" t="inlineStr">
        <is>
          <t>First, sinus pressure? And almost like head pressure? Especially when I bend down. Almost like tension around my temples and jaw even at times. Super strange.
Been managing LPR pretty well for a few months but now it’s seeming to manage me so I need to make some major major adjustments to my diet. Background is an intense athlete, eat a very regimented diet every single day. Same foods. High protein, clean simple carbs and complex carbs, fruit and veggies. I’m a bodybuilder so lots of those type foods. 
Lately I’ve had crazy next pain, definitely slight ear pain at times and sinus for sure at times. The lump in my throat has gone away unless I go crazy on coffee. I’m trying to stop! I swear to god tomorrow I’ll stop. 
Anywho for those that have had success managing LPR, or anyone whose heard of my symptoms let me know, or else it may be something more sinister at work. Doubtful. Had endoscopy done few months back, reported extra milf gastritis and esophagitis but not even scalable because she said it was so mild. They said eat bland and don’t drink too much coffee or alcohol and sent me on my way with Prilosec. Never worked so I tossed it.  First, these symptoms ever present with  LPR? And any success stories out there? I’m thinking of really going all out on this diet thing and dialing it in to perfection for a good year. My life’s totally manageable now but we all know things progress. 90% of my week I’m nearly symptom free,  then I flare up.  I have acid watchers book, a lot of friends have found great relief with that but I don’t know many people with LPR. I get heartburn issues very rarely.</t>
        </is>
      </c>
      <c r="D2228" t="n">
        <v>6</v>
      </c>
      <c r="E2228" t="n">
        <v>7</v>
      </c>
      <c r="F2228">
        <f>HYPERLINK("https://www.reddit.com/r/GERD/comments/co8twn/experiencing_lpr_the_past_few_months_need_some/")</f>
        <v/>
      </c>
      <c r="G2228" t="inlineStr">
        <is>
          <t>2019-08-09 14:28:33</t>
        </is>
      </c>
      <c r="H2228" t="inlineStr"/>
    </row>
    <row r="2229">
      <c r="A2229" t="inlineStr">
        <is>
          <t>co9ur1</t>
        </is>
      </c>
      <c r="B2229" t="inlineStr">
        <is>
          <t>Will my throat ever feel the same....going insane lol</t>
        </is>
      </c>
      <c r="C2229" t="inlineStr">
        <is>
          <t>It constantly feels like I’m swallowing a lump, don’t matter what my diet is and constantly clearing my throat, no matter what I eat or drink as well. Was told my larynx was beefy and red so inflamed but I’m wondering if it’s from LPR or vocal abuse honestly Bc I have throat tension sometimes as well. People with LPR responding would be awesome because I’d like to hear other peoples problems and how they got diagnosed, I’m still on PPI 1-2x a day.</t>
        </is>
      </c>
      <c r="D2229" t="n">
        <v>7</v>
      </c>
      <c r="E2229" t="n">
        <v>24</v>
      </c>
      <c r="F2229">
        <f>HYPERLINK("https://www.reddit.com/r/GERD/comments/co9ur1/will_my_throat_ever_feel_the_samegoing_insane_lol/")</f>
        <v/>
      </c>
      <c r="G2229" t="inlineStr">
        <is>
          <t>2019-08-09 15:50:09</t>
        </is>
      </c>
      <c r="H2229" t="inlineStr"/>
    </row>
    <row r="2230">
      <c r="A2230" t="inlineStr">
        <is>
          <t>coa0yn</t>
        </is>
      </c>
      <c r="B2230" t="inlineStr">
        <is>
          <t>Zantac dosage questions</t>
        </is>
      </c>
      <c r="C2230" t="inlineStr">
        <is>
          <t>How long after taking a zantac 150 should you wait to take another?</t>
        </is>
      </c>
      <c r="D2230" t="n">
        <v>3</v>
      </c>
      <c r="E2230" t="n">
        <v>4</v>
      </c>
      <c r="F2230">
        <f>HYPERLINK("https://www.reddit.com/r/GERD/comments/coa0yn/zantac_dosage_questions/")</f>
        <v/>
      </c>
      <c r="G2230" t="inlineStr">
        <is>
          <t>2019-08-09 16:04:35</t>
        </is>
      </c>
      <c r="H2230" t="inlineStr"/>
    </row>
    <row r="2231">
      <c r="A2231" t="inlineStr">
        <is>
          <t>coaelx</t>
        </is>
      </c>
      <c r="B2231" t="inlineStr">
        <is>
          <t>Will taking 600 mg Zantac/Ranitidine in a day hurt me?</t>
        </is>
      </c>
      <c r="C2231" t="inlineStr">
        <is>
          <t>I currently am prescribed 300 1x a day at night. I have some generic store bought 150 mg tablets and some days I have to resort to taking a 150 tablet during the day and then my 300 mg. I’ve never taken more than 450 mg in a day as well as I pair it with some tums to help. Sometimes it’s just not enough though and I’m literally coughing up horribly tasting stomach acid out of no where. Is it okay for me to take 600 mg in a day? I am obese and try to limit all triggering foods for me but for some reason I have days where it’s just like anything and everything is upsetting my GERD.</t>
        </is>
      </c>
      <c r="D2231" t="n">
        <v>1</v>
      </c>
      <c r="E2231" t="n">
        <v>3</v>
      </c>
      <c r="F2231">
        <f>HYPERLINK("https://www.reddit.com/r/GERD/comments/coaelx/will_taking_600_mg_zantacranitidine_in_a_day_hurt/")</f>
        <v/>
      </c>
      <c r="G2231" t="inlineStr">
        <is>
          <t>2019-08-09 16:36:50</t>
        </is>
      </c>
      <c r="H2231" t="inlineStr"/>
    </row>
    <row r="2232">
      <c r="A2232" t="inlineStr">
        <is>
          <t>cob1en</t>
        </is>
      </c>
      <c r="B2232" t="inlineStr">
        <is>
          <t>Intermittent fasting and GERD</t>
        </is>
      </c>
      <c r="C2232" t="inlineStr">
        <is>
          <t>As the title says, i’ve been considering trying out intermittent fasting to see if it helps out with my GERD. I was wanting to know if anyone has tried this and what their experience was like?</t>
        </is>
      </c>
      <c r="D2232" t="n">
        <v>5</v>
      </c>
      <c r="E2232" t="n">
        <v>12</v>
      </c>
      <c r="F2232">
        <f>HYPERLINK("https://www.reddit.com/r/GERD/comments/cob1en/intermittent_fasting_and_gerd/")</f>
        <v/>
      </c>
      <c r="G2232" t="inlineStr">
        <is>
          <t>2019-08-09 17:32:54</t>
        </is>
      </c>
      <c r="H2232" t="inlineStr"/>
    </row>
    <row r="2233">
      <c r="A2233" t="inlineStr">
        <is>
          <t>cobeg2</t>
        </is>
      </c>
      <c r="B2233" t="inlineStr">
        <is>
          <t>GERD ruining my fitness goals</t>
        </is>
      </c>
      <c r="C2233" t="inlineStr">
        <is>
          <t>Is anyone else having trouble with GERD ruining their healthy lifestyle and interfering with fitness goals? 
I haven't been able to work out AT ALL these past 2 weeks because if constant flare-ups. If I work out during symptoms, I feel worse. 
It's pretty discouraging and I keep getting my goals ruined thanks to it :(</t>
        </is>
      </c>
      <c r="D2233" t="n">
        <v>22</v>
      </c>
      <c r="E2233" t="n">
        <v>15</v>
      </c>
      <c r="F2233">
        <f>HYPERLINK("https://www.reddit.com/r/GERD/comments/cobeg2/gerd_ruining_my_fitness_goals/")</f>
        <v/>
      </c>
      <c r="G2233" t="inlineStr">
        <is>
          <t>2019-08-09 18:06:10</t>
        </is>
      </c>
      <c r="H2233" t="inlineStr"/>
    </row>
    <row r="2234">
      <c r="A2234" t="inlineStr">
        <is>
          <t>coc8r4</t>
        </is>
      </c>
      <c r="B2234" t="inlineStr">
        <is>
          <t>Coughing after endoscopy?</t>
        </is>
      </c>
      <c r="C2234" t="inlineStr">
        <is>
          <t>Has anyone experienced a chronic cough after an endoscopy? I had one a little over 3 weeks ago, and ever since, I’ve had this dry, irritating, persistent cough and scratchy feeling in my upper chest. I’d say it was my GERD, but I’ve had it for a long time and this only started after the procedure.
I have a follow up with my doctor in a week and a half, but in the meantime I’m wondering if this is normal? Anyone else had this?</t>
        </is>
      </c>
      <c r="D2234" t="n">
        <v>2</v>
      </c>
      <c r="E2234" t="n">
        <v>0</v>
      </c>
      <c r="F2234">
        <f>HYPERLINK("https://www.reddit.com/r/GERD/comments/coc8r4/coughing_after_endoscopy/")</f>
        <v/>
      </c>
      <c r="G2234" t="inlineStr">
        <is>
          <t>2019-08-09 19:25:54</t>
        </is>
      </c>
      <c r="H2234" t="inlineStr"/>
    </row>
    <row r="2235">
      <c r="A2235" t="inlineStr">
        <is>
          <t>cocgrs</t>
        </is>
      </c>
      <c r="B2235" t="inlineStr">
        <is>
          <t>New subscriber - you know what that means!</t>
        </is>
      </c>
      <c r="C2235" t="inlineStr">
        <is>
          <t>Hi all,
I've been looking around the sub and noticed there are a lot of posts like the one I'm writing - newly diagnosed individuals looking for answers.
Here's my quick story (for background):
Woke up in the middle of the night a week ago to debilitating chest pains. Took a walk and it went away in about an hour. Same thing happened the next night. The following morning I consulted with a pharmacist and he recommended nexium. I took it and it went away for 3 days, no change in diet. The next day I ate a spicy meal and it came back with a vengeance that day and the day after (4-6 hour attack at night), all while still taking nexium. I went to the dr and she recommended upping my nexium to 2x/day. Today is day #2 without an attack but I've been pretty careful with my diet and eating patterns. I had a coffee and a beer today and still feel pretty good.
Here are my questions:
* What causes this to start? I'm not a terrible eater (but do eat acidic food and drink often), am relatively physically fit, and never have heartburn (until recently).
* Is it possible to heal the LES and go back to normal, or am I seeing with this from now on?
* How would taking a PIP short term help with long term recovery?
Thanks for reading, and any insight into this relatively new, fairly scary condition.</t>
        </is>
      </c>
      <c r="D2235" t="n">
        <v>7</v>
      </c>
      <c r="E2235" t="n">
        <v>2</v>
      </c>
      <c r="F2235">
        <f>HYPERLINK("https://www.reddit.com/r/GERD/comments/cocgrs/new_subscriber_you_know_what_that_means/")</f>
        <v/>
      </c>
      <c r="G2235" t="inlineStr">
        <is>
          <t>2019-08-09 19:47:27</t>
        </is>
      </c>
      <c r="H2235" t="inlineStr"/>
    </row>
    <row r="2236">
      <c r="A2236" t="inlineStr">
        <is>
          <t>codnyg</t>
        </is>
      </c>
      <c r="B2236" t="inlineStr">
        <is>
          <t>A diagnosis!</t>
        </is>
      </c>
      <c r="C2236" t="inlineStr">
        <is>
          <t>After visiting my GP regarding suspected GERD, a blood test revealed I am positive for H. Pylori, a gut bacteria that could be the cause of all my symptoms! (But of course not just limited to):
- frequent gas and burping (more like croaking)
- nausea and indigestion (GERD)
- dizziness
- chronic fatigue 
- globulous sensation 
- brain fog 
And if untreated could lead to ulcers and even stomach cancer! So its important to get tested if you are experiencing these symptoms.
So, I have been armed with a ridiculous amount of medication - 2 powerful antibiotics, bismuth and my regular GERD meds will be doubled during the course of these meds (2wks). On top if that I do take other prescriptions for other issues and it now feels like my life will revolve around pill popping. 😩
Have any of you received this diagnosis? How was your treatment? I have been reading horror stories of the recovery process and I'm scared to start them. Thanks for any advice!!</t>
        </is>
      </c>
      <c r="D2236" t="n">
        <v>3</v>
      </c>
      <c r="E2236" t="n">
        <v>2</v>
      </c>
      <c r="F2236">
        <f>HYPERLINK("https://www.reddit.com/r/GERD/comments/codnyg/a_diagnosis/")</f>
        <v/>
      </c>
      <c r="G2236" t="inlineStr">
        <is>
          <t>2019-08-09 21:46:55</t>
        </is>
      </c>
      <c r="H2236" t="inlineStr"/>
    </row>
    <row r="2237">
      <c r="A2237" t="inlineStr">
        <is>
          <t>cogba9</t>
        </is>
      </c>
      <c r="B2237" t="inlineStr">
        <is>
          <t>Has anyone done the LINX operation? Any idea how much it costs?</t>
        </is>
      </c>
      <c r="C2237" t="inlineStr">
        <is>
          <t>Hello. I am 29 and I have GERD. I had bulimia and now my LES is problematic. Despite being on medication, my symptoms are not alleviated 100% and I'd rather not take medication for the rest of my life if I can avoid it. I am interested in doing the LINX but in my country I've only found two doctors who do it and I have not found any patients to ask.  
I am wondering, whether any of you has done the LINX and how much it cost.   
Thank you.</t>
        </is>
      </c>
      <c r="D2237" t="n">
        <v>1</v>
      </c>
      <c r="E2237" t="n">
        <v>11</v>
      </c>
      <c r="F2237">
        <f>HYPERLINK("https://www.reddit.com/r/GERD/comments/cogba9/has_anyone_done_the_linx_operation_any_idea_how/")</f>
        <v/>
      </c>
      <c r="G2237" t="inlineStr">
        <is>
          <t>2019-08-10 03:12:40</t>
        </is>
      </c>
      <c r="H2237" t="inlineStr"/>
    </row>
    <row r="2238">
      <c r="A2238" t="inlineStr">
        <is>
          <t>cogmzj</t>
        </is>
      </c>
      <c r="B2238" t="inlineStr">
        <is>
          <t>Is this LPR?</t>
        </is>
      </c>
      <c r="C2238" t="inlineStr">
        <is>
          <t>I saw my GI and did an endoscopy about a month ago and he said I was completely fine. Cut to me acting like I was okay for two weeks and then two weeks of trying to figure out how to start eating best for gerd symptoms. Around this week I ate better ate less more soy yogurt more bland soup and then I had oatmeal thursday I got bad heart burn and ate nothing else that day. Yesterday I brought some oatmeal again I felt like I was choking each bite I took. I tried to get some water but that didn’t help. I felt like I was choking and I was breathing my food and my water.  Now my skin is hot to the touch on my chest and my voicebox feels really irritated and I keep burping. It’s different from the heart burn and reflux I’m used to. Idk if it is LPR but I’m going to the same doctor and I’m kind of worried he will be annoyed with me. The Endoscopy was done a month ago and I can’t just ask for another one. Sorry for the rant this is just insane and anxiety inducing.</t>
        </is>
      </c>
      <c r="D2238" t="n">
        <v>2</v>
      </c>
      <c r="E2238" t="n">
        <v>0</v>
      </c>
      <c r="F2238">
        <f>HYPERLINK("https://www.reddit.com/r/GERD/comments/cogmzj/is_this_lpr/")</f>
        <v/>
      </c>
      <c r="G2238" t="inlineStr">
        <is>
          <t>2019-08-10 03:56:03</t>
        </is>
      </c>
      <c r="H2238" t="inlineStr"/>
    </row>
    <row r="2239">
      <c r="A2239" t="inlineStr">
        <is>
          <t>cohqge</t>
        </is>
      </c>
      <c r="B2239" t="inlineStr">
        <is>
          <t>I want to hear your opinion (Asthma or GERD or something different?)</t>
        </is>
      </c>
      <c r="C2239" t="inlineStr">
        <is>
          <t>I'll preface this by saying I'm going to see a doctor on Monday. 
Basically for the past two or three years, I've noticed that I've started to get wheezy. I'll post a few of my other symptoms below; 
* Always throat clearing
* Fullness feeling in lungs
* Sometimes wake up with a very bad "cramp" feeling in my chest that gets worse if I yawn
* Acidic bubbly feeling in my stomach
* Blocked sinuses sometimes
* Feeling like a blockage is slowly moving through my heart (Heartburn?)
* The feeling that I need to try harder to get a breath in
* Bad taste in the back of my mouth sometimes
* Tightness in throat
* Trouble swallowing properly sometimes (Almost always choke on leafy greens, sometimes chicken gets stuck)
* Difficulty breathing through my mouth (makes me wheeze) but nose is usually okay (If I'm not stuffed up)
I went to a doctor a few months ago who prescribed me an inhaler because he believes I may have slight asthma. I'm 25 years old and smoked cigarettes for maybe 4 or 5 years. Usually around 10 per day. I quit about 2 years ago but switched to vaping which I am also working on quitting. I was quite sad when the doctor gave me the inhaler because I thought maybe I had triggered some kind of lung disease from my smoking but after thinking about it for a while, I think I may actually have GERD (or some variation). The shortness of breath usually happens at night, which I attributed to night time asthma. However, my girlfriend mentioned that it almost always happens after I've eaten dinner (which recently has included a lot of kimchi, oily salmon, chili spices, teriyaki sauce and rice, aka, a perfect storm for GERD. )
Sitting down also seems to trigger my shortness of breath, however I rarely feel it when I stand up. 
This is where things don't really add up. I can run for an hour and not need my inhaler but the change in temperature at night triggers asthma symptoms in me? I find that hard to believe. Personally, I think it's more likely that GERD is messing with my breathing somehow. Now in my doctors defense, I never mentioned any of the GERD symptoms to him because, to be honest, I think I've been struggling with it for a long time without realizing it. I assumed what I was feeling was normal because I had nothing to compare it to but now I know you're not supposed to feel like shit after eating (Gassy, acidy, burpy, sick, tired, etc). 
My pretty sure my dad has GERD and everyone on my mums side of the family has stomach problems (IBS, bloating, etc).
What do you guys think?</t>
        </is>
      </c>
      <c r="D2239" t="n">
        <v>3</v>
      </c>
      <c r="E2239" t="n">
        <v>7</v>
      </c>
      <c r="F2239">
        <f>HYPERLINK("https://www.reddit.com/r/GERD/comments/cohqge/i_want_to_hear_your_opinion_asthma_or_gerd_or/")</f>
        <v/>
      </c>
      <c r="G2239" t="inlineStr">
        <is>
          <t>2019-08-10 06:00:22</t>
        </is>
      </c>
      <c r="H2239" t="inlineStr"/>
    </row>
    <row r="2240">
      <c r="A2240" t="inlineStr">
        <is>
          <t>col4uv</t>
        </is>
      </c>
      <c r="B2240" t="inlineStr">
        <is>
          <t>Really scared - breathing issues</t>
        </is>
      </c>
      <c r="C2240" t="inlineStr">
        <is>
          <t>So for the past few weeks I’ve been dealing with GERD. It first started with the feeling of something stuck in my throat along with severe difficulty swallowing, post nasal drip, sore throat, heartburn, regurgitation, and a bunch of burps, you know the typical symptoms. 
I was given omeprazole exactly 2 weeks ago which did help with my severe swallowing issue, ( I could now swallow ) I still burp a lot but not as bad as before. I’m still regurgitating:/ 
But my problem is now I’m having breathing issues all my symptoms started all at once along with throat tightness but my breathing got worst... 
last night I ate some sushi and I asked no spicy but somehow it was still spicy and I was like 
“Oh well fuck it” and ever since that, my breathing is really bad. I was even thinking about going to the ER because I kept waking up in the middle of the night. 
Any advice ? What can I do??! This condition is ruining my life 
:( this breathing issue is really scary, I’ve never had breathing issues and now all of sudden I developed them. My bf has asthma and I was thinking if maybe using his medication would give me some relief :((( . 
Maybe my body needs more time to heal? 
Btw- my diet is not the best but I try my best to avoid spicy foods, soda, alcohol, acidic foods, all the triggers. Any advice is appreciated, thanks for taking your time reading this.</t>
        </is>
      </c>
      <c r="D2240" t="n">
        <v>8</v>
      </c>
      <c r="E2240" t="n">
        <v>20</v>
      </c>
      <c r="F2240">
        <f>HYPERLINK("https://www.reddit.com/r/GERD/comments/col4uv/really_scared_breathing_issues/")</f>
        <v/>
      </c>
      <c r="G2240" t="inlineStr">
        <is>
          <t>2019-08-10 10:43:49</t>
        </is>
      </c>
      <c r="H2240" t="inlineStr"/>
    </row>
    <row r="2241">
      <c r="A2241" t="inlineStr">
        <is>
          <t>copdqz</t>
        </is>
      </c>
      <c r="B2241" t="inlineStr">
        <is>
          <t>Stomach "palpitations" or fluttering?</t>
        </is>
      </c>
      <c r="C2241" t="inlineStr">
        <is>
          <t>Does anyone get this? I have LPR and take nexium twice a day. 
You could easily think it was your heart but it seems too low down a couple inches below the sternum. I'M Skinny and sometimes I can see it pulsating under my skin. Usually it only lasts a couple seconds but sometimes it lasts like 10 seconds its terrifying.  happens mostly when I'm upright but can be when I'm laying down as well. I have a HH so I think maybe its air getting stuck in it, but I'm not sure.</t>
        </is>
      </c>
      <c r="D2241" t="n">
        <v>4</v>
      </c>
      <c r="E2241" t="n">
        <v>13</v>
      </c>
      <c r="F2241">
        <f>HYPERLINK("https://www.reddit.com/r/GERD/comments/copdqz/stomach_palpitations_or_fluttering/")</f>
        <v/>
      </c>
      <c r="G2241" t="inlineStr">
        <is>
          <t>2019-08-10 16:32:43</t>
        </is>
      </c>
      <c r="H2241" t="inlineStr"/>
    </row>
    <row r="2242">
      <c r="A2242" t="inlineStr">
        <is>
          <t>copowb</t>
        </is>
      </c>
      <c r="B2242" t="inlineStr">
        <is>
          <t>Advice to help cope would be appreciated</t>
        </is>
      </c>
      <c r="C2242" t="inlineStr">
        <is>
          <t>I literally am producing ZERO SALIVA I’m so scared my entire throat in inflamed and acidy.
 I chewed some gum maybe I’ll chew some later and I took pepcin but christ
I have no idea how to just distract myself from this super anxious</t>
        </is>
      </c>
      <c r="D2242" t="n">
        <v>1</v>
      </c>
      <c r="E2242" t="n">
        <v>3</v>
      </c>
      <c r="F2242">
        <f>HYPERLINK("https://www.reddit.com/r/GERD/comments/copowb/advice_to_help_cope_would_be_appreciated/")</f>
        <v/>
      </c>
      <c r="G2242" t="inlineStr">
        <is>
          <t>2019-08-10 17:00:35</t>
        </is>
      </c>
      <c r="H2242" t="inlineStr"/>
    </row>
    <row r="2243">
      <c r="A2243" t="inlineStr">
        <is>
          <t>cougey</t>
        </is>
      </c>
      <c r="B2243" t="inlineStr">
        <is>
          <t>What's your sleep position? Anyone tried sitting up?</t>
        </is>
      </c>
      <c r="C2243" t="inlineStr">
        <is>
          <t>I've been using a wedge and raised bed for a year or two. But it still doesn't seem to be comfortable for my stomach. I've tried sleeping on my sleep too, that's nice when I'm not flared up, but makes me sore after a while (even with pillows between legs).
Do you think sleeping upright would be good for gerd? I've tried it occasionally and it seems fine, after adjusting to it, but I don't think my chairs are comfortable enough.</t>
        </is>
      </c>
      <c r="D2243" t="n">
        <v>5</v>
      </c>
      <c r="E2243" t="n">
        <v>7</v>
      </c>
      <c r="F2243">
        <f>HYPERLINK("https://www.reddit.com/r/GERD/comments/cougey/whats_your_sleep_position_anyone_tried_sitting_up/")</f>
        <v/>
      </c>
      <c r="G2243" t="inlineStr">
        <is>
          <t>2019-08-11 01:42:37</t>
        </is>
      </c>
      <c r="H2243" t="inlineStr"/>
    </row>
    <row r="2244">
      <c r="A2244" t="inlineStr">
        <is>
          <t>covr22</t>
        </is>
      </c>
      <c r="B2244" t="inlineStr">
        <is>
          <t>Is it possible to have heartburn and not feel it?</t>
        </is>
      </c>
      <c r="C2244" t="inlineStr">
        <is>
          <t>While being awake, i mean. From my understanding LPR is while you’re asleep.</t>
        </is>
      </c>
      <c r="D2244" t="n">
        <v>7</v>
      </c>
      <c r="E2244" t="n">
        <v>5</v>
      </c>
      <c r="F2244">
        <f>HYPERLINK("https://www.reddit.com/r/GERD/comments/covr22/is_it_possible_to_have_heartburn_and_not_feel_it/")</f>
        <v/>
      </c>
      <c r="G2244" t="inlineStr">
        <is>
          <t>2019-08-11 04:41:03</t>
        </is>
      </c>
      <c r="H2244" t="inlineStr"/>
    </row>
    <row r="2245">
      <c r="A2245" t="inlineStr">
        <is>
          <t>cp05ht</t>
        </is>
      </c>
      <c r="B2245" t="inlineStr">
        <is>
          <t>Afraid of a strangulated hiatal hernia</t>
        </is>
      </c>
      <c r="C2245" t="inlineStr">
        <is>
          <t>I have a hernia and I’ve been having constant chest pain for a while now. It hurts especially after eating and I’m constantly worried about my hernia being strangulated. I have an appointment later in the week but until that time, I’ve been having anxiety nonstop along with this chest pain. I do get hungry and release wind which are good things but should i be this worried?</t>
        </is>
      </c>
      <c r="D2245" t="n">
        <v>1</v>
      </c>
      <c r="E2245" t="n">
        <v>3</v>
      </c>
      <c r="F2245">
        <f>HYPERLINK("https://www.reddit.com/r/GERD/comments/cp05ht/afraid_of_a_strangulated_hiatal_hernia/")</f>
        <v/>
      </c>
      <c r="G2245" t="inlineStr">
        <is>
          <t>2019-08-11 11:13:02</t>
        </is>
      </c>
      <c r="H2245" t="inlineStr"/>
    </row>
    <row r="2246">
      <c r="A2246" t="inlineStr">
        <is>
          <t>cp26ep</t>
        </is>
      </c>
      <c r="B2246" t="inlineStr">
        <is>
          <t>Does anyone take a B-Complex?</t>
        </is>
      </c>
      <c r="C2246" t="inlineStr">
        <is>
          <t>Curious if there are any that don't aggravate</t>
        </is>
      </c>
      <c r="D2246" t="n">
        <v>3</v>
      </c>
      <c r="E2246" t="n">
        <v>3</v>
      </c>
      <c r="F2246">
        <f>HYPERLINK("https://www.reddit.com/r/GERD/comments/cp26ep/does_anyone_take_a_bcomplex/")</f>
        <v/>
      </c>
      <c r="G2246" t="inlineStr">
        <is>
          <t>2019-08-11 13:50:30</t>
        </is>
      </c>
      <c r="H2246" t="inlineStr"/>
    </row>
    <row r="2247">
      <c r="A2247" t="inlineStr">
        <is>
          <t>cp29so</t>
        </is>
      </c>
      <c r="B2247" t="inlineStr">
        <is>
          <t>Dumb question, but had an endoscopy and was clear. Now they're saying it's GERD, again.</t>
        </is>
      </c>
      <c r="C2247" t="inlineStr">
        <is>
          <t>Long story short: in January I thought I was having a heart attack. I went to the ER, all readings came out clear. Went to cardiologist anyway just in case. Wore a holter (sp?) monitor for 2 nights and all was clear. Kept having issues so went to the GI, they said I had GERD because I eat too fast, eat acidic stuff, etc. I changed my diet, began taking omerperazole 40mg and started seeing slight changes.
Here's where I am confused: They scheduled an endoscopy for me but told me to keep taking the ompeperazole, even the day of the procedure. I did, and the results and biopsy came back clean. I stopped taking the medicine for about 4 weeks and then started having heart attack symptoms AGAIN! I went to the ER, then the GI, where they said I have GERD and to continue taking my medicine. 
I'm 26, workout 6x a week, and eat very clean, but my heart BPM has been 55-58 for the past few weeks and there's always this tightness in my chest once I eat.
My questions:
1.) Does this sound like GERD, Silent Reflux, or anything like that to you?
2.) Did your doc tell you to keep taking your medicine before an endoscopy? Is that normal? In my head, it seems like that of course the results would be clear because I was taking my medicine.</t>
        </is>
      </c>
      <c r="D2247" t="n">
        <v>3</v>
      </c>
      <c r="E2247" t="n">
        <v>10</v>
      </c>
      <c r="F2247">
        <f>HYPERLINK("https://www.reddit.com/r/GERD/comments/cp29so/dumb_question_but_had_an_endoscopy_and_was_clear/")</f>
        <v/>
      </c>
      <c r="G2247" t="inlineStr">
        <is>
          <t>2019-08-11 13:57:59</t>
        </is>
      </c>
      <c r="H2247" t="inlineStr"/>
    </row>
    <row r="2248">
      <c r="A2248" t="inlineStr">
        <is>
          <t>cp6tf2</t>
        </is>
      </c>
      <c r="B2248" t="inlineStr">
        <is>
          <t>Thinking of going on my first backpacking trip with GERD. Any recommendations or success with backpacking food?</t>
        </is>
      </c>
      <c r="C2248" t="inlineStr">
        <is>
          <t>I love camping and hiking but have never been on a backpacking trip. When car camping it's easy for me to eat the meals that won't trigger my GERD by bringing a cooler with fresh fruits and veggies to go with my meals.
I am concerned about keeping things as lightweight as possible. Your typical backpacking food of dehydrated foods, hard meats etc. sound like they would be rough on stomach especially doing something strenuous like hiking with a heavy backpack. Fruits and veggies like carrots, celery, cauliflower and apples are staples in keeping my GERD under control but sound like they would be quite problematic with how heavy they are. Any recommendations or advice on keeping the pack light and still being able to get some fresh fruits veggies into my meals?</t>
        </is>
      </c>
      <c r="D2248" t="n">
        <v>4</v>
      </c>
      <c r="E2248" t="n">
        <v>6</v>
      </c>
      <c r="F2248">
        <f>HYPERLINK("https://www.reddit.com/r/GERD/comments/cp6tf2/thinking_of_going_on_my_first_backpacking_trip/")</f>
        <v/>
      </c>
      <c r="G2248" t="inlineStr">
        <is>
          <t>2019-08-11 20:28:41</t>
        </is>
      </c>
      <c r="H2248" t="inlineStr"/>
    </row>
    <row r="2249">
      <c r="A2249" t="inlineStr">
        <is>
          <t>cp6zy1</t>
        </is>
      </c>
      <c r="B2249" t="inlineStr">
        <is>
          <t>Those with sliding hiatal hernias... Do your symptoms come and go as the hernia slides in and out? Can you feel it "slide"?</t>
        </is>
      </c>
      <c r="C2249" t="inlineStr">
        <is>
          <t>95% of hiatal hernias are sliding, but I never seem to have relief. I was diagnosed with a hiatal hernia from an endoscopy, but the gastro would not tell me what kind it was somehow, and my GP checked the notes and it just said Hiatal hernia. I really don't ever feel like it slides back down. I was thinking about trying to find someboyd to attempt to massage it back down to see if symptoms let up. Anybody experience this?</t>
        </is>
      </c>
      <c r="D2249" t="n">
        <v>5</v>
      </c>
      <c r="E2249" t="n">
        <v>9</v>
      </c>
      <c r="F2249">
        <f>HYPERLINK("https://www.reddit.com/r/GERD/comments/cp6zy1/those_with_sliding_hiatal_hernias_do_your/")</f>
        <v/>
      </c>
      <c r="G2249" t="inlineStr">
        <is>
          <t>2019-08-11 20:45:53</t>
        </is>
      </c>
      <c r="H2249" t="inlineStr"/>
    </row>
    <row r="2250">
      <c r="A2250" t="inlineStr">
        <is>
          <t>cp74f6</t>
        </is>
      </c>
      <c r="B2250" t="inlineStr">
        <is>
          <t>Globus sensation on back of throat after eating really dry chicken</t>
        </is>
      </c>
      <c r="C2250" t="inlineStr">
        <is>
          <t>Has anybody experienced globus sensation after eating really dry chicken ? Due to the fact that your throat is so irritated that anything feels like there’s a lump in the back of your throat</t>
        </is>
      </c>
      <c r="D2250" t="n">
        <v>2</v>
      </c>
      <c r="E2250" t="n">
        <v>0</v>
      </c>
      <c r="F2250">
        <f>HYPERLINK("https://www.reddit.com/r/GERD/comments/cp74f6/globus_sensation_on_back_of_throat_after_eating/")</f>
        <v/>
      </c>
      <c r="G2250" t="inlineStr">
        <is>
          <t>2019-08-11 20:58:05</t>
        </is>
      </c>
      <c r="H2250" t="inlineStr"/>
    </row>
    <row r="2251">
      <c r="A2251" t="inlineStr">
        <is>
          <t>cp7a9r</t>
        </is>
      </c>
      <c r="B2251" t="inlineStr">
        <is>
          <t>Nice</t>
        </is>
      </c>
      <c r="C2251" t="inlineStr">
        <is>
          <t>Keep waking up in the middle of  the night for multiple days now because I feel like I suffocate. Need to stand up for it to go away, nothing else helps. Tired as hell 24/7. Please go away before my school starts..</t>
        </is>
      </c>
      <c r="D2251" t="n">
        <v>2</v>
      </c>
      <c r="E2251" t="n">
        <v>5</v>
      </c>
      <c r="F2251">
        <f>HYPERLINK("https://www.reddit.com/r/GERD/comments/cp7a9r/nice/")</f>
        <v/>
      </c>
      <c r="G2251" t="inlineStr">
        <is>
          <t>2019-08-11 21:13:16</t>
        </is>
      </c>
      <c r="H2251" t="inlineStr"/>
    </row>
    <row r="2252">
      <c r="A2252" t="inlineStr">
        <is>
          <t>cp8pc4</t>
        </is>
      </c>
      <c r="B2252" t="inlineStr">
        <is>
          <t>Indigestion after pooping</t>
        </is>
      </c>
      <c r="C2252" t="inlineStr">
        <is>
          <t>I have this really wierd issue where I only get GERD symptoms AFTER I poop. I get super nauseous and indigestion, feels like my throat is closing, some heartburn, dizziness, pain in the upper part of stomach and feel extremely full. 
Any one ever experience this?</t>
        </is>
      </c>
      <c r="D2252" t="n">
        <v>2</v>
      </c>
      <c r="E2252" t="n">
        <v>0</v>
      </c>
      <c r="F2252">
        <f>HYPERLINK("https://www.reddit.com/r/GERD/comments/cp8pc4/indigestion_after_pooping/")</f>
        <v/>
      </c>
      <c r="G2252" t="inlineStr">
        <is>
          <t>2019-08-11 23:47:22</t>
        </is>
      </c>
      <c r="H2252" t="inlineStr"/>
    </row>
    <row r="2253">
      <c r="A2253" t="inlineStr">
        <is>
          <t>cpa4vr</t>
        </is>
      </c>
      <c r="B2253" t="inlineStr">
        <is>
          <t>PPIs and H. Pylori?</t>
        </is>
      </c>
      <c r="C2253" t="inlineStr">
        <is>
          <t>Hi guys, so i was recently diagnosed with H pylori and I was curious about a few things...  
1) First off, it seems that almost half of the world has H pylori and don't have symptoms. My question is: Would treating H pylori cause damage? I do have stomach symptoms, so would getting rid of H pylori be worth it? Or do I even have a choice in this?  
2) I've heard that PPIs require tapering instead of going cold turkey. I've never taken a PPI and the doc prescribed a 2-week PPI  dosage. Would I need to taper off after the 2-weeks? or is this dosage not that big of a deal?  
Thank you for your time.</t>
        </is>
      </c>
      <c r="D2253" t="n">
        <v>4</v>
      </c>
      <c r="E2253" t="n">
        <v>3</v>
      </c>
      <c r="F2253">
        <f>HYPERLINK("https://www.reddit.com/r/GERD/comments/cpa4vr/ppis_and_h_pylori/")</f>
        <v/>
      </c>
      <c r="G2253" t="inlineStr">
        <is>
          <t>2019-08-12 02:41:24</t>
        </is>
      </c>
      <c r="H2253" t="inlineStr"/>
    </row>
    <row r="2254">
      <c r="A2254" t="inlineStr">
        <is>
          <t>cpacw1</t>
        </is>
      </c>
      <c r="B2254" t="inlineStr">
        <is>
          <t>How to fall asleep with LPR?/ RANT</t>
        </is>
      </c>
      <c r="C2254" t="inlineStr">
        <is>
          <t>Undiagnosed but really am just suffering. My Anxiety has made it 100000% worse and I need to relax. I haven’t slept  properly in like 3/4 days since these symptoms started. And I haven’t eaten either. I put yoga blocks under the mattress and 5 pillows but still have trouble sleeping due to choking. Dry mouth I need to get lozenges I want to restore my saliva I want to live my fucking life again. Half my face is numb and I’m always confused. Waiting for ENT appointment. I have been getting spasm pain and I just want to get to the bottom of this but be able to cope in the meantime. I’m afraid to do deep breathes bc it hurts or sleep I’m at such a loss any advice would be amazing thank you</t>
        </is>
      </c>
      <c r="D2254" t="n">
        <v>4</v>
      </c>
      <c r="E2254" t="n">
        <v>10</v>
      </c>
      <c r="F2254">
        <f>HYPERLINK("https://www.reddit.com/r/GERD/comments/cpacw1/how_to_fall_asleep_with_lpr_rant/")</f>
        <v/>
      </c>
      <c r="G2254" t="inlineStr">
        <is>
          <t>2019-08-12 03:07:51</t>
        </is>
      </c>
      <c r="H2254" t="inlineStr"/>
    </row>
    <row r="2255">
      <c r="A2255" t="inlineStr">
        <is>
          <t>cpafcp</t>
        </is>
      </c>
      <c r="B2255" t="inlineStr">
        <is>
          <t>Small duodenum?</t>
        </is>
      </c>
      <c r="C2255" t="inlineStr">
        <is>
          <t>My doctor said that they noted during endoscopy that I had a small duodenum. I asked him what that means and he literally said "I have no idea".
I don't really want to start googling this as I always regret reading what I find on google, but maybe someone here would know if this could have any impact on GERD / my hernia?</t>
        </is>
      </c>
      <c r="D2255" t="n">
        <v>1</v>
      </c>
      <c r="E2255" t="n">
        <v>1</v>
      </c>
      <c r="F2255">
        <f>HYPERLINK("https://www.reddit.com/r/GERD/comments/cpafcp/small_duodenum/")</f>
        <v/>
      </c>
      <c r="G2255" t="inlineStr">
        <is>
          <t>2019-08-12 03:15:31</t>
        </is>
      </c>
      <c r="H2255" t="inlineStr"/>
    </row>
    <row r="2256">
      <c r="A2256" t="inlineStr">
        <is>
          <t>cpbfnq</t>
        </is>
      </c>
      <c r="B2256" t="inlineStr">
        <is>
          <t>Recently diagnosed with GERD</t>
        </is>
      </c>
      <c r="C2256" t="inlineStr">
        <is>
          <t>Hello I've been extremely anxious for the past two weeks. Two weeks ago, had some weed through a lot of cannabutter and had a lot of spicy junk food. The same night I started having severe chest pain and I've been having severe anxiety since then. I consulted a doctor after5 days and I was told all my heart functions are normal. I've been reading up a lot about this and it is really scary. My symptoms are very wierd. My chest pain has completely gone away but I feel the throat irritation very often. Some days I feel a lot of headache and somedays I feel nothing. It keeps coming and going. I noticed a blood clot onmy left arm and my left cheek bone feels numb. I've been scared because I feel this might a different problem and not GERD. I have mixed symptoms and I fear it has still not been diagnosed. The blood clot on the left hand is small but it makes my left hand feel numb as well. I don't have any jaw or joint pain but I all together feel fatigued especially on days where I'm not able to sleep. I have issues while sleeping since I tend to have breathing issues with throat pain. I recently started having headaches often and a bit of ear clogging as well. I've consulted 3 doctors and all of them have said the same since they've concentrated on the chest pain. The left side pain is chronic and the headaches been chronic since last night. Please advise on whether there is something else that needs to be done. I've been given an antacid and gaviscon.</t>
        </is>
      </c>
      <c r="D2256" t="n">
        <v>3</v>
      </c>
      <c r="E2256" t="n">
        <v>9</v>
      </c>
      <c r="F2256">
        <f>HYPERLINK("https://www.reddit.com/r/GERD/comments/cpbfnq/recently_diagnosed_with_gerd/")</f>
        <v/>
      </c>
      <c r="G2256" t="inlineStr">
        <is>
          <t>2019-08-12 05:03:10</t>
        </is>
      </c>
      <c r="H2256" t="inlineStr"/>
    </row>
    <row r="2257">
      <c r="A2257" t="inlineStr">
        <is>
          <t>cpbqpo</t>
        </is>
      </c>
      <c r="B2257" t="inlineStr">
        <is>
          <t>Suspected GERD or ulcer</t>
        </is>
      </c>
      <c r="C2257" t="inlineStr">
        <is>
          <t>Hey guys, first time post here.
Since about may of 2019 I've started getting random bouts of unexplained nausea.
Since then it's progressed to nausea primarily in the mornings and evenings, as well as having this constant gnawing feeling very similar to hunger in my stomach.
My doctor tried me on ranitidine which helped a little then stopped, then he gave me tecta 40mg which made me even sicker and gave me more severe nausea and diarrhea. Now I'm on dexilant, after a few days so far I feel 100%.
My question is if someone would think this is an ulcer? I very rarely got the burning feeling in my chest and throat typical with gerd.
My doctor referred me to a GI specialist but that's going to be a 2-6 month wait to see someone.
Any ideas? I'm a little worried that the GI specialist might not find an ulcer and just suggest I stay on the medication indefinitely.. definitely not something I'm Keen on.</t>
        </is>
      </c>
      <c r="D2257" t="n">
        <v>1</v>
      </c>
      <c r="E2257" t="n">
        <v>0</v>
      </c>
      <c r="F2257">
        <f>HYPERLINK("https://www.reddit.com/r/GERD/comments/cpbqpo/suspected_gerd_or_ulcer/")</f>
        <v/>
      </c>
      <c r="G2257" t="inlineStr">
        <is>
          <t>2019-08-12 05:32:03</t>
        </is>
      </c>
      <c r="H2257" t="inlineStr"/>
    </row>
    <row r="2258">
      <c r="A2258" t="inlineStr">
        <is>
          <t>cpcmf2</t>
        </is>
      </c>
      <c r="B2258" t="inlineStr">
        <is>
          <t>GERD can be made worse by imbalanced vitamins</t>
        </is>
      </c>
      <c r="C2258" t="inlineStr">
        <is>
          <t>I know that GERD can result from a hernia. I have GERD but the symptoms have been getting better over 3 months or so. I can now eat anything I want without any problems. Initially, I had so many issues with fluttering, burning throat, breathing in. Its the nervous stomach feeling that bothered me the most. I didn't really suffer from heartburn and taking antacids or omeprazole didn't do a LOT. It was mostly rest and destressing that seemed to heal me
Nowadays, around 3 months later, I can eat anything I want without issues but I feel like I'm still 80%. Doctor ran some blood tests and found I was vitamin d deficient (very badly it seemed). Doc put me on a 20000IU supplement of vit d for 7 weeks - twice a week. I can feel myself getting better. 
I have something on my mind. Are there any symptoms that differentiates a hiatal hernia from GERD? I,m scared that I may have a hernia. Doc did some physical exams on my stomach and asked to check for pain. I didn't have any. 
Is it possible for me to have had a hernia all this time?</t>
        </is>
      </c>
      <c r="D2258" t="n">
        <v>7</v>
      </c>
      <c r="E2258" t="n">
        <v>3</v>
      </c>
      <c r="F2258">
        <f>HYPERLINK("https://www.reddit.com/r/GERD/comments/cpcmf2/gerd_can_be_made_worse_by_imbalanced_vitamins/")</f>
        <v/>
      </c>
      <c r="G2258" t="inlineStr">
        <is>
          <t>2019-08-12 06:48:49</t>
        </is>
      </c>
      <c r="H2258" t="inlineStr"/>
    </row>
    <row r="2259">
      <c r="A2259" t="inlineStr">
        <is>
          <t>cpf1pr</t>
        </is>
      </c>
      <c r="B2259" t="inlineStr">
        <is>
          <t>Anyone else get gerd from bread, cakes, cookies, etc?</t>
        </is>
      </c>
      <c r="C2259" t="inlineStr">
        <is>
          <t>You think this could be celiac disease or what?</t>
        </is>
      </c>
      <c r="D2259" t="n">
        <v>3</v>
      </c>
      <c r="E2259" t="n">
        <v>7</v>
      </c>
      <c r="F2259">
        <f>HYPERLINK("https://www.reddit.com/r/GERD/comments/cpf1pr/anyone_else_get_gerd_from_bread_cakes_cookies_etc/")</f>
        <v/>
      </c>
      <c r="G2259" t="inlineStr">
        <is>
          <t>2019-08-12 09:50:58</t>
        </is>
      </c>
      <c r="H2259" t="inlineStr"/>
    </row>
    <row r="2260">
      <c r="A2260" t="inlineStr">
        <is>
          <t>cph7e2</t>
        </is>
      </c>
      <c r="B2260" t="inlineStr">
        <is>
          <t>Having endoscopy/Bravo PH test done on Wednesday.. would like to hear others' experiences (testing/what they told you afterwards)</t>
        </is>
      </c>
      <c r="C2260" t="inlineStr">
        <is>
          <t>I'm a 23 year old female, have had horrible acid reflux and heartburn for about 5 years. I'm 5'6'' and weigh about 110 (so, pretty small). I've tried changing my diet, changing my lifestyle, and I've tried medication. I'm on day one of not being able to take Raniditine and on day 3 of no Omeprazole, and I'm in **hell.** I just picked up some Gaviscon, which is helping, but I'm nervous for the rest of the week. I'm curious to hear others' experiences with the Bravo PH, as well as what they found/told you your options were after the fact. I'm assuming the worst and that they'll tell me surgery is the best option, but honestly if it gets rid of it I'm *down*. I'd rather have answers than for them to tell me there's nothing they can do.</t>
        </is>
      </c>
      <c r="D2260" t="n">
        <v>3</v>
      </c>
      <c r="E2260" t="n">
        <v>14</v>
      </c>
      <c r="F2260">
        <f>HYPERLINK("https://www.reddit.com/r/GERD/comments/cph7e2/having_endoscopybravo_ph_test_done_on_wednesday/")</f>
        <v/>
      </c>
      <c r="G2260" t="inlineStr">
        <is>
          <t>2019-08-12 12:24:37</t>
        </is>
      </c>
      <c r="H2260" t="inlineStr"/>
    </row>
    <row r="2261">
      <c r="A2261" t="inlineStr">
        <is>
          <t>cphnsi</t>
        </is>
      </c>
      <c r="B2261" t="inlineStr">
        <is>
          <t>Garlic infused oil/citrus zest/lemon pepper?</t>
        </is>
      </c>
      <c r="C2261" t="inlineStr">
        <is>
          <t>Do any of these foods irritate gerd symptoms? I’m looking for flavor options as I embark on a low acid diet, but garlic, citrus, and all the fun seasonings are out of the question. Also what about chives or green onions? I don’t want to be without flavor! Any good suggestions would be much appreciated. Thanks!</t>
        </is>
      </c>
      <c r="D2261" t="n">
        <v>0</v>
      </c>
      <c r="E2261" t="n">
        <v>6</v>
      </c>
      <c r="F2261">
        <f>HYPERLINK("https://www.reddit.com/r/GERD/comments/cphnsi/garlic_infused_oilcitrus_zestlemon_pepper/")</f>
        <v/>
      </c>
      <c r="G2261" t="inlineStr">
        <is>
          <t>2019-08-12 12:57:29</t>
        </is>
      </c>
      <c r="H2261" t="inlineStr"/>
    </row>
    <row r="2262">
      <c r="A2262" t="inlineStr">
        <is>
          <t>cphpr5</t>
        </is>
      </c>
      <c r="B2262" t="inlineStr">
        <is>
          <t>Silent reflux and heart palpitations?</t>
        </is>
      </c>
      <c r="C2262" t="inlineStr">
        <is>
          <t>Does anyone have silent reflux and also heart palpitations at the same time ? My silent reflux has been untreated for a year now I’m finally getting help this week</t>
        </is>
      </c>
      <c r="D2262" t="n">
        <v>3</v>
      </c>
      <c r="E2262" t="n">
        <v>4</v>
      </c>
      <c r="F2262">
        <f>HYPERLINK("https://www.reddit.com/r/GERD/comments/cphpr5/silent_reflux_and_heart_palpitations/")</f>
        <v/>
      </c>
      <c r="G2262" t="inlineStr">
        <is>
          <t>2019-08-12 13:01:19</t>
        </is>
      </c>
      <c r="H2262" t="inlineStr"/>
    </row>
    <row r="2263">
      <c r="A2263" t="inlineStr">
        <is>
          <t>cpj5cp</t>
        </is>
      </c>
      <c r="B2263" t="inlineStr">
        <is>
          <t>Anybody care to share their favorite GERD friendly recipes or maybe a link to some?</t>
        </is>
      </c>
      <c r="C2263" t="inlineStr">
        <is>
          <t>I've had GERD for about two years now, and I still don't know what the hell to eat anymore, cause I keep making mistakes and still getting acid reflux. Help a dude out, please!</t>
        </is>
      </c>
      <c r="D2263" t="n">
        <v>15</v>
      </c>
      <c r="E2263" t="n">
        <v>9</v>
      </c>
      <c r="F2263">
        <f>HYPERLINK("https://www.reddit.com/r/GERD/comments/cpj5cp/anybody_care_to_share_their_favorite_gerd/")</f>
        <v/>
      </c>
      <c r="G2263" t="inlineStr">
        <is>
          <t>2019-08-12 14:45:36</t>
        </is>
      </c>
      <c r="H2263" t="inlineStr"/>
    </row>
    <row r="2264">
      <c r="A2264" t="inlineStr">
        <is>
          <t>cpkvl6</t>
        </is>
      </c>
      <c r="B2264" t="inlineStr">
        <is>
          <t>DAE GET WEIRD REFLUX FLARE UPS AND MIGRAINES</t>
        </is>
      </c>
      <c r="C2264" t="inlineStr">
        <is>
          <t>It’s here rn I feel it in my sinuses and my head and it been bothering me for the past 4/5 days I get major brain fog cause of it</t>
        </is>
      </c>
      <c r="D2264" t="n">
        <v>4</v>
      </c>
      <c r="E2264" t="n">
        <v>4</v>
      </c>
      <c r="F2264">
        <f>HYPERLINK("https://www.reddit.com/r/GERD/comments/cpkvl6/dae_get_weird_reflux_flare_ups_and_migraines/")</f>
        <v/>
      </c>
      <c r="G2264" t="inlineStr">
        <is>
          <t>2019-08-12 16:59:20</t>
        </is>
      </c>
      <c r="H2264" t="inlineStr"/>
    </row>
    <row r="2265">
      <c r="A2265" t="inlineStr">
        <is>
          <t>cpnd3i</t>
        </is>
      </c>
      <c r="B2265" t="inlineStr">
        <is>
          <t>Dyspnea from GERD is driving me nuts!</t>
        </is>
      </c>
      <c r="C2265" t="inlineStr">
        <is>
          <t>I looked at some past threads here and I'm both sad and relieved to see others have experienced this same problem. I've been burping for what feels like forever, and recently I feel like my symptoms just all got worse - I burp more, I have back cramps more, have more trouble swallowing, and the newest development is shortness of breath. 
Well, not shortness of breath in the sense where I'm huffing and puffing and can't breathe. Rather, I struggle to take a deep breath quite often. I might sit there with my mouth open trying really hard to pull in a deep breath and it can take me several tries, and then when I finally get it, I get relief for a second before I need to do it again. I think this is referred to as "air hunger?"
Being that I'm a hypochondriac, of course I assume it's my heart or lungs. I just saw my doctor and she didn't seem concerned about cardiac issues and my oxygen saturation was 99% and my lungs sounded fine too, so I guess it's not respiratory either. I'm pretty sure the breathing issues are GERD-related because any time I experience a symptom, I can feel it in my throat, if that makes sense. Plus I'm getting heartburn every day now too, when before I never got it at all.
I'm a few days into a round of baclofen because none of the usual GERD treatments like Prilosec and Protonix worked for me. I know I have to give the baclofen time to work its magic, but holy crap I'm miserable. I don't sleep at night because of this - not because of not getting enough air, but *knowing* I can't breathe normally keeps me up and it sucks, and then all I can do is force myself to stay up until I'm exhausted and pass out. Then I get up 2 hours alter for work and I'm miserable all day long.
Unfortunately, I don't seem to have any triggers and the shortness of breath is constant. I wish I knew what to do - I was already not sleeping enough, but this whole thing of sleeping 1-2 hours a night is BS and I can't function like this long-term. I don't know if the baclofen is even going to work.
Is there a way I can breathe normally again so I can sleep?</t>
        </is>
      </c>
      <c r="D2265" t="n">
        <v>1</v>
      </c>
      <c r="E2265" t="n">
        <v>24</v>
      </c>
      <c r="F2265">
        <f>HYPERLINK("https://www.reddit.com/r/GERD/comments/cpnd3i/dyspnea_from_gerd_is_driving_me_nuts/")</f>
        <v/>
      </c>
      <c r="G2265" t="inlineStr">
        <is>
          <t>2019-08-12 20:23:46</t>
        </is>
      </c>
      <c r="H2265" t="inlineStr"/>
    </row>
    <row r="2266">
      <c r="A2266" t="inlineStr">
        <is>
          <t>cpnlfr</t>
        </is>
      </c>
      <c r="B2266" t="inlineStr">
        <is>
          <t>Anyone care to share what happened to their GERD when they treated their anxiety?</t>
        </is>
      </c>
      <c r="C2266" t="inlineStr">
        <is>
          <t>After suffering from GERD/LPR and being on omeprazole for over a year, I've successfully lost a bunch of weight (the gain of which I initially thought caused my GERD/LPR in the first place). However, I'm weaning off omeprazole and the symptoms are still present, and the LPR is perhaps even more noticeable than GERD at this point. 
Here's the thing:
I struggle with sleepless nights. My BP veers slightly high for my age, especially when I go to the doc or out in public. I'm a nervous twit.
I'm now wondering if my anxiety actually plays more of a role in my GERD/LPR than I ever suspected it does. Besides the omeprazole I'm taking a pill for insomnia and a pill for GERD/LPR. What if what I needed all along was to address the anxiety, especially--if it's this bad--with a medication?
Looking for other anxiety sufferers. To what degree do you think your anxiety caused your GERD/LPR and what effect did addressing it (especially with medication) have on your GERD/LPR? 
While I've changed up my diet, am exercising regularly and now getting sleep regularly, my anxiety hasn't changed noticeably yet (if it will at all).</t>
        </is>
      </c>
      <c r="D2266" t="n">
        <v>1</v>
      </c>
      <c r="E2266" t="n">
        <v>7</v>
      </c>
      <c r="F2266">
        <f>HYPERLINK("https://www.reddit.com/r/GERD/comments/cpnlfr/anyone_care_to_share_what_happened_to_their_gerd/")</f>
        <v/>
      </c>
      <c r="G2266" t="inlineStr">
        <is>
          <t>2019-08-12 20:45:19</t>
        </is>
      </c>
      <c r="H2266" t="inlineStr"/>
    </row>
    <row r="2267">
      <c r="A2267" t="inlineStr">
        <is>
          <t>cpqz2r</t>
        </is>
      </c>
      <c r="B2267" t="inlineStr">
        <is>
          <t>Curious</t>
        </is>
      </c>
      <c r="C2267" t="inlineStr">
        <is>
          <t>Does anyone flare up after any of these? Donuts, cup.of tea, pasta
Also, does this cause a feeling like you have trapped wond and your throat is tight?</t>
        </is>
      </c>
      <c r="D2267" t="n">
        <v>3</v>
      </c>
      <c r="E2267" t="n">
        <v>7</v>
      </c>
      <c r="F2267">
        <f>HYPERLINK("https://www.reddit.com/r/GERD/comments/cpqz2r/curious/")</f>
        <v/>
      </c>
      <c r="G2267" t="inlineStr">
        <is>
          <t>2019-08-13 02:58:28</t>
        </is>
      </c>
      <c r="H2267" t="inlineStr"/>
    </row>
    <row r="2268">
      <c r="A2268" t="inlineStr">
        <is>
          <t>cpr1wk</t>
        </is>
      </c>
      <c r="B2268" t="inlineStr">
        <is>
          <t>Buying 'The Acid Watcher Diet' is the worst thing I could have done. So, thanks Dr. Aviv for sending my anxiety through the roof!</t>
        </is>
      </c>
      <c r="C2268" t="inlineStr">
        <is>
          <t>My story is as follows: I've been suffering from heartburn and digestive issues for most of my adult life (37yo). Fast forward to May 2019, I began to suffer from reflux, and one afternoon I had pretty bad epigastric pain and felt generally unwell. I went to the Doctors in June told him how I felt, and with my history, he referred me to a Gastro (3 month waiting list - my appointment is on 28th Aug). I told the GP about all my symptoms especially that I was losing my voice, and have a consistent sore throat (I also saw an ENT few years ago who couldn't see anything yet suggested acid reflux irritant). Last week, I completely lost my voice, and it's still really raspy and pitchy (note: I've just moved house, and have been using cleaning products, so I put it down to this). I'm thinking reflux laryngitis! 
Anyway, I've picked up the Aviv's AWD - I wish I hadn't as for someone who suffers with anxiety/ocd it's totally escalated the negatives thoughts I try to avoid. There is some disconnect in the book with a complete lack of empathy for people with anxiety/healthy anxiety which we know is linked to excessive acid production. Aviv makes some strong statements, yet when examining his language, the information isn't new, but he feeds it in a way to scare the living daylights out of the reader.
As you can see, I'm really not a fan of this book. 
What's everyone else's opinion?</t>
        </is>
      </c>
      <c r="D2268" t="n">
        <v>33</v>
      </c>
      <c r="E2268" t="n">
        <v>20</v>
      </c>
      <c r="F2268">
        <f>HYPERLINK("https://www.reddit.com/r/GERD/comments/cpr1wk/buying_the_acid_watcher_diet_is_the_worst_thing_i/")</f>
        <v/>
      </c>
      <c r="G2268" t="inlineStr">
        <is>
          <t>2019-08-13 03:07:19</t>
        </is>
      </c>
      <c r="H2268" t="inlineStr"/>
    </row>
    <row r="2269">
      <c r="A2269" t="inlineStr">
        <is>
          <t>cpry01</t>
        </is>
      </c>
      <c r="B2269" t="inlineStr">
        <is>
          <t>Train Nausea ::: In My Hell</t>
        </is>
      </c>
      <c r="C2269" t="inlineStr">
        <is>
          <t>I’ve been on 40mg pantoprazole once a day for 9 days. I am perscribed it for two months, haven’t had any invasive testing or diagnosis. I’ve been feeling groovy so I had buffalo chicken nachos and oreo mint ice cream last night, along with two cups of coffee so I would have a bowel movement last night instead of this morning. I felt fine going to bed but this morning I feel horrible. 9/10 pain and nausea. Took my PPI, no food no water, spent 20 mins in the bathroom and then had to leave for my ~ 1.5 hour commute to new york to take my exam. Currently on the train in my personal hell. I have another hour to go. I wouldn’t have left the house if it were any other class, but it is a 10 min oral exam and my partner is counting on me to be there so I am making it there no matter what. Is it what I ate last night affecting me this morning ?</t>
        </is>
      </c>
      <c r="D2269" t="n">
        <v>1</v>
      </c>
      <c r="E2269" t="n">
        <v>2</v>
      </c>
      <c r="F2269">
        <f>HYPERLINK("https://www.reddit.com/r/GERD/comments/cpry01/train_nausea_in_my_hell/")</f>
        <v/>
      </c>
      <c r="G2269" t="inlineStr">
        <is>
          <t>2019-08-13 04:42:39</t>
        </is>
      </c>
      <c r="H2269" t="inlineStr"/>
    </row>
    <row r="2270">
      <c r="A2270" t="inlineStr">
        <is>
          <t>cpsu7m</t>
        </is>
      </c>
      <c r="B2270" t="inlineStr">
        <is>
          <t>Possible Oral thrush?</t>
        </is>
      </c>
      <c r="C2270" t="inlineStr">
        <is>
          <t>Like two days ago I started noticing I have constant cotton mouth after my throat felt it was closed shut. After a bit I thought it would be better but I’m still getting this thick foamy saliva but have trouble tasting and it’s attributing to my trouble swallowing. Not sure if it is pepsin in my throat or if it is oral thrush. My tongue doesn’t look like it but I just want my saliva to get back to normal already yknow</t>
        </is>
      </c>
      <c r="D2270" t="n">
        <v>4</v>
      </c>
      <c r="E2270" t="n">
        <v>0</v>
      </c>
      <c r="F2270">
        <f>HYPERLINK("https://www.reddit.com/r/GERD/comments/cpsu7m/possible_oral_thrush/")</f>
        <v/>
      </c>
      <c r="G2270" t="inlineStr">
        <is>
          <t>2019-08-13 06:02:41</t>
        </is>
      </c>
      <c r="H2270" t="inlineStr"/>
    </row>
    <row r="2271">
      <c r="A2271" t="inlineStr">
        <is>
          <t>cpsx4n</t>
        </is>
      </c>
      <c r="B2271" t="inlineStr">
        <is>
          <t>Finished Pylori treatment</t>
        </is>
      </c>
      <c r="C2271" t="inlineStr">
        <is>
          <t>Hi everyone,
I've just finished my 7-day pylori treatment, consisting of:
2x/Day amoxicillin 1000 mg
2x/Day claritromyxin 500 mg
2x/Day pantoprozol 40 mg
Now, my question is: how quick should my symptoms be gone after finishing the treatment? Because I still experience the same symptoms as before starting the treatment.</t>
        </is>
      </c>
      <c r="D2271" t="n">
        <v>1</v>
      </c>
      <c r="E2271" t="n">
        <v>2</v>
      </c>
      <c r="F2271">
        <f>HYPERLINK("https://www.reddit.com/r/GERD/comments/cpsx4n/finished_pylori_treatment/")</f>
        <v/>
      </c>
      <c r="G2271" t="inlineStr">
        <is>
          <t>2019-08-13 06:08:47</t>
        </is>
      </c>
      <c r="H2271" t="inlineStr"/>
    </row>
    <row r="2272">
      <c r="A2272" t="inlineStr">
        <is>
          <t>cpu7jo</t>
        </is>
      </c>
      <c r="B2272" t="inlineStr">
        <is>
          <t>Chest pains?</t>
        </is>
      </c>
      <c r="C2272" t="inlineStr">
        <is>
          <t>Hey guys,
I’m new to GERD. Had a weird chest pain every once and a while below my sternum. Last Friday it was so intense I swore I was dying so I went in and they did the normal checkup for a heart attack. Being 34 and a marathon runner I really didn’t think it could be that but I knew anything was possible. I was diagnosed with GERD and put on Omeprazole but am still having the random stabbing pain below my sternum a handful of times a day which still freaks me out. I also get the acid sensation in the back of the throat but the pain is what freaks me out the most.
Anyone have anything like this? Thanks in advance</t>
        </is>
      </c>
      <c r="D2272" t="n">
        <v>4</v>
      </c>
      <c r="E2272" t="n">
        <v>2</v>
      </c>
      <c r="F2272">
        <f>HYPERLINK("https://www.reddit.com/r/GERD/comments/cpu7jo/chest_pains/")</f>
        <v/>
      </c>
      <c r="G2272" t="inlineStr">
        <is>
          <t>2019-08-13 07:52:32</t>
        </is>
      </c>
      <c r="H2272" t="inlineStr"/>
    </row>
    <row r="2273">
      <c r="A2273" t="inlineStr">
        <is>
          <t>cpxpam</t>
        </is>
      </c>
      <c r="B2273" t="inlineStr">
        <is>
          <t>Vegetarian Gerd Recipes?</t>
        </is>
      </c>
      <c r="C2273" t="inlineStr">
        <is>
          <t>Does anyone have any good vegetarian or vegan recipes that are GERD friendly? My bf is veg, and i am vegan, and he has GERD. We are trying to find some more dinner recipes that won't give him awful heartburn. His favorite meal is chilli, but it kills him afterward :( Salads are not his thing, so we are looking for other options.</t>
        </is>
      </c>
      <c r="D2273" t="n">
        <v>4</v>
      </c>
      <c r="E2273" t="n">
        <v>2</v>
      </c>
      <c r="F2273">
        <f>HYPERLINK("https://www.reddit.com/r/GERD/comments/cpxpam/vegetarian_gerd_recipes/")</f>
        <v/>
      </c>
      <c r="G2273" t="inlineStr">
        <is>
          <t>2019-08-13 12:03:34</t>
        </is>
      </c>
      <c r="H2273" t="inlineStr"/>
    </row>
    <row r="2274">
      <c r="A2274" t="inlineStr">
        <is>
          <t>cpxzmo</t>
        </is>
      </c>
      <c r="B2274" t="inlineStr">
        <is>
          <t>Gerd-friendly diet for weight gain?</t>
        </is>
      </c>
      <c r="C2274" t="inlineStr">
        <is>
          <t>Hi guys, new to this sub. I'm dealing with some acid -reflux issues and am need of some foods that have a lot of calories and will do well in my stomach. I would prefer not to cook if I dont have to but let me know what you guys got. Name specific brands too if you have experience with them. Thanks guys :)</t>
        </is>
      </c>
      <c r="D2274" t="n">
        <v>3</v>
      </c>
      <c r="E2274" t="n">
        <v>11</v>
      </c>
      <c r="F2274">
        <f>HYPERLINK("https://www.reddit.com/r/GERD/comments/cpxzmo/gerdfriendly_diet_for_weight_gain/")</f>
        <v/>
      </c>
      <c r="G2274" t="inlineStr">
        <is>
          <t>2019-08-13 12:23:50</t>
        </is>
      </c>
      <c r="H2274" t="inlineStr"/>
    </row>
    <row r="2275">
      <c r="A2275" t="inlineStr">
        <is>
          <t>cpyigi</t>
        </is>
      </c>
      <c r="B2275" t="inlineStr">
        <is>
          <t>Eating 30 min after ppi question</t>
        </is>
      </c>
      <c r="C2275" t="inlineStr">
        <is>
          <t>So I’ve been pretty religious about eating 30 min after taking my ppi for the past two months with wonderful success. But I have now started walking in the morning and realized I now eat about an hour or so after taking it. Been like this for about a week now. Didn’t think much of it until the past two days my stomach has felt a little more off and angry and like there is just more acid swimming around. Do you really need to be super vigilant on taking it and eating within that 30 min window? I didn’t think it would be a big deal, but now realizing I may have to change my morning routine??</t>
        </is>
      </c>
      <c r="D2275" t="n">
        <v>1</v>
      </c>
      <c r="E2275" t="n">
        <v>2</v>
      </c>
      <c r="F2275">
        <f>HYPERLINK("https://www.reddit.com/r/GERD/comments/cpyigi/eating_30_min_after_ppi_question/")</f>
        <v/>
      </c>
      <c r="G2275" t="inlineStr">
        <is>
          <t>2019-08-13 13:00:31</t>
        </is>
      </c>
      <c r="H2275" t="inlineStr"/>
    </row>
    <row r="2276">
      <c r="A2276" t="inlineStr">
        <is>
          <t>cq2i1i</t>
        </is>
      </c>
      <c r="B2276" t="inlineStr">
        <is>
          <t>What's causing my stomach pain?</t>
        </is>
      </c>
      <c r="C2276" t="inlineStr">
        <is>
          <t>I'm a 21 male, diagnosed with GERD two months afk - been dealing with stomach issues/constant nasuea and constipation for at least 10 years. I recently changed my diet to help with not only my gym time, but my GERD/stomach issues. I've noticed recently (around the same time going to the doctor for diagnosis) my stomach hurts through the day. It's not like stomach crsmps, but a gnawing kind of stinging pain. 
I should mention the pains more in the abdomen, but kind of all over it randomly. I'm taking a medium dosage of Nexium, stopped eating dairy products/coffee and soda as I believe this wasn't helping my case. Ive had bloodwork, an uktrasound and a gastric emptying scan all come back with good news. I'm pretty afraid of a getting an Endoscopy as I have a big fear of choking/gagging from a near death drowning experience. Since the pains not that bad I kind of just deal with it, but not sure if this is a good idea letting it sit.</t>
        </is>
      </c>
      <c r="D2276" t="n">
        <v>2</v>
      </c>
      <c r="E2276" t="n">
        <v>9</v>
      </c>
      <c r="F2276">
        <f>HYPERLINK("https://www.reddit.com/r/GERD/comments/cq2i1i/whats_causing_my_stomach_pain/")</f>
        <v/>
      </c>
      <c r="G2276" t="inlineStr">
        <is>
          <t>2019-08-13 18:09:12</t>
        </is>
      </c>
      <c r="H2276" t="inlineStr"/>
    </row>
    <row r="2277">
      <c r="A2277" t="inlineStr">
        <is>
          <t>cq39g4</t>
        </is>
      </c>
      <c r="B2277" t="inlineStr">
        <is>
          <t>Tongue Thrusting and Aergophagia Causing my GERD/LPR?</t>
        </is>
      </c>
      <c r="C2277" t="inlineStr">
        <is>
          <t>I am a tongue thruster meaning that I swallow incorrectly by pushing my tongue forward instead of the roof of my mouth.  I even worked on therapy as a teenager but didn't fix it.  I came across some information the other day that said that tongue thrusting often causes the person to swallow a lot of air (aerophagia) and can lead to bloating, belching, and even acid reflux.  Could this be the cause of my GERD?!</t>
        </is>
      </c>
      <c r="D2277" t="n">
        <v>3</v>
      </c>
      <c r="E2277" t="n">
        <v>6</v>
      </c>
      <c r="F2277">
        <f>HYPERLINK("https://www.reddit.com/r/GERD/comments/cq39g4/tongue_thrusting_and_aergophagia_causing_my/")</f>
        <v/>
      </c>
      <c r="G2277" t="inlineStr">
        <is>
          <t>2019-08-13 19:15:11</t>
        </is>
      </c>
      <c r="H2277" t="inlineStr"/>
    </row>
    <row r="2278">
      <c r="A2278" t="inlineStr">
        <is>
          <t>cq3lqx</t>
        </is>
      </c>
      <c r="B2278" t="inlineStr">
        <is>
          <t>TIF Procedure</t>
        </is>
      </c>
      <c r="C2278" t="inlineStr">
        <is>
          <t>Im approved for the TIF procedure. Headed in first week of October to get it done. 
Anyone here had it done? Thoughts on how it’s been for you after it’s been done, the recovery, improvements to life, etc. 
I joined the FB group but a lot of the posts and comments remind me of r/oldpeoplefacebook and are not very helpful. 
Anyway I’m excited to get this done.</t>
        </is>
      </c>
      <c r="D2278" t="n">
        <v>1</v>
      </c>
      <c r="E2278" t="n">
        <v>28</v>
      </c>
      <c r="F2278">
        <f>HYPERLINK("https://www.reddit.com/r/GERD/comments/cq3lqx/tif_procedure/")</f>
        <v/>
      </c>
      <c r="G2278" t="inlineStr">
        <is>
          <t>2019-08-13 19:45:10</t>
        </is>
      </c>
      <c r="H2278" t="inlineStr"/>
    </row>
    <row r="2279">
      <c r="A2279" t="inlineStr">
        <is>
          <t>cq41fm</t>
        </is>
      </c>
      <c r="B2279" t="inlineStr">
        <is>
          <t>No Stupid Questions, right ? (Vitamin D &amp;amp; GERD</t>
        </is>
      </c>
      <c r="C2279" t="inlineStr">
        <is>
          <t>Hey guys. Simple question. I've read and done a decent amount of research, on the connection between Vitamin D Deficiency, and GERD/LPR/ ETC.   Has anyone attempted to get blood tested for Vitamin D specifically, or treated their gerd with Vitamin D ?</t>
        </is>
      </c>
      <c r="D2279" t="n">
        <v>6</v>
      </c>
      <c r="E2279" t="n">
        <v>22</v>
      </c>
      <c r="F2279">
        <f>HYPERLINK("https://www.reddit.com/r/GERD/comments/cq41fm/no_stupid_questions_right_vitamin_d_gerd/")</f>
        <v/>
      </c>
      <c r="G2279" t="inlineStr">
        <is>
          <t>2019-08-13 20:25:21</t>
        </is>
      </c>
      <c r="H2279" t="inlineStr"/>
    </row>
    <row r="2280">
      <c r="A2280" t="inlineStr">
        <is>
          <t>cq57qt</t>
        </is>
      </c>
      <c r="B2280" t="inlineStr">
        <is>
          <t>Do I have it?</t>
        </is>
      </c>
      <c r="C2280" t="inlineStr">
        <is>
          <t>So this last week I’ve been struggling with tons of burping and loads of gas. My throat has a globus sensation today and feels like I can’t breathe, but I can. I have phelm and I have had this cough that can be dry for weeks. 
I went to ER yesterday cause I had felt weak and also had vertigo. Everything checked out great with tests and things. Can gas/acid reflux cause those things? 
Tonight I just took my first Zantac. So I’ll see how that goes this week.</t>
        </is>
      </c>
      <c r="D2280" t="n">
        <v>2</v>
      </c>
      <c r="E2280" t="n">
        <v>8</v>
      </c>
      <c r="F2280">
        <f>HYPERLINK("https://www.reddit.com/r/GERD/comments/cq57qt/do_i_have_it/")</f>
        <v/>
      </c>
      <c r="G2280" t="inlineStr">
        <is>
          <t>2019-08-13 22:21:10</t>
        </is>
      </c>
      <c r="H2280" t="inlineStr"/>
    </row>
    <row r="2281">
      <c r="A2281" t="inlineStr">
        <is>
          <t>cq6sqy</t>
        </is>
      </c>
      <c r="B2281" t="inlineStr">
        <is>
          <t>Esophageal incompetence</t>
        </is>
      </c>
      <c r="C2281" t="inlineStr">
        <is>
          <t>Just had my first gastroscopy, which sucked by the way. I did it only with local anesthetic and I gagged and threw up. My throat is a little bloodied from it. Anyway the doctor found that there is an esophageal incompetence. I don’t speak the native language here so maybe the nuances were lost in translation. As I understand it, the part that separates my stomach from my esophagus is leaking, allowing stomach acid up into my upper gastro tract. He took some samples for testing so the final results are still up in the air. But it seems like this esophageal incompetence is a likely reason for my symptoms. Have any of you treated this particular problem successfully? How severe does it have to be before it requires surgery? Just looking for experiences, expectations for what’s to come lol.</t>
        </is>
      </c>
      <c r="D2281" t="n">
        <v>4</v>
      </c>
      <c r="E2281" t="n">
        <v>7</v>
      </c>
      <c r="F2281">
        <f>HYPERLINK("https://www.reddit.com/r/GERD/comments/cq6sqy/esophageal_incompetence/")</f>
        <v/>
      </c>
      <c r="G2281" t="inlineStr">
        <is>
          <t>2019-08-14 01:27:22</t>
        </is>
      </c>
      <c r="H2281" t="inlineStr"/>
    </row>
    <row r="2282">
      <c r="A2282" t="inlineStr">
        <is>
          <t>cqf7ig</t>
        </is>
      </c>
      <c r="B2282" t="inlineStr">
        <is>
          <t>Anyone here unable to take PPIs because of side effects?</t>
        </is>
      </c>
      <c r="C2282" t="inlineStr">
        <is>
          <t>Been on Omeprazole, Nexium and now Lansoprazole. 
For over a year I had dry lips, mouth and throat and just chalked it up to 'acid'. Recently switched to Ranitidine and all the dry lips etc disappeared. Fast forward 6 weeks doctor thinks I really should be on a PPI as I have a hernia, within hours of taking Lansoprazole my lips dried and stuck together.
&amp;amp;#x200B;
I want to protect my eosphagus from damage, but I literally can't cope with the side effects. Anyone in similar issue?</t>
        </is>
      </c>
      <c r="D2282" t="n">
        <v>4</v>
      </c>
      <c r="E2282" t="n">
        <v>13</v>
      </c>
      <c r="F2282">
        <f>HYPERLINK("https://www.reddit.com/r/GERD/comments/cqf7ig/anyone_here_unable_to_take_ppis_because_of_side/")</f>
        <v/>
      </c>
      <c r="G2282" t="inlineStr">
        <is>
          <t>2019-08-14 13:15:17</t>
        </is>
      </c>
      <c r="H2282" t="inlineStr"/>
    </row>
    <row r="2283">
      <c r="A2283" t="inlineStr">
        <is>
          <t>cqfad5</t>
        </is>
      </c>
      <c r="B2283" t="inlineStr">
        <is>
          <t>Constant Belching linked to LPR?</t>
        </is>
      </c>
      <c r="C2283" t="inlineStr">
        <is>
          <t>I haven’t eaten at all haven’t been able to eat and still I get constant belching and feel gas go over my skin and what not I can’t swallow I can’t eat my mouth is super dry. Is belching constantly a symptom of LPR? My voice box hurts afterwards</t>
        </is>
      </c>
      <c r="D2283" t="n">
        <v>3</v>
      </c>
      <c r="E2283" t="n">
        <v>6</v>
      </c>
      <c r="F2283">
        <f>HYPERLINK("https://www.reddit.com/r/GERD/comments/cqfad5/constant_belching_linked_to_lpr/")</f>
        <v/>
      </c>
      <c r="G2283" t="inlineStr">
        <is>
          <t>2019-08-14 13:21:04</t>
        </is>
      </c>
      <c r="H2283" t="inlineStr"/>
    </row>
    <row r="2284">
      <c r="A2284" t="inlineStr">
        <is>
          <t>cqhh0b</t>
        </is>
      </c>
      <c r="B2284" t="inlineStr">
        <is>
          <t>Why do I have GERD suddenly??</t>
        </is>
      </c>
      <c r="C2284" t="inlineStr">
        <is>
          <t>I  never had any issues with acid reflux before last month. Basically, I had a horrible anxiety episode for 3 weeks, so I had trouble eating and then sleeping as a result of my hunger waking me up in the middle of the night since I was almost starving myself for 2 weeks straight. I lost a few pounds, slept less, got more anxious, and grew a lower appetite in the meantime. Once I was able to eat again I began to develop horrible acid reflux after eating food. Plus, I couldn't sleep again because of the abdominal pains. After visiting the doctor, he diagnosed me with GERD and I was fine after about 2 weeks of taking the pepcid he perscribed. Now its at its worst &amp;amp; I think imma have to go back to the doctor soon... Anyways, I was wondering how me starving myself mixed with horrible anxiety &amp;amp; stress messed my digestive system up so bad.</t>
        </is>
      </c>
      <c r="D2284" t="n">
        <v>4</v>
      </c>
      <c r="E2284" t="n">
        <v>3</v>
      </c>
      <c r="F2284">
        <f>HYPERLINK("https://www.reddit.com/r/GERD/comments/cqhh0b/why_do_i_have_gerd_suddenly/")</f>
        <v/>
      </c>
      <c r="G2284" t="inlineStr">
        <is>
          <t>2019-08-14 16:05:18</t>
        </is>
      </c>
      <c r="H2284" t="inlineStr"/>
    </row>
    <row r="2285">
      <c r="A2285" t="inlineStr">
        <is>
          <t>cqhiuf</t>
        </is>
      </c>
      <c r="B2285" t="inlineStr">
        <is>
          <t>Hey everyone, what is your go to alcoholic beverage that you feel is better for your gerd symptoms Compared to most alcoholic drinks?</t>
        </is>
      </c>
      <c r="C2285" t="inlineStr">
        <is>
          <t>I don’t drink often last time was New Years. Mostly due To feeling horrible next day and I get a tight throat feeling during but I love getting a little drunk and I definitely want to for my brothers upcoming wedding ceremony. So I need your recommendations fellow gerd sufferers. :3 thanks!</t>
        </is>
      </c>
      <c r="D2285" t="n">
        <v>2</v>
      </c>
      <c r="E2285" t="n">
        <v>9</v>
      </c>
      <c r="F2285">
        <f>HYPERLINK("https://www.reddit.com/r/GERD/comments/cqhiuf/hey_everyone_what_is_your_go_to_alcoholic/")</f>
        <v/>
      </c>
      <c r="G2285" t="inlineStr">
        <is>
          <t>2019-08-14 16:09:30</t>
        </is>
      </c>
      <c r="H2285" t="inlineStr"/>
    </row>
    <row r="2286">
      <c r="A2286" t="inlineStr">
        <is>
          <t>cqi6l6</t>
        </is>
      </c>
      <c r="B2286" t="inlineStr">
        <is>
          <t>Omeprazole + Ranitidine: Timing of Doses?</t>
        </is>
      </c>
      <c r="C2286" t="inlineStr">
        <is>
          <t>Currently on 20mg omeprazole 2x daily and 150mg ranitidine as needed. I've read conflicting reports of the best ways to use PPIs and H2 blockers simultaneously. In the past I have always been spacing them out by a few hours, so my schedule might look like this:
* 6:30am 20mg omeprazole (30 min before breakfast)
* 11:30am 150,g rantidine (30 min before lunch)
* 5:45pm 20mg omeprazole (30 min before dinner
* 10:00pm 150,g rantidine (right before bed)
Does this seem effective? Or would I be okay doing some of the doses closer together? Or does it even matter? Thanks!</t>
        </is>
      </c>
      <c r="D2286" t="n">
        <v>2</v>
      </c>
      <c r="E2286" t="n">
        <v>1</v>
      </c>
      <c r="F2286">
        <f>HYPERLINK("https://www.reddit.com/r/GERD/comments/cqi6l6/omeprazole_ranitidine_timing_of_doses/")</f>
        <v/>
      </c>
      <c r="G2286" t="inlineStr">
        <is>
          <t>2019-08-14 17:04:57</t>
        </is>
      </c>
      <c r="H2286" t="inlineStr"/>
    </row>
    <row r="2287">
      <c r="A2287" t="inlineStr">
        <is>
          <t>cqixqn</t>
        </is>
      </c>
      <c r="B2287" t="inlineStr">
        <is>
          <t>Hello</t>
        </is>
      </c>
      <c r="C2287" t="inlineStr">
        <is>
          <t>I'm new and I suffer with reflux, now I'm having it to the point where I'm always yawning and i feel horrible :( any tips?</t>
        </is>
      </c>
      <c r="D2287" t="n">
        <v>2</v>
      </c>
      <c r="E2287" t="n">
        <v>1</v>
      </c>
      <c r="F2287">
        <f>HYPERLINK("https://www.reddit.com/r/GERD/comments/cqixqn/hello/")</f>
        <v/>
      </c>
      <c r="G2287" t="inlineStr">
        <is>
          <t>2019-08-14 18:08:06</t>
        </is>
      </c>
      <c r="H2287" t="inlineStr"/>
    </row>
    <row r="2288">
      <c r="A2288" t="inlineStr">
        <is>
          <t>cqjj50</t>
        </is>
      </c>
      <c r="B2288" t="inlineStr">
        <is>
          <t>pantoprazole and depression?</t>
        </is>
      </c>
      <c r="C2288" t="inlineStr">
        <is>
          <t>Has anyone experienced depression after taking this medication? About two months back I started on pantoprazole and going into my third month and I’m suffering from depression, which I’ve never had before. Curious if it’s possibly the medication or im actually just depressed.
Anyone have any input on this one?</t>
        </is>
      </c>
      <c r="D2288" t="n">
        <v>2</v>
      </c>
      <c r="E2288" t="n">
        <v>4</v>
      </c>
      <c r="F2288">
        <f>HYPERLINK("https://www.reddit.com/r/GERD/comments/cqjj50/pantoprazole_and_depression/")</f>
        <v/>
      </c>
      <c r="G2288" t="inlineStr">
        <is>
          <t>2019-08-14 18:59:25</t>
        </is>
      </c>
      <c r="H2288" t="inlineStr"/>
    </row>
    <row r="2289">
      <c r="A2289" t="inlineStr">
        <is>
          <t>cqlyr0</t>
        </is>
      </c>
      <c r="B2289" t="inlineStr">
        <is>
          <t>is 80mg of nexuim a day a lot?</t>
        </is>
      </c>
      <c r="C2289" t="inlineStr">
        <is>
          <t>i weight about 108 and take 40mg in the morning and 40mg at night. Is this alot to feel like it's alot to give to someone my size this is the dose my Gastro gave me.</t>
        </is>
      </c>
      <c r="D2289" t="n">
        <v>1</v>
      </c>
      <c r="E2289" t="n">
        <v>5</v>
      </c>
      <c r="F2289">
        <f>HYPERLINK("https://www.reddit.com/r/GERD/comments/cqlyr0/is_80mg_of_nexuim_a_day_a_lot/")</f>
        <v/>
      </c>
      <c r="G2289" t="inlineStr">
        <is>
          <t>2019-08-14 23:02:47</t>
        </is>
      </c>
      <c r="H2289" t="inlineStr"/>
    </row>
    <row r="2290">
      <c r="A2290" t="inlineStr">
        <is>
          <t>cqm0hg</t>
        </is>
      </c>
      <c r="B2290" t="inlineStr">
        <is>
          <t>Some days suck</t>
        </is>
      </c>
      <c r="C2290" t="inlineStr">
        <is>
          <t>Sometimes I feel nothing in my throat, but today it felt like something was stuck in there even though I know there isn’t. It sucks. And I’ve been coughing up a lot of mucus lately. Is that normal?</t>
        </is>
      </c>
      <c r="D2290" t="n">
        <v>2</v>
      </c>
      <c r="E2290" t="n">
        <v>6</v>
      </c>
      <c r="F2290">
        <f>HYPERLINK("https://www.reddit.com/r/GERD/comments/cqm0hg/some_days_suck/")</f>
        <v/>
      </c>
      <c r="G2290" t="inlineStr">
        <is>
          <t>2019-08-14 23:08:27</t>
        </is>
      </c>
      <c r="H2290" t="inlineStr"/>
    </row>
    <row r="2291">
      <c r="A2291" t="inlineStr">
        <is>
          <t>cqmagl</t>
        </is>
      </c>
      <c r="B2291" t="inlineStr">
        <is>
          <t>R.I.P to my stomach</t>
        </is>
      </c>
      <c r="C2291" t="inlineStr">
        <is>
          <t>Drank some alcohol, chocolate, cow milk, greasy+spicy food. Ugh my chest was burning like crazy. I hate this disease, I can’t enjoy food like a normal person</t>
        </is>
      </c>
      <c r="D2291" t="n">
        <v>29</v>
      </c>
      <c r="E2291" t="n">
        <v>16</v>
      </c>
      <c r="F2291">
        <f>HYPERLINK("https://www.reddit.com/r/GERD/comments/cqmagl/rip_to_my_stomach/")</f>
        <v/>
      </c>
      <c r="G2291" t="inlineStr">
        <is>
          <t>2019-08-14 23:42:38</t>
        </is>
      </c>
      <c r="H2291" t="inlineStr"/>
    </row>
    <row r="2292">
      <c r="A2292" t="inlineStr">
        <is>
          <t>cqmcc3</t>
        </is>
      </c>
      <c r="B2292" t="inlineStr">
        <is>
          <t>I need help !!</t>
        </is>
      </c>
      <c r="C2292" t="inlineStr">
        <is>
          <t>Long story short: Last week i got my first big chest pain and as a female i was feeling pain on my left breast and the next day i went straight to Urgent Care, and they just told me i had Esophagitis (also known as GERD). I had asked them to do an EKG on me because i was scared it was my heart. Everything turned out good with my heart, it was just that i was having really bad cheat pains. ( Also this is my first time going through this ) I went to my local grocery store and bought over the counter Antacids &amp;amp; Acid Reducer.
But little did i know that i was supposed to get PREVACID so it’s been a week and I haven’t felt really bad pain for about 3- 4 days just breast pain. I wasn’t able to sleep, eat, i was just in pain and the only food i would eat is Organic Chicken Broth :Low Sodium &amp;amp; Water. I lost about 5-6 pounds. Anyways becides the chest pains, i would be nauseous mostly all the time and as of right now i feel like something is stucked in my throat with somewhat pain, also feeling nauseous and having the sensation to throw up but nothing comes out but Acid Reflux. Can someone please help me? Has someone taken Prevacid? Do you get side effects? Does the pain stop? Please help me out you guys. I’m barely 20 yrs old. Thank you for your time.</t>
        </is>
      </c>
      <c r="D2292" t="n">
        <v>2</v>
      </c>
      <c r="E2292" t="n">
        <v>8</v>
      </c>
      <c r="F2292">
        <f>HYPERLINK("https://www.reddit.com/r/GERD/comments/cqmcc3/i_need_help/")</f>
        <v/>
      </c>
      <c r="G2292" t="inlineStr">
        <is>
          <t>2019-08-14 23:49:19</t>
        </is>
      </c>
      <c r="H2292" t="inlineStr"/>
    </row>
    <row r="2293">
      <c r="A2293" t="inlineStr">
        <is>
          <t>cqnlcj</t>
        </is>
      </c>
      <c r="B2293" t="inlineStr">
        <is>
          <t>Has anyone felt better after eating ice cream?</t>
        </is>
      </c>
      <c r="C2293" t="inlineStr">
        <is>
          <t>I ate icecream last night and woke up today feeling better</t>
        </is>
      </c>
      <c r="D2293" t="n">
        <v>2</v>
      </c>
      <c r="E2293" t="n">
        <v>8</v>
      </c>
      <c r="F2293">
        <f>HYPERLINK("https://www.reddit.com/r/GERD/comments/cqnlcj/has_anyone_felt_better_after_eating_ice_cream/")</f>
        <v/>
      </c>
      <c r="G2293" t="inlineStr">
        <is>
          <t>2019-08-15 02:35:51</t>
        </is>
      </c>
      <c r="H2293" t="inlineStr"/>
    </row>
    <row r="2294">
      <c r="A2294" t="inlineStr">
        <is>
          <t>cqp4w3</t>
        </is>
      </c>
      <c r="B2294" t="inlineStr">
        <is>
          <t>Switching from Omeprazole to ranitidine</t>
        </is>
      </c>
      <c r="C2294" t="inlineStr">
        <is>
          <t>Was on Prilosec for about 4 weeks feeling good and now my doctor is telling me to switch to Zantac. I was waiting for him to explain why and he never really did, is ranitidine just safer for the stomach? 
Also, how can I smoothly transition off of Prilosec? My doc said that eventually he wants to see me try doing Zantac only every other day but so far I’m just focused on getting off the ppi with no bad rebound. 
Do I just cold turkey?</t>
        </is>
      </c>
      <c r="D2294" t="n">
        <v>2</v>
      </c>
      <c r="E2294" t="n">
        <v>6</v>
      </c>
      <c r="F2294">
        <f>HYPERLINK("https://www.reddit.com/r/GERD/comments/cqp4w3/switching_from_omeprazole_to_ranitidine/")</f>
        <v/>
      </c>
      <c r="G2294" t="inlineStr">
        <is>
          <t>2019-08-15 05:27:17</t>
        </is>
      </c>
      <c r="H2294" t="inlineStr"/>
    </row>
    <row r="2295">
      <c r="A2295" t="inlineStr">
        <is>
          <t>cqpf37</t>
        </is>
      </c>
      <c r="B2295" t="inlineStr">
        <is>
          <t>Extreme reflux after endoscopy?</t>
        </is>
      </c>
      <c r="C2295" t="inlineStr">
        <is>
          <t>Has anyone had a super intense round of reflux the day after endoscopy? This is my third scope, and this never happened with the other two. I’m 6 tums, 32oz of water, and breakfast in and it’s still going strong. Might call and see if I can come in and get a GI cocktail. Just didn’t know if this was a side effect... ?</t>
        </is>
      </c>
      <c r="D2295" t="n">
        <v>2</v>
      </c>
      <c r="E2295" t="n">
        <v>3</v>
      </c>
      <c r="F2295">
        <f>HYPERLINK("https://www.reddit.com/r/GERD/comments/cqpf37/extreme_reflux_after_endoscopy/")</f>
        <v/>
      </c>
      <c r="G2295" t="inlineStr">
        <is>
          <t>2019-08-15 05:53:11</t>
        </is>
      </c>
      <c r="H2295" t="inlineStr"/>
    </row>
    <row r="2296">
      <c r="A2296" t="inlineStr">
        <is>
          <t>cqqwpr</t>
        </is>
      </c>
      <c r="B2296" t="inlineStr">
        <is>
          <t>Sour stomach at time.</t>
        </is>
      </c>
      <c r="C2296" t="inlineStr">
        <is>
          <t>Hi guys,
Just found this sub today so hello!
I had my gallbladder removed in April of this year. Got a severe case of acid reflux in July all of a sudden and was diagnosed with H. Pylori and came off the meds about two weeks ago. I do follow up test next week to see if it has been eliminated.
Since I was on Protonix for a short period of time, my doctor really didn't care if I went off it cold turkey. Just told me to keep them and if I felt like I needed to take one, do so, and I have done so albeit I cut some of them in half (20mg instead of 40mg) and have only taken them twice. Also flipped my diet to be pretty keto friendly and getting back into exercising.
However, I'm getting a pretty sour stomach at times. No pain, no soreness, no hoarseness, no burning sensation, nothing of any common symptoms now of acid reflux or bile reflux. Just straight sourness which goes away when I eat/drink something but as soon as my stomach clears, it goes right back into a sour feeling.
Have any of you experience this before?</t>
        </is>
      </c>
      <c r="D2296" t="n">
        <v>1</v>
      </c>
      <c r="E2296" t="n">
        <v>1</v>
      </c>
      <c r="F2296">
        <f>HYPERLINK("https://www.reddit.com/r/GERD/comments/cqqwpr/sour_stomach_at_time/")</f>
        <v/>
      </c>
      <c r="G2296" t="inlineStr">
        <is>
          <t>2019-08-15 07:55:00</t>
        </is>
      </c>
      <c r="H2296" t="inlineStr"/>
    </row>
    <row r="2297">
      <c r="A2297" t="inlineStr">
        <is>
          <t>cqtoc4</t>
        </is>
      </c>
      <c r="B2297" t="inlineStr">
        <is>
          <t>Anyone else had pain directly below the center of their rib cage?</t>
        </is>
      </c>
      <c r="C2297" t="inlineStr">
        <is>
          <t>So today I’ve been having some pain directly below my rib cage, right in the center. The pain goes away when I position myself differently so I’m just assuming it’s gas. I’ve been taking 20mg Prilosec since May</t>
        </is>
      </c>
      <c r="D2297" t="n">
        <v>6</v>
      </c>
      <c r="E2297" t="n">
        <v>15</v>
      </c>
      <c r="F2297">
        <f>HYPERLINK("https://www.reddit.com/r/GERD/comments/cqtoc4/anyone_else_had_pain_directly_below_the_center_of/")</f>
        <v/>
      </c>
      <c r="G2297" t="inlineStr">
        <is>
          <t>2019-08-15 11:17:31</t>
        </is>
      </c>
      <c r="H2297" t="inlineStr"/>
    </row>
    <row r="2298">
      <c r="A2298" t="inlineStr">
        <is>
          <t>cqtz1j</t>
        </is>
      </c>
      <c r="B2298" t="inlineStr">
        <is>
          <t>Endoscopy Today: Barret's Esophagus Likely (Damn it)</t>
        </is>
      </c>
      <c r="C2298" t="inlineStr">
        <is>
          <t>I just had an endoscopy, and the surgeon told me it looks like Barret's Esophagus, but they're waiting on the biopsy results to confirm. So anyway I have a couple questions:        
 1) How often do you have to get endoscopy's done once diagnosed? Does it depend on other factors?       
2) If this bastard ever turns cancerous (I know the risk is pretty low, but I used to drink a lot so I'd consider myself at a higher risk than most with BE), and I'm getting frequent endoscopy's, is it likely they'd catch it soon enough to keep me kicking, or is it still considered a highly deadly cancer? Everything on the internet seems to point to the fact that most people who get esophagus cancer have a bad diagnosis because it's often caught late, and has already spread.     
Thanks!</t>
        </is>
      </c>
      <c r="D2298" t="n">
        <v>9</v>
      </c>
      <c r="E2298" t="n">
        <v>18</v>
      </c>
      <c r="F2298">
        <f>HYPERLINK("https://www.reddit.com/r/GERD/comments/cqtz1j/endoscopy_today_barrets_esophagus_likely_damn_it/")</f>
        <v/>
      </c>
      <c r="G2298" t="inlineStr">
        <is>
          <t>2019-08-15 11:38:39</t>
        </is>
      </c>
      <c r="H2298" t="inlineStr"/>
    </row>
    <row r="2299">
      <c r="A2299" t="inlineStr">
        <is>
          <t>cqunko</t>
        </is>
      </c>
      <c r="B2299" t="inlineStr">
        <is>
          <t>I have been told I have GERD and its really hard for me to believe it</t>
        </is>
      </c>
      <c r="C2299" t="inlineStr">
        <is>
          <t>(fair warning i have pretty bad health anxiety after a bad medical interaction back in April.)
&amp;amp;#x200B;
buttttttt anyways i have finally been diagnosed with GERD due to constant tightness and left heart pain that comes intermittently. Sometimes its dull and sometimes it almost feel like a shock? I just want to talk to people who have GERD and could clarify their symptoms for me. Its always on my left side. But i have no other symptom of GERD minus occasional tight throat sensation which I haven't had in a week. Is this normal for sufferers?
&amp;amp;#x200B;
PS; I have been cleared of everything from my lungs to my heart with multiple x-rays and cat scans so thats where they finally were able to diagnose GERD,</t>
        </is>
      </c>
      <c r="D2299" t="n">
        <v>2</v>
      </c>
      <c r="E2299" t="n">
        <v>6</v>
      </c>
      <c r="F2299">
        <f>HYPERLINK("https://www.reddit.com/r/GERD/comments/cqunko/i_have_been_told_i_have_gerd_and_its_really_hard/")</f>
        <v/>
      </c>
      <c r="G2299" t="inlineStr">
        <is>
          <t>2019-08-15 12:26:32</t>
        </is>
      </c>
      <c r="H2299" t="inlineStr"/>
    </row>
    <row r="2300">
      <c r="A2300" t="inlineStr">
        <is>
          <t>cqvyzb</t>
        </is>
      </c>
      <c r="B2300" t="inlineStr">
        <is>
          <t>Failed Esophageal Manometry - no longer candidate for surgery</t>
        </is>
      </c>
      <c r="C2300" t="inlineStr">
        <is>
          <t>To make a long story short I have severe reflux, Hiatal Hernia, gastritis, constipation etc. I was looking to get a surgery to stop the reflux however due to my bad esophageal Manometry I was turned down. 
Has anyone ever improved their scores for the test after some sort of treatment or had any luck with anything else ?</t>
        </is>
      </c>
      <c r="D2300" t="n">
        <v>2</v>
      </c>
      <c r="E2300" t="n">
        <v>19</v>
      </c>
      <c r="F2300">
        <f>HYPERLINK("https://www.reddit.com/r/GERD/comments/cqvyzb/failed_esophageal_manometry_no_longer_candidate/")</f>
        <v/>
      </c>
      <c r="G2300" t="inlineStr">
        <is>
          <t>2019-08-15 14:02:41</t>
        </is>
      </c>
      <c r="H2300" t="inlineStr"/>
    </row>
    <row r="2301">
      <c r="A2301" t="inlineStr">
        <is>
          <t>cqwclv</t>
        </is>
      </c>
      <c r="B2301" t="inlineStr">
        <is>
          <t>What is suggested for Esophagitis ? Non erosive</t>
        </is>
      </c>
      <c r="C2301" t="inlineStr">
        <is>
          <t>After getting my biopsies &amp;amp; endoscopy in general, the papers say 'lower third and middle third, Mild esophagitis'. The reason why I even got an endoscopy is because I was having difficulty swallowing for a super long time, and I even tried using Nexium etc etc, all types of acid reducers, to no avail as far as the difficulty swallowing. It gets better or worse on some days, but there's no real explaination other than the esophagitis. My doctor told me to take PPI's and higher the dosage, but no prescription and no official amount he specified, and he didn't seem concerned whatsoever. I pretty much got my self completely off Nexium for a month now (after the endo), symptoms have drastically improved I'm able to eat much better but not completely symptom free. And I still get LPR symptoms, such as sore throat etc. Should I see another gastro ? or go to a nutritionist or something ?  I have a slight feeling this might be allergy related, some other symptoms I have is a very itchy face, eyes get swollen at times, around my eyes are usually red/itchy/flaky, and same goes for my scalp. I also have a strong lactose intolerance but I take Lactaid and that subsides symptoms. 24 M by the way</t>
        </is>
      </c>
      <c r="D2301" t="n">
        <v>7</v>
      </c>
      <c r="E2301" t="n">
        <v>6</v>
      </c>
      <c r="F2301">
        <f>HYPERLINK("https://www.reddit.com/r/GERD/comments/cqwclv/what_is_suggested_for_esophagitis_non_erosive/")</f>
        <v/>
      </c>
      <c r="G2301" t="inlineStr">
        <is>
          <t>2019-08-15 14:30:26</t>
        </is>
      </c>
      <c r="H2301" t="inlineStr"/>
    </row>
    <row r="2302">
      <c r="A2302" t="inlineStr">
        <is>
          <t>cqyw95</t>
        </is>
      </c>
      <c r="B2302" t="inlineStr">
        <is>
          <t>Why isn’t there a treatment for this already</t>
        </is>
      </c>
      <c r="C2302" t="inlineStr">
        <is>
          <t>I’ve had this since last summer and I always feel like shit. It really demotivates me to do stuff I should be doing... I’ve been on three types of medications and none of them really work. My doctor probably has never had this hell and all he says is “It’s just heartburn” and everyone that has this everyday knows that is bullshit. I don’t know how he thinks this prilosec or whatever is gonna cure this. You know that there could be way further research so that people don’t have this problem. It is almost impossible to eat healthy in America because all of the food sucks and the doctors just want your money they don’t care about you. I wanna eat what I want I’m sick and tired of being on such a strict diet that even cuts out some healthy foods just so the burning doesn’t get worse. I always have this every second and I forgot what it was like to be without it. What did I do to deserve this curse huh? I just want to enjoy my life :(</t>
        </is>
      </c>
      <c r="D2302" t="n">
        <v>1</v>
      </c>
      <c r="E2302" t="n">
        <v>0</v>
      </c>
      <c r="F2302">
        <f>HYPERLINK("https://www.reddit.com/r/GERD/comments/cqyw95/why_isnt_there_a_treatment_for_this_already/")</f>
        <v/>
      </c>
      <c r="G2302" t="inlineStr">
        <is>
          <t>2019-08-15 17:49:44</t>
        </is>
      </c>
      <c r="H2302" t="inlineStr"/>
    </row>
    <row r="2303">
      <c r="A2303" t="inlineStr">
        <is>
          <t>cqzpti</t>
        </is>
      </c>
      <c r="B2303" t="inlineStr">
        <is>
          <t>How long does it take for voice to recover after consuming something acidic?</t>
        </is>
      </c>
      <c r="C2303" t="inlineStr">
        <is>
          <t>I got diagnosed with laryngopharyngeal reflux. The doctor told me that I can try different things to see what works and doesn't work for my acid reflux. I stupidly drank two servings of Diet Coke yesterday when I went out to lunch and my voice still feels sore. How long does it normally take for your voice to recover after eating or drinking something acidic that you shouldn't be having?</t>
        </is>
      </c>
      <c r="D2303" t="n">
        <v>1</v>
      </c>
      <c r="E2303" t="n">
        <v>1</v>
      </c>
      <c r="F2303">
        <f>HYPERLINK("https://www.reddit.com/r/GERD/comments/cqzpti/how_long_does_it_take_for_voice_to_recover_after/")</f>
        <v/>
      </c>
      <c r="G2303" t="inlineStr">
        <is>
          <t>2019-08-15 19:00:57</t>
        </is>
      </c>
      <c r="H2303" t="inlineStr"/>
    </row>
    <row r="2304">
      <c r="A2304" t="inlineStr">
        <is>
          <t>cr0foh</t>
        </is>
      </c>
      <c r="B2304" t="inlineStr">
        <is>
          <t>Got endoscopy with Bravo ph yesterday.. having horrible pains in my upper stomach/lower chest when I breathe</t>
        </is>
      </c>
      <c r="C2304" t="inlineStr">
        <is>
          <t>Feels like cramping/stabbing pain? It hurts so bad I can feel it in my back.. not sure if it’s just irritation from the tube / foreign object that’s now residing in my esophagus but it’s freaking me out pretty bad. I’ve had an endoscopy before and it didn’t hurt this bad. Is this normal or should I be concerned?</t>
        </is>
      </c>
      <c r="D2304" t="n">
        <v>2</v>
      </c>
      <c r="E2304" t="n">
        <v>14</v>
      </c>
      <c r="F2304">
        <f>HYPERLINK("https://www.reddit.com/r/GERD/comments/cr0foh/got_endoscopy_with_bravo_ph_yesterday_having/")</f>
        <v/>
      </c>
      <c r="G2304" t="inlineStr">
        <is>
          <t>2019-08-15 20:06:00</t>
        </is>
      </c>
      <c r="H2304" t="inlineStr"/>
    </row>
    <row r="2305">
      <c r="A2305" t="inlineStr">
        <is>
          <t>cr19eo</t>
        </is>
      </c>
      <c r="B2305" t="inlineStr">
        <is>
          <t>Both doctors want me to take a PPI...</t>
        </is>
      </c>
      <c r="C2305" t="inlineStr">
        <is>
          <t>I've seen both GP and ENT doctors for my LPR symptoms. Both want me to go on 'aggressive' doses of a PPI (pantoprazole 40mg twice daily). Everything I've read about PPIs has honestly scared me off them, so I haven't actually started taking the pills yet. I guess I keep hoping that my lifestyle changes will help before I have to take meds but so far it has been 2 months of daily LPR symptoms with no changes. Luckily the ENT was able to verify that there doesn't appear to be any damage/inflammation in the throat. 
Anyone here have positive things to say about PPIs?</t>
        </is>
      </c>
      <c r="D2305" t="n">
        <v>0</v>
      </c>
      <c r="E2305" t="n">
        <v>13</v>
      </c>
      <c r="F2305">
        <f>HYPERLINK("https://www.reddit.com/r/GERD/comments/cr19eo/both_doctors_want_me_to_take_a_ppi/")</f>
        <v/>
      </c>
      <c r="G2305" t="inlineStr">
        <is>
          <t>2019-08-15 21:23:17</t>
        </is>
      </c>
      <c r="H2305" t="inlineStr"/>
    </row>
    <row r="2306">
      <c r="A2306" t="inlineStr">
        <is>
          <t>cr1j3j</t>
        </is>
      </c>
      <c r="B2306" t="inlineStr">
        <is>
          <t>Can reflux cause nasal/sinus congestion?</t>
        </is>
      </c>
      <c r="C2306" t="inlineStr">
        <is>
          <t>I have gallstones and have had acid reflux almost daily for the past 3-4 months. A few days ago I woke up with a sore throat that I’m assuming was from the reflux (it has happened before in the past and felt just like this); It hurt for most of the day. Yesterday it was just a bit scratchy. Today it’s still a bit scratchy, but I feel weird.. my sinuses feel kind of congested and I what feels like a lump in my throat. When I swallow it goes away, but comes back a few seconds later.
Has anyone else experienced this? Is there anything I can do to make it go away?</t>
        </is>
      </c>
      <c r="D2306" t="n">
        <v>1</v>
      </c>
      <c r="E2306" t="n">
        <v>7</v>
      </c>
      <c r="F2306">
        <f>HYPERLINK("https://www.reddit.com/r/GERD/comments/cr1j3j/can_reflux_cause_nasalsinus_congestion/")</f>
        <v/>
      </c>
      <c r="G2306" t="inlineStr">
        <is>
          <t>2019-08-15 21:49:13</t>
        </is>
      </c>
      <c r="H2306" t="inlineStr"/>
    </row>
    <row r="2307">
      <c r="A2307" t="inlineStr">
        <is>
          <t>cr7hag</t>
        </is>
      </c>
      <c r="B2307" t="inlineStr">
        <is>
          <t>Ranitidine causing chest pain?</t>
        </is>
      </c>
      <c r="C2307" t="inlineStr">
        <is>
          <t>I recently switched from omeprazole to ranitidine because of doctors orders. It's been 2 days on Zantac and my heart just doesn't feel right which in return is making me get extreme anxiety. Is it maybe because I have to wait longer for the Zantac to work or should I just go back to the ppi? I tried calling my doctor but he hasn't returned my call.</t>
        </is>
      </c>
      <c r="D2307" t="n">
        <v>3</v>
      </c>
      <c r="E2307" t="n">
        <v>11</v>
      </c>
      <c r="F2307">
        <f>HYPERLINK("https://www.reddit.com/r/GERD/comments/cr7hag/ranitidine_causing_chest_pain/")</f>
        <v/>
      </c>
      <c r="G2307" t="inlineStr">
        <is>
          <t>2019-08-16 07:55:31</t>
        </is>
      </c>
      <c r="H2307" t="inlineStr"/>
    </row>
    <row r="2308">
      <c r="A2308" t="inlineStr">
        <is>
          <t>cr7qna</t>
        </is>
      </c>
      <c r="B2308" t="inlineStr">
        <is>
          <t>Why the fuck does everything have garlic in it?!!</t>
        </is>
      </c>
      <c r="C2308" t="inlineStr">
        <is>
          <t>I get it, garlic is delicious. But nothing messes with my acid reflux more than garlic for some reason. I check the ingredients on the back of everything I buy, and without a doubt like 99% of the time, there’s garlic. Go to a restaurant, everything’s seasoned in garlic :( 
I went to a restaurant a few weeks ago which I try not to because I hate bothering the wait staff but we were on a trip and I didn’t really have a choice. 
I asked the waitress if the grilled chicken was marinated in garlic. She said yes. She started asking if I’m allergic, and I said no it’s a medical thing. She’s like well what is it? And I said acid reflux. She looked at me like I was insane lmao,</t>
        </is>
      </c>
      <c r="D2308" t="n">
        <v>36</v>
      </c>
      <c r="E2308" t="n">
        <v>24</v>
      </c>
      <c r="F2308">
        <f>HYPERLINK("https://www.reddit.com/r/GERD/comments/cr7qna/why_the_fuck_does_everything_have_garlic_in_it/")</f>
        <v/>
      </c>
      <c r="G2308" t="inlineStr">
        <is>
          <t>2019-08-16 08:15:17</t>
        </is>
      </c>
      <c r="H2308" t="inlineStr"/>
    </row>
    <row r="2309">
      <c r="A2309" t="inlineStr">
        <is>
          <t>cra39c</t>
        </is>
      </c>
      <c r="B2309" t="inlineStr">
        <is>
          <t>PPIs did not work, mystery symptoms</t>
        </is>
      </c>
      <c r="C2309" t="inlineStr">
        <is>
          <t>I’ve had GERD symptoms for about 20 years. Mainly it has been burning at the very top of throat / back of mouth and a sour taste.  I’ve never have chest pain, problems swallowing or regurgitation. I’ve tried taking PPIs, and acid reducers like Tums, but they have had zero impact. I’ve also tried wedge pillow, analgesics, apple cider vinegar, orange peel, etc. Symptoms are worse in the morning and at night, diet hasn’t been a factor. I recently had an endoscopy with pH monitoring—it came back normal, no acid coming up and throat looked normal too, and yet I was experiencing symptoms the entire time just like I do every day.
I just went off PPIs and didn’t have any change in symptoms... no acid rebound.
My doctor suggested I see an ear nose and throat specialist and look into possible allergies, hyper sensitive esophagus was also mentioned as a possibility.
Anyone have any ideas or thoughts on what this could be or other natural remedies I might try? I’m going to see ENT and then may go to a naturopath if that doesn’t work. I need to get this solved—pain and discomfort every day—frustrated I can’t find an answer.</t>
        </is>
      </c>
      <c r="D2309" t="n">
        <v>2</v>
      </c>
      <c r="E2309" t="n">
        <v>9</v>
      </c>
      <c r="F2309">
        <f>HYPERLINK("https://www.reddit.com/r/GERD/comments/cra39c/ppis_did_not_work_mystery_symptoms/")</f>
        <v/>
      </c>
      <c r="G2309" t="inlineStr">
        <is>
          <t>2019-08-16 11:03:28</t>
        </is>
      </c>
      <c r="H2309" t="inlineStr"/>
    </row>
    <row r="2310">
      <c r="A2310" t="inlineStr">
        <is>
          <t>crbm3t</t>
        </is>
      </c>
      <c r="B2310" t="inlineStr">
        <is>
          <t>Constant back pain, but no chest pain</t>
        </is>
      </c>
      <c r="C2310" t="inlineStr">
        <is>
          <t>I picked around this sub and saw that several people seem to have back pain as a side effect of GERD. But does anyone here get just back pain and not chest pain?
I get heartburn, but absolutely no chest pain at all. But my back has been aching constantly. It kind of feels like a mix of several sensations: like there's something stuck in my back (right between my shoulder blades), like my back just needs a good crack (which I can never do), and you know that feeling you get when you drink something and swallow too much at once and you get a cramp in your back for a few seconds? That too.
I don't think it's a posture issue because I also feel the pain in my throat, if that makes sense? Like my throat itself doesn't hurt, but I get this secondary pain in my throat that radiates from my back. Plus I've been to a chiropractor and had my back cracked a few times and it didn't help.
Is this a normal way to feel with acid reflux?</t>
        </is>
      </c>
      <c r="D2310" t="n">
        <v>2</v>
      </c>
      <c r="E2310" t="n">
        <v>6</v>
      </c>
      <c r="F2310">
        <f>HYPERLINK("https://www.reddit.com/r/GERD/comments/crbm3t/constant_back_pain_but_no_chest_pain/")</f>
        <v/>
      </c>
      <c r="G2310" t="inlineStr">
        <is>
          <t>2019-08-16 12:58:45</t>
        </is>
      </c>
      <c r="H2310" t="inlineStr"/>
    </row>
    <row r="2311">
      <c r="A2311" t="inlineStr">
        <is>
          <t>crc3wc</t>
        </is>
      </c>
      <c r="B2311" t="inlineStr">
        <is>
          <t>Do you get stomach pains?</t>
        </is>
      </c>
      <c r="C2311" t="inlineStr">
        <is>
          <t>I’m trying to figure out what’s making my stomach upset so often. I’ve changed my diet drastically and nothing seems to help. Doctors found a small hernia. I have acid reflux problems... but sometimes I have terrible stomach pains that feel like a stomach bug. Usually 2-4 hours after I eat something OR after a BM.</t>
        </is>
      </c>
      <c r="D2311" t="n">
        <v>7</v>
      </c>
      <c r="E2311" t="n">
        <v>4</v>
      </c>
      <c r="F2311">
        <f>HYPERLINK("https://www.reddit.com/r/GERD/comments/crc3wc/do_you_get_stomach_pains/")</f>
        <v/>
      </c>
      <c r="G2311" t="inlineStr">
        <is>
          <t>2019-08-16 13:36:38</t>
        </is>
      </c>
      <c r="H2311" t="inlineStr"/>
    </row>
    <row r="2312">
      <c r="A2312" t="inlineStr">
        <is>
          <t>crcuml</t>
        </is>
      </c>
      <c r="B2312" t="inlineStr">
        <is>
          <t>Any of you had your gallbladder out?</t>
        </is>
      </c>
      <c r="C2312" t="inlineStr">
        <is>
          <t>I’m having mine out in a week. I’ve had gerd for years but now I have right side pain and nausea. Fatty food not give me pain, nausea, and acid reflux. Yay!</t>
        </is>
      </c>
      <c r="D2312" t="n">
        <v>4</v>
      </c>
      <c r="E2312" t="n">
        <v>15</v>
      </c>
      <c r="F2312">
        <f>HYPERLINK("https://www.reddit.com/r/GERD/comments/crcuml/any_of_you_had_your_gallbladder_out/")</f>
        <v/>
      </c>
      <c r="G2312" t="inlineStr">
        <is>
          <t>2019-08-16 14:34:02</t>
        </is>
      </c>
      <c r="H2312" t="inlineStr"/>
    </row>
    <row r="2313">
      <c r="A2313" t="inlineStr">
        <is>
          <t>crd642</t>
        </is>
      </c>
      <c r="B2313" t="inlineStr">
        <is>
          <t>Is there any kind of alcohol that won't increase symptoms?</t>
        </is>
      </c>
      <c r="C2313" t="inlineStr">
        <is>
          <t>About a year ago, I ended up getting pretty bad acid reflux suddenly from everything I ate. It wasn't until I totally changed my diet that I was able to keep my symptoms manageable. Had to do away with anything acidic really. That's with taking 40 mg Nexium a day also. I haven't touched any alcohol in over a year now. I know everyone has different triggers, but is there a kind of alcohol that is lesser of the evils maybe?</t>
        </is>
      </c>
      <c r="D2313" t="n">
        <v>3</v>
      </c>
      <c r="E2313" t="n">
        <v>8</v>
      </c>
      <c r="F2313">
        <f>HYPERLINK("https://www.reddit.com/r/GERD/comments/crd642/is_there_any_kind_of_alcohol_that_wont_increase/")</f>
        <v/>
      </c>
      <c r="G2313" t="inlineStr">
        <is>
          <t>2019-08-16 14:59:08</t>
        </is>
      </c>
      <c r="H2313" t="inlineStr"/>
    </row>
    <row r="2314">
      <c r="A2314" t="inlineStr">
        <is>
          <t>crdzx1</t>
        </is>
      </c>
      <c r="B2314" t="inlineStr">
        <is>
          <t>Best way to take zantac?</t>
        </is>
      </c>
      <c r="C2314" t="inlineStr">
        <is>
          <t>PPIs help, but they give me terrible side effects (tinnitus and asthma like wheeziness). I'm interested in taking Zantac, but want to do it right. How soon before eating should I take it for prime effectiveness? Also, in the past it has made me a tad drowsy. Any way to avoid that?</t>
        </is>
      </c>
      <c r="D2314" t="n">
        <v>2</v>
      </c>
      <c r="E2314" t="n">
        <v>10</v>
      </c>
      <c r="F2314">
        <f>HYPERLINK("https://www.reddit.com/r/GERD/comments/crdzx1/best_way_to_take_zantac/")</f>
        <v/>
      </c>
      <c r="G2314" t="inlineStr">
        <is>
          <t>2019-08-16 16:04:24</t>
        </is>
      </c>
      <c r="H2314" t="inlineStr"/>
    </row>
    <row r="2315">
      <c r="A2315" t="inlineStr">
        <is>
          <t>cre3k6</t>
        </is>
      </c>
      <c r="B2315" t="inlineStr">
        <is>
          <t>Gerd and soda</t>
        </is>
      </c>
      <c r="C2315" t="inlineStr">
        <is>
          <t>Does anyone elses stomach feel upset after drinking anything carbonated? I have chronic reflux but no, ulcers in stomach. Just wondering so frustrating</t>
        </is>
      </c>
      <c r="D2315" t="n">
        <v>7</v>
      </c>
      <c r="E2315" t="n">
        <v>24</v>
      </c>
      <c r="F2315">
        <f>HYPERLINK("https://www.reddit.com/r/GERD/comments/cre3k6/gerd_and_soda/")</f>
        <v/>
      </c>
      <c r="G2315" t="inlineStr">
        <is>
          <t>2019-08-16 16:13:02</t>
        </is>
      </c>
      <c r="H2315" t="inlineStr"/>
    </row>
    <row r="2316">
      <c r="A2316" t="inlineStr">
        <is>
          <t>cree4x</t>
        </is>
      </c>
      <c r="B2316" t="inlineStr">
        <is>
          <t>Any problems with Zantac?</t>
        </is>
      </c>
      <c r="C2316" t="inlineStr">
        <is>
          <t>Do you have any constipation with taking Zantac? I have bad acid reflux but it seems like 150g Zantac in the morning and at night makes me clogged...which could be the reason why I have frequent stomach problems. I can’t take PPIs because they’ve made things worse for me.</t>
        </is>
      </c>
      <c r="D2316" t="n">
        <v>3</v>
      </c>
      <c r="E2316" t="n">
        <v>3</v>
      </c>
      <c r="F2316">
        <f>HYPERLINK("https://www.reddit.com/r/GERD/comments/cree4x/any_problems_with_zantac/")</f>
        <v/>
      </c>
      <c r="G2316" t="inlineStr">
        <is>
          <t>2019-08-16 16:37:21</t>
        </is>
      </c>
      <c r="H2316" t="inlineStr"/>
    </row>
    <row r="2317">
      <c r="A2317" t="inlineStr">
        <is>
          <t>crfjee</t>
        </is>
      </c>
      <c r="B2317" t="inlineStr">
        <is>
          <t>Sternum pain??</t>
        </is>
      </c>
      <c r="C2317" t="inlineStr">
        <is>
          <t>I am wondering if anyone has this issue. It’s my very upper stomach, right between my breasts almost, the sternum area. Sometimes I get actual pains on the right and left sides, but usually it’s just this pressure that sits there and makes me feel nauseous. The more I burp, the better I feel. I get this feeling all the time - I don’t often get heartburn or the acid in the throat feeling unless I eat a trigger food or don’t eat for too long periods of time... is this part of GERD?</t>
        </is>
      </c>
      <c r="D2317" t="n">
        <v>3</v>
      </c>
      <c r="E2317" t="n">
        <v>13</v>
      </c>
      <c r="F2317">
        <f>HYPERLINK("https://www.reddit.com/r/GERD/comments/crfjee/sternum_pain/")</f>
        <v/>
      </c>
      <c r="G2317" t="inlineStr">
        <is>
          <t>2019-08-16 18:19:10</t>
        </is>
      </c>
      <c r="H2317" t="inlineStr"/>
    </row>
    <row r="2318">
      <c r="A2318" t="inlineStr">
        <is>
          <t>crfp27</t>
        </is>
      </c>
      <c r="B2318" t="inlineStr">
        <is>
          <t>Teriyaki or soy sauce</t>
        </is>
      </c>
      <c r="C2318" t="inlineStr">
        <is>
          <t>Yay or nay on teriyaki or soy sauce ?</t>
        </is>
      </c>
      <c r="D2318" t="n">
        <v>2</v>
      </c>
      <c r="E2318" t="n">
        <v>3</v>
      </c>
      <c r="F2318">
        <f>HYPERLINK("https://www.reddit.com/r/GERD/comments/crfp27/teriyaki_or_soy_sauce/")</f>
        <v/>
      </c>
      <c r="G2318" t="inlineStr">
        <is>
          <t>2019-08-16 18:33:38</t>
        </is>
      </c>
      <c r="H2318" t="inlineStr"/>
    </row>
    <row r="2319">
      <c r="A2319" t="inlineStr">
        <is>
          <t>crg3qm</t>
        </is>
      </c>
      <c r="B2319" t="inlineStr">
        <is>
          <t>Will acid mess up my throat?</t>
        </is>
      </c>
      <c r="C2319" t="inlineStr">
        <is>
          <t>I have mild GERD and the reflux isn't horrible until ofc I eat a trigger food ...So, the other day when I ate my trigger food I've felt my throat is dry, im coughing , and its a bit hard to swallow food these last few days. How damaging can acid reflux be for my throat? Will my esophagus heal overtime with mild reflux? Any tips on what to eat to avoid reflux or what habits I should adopt to prevent it in the future?</t>
        </is>
      </c>
      <c r="D2319" t="n">
        <v>1</v>
      </c>
      <c r="E2319" t="n">
        <v>4</v>
      </c>
      <c r="F2319">
        <f>HYPERLINK("https://www.reddit.com/r/GERD/comments/crg3qm/will_acid_mess_up_my_throat/")</f>
        <v/>
      </c>
      <c r="G2319" t="inlineStr">
        <is>
          <t>2019-08-16 19:11:40</t>
        </is>
      </c>
      <c r="H2319" t="inlineStr"/>
    </row>
    <row r="2320">
      <c r="A2320" t="inlineStr">
        <is>
          <t>crgzoe</t>
        </is>
      </c>
      <c r="B2320" t="inlineStr">
        <is>
          <t>When I drink water I can feel it going down my stomach</t>
        </is>
      </c>
      <c r="C2320" t="inlineStr">
        <is>
          <t>So when I drink water I can definitely feel it going down like near my chest and upper stomach. I think this happens when I drink cold water but I don’t know it’s unpleasant. Is this a symptom of GERD? I read on the internet that it was esophagus cancer and that gave me a lot of anxiety.</t>
        </is>
      </c>
      <c r="D2320" t="n">
        <v>7</v>
      </c>
      <c r="E2320" t="n">
        <v>17</v>
      </c>
      <c r="F2320">
        <f>HYPERLINK("https://www.reddit.com/r/GERD/comments/crgzoe/when_i_drink_water_i_can_feel_it_going_down_my/")</f>
        <v/>
      </c>
      <c r="G2320" t="inlineStr">
        <is>
          <t>2019-08-16 20:35:48</t>
        </is>
      </c>
      <c r="H2320" t="inlineStr"/>
    </row>
    <row r="2321">
      <c r="A2321" t="inlineStr">
        <is>
          <t>crib24</t>
        </is>
      </c>
      <c r="B2321" t="inlineStr">
        <is>
          <t>Solutions to GERD nausea?</t>
        </is>
      </c>
      <c r="C2321" t="inlineStr">
        <is>
          <t>So I've cut out basically most of my triggers, including pretty much all fast food, soda, sweets, chocolate, spicy, greasy, fatty, dairy. I eat small meals. I stay hydrated. I sleep on an incline. I follow all the golden rules of GERD. And yet, I still deal with nausea. It is literally my living hell. It keeps me up at night. It follows me throughout the day, after meals. I never actually vomit, it's just an insane nausea that keeps me miserable. Sometimes when I think I'm having a good day, I'll have a treat and boom, the nausea follows. Even with dairy substitutes, I still find myself nauseous. It seems like no matter what I eat, my stomach always has that uneasy feeling. At this point, I dread to even have a meal because I know I'll feel sick. I have to strategically think about what I'm going to eat, how much, when, etc. It's miserable. Anyone have any remedies for GERD nausea that have worked? I plan on seeing a GI specialist soon, but need a fix til then.</t>
        </is>
      </c>
      <c r="D2321" t="n">
        <v>2</v>
      </c>
      <c r="E2321" t="n">
        <v>2</v>
      </c>
      <c r="F2321">
        <f>HYPERLINK("https://www.reddit.com/r/GERD/comments/crib24/solutions_to_gerd_nausea/")</f>
        <v/>
      </c>
      <c r="G2321" t="inlineStr">
        <is>
          <t>2019-08-16 22:51:59</t>
        </is>
      </c>
      <c r="H2321" t="inlineStr"/>
    </row>
    <row r="2322">
      <c r="A2322" t="inlineStr">
        <is>
          <t>criezb</t>
        </is>
      </c>
      <c r="B2322" t="inlineStr">
        <is>
          <t>Has anyone been to the Mayo Clinic for severe cases?</t>
        </is>
      </c>
      <c r="C2322" t="inlineStr">
        <is>
          <t>I am thinking about heading out to the Mayo Clinic in Rochester to try and help me in my difficult case. The only thing is that the consultation fee is $5000. Has anyone in this subreddit gone to see them, and how was your experience? 
&amp;amp;#x200B;
My Case:
Severe GERD (Lost a bunch of weight. I currently weigh 99 pounds and I am a adult male. I have had reflux almost my entire life since I was a kid)
Hiatal Hernia 
Esaphageal Motility Disorder (turned down for GERD surgeries due to this reason)
Esaphagitis, Gastritis, Duodenitis, IBS-C
&amp;amp;#x200B;
The doctors helping me on my case are not sure what to do and think the Mayo may help.</t>
        </is>
      </c>
      <c r="D2322" t="n">
        <v>2</v>
      </c>
      <c r="E2322" t="n">
        <v>13</v>
      </c>
      <c r="F2322">
        <f>HYPERLINK("https://www.reddit.com/r/GERD/comments/criezb/has_anyone_been_to_the_mayo_clinic_for_severe/")</f>
        <v/>
      </c>
      <c r="G2322" t="inlineStr">
        <is>
          <t>2019-08-16 23:05:17</t>
        </is>
      </c>
      <c r="H2322" t="inlineStr"/>
    </row>
    <row r="2323">
      <c r="A2323" t="inlineStr">
        <is>
          <t>crjsl1</t>
        </is>
      </c>
      <c r="B2323" t="inlineStr">
        <is>
          <t>Carnivore Diet Gerd cure testing</t>
        </is>
      </c>
      <c r="C2323" t="inlineStr">
        <is>
          <t>I'm sure this isn't the first time someone brought the topic up for discussion, but here it goes. 
After randomly coming across Ken Berry (MD), yes a real doctor, not a wacko youtuber who just has random theories, I decided that after trying EVERY god given thing that the markets had to offer to 'treat' or 'cure' acid reflux/ Silent Reflux or GERD, Mine typically was silent reflux.... but I'm officially testing the carnivore diet. I've been low carb for a while, well less than what I've typically had my whole life, and things seemed to get better but still about 30% there as far as symptoms. The goal here is to completely eradicate GERD, heal, then slowly introduce foods I used to eat, SLOWLY and moderately. Probably in 2-3 months.  Is this absurd ? I'd say yes if our 'ancestors' lived on this sort of pallet for hundreds of thousands of years. 
&amp;amp;#x200B;
Personally speaking for myself, eating 'healthy' aka fruits and veggies and no 'bad' unhealthy foods, just DIDN'T work for me at all if anything made things worse. I've been eating nothing but meat/cheese/butter/water/ (steaks mostly and ground beef) for about 2 days now, more like 1 and a half. And so far, I haven't been bloated ONCE. no reflux, nothing. It's just been a day in a half.   Anyway, I could potentially see the downvotes on this but it just may be the ONLY thing that's gonna cure most or a lot of people's GERD/LPR. Take it how you want it, and if you'd like to do some research, you can learn a lot from Doctor Ken Berry he provides a ton of information.   And Once again , do your own research as far as if you're planning on trying this, I am not a medical advisor whatsoever, just a guy on the internet 'Trying' to provide value, hopefully it'll help some way and someone out there can cure themselves and thank me for this post later. I know i've been on it for literally 2 days so I'm not gonna act like i'm cured, but I feel pretty DAMN good. Best i've felt since 2 years. I'm 24 Male btw, 140 pounds athletic 5'9, and I ate 'healthy' as a horse prior to this</t>
        </is>
      </c>
      <c r="D2323" t="n">
        <v>6</v>
      </c>
      <c r="E2323" t="n">
        <v>24</v>
      </c>
      <c r="F2323">
        <f>HYPERLINK("https://www.reddit.com/r/GERD/comments/crjsl1/carnivore_diet_gerd_cure_testing/")</f>
        <v/>
      </c>
      <c r="G2323" t="inlineStr">
        <is>
          <t>2019-08-17 01:57:52</t>
        </is>
      </c>
      <c r="H2323" t="inlineStr"/>
    </row>
    <row r="2324">
      <c r="A2324" t="inlineStr">
        <is>
          <t>crl8uu</t>
        </is>
      </c>
      <c r="B2324" t="inlineStr">
        <is>
          <t>Heartburn everyday = GERD? Burn in back?</t>
        </is>
      </c>
      <c r="C2324" t="inlineStr">
        <is>
          <t>Hi all!
I seem to have heartburn everyday after I eat anything. And I mean anything. Everything seems to cause me heartburn even if things that are suggested to eat to prevent heartburn. For example I get heartburn even after eating a plain bowl of oatmeal, wtf!!
I have the usual burn in throat/chest feeling, but I also burning a burning sensation in my back. Like acid is just being poured inside me. Is this normal for heartburn/GERD?
Anyone else have similar issues?
Thanks!</t>
        </is>
      </c>
      <c r="D2324" t="n">
        <v>2</v>
      </c>
      <c r="E2324" t="n">
        <v>10</v>
      </c>
      <c r="F2324">
        <f>HYPERLINK("https://www.reddit.com/r/GERD/comments/crl8uu/heartburn_everyday_gerd_burn_in_back/")</f>
        <v/>
      </c>
      <c r="G2324" t="inlineStr">
        <is>
          <t>2019-08-17 04:56:08</t>
        </is>
      </c>
      <c r="H2324" t="inlineStr"/>
    </row>
    <row r="2325">
      <c r="A2325" t="inlineStr">
        <is>
          <t>crly6w</t>
        </is>
      </c>
      <c r="B2325" t="inlineStr">
        <is>
          <t>Coughing until I throw up.</t>
        </is>
      </c>
      <c r="C2325" t="inlineStr">
        <is>
          <t>Hey, gang. I'm 25 years old. For 24 years of that, I didn't think i had GERD, I suffer from acid refulx/heart burn if I eat the wrong food, but it was never anything serious enough that a tums or some milk wouldn't instantly fix it.
&amp;amp;#x200B;
Well, about 3 months ago, I bent down too quickly, my wind pipe felt instantly full and I threw up gunk. Looked it up, well I guess i have GERD. For about 2 months it didn't bother me..
&amp;amp;#x200B;
Cut to earl July, and I'm pretty sure I come down with a moderate case of Bronchitis. Obviously, it was hell for like 2 weeks when it was surely bronchitis that was making me cough. But somewhere around the end of July it seems like my Bronchitis is gone, but I'm still coughing. And it's worse. Not nearly as frequent, not even close. But at least, i don't know, 15 times a day I cough so badly that unless I immediately drink some water as I'm coughing, I'll likely throw something up. And it comes from sudden movements. Picking my head up too fast or or laughing or trying to sing. Shit like that.
&amp;amp;#x200B;
Here's my theory, the bronchitis contracted my throat, making my GERD much, much worse. At least, in my head that seems right. And while the eye of the Bronchitis has passed, I still have remnants of the illness. So my questions is, does anyone have any similar type experiences as this? Does it pass? Because if I'm like this for the rest of my life, I might end it, folks. Because this shit SUCKS.</t>
        </is>
      </c>
      <c r="D2325" t="n">
        <v>5</v>
      </c>
      <c r="E2325" t="n">
        <v>14</v>
      </c>
      <c r="F2325">
        <f>HYPERLINK("https://www.reddit.com/r/GERD/comments/crly6w/coughing_until_i_throw_up/")</f>
        <v/>
      </c>
      <c r="G2325" t="inlineStr">
        <is>
          <t>2019-08-17 06:10:57</t>
        </is>
      </c>
      <c r="H2325" t="inlineStr"/>
    </row>
    <row r="2326">
      <c r="A2326" t="inlineStr">
        <is>
          <t>cro504</t>
        </is>
      </c>
      <c r="B2326" t="inlineStr">
        <is>
          <t>Risks for LPR</t>
        </is>
      </c>
      <c r="C2326" t="inlineStr">
        <is>
          <t>I have seen lots of statistics and articles about GERD showing that the risk of cancer and other significant complications is very low.  I haven't been able to find any for LPR specifically.  I know LPR affects the throat, voice box, potentially lungs more so I was wondering if anyone knows if the risks for long term complications related to LPR are also rare or uncommon?</t>
        </is>
      </c>
      <c r="D2326" t="n">
        <v>2</v>
      </c>
      <c r="E2326" t="n">
        <v>4</v>
      </c>
      <c r="F2326">
        <f>HYPERLINK("https://www.reddit.com/r/GERD/comments/cro504/risks_for_lpr/")</f>
        <v/>
      </c>
      <c r="G2326" t="inlineStr">
        <is>
          <t>2019-08-17 09:11:58</t>
        </is>
      </c>
      <c r="H2326" t="inlineStr"/>
    </row>
    <row r="2327">
      <c r="A2327" t="inlineStr">
        <is>
          <t>crq16c</t>
        </is>
      </c>
      <c r="B2327" t="inlineStr">
        <is>
          <t>Excessive burping.. roughly 50x a day.. why?</t>
        </is>
      </c>
      <c r="C2327" t="inlineStr">
        <is>
          <t>I got on a round of prilosec and it helped a ton.. I got off it after the 14 days and after 2 days the symptoms came back.. I'm back on it now and on day 3 and still burping at min 2-3x an hour.  It's terrible.
I don't feel heartburn but I do feel something come up my throat which is what's causing me to want to burp.. the burp isn't involuntary, it happens before its the only way I can clear my throat..
I have no other symptoms related to GERD, just the burping.. could it be something else? Maybe anxiety? I got really anxious about a month ago and these symptoms suddenly came on shortly after I had anxiety over my general health.  Oddly enough I don't feel the need to burp when I'm laying down with my head slightly elevated on a pillow.. I don't feel like I do it when I sleep either, but as soon as I wake up it's a burp fest for the rest of the day.
&amp;amp;#x200B;
Super frustrating.. Doctor just says try Prilosec for another 2-3 months.. sigh!</t>
        </is>
      </c>
      <c r="D2327" t="n">
        <v>3</v>
      </c>
      <c r="E2327" t="n">
        <v>19</v>
      </c>
      <c r="F2327">
        <f>HYPERLINK("https://www.reddit.com/r/GERD/comments/crq16c/excessive_burping_roughly_50x_a_day_why/")</f>
        <v/>
      </c>
      <c r="G2327" t="inlineStr">
        <is>
          <t>2019-08-17 11:35:12</t>
        </is>
      </c>
      <c r="H2327" t="inlineStr"/>
    </row>
    <row r="2328">
      <c r="A2328" t="inlineStr">
        <is>
          <t>crqeix</t>
        </is>
      </c>
      <c r="B2328" t="inlineStr">
        <is>
          <t>is this a symptom of GERD?</t>
        </is>
      </c>
      <c r="C2328" t="inlineStr">
        <is>
          <t>Hey guys, I think I may have GERD. Like I had alot of burning chest pains from November to April/May. During that time, I went to different doctors and they all told me the same thing, that my heart is completely fine and healthy and that they don't know what's wrong with me. They offered different thoughts on the issue, like it could be anxiety or depression but one doctor thought it could have been GERD, and that seemed more plausible to me (lol) than the other two thoughts. He gave me some medicine called Omeprazole and they have been working really well. So while I don't know exactly what's wrong with me, I'm thinking it might be GERD.
And from May to today, I've been living pain free for the most part. But today I've been experiencing some chest pains, mainly because I was doing something that puts me in a stretching upwards position, like trying to access something from an overhead cabinet or installing some light-bulb from a chair or something. Like you have to tiptoe to reach these things, like something like this: [https://imgtc.ws/RoHgdpS](https://imgtc.ws/RoHgdpS)
After that my chest flared up and caused some irritation on my chest. I noticed that doing stuff like that really causes me pain in the chest and when I tried googling this and it doesn't seem like a typical symptom of GERD? Now I'm getting worried that maybe my problem wasn't caused by GERD and that it could be something else.</t>
        </is>
      </c>
      <c r="D2328" t="n">
        <v>2</v>
      </c>
      <c r="E2328" t="n">
        <v>5</v>
      </c>
      <c r="F2328">
        <f>HYPERLINK("https://www.reddit.com/r/GERD/comments/crqeix/is_this_a_symptom_of_gerd/")</f>
        <v/>
      </c>
      <c r="G2328" t="inlineStr">
        <is>
          <t>2019-08-17 12:04:00</t>
        </is>
      </c>
      <c r="H2328" t="inlineStr"/>
    </row>
    <row r="2329">
      <c r="A2329" t="inlineStr">
        <is>
          <t>crr6dr</t>
        </is>
      </c>
      <c r="B2329" t="inlineStr">
        <is>
          <t>Feels like saliva going into lungs sometimes when talking</t>
        </is>
      </c>
      <c r="C2329" t="inlineStr">
        <is>
          <t>I have had GERD for awhile, recently it feels like when I swallow water, or talk, especially when I yell that water or saliva is going down the wrong pipe and into the airway or lungs which makes me feel like I need to cough. Often I will make myself cough since I figure it's not good for the lungs to get stuff into them, although I am not sure if it is actually going into the lungs.  If I am careful when swallowing or talking it is not a issue but If I am distracted or talking when swallowing that is when it happens. Sometimes even if I don't swallow but yell I get the same feeling. Anyone know what the cause of this is?</t>
        </is>
      </c>
      <c r="D2329" t="n">
        <v>1</v>
      </c>
      <c r="E2329" t="n">
        <v>1</v>
      </c>
      <c r="F2329">
        <f>HYPERLINK("https://www.reddit.com/r/GERD/comments/crr6dr/feels_like_saliva_going_into_lungs_sometimes_when/")</f>
        <v/>
      </c>
      <c r="G2329" t="inlineStr">
        <is>
          <t>2019-08-17 13:04:32</t>
        </is>
      </c>
      <c r="H2329" t="inlineStr"/>
    </row>
    <row r="2330">
      <c r="A2330" t="inlineStr">
        <is>
          <t>crrj8o</t>
        </is>
      </c>
      <c r="B2330" t="inlineStr">
        <is>
          <t>Lump in my chest, anyone else suffering this shit ??</t>
        </is>
      </c>
      <c r="C2330" t="inlineStr">
        <is>
          <t>20(m) drank heavily for 2 years, smoked for 2 months, developed acid reflux finally, turned into an every day thing for weeks, I’ve finally quit alcohol and cigs (1 week) but I’ve had this motherfucking lump in my throat that makes it almost impossible to eat or swallow. I’ve been losing weight as a result of not being able to eat anything this sucks ass. It never goes away and isn’t helped by antacids. Ughhh suggestions ??</t>
        </is>
      </c>
      <c r="D2330" t="n">
        <v>2</v>
      </c>
      <c r="E2330" t="n">
        <v>16</v>
      </c>
      <c r="F2330">
        <f>HYPERLINK("https://www.reddit.com/r/GERD/comments/crrj8o/lump_in_my_chest_anyone_else_suffering_this_shit/")</f>
        <v/>
      </c>
      <c r="G2330" t="inlineStr">
        <is>
          <t>2019-08-17 13:32:57</t>
        </is>
      </c>
      <c r="H2330" t="inlineStr"/>
    </row>
    <row r="2331">
      <c r="A2331" t="inlineStr">
        <is>
          <t>crrrdx</t>
        </is>
      </c>
      <c r="B2331" t="inlineStr">
        <is>
          <t>Terrible pain in the morning coupled with bloating and diarrhoea. Help!</t>
        </is>
      </c>
      <c r="C2331" t="inlineStr">
        <is>
          <t>Hi
Im not sure what to do and it’s getting worse. Im not sure what foods trigger it and at times it’s completely gone. For the last six months I’ve had horrible reflux pains 
-Burning and indigestion cramping in upper stomach (at times horrific)
-bloating and gas 
-diarrhoea 
Super tired all the time, awful sleeping and varied response to medication- Rennie does nothing. Zantac sometimes and ezmoeprazle is the best but has to be taken at the right time.
Doctors are not very helpful and gave me a breath test for Hpylodi which came in negative. 
I’m desperate! What tests should I ask for? Could it be ulcers? Should I get stool test?</t>
        </is>
      </c>
      <c r="D2331" t="n">
        <v>1</v>
      </c>
      <c r="E2331" t="n">
        <v>7</v>
      </c>
      <c r="F2331">
        <f>HYPERLINK("https://www.reddit.com/r/GERD/comments/crrrdx/terrible_pain_in_the_morning_coupled_with/")</f>
        <v/>
      </c>
      <c r="G2331" t="inlineStr">
        <is>
          <t>2019-08-17 13:50:51</t>
        </is>
      </c>
      <c r="H2331" t="inlineStr"/>
    </row>
    <row r="2332">
      <c r="A2332" t="inlineStr">
        <is>
          <t>crs627</t>
        </is>
      </c>
      <c r="B2332" t="inlineStr">
        <is>
          <t>Recently diagnosed with gerds/Barrett's esophagus/pre cancer.</t>
        </is>
      </c>
      <c r="C2332" t="inlineStr">
        <is>
          <t>My Dr. Came back at me with my biopsies and I was told that I'm extremely far along with my cell mutation...but not quite at the cancer stage just yet..any advice in quitting everything enjoyable in life? Has anyone compiled lists of what we can and can't eat? Suffer extreme acid reflux. Dr. Put me on a high dose of prescription ant-acids. Don't know howi feel about all of this. Help would greatly be appreciated...</t>
        </is>
      </c>
      <c r="D2332" t="n">
        <v>2</v>
      </c>
      <c r="E2332" t="n">
        <v>11</v>
      </c>
      <c r="F2332">
        <f>HYPERLINK("https://www.reddit.com/r/GERD/comments/crs627/recently_diagnosed_with_gerdsbarretts/")</f>
        <v/>
      </c>
      <c r="G2332" t="inlineStr">
        <is>
          <t>2019-08-17 14:23:35</t>
        </is>
      </c>
      <c r="H2332" t="inlineStr"/>
    </row>
    <row r="2333">
      <c r="A2333" t="inlineStr">
        <is>
          <t>crsiwh</t>
        </is>
      </c>
      <c r="B2333" t="inlineStr">
        <is>
          <t>Those who have eosinophilic esophagitis: do you have pain all day, or does it happen in specific moments (such as after food)?</t>
        </is>
      </c>
      <c r="C2333" t="inlineStr">
        <is>
          <t>We're trying to figure out what's been going on with my stomach and esophagus for the last three months. I had horrible stomach pain and heartburn type symptoms for weeks. My stomach has improved a lot, but the heartburn is a big problem. I had an EGD done last Monday and everything was completely normal. They didn't take a biopsy.
My esophagus apparently doesn't have inflammation, but eating hurts. Like physically hurts to swallow. I can feel temperatures of food way more than I should. For example, a slightly warm cup of tea or coffee feels really hot as it goes down, and I can feel it burning in my stomach.
I've been trying to stick to basic foods lately that are supposed to be good for GERD. I had plain oatmeal for breakfast and almost immediately had terrible esophagus pain. This does not feel like heartburn to me. It doesn't feel liquidy. It feels like my esophagus is dry but actively burning/hurting. Especially with hot food, like oatmeal. This feeling goes away gradually after eating. Thank God it isn't 24/7.
Apparently about 20% of Eosinophilic Esophagitis patients have a normal endoscopy. I read this in a couple of scientific papers about it.
I have had a little trouble swallowing. Food doesn't get stuck, but swallowing isn't effortless like it used to be. I have to concentrate a little to swallow, and again the process of eating just sort of hurts. 
I'm on tons of PPIs and H2s, as well as Sucralfate. I don't think the antacids are doing much for me. The Sucralfate does seem to help though. It's supposed to coat your esophagus and stomach. I dissolve it in a little water and let it slowly wash down my throat and it does take the edge off, at least for a while.
TL;DR: With Eoe are your symptoms worse when you eat or is it just all the time?</t>
        </is>
      </c>
      <c r="D2333" t="n">
        <v>2</v>
      </c>
      <c r="E2333" t="n">
        <v>0</v>
      </c>
      <c r="F2333">
        <f>HYPERLINK("https://www.reddit.com/r/GERD/comments/crsiwh/those_who_have_eosinophilic_esophagitis_do_you/")</f>
        <v/>
      </c>
      <c r="G2333" t="inlineStr">
        <is>
          <t>2019-08-17 14:52:46</t>
        </is>
      </c>
      <c r="H2333" t="inlineStr"/>
    </row>
    <row r="2334">
      <c r="A2334" t="inlineStr">
        <is>
          <t>crt4se</t>
        </is>
      </c>
      <c r="B2334" t="inlineStr">
        <is>
          <t>Just burped forcefully and a ton of acid shot up into my mouth???</t>
        </is>
      </c>
      <c r="C2334" t="inlineStr">
        <is>
          <t>Sorry if this is gross I’ll be a little graphic so don’t read if you don’t want to.
I’ve never had this happen before. I ate half a pepperoni roll on an otherwise empty stomach about an hour and a half ago. Big shock, I started to get that acidic feeling in the back of my throat, so I took a Pepcid and went to finish preparing my dinner. I was bending over a little reaching into the fridge and into the oven, but I was standing up for a couple of mins after. Then I walked to the couch and sat down, and had a sudden burp that forced a ton of acid up into my mouth. I’ve had that happen before but usually the acid just rises up my throat a little, but I felt this hit my tongue, almost like I vomited a little.
Has anyone had this happen??? I’m so afraid of the fact it just happened. It’s never happened ever. Should I not eat dinner? 
Maybe it’s time for another endoscopy.</t>
        </is>
      </c>
      <c r="D2334" t="n">
        <v>15</v>
      </c>
      <c r="E2334" t="n">
        <v>11</v>
      </c>
      <c r="F2334">
        <f>HYPERLINK("https://www.reddit.com/r/GERD/comments/crt4se/just_burped_forcefully_and_a_ton_of_acid_shot_up/")</f>
        <v/>
      </c>
      <c r="G2334" t="inlineStr">
        <is>
          <t>2019-08-17 15:43:29</t>
        </is>
      </c>
      <c r="H2334" t="inlineStr"/>
    </row>
    <row r="2335">
      <c r="A2335" t="inlineStr">
        <is>
          <t>crtd0q</t>
        </is>
      </c>
      <c r="B2335" t="inlineStr">
        <is>
          <t>Diagnosed with GERD</t>
        </is>
      </c>
      <c r="C2335" t="inlineStr">
        <is>
          <t>I was diagnosed with GERD in July (18y/o M) and i started Prilosec OTC past Saturday, should this do the trick?? Im on day 7 of the 14 day program and I really want to start living normally again because I'm off to college this upcoming quarter 3 hours away; only reason i'm not very excited is my stomach issue. Is there an estimated time for when I am relieved from my issues? If no clear answers possible, any tips to help handle it better? Thanks in advance</t>
        </is>
      </c>
      <c r="D2335" t="n">
        <v>2</v>
      </c>
      <c r="E2335" t="n">
        <v>9</v>
      </c>
      <c r="F2335">
        <f>HYPERLINK("https://www.reddit.com/r/GERD/comments/crtd0q/diagnosed_with_gerd/")</f>
        <v/>
      </c>
      <c r="G2335" t="inlineStr">
        <is>
          <t>2019-08-17 16:02:55</t>
        </is>
      </c>
      <c r="H2335" t="inlineStr"/>
    </row>
    <row r="2336">
      <c r="A2336" t="inlineStr">
        <is>
          <t>crtyjf</t>
        </is>
      </c>
      <c r="B2336" t="inlineStr">
        <is>
          <t>Side effect of Omeprazole?</t>
        </is>
      </c>
      <c r="C2336" t="inlineStr">
        <is>
          <t>I am 3 days into a 2 week prescription of Omeprazole and I noticed my lyphnodes around my groin are tender. I do not have any signs of an infection that I am aware of but I was given the medication to help with a really bad throat burn I am fighting. They are not larger than normal but very tender. Is this common for any of yall? Webmd says it is "Incidence not known" for swollen glands but nothing about tenderness.</t>
        </is>
      </c>
      <c r="D2336" t="n">
        <v>1</v>
      </c>
      <c r="E2336" t="n">
        <v>4</v>
      </c>
      <c r="F2336">
        <f>HYPERLINK("https://www.reddit.com/r/GERD/comments/crtyjf/side_effect_of_omeprazole/")</f>
        <v/>
      </c>
      <c r="G2336" t="inlineStr">
        <is>
          <t>2019-08-17 16:55:44</t>
        </is>
      </c>
      <c r="H2336" t="inlineStr"/>
    </row>
    <row r="2337">
      <c r="A2337" t="inlineStr">
        <is>
          <t>crun6n</t>
        </is>
      </c>
      <c r="B2337" t="inlineStr">
        <is>
          <t>Weight loss is a nice Nissen bonus</t>
        </is>
      </c>
      <c r="C2337" t="inlineStr">
        <is>
          <t>I had Nissen fundoplication about seven weeks ago. My problems weren't as bad as many on this subreddit have, but I was constantly getting sinus infections, had acid cough, etc. My problems seemed to come in waves. Doc said I didn't have Barrett's, but there were signs of "pre" Barrett's, whatever that means.
I followed this diet guidelines pretty closely, especially for the first few weeks. My only problems since the surgery are if I gobble my food too fast. I'm a fast eater (family trait) and I have to be careful to chew things well and not eat too fast. I tend to get full pretty quickly and simply don't eat as much. I've always been the type to attack a bowl of onion dip with a bag of Ruffles until all gone. I still lead the attack with the Ruffles, but I just don't want to eat as much; I've had a bowl of onion dip last three or four days. I've had meat since the surgery, and in fact ate a hamburger three or four weeks out, but I haven't had the courage to try a ribeye steak yet, so I am kinda constantly aware that things have changed a little.
Biggest downside diet-wise is that sometimes after I eat I get extremely tired, almost forced to take a nap. Same thing can happen after a single glass of wine. Other times, absolutely no problem. Not sure what's going on with this. But in any event, I weighed 200 pounds even on the day of my surgery, 207 when I came home (due to swelling and being pumped full of fluids), and 182 pounds this morning. I doubt I'll drop to 160, but 170 is within sight. And even if I don't drop another ounce I can sure see the difference in the mirror.
Studies say most of the weight that has been lost at the three-month mark is still off after one year. Hope so. Of course, this might not be such good news for thin folks.</t>
        </is>
      </c>
      <c r="D2337" t="n">
        <v>4</v>
      </c>
      <c r="E2337" t="n">
        <v>6</v>
      </c>
      <c r="F2337">
        <f>HYPERLINK("https://www.reddit.com/r/GERD/comments/crun6n/weight_loss_is_a_nice_nissen_bonus/")</f>
        <v/>
      </c>
      <c r="G2337" t="inlineStr">
        <is>
          <t>2019-08-17 17:57:28</t>
        </is>
      </c>
      <c r="H2337" t="inlineStr"/>
    </row>
    <row r="2338">
      <c r="A2338" t="inlineStr">
        <is>
          <t>cruy45</t>
        </is>
      </c>
      <c r="B2338" t="inlineStr">
        <is>
          <t>Growing up with GERD</t>
        </is>
      </c>
      <c r="C2338" t="inlineStr">
        <is>
          <t>I’m a 26F and have had GERD for basically my whole life. Only since I’ve turned 20 have I actually had a formal diagnosis. Partially because I thought everyone always felt that way. Looking back it makes me sad for little me hahah. Does anyone else feel this way? 
...Particularly nostalgic during this major flair up 😂😂</t>
        </is>
      </c>
      <c r="D2338" t="n">
        <v>2</v>
      </c>
      <c r="E2338" t="n">
        <v>1</v>
      </c>
      <c r="F2338">
        <f>HYPERLINK("https://www.reddit.com/r/GERD/comments/cruy45/growing_up_with_gerd/")</f>
        <v/>
      </c>
      <c r="G2338" t="inlineStr">
        <is>
          <t>2019-08-17 18:25:32</t>
        </is>
      </c>
      <c r="H2338" t="inlineStr"/>
    </row>
    <row r="2339">
      <c r="A2339" t="inlineStr">
        <is>
          <t>crvdc1</t>
        </is>
      </c>
      <c r="B2339" t="inlineStr">
        <is>
          <t>Lump in throat</t>
        </is>
      </c>
      <c r="C2339" t="inlineStr">
        <is>
          <t>Been having this feeling for a while now. Lump in the throat that makes it hard to swallow and basically eat plus it makes me feel nauseous. Im on zantac 150 but it doesn't help.</t>
        </is>
      </c>
      <c r="D2339" t="n">
        <v>2</v>
      </c>
      <c r="E2339" t="n">
        <v>2</v>
      </c>
      <c r="F2339">
        <f>HYPERLINK("https://www.reddit.com/r/GERD/comments/crvdc1/lump_in_throat/")</f>
        <v/>
      </c>
      <c r="G2339" t="inlineStr">
        <is>
          <t>2019-08-17 19:06:23</t>
        </is>
      </c>
      <c r="H2339" t="inlineStr"/>
    </row>
    <row r="2340">
      <c r="A2340" t="inlineStr">
        <is>
          <t>crwlaz</t>
        </is>
      </c>
      <c r="B2340" t="inlineStr">
        <is>
          <t>If you're worried, seek medical attention.</t>
        </is>
      </c>
      <c r="C2340" t="inlineStr">
        <is>
          <t>I might get downvoted for this, but I feel like I've seen a common thread in some of the posts on this sub. 
Some of you all have some really worrying symptoms (that you know are worrying because you're posting them on here) that you should really be seeing a doctor for. Seriously, a commenter/poster relationship is in no way, shape, or form the equivalent of a relationship you should have with a PCP, GI, ENT, or any specialist that helps treat your symptoms. 
Don't ask around if "anyone else has experienced this" if you feel the situation is dire (i.e. any symptoms that have persisted for a while and gotten worse or new symptoms that result in something you've never experienced before and feel like is atypical). Seriously, go see a doctor. If it's that urgent and it can't wait until the next available appointment with your GI, then go to urgent care or the emergency room. 
I'm not trying to bash those who are looking for support in new, current, or long-term/chronic diagnoses, because that's what any community is for. And I understand that in the US, insurance might complicate a lot of things. But seriously, if you feel like something is really wrong, please see or call a doctor to get proper medical advice as soon as possible.</t>
        </is>
      </c>
      <c r="D2340" t="n">
        <v>4</v>
      </c>
      <c r="E2340" t="n">
        <v>6</v>
      </c>
      <c r="F2340">
        <f>HYPERLINK("https://www.reddit.com/r/GERD/comments/crwlaz/if_youre_worried_seek_medical_attention/")</f>
        <v/>
      </c>
      <c r="G2340" t="inlineStr">
        <is>
          <t>2019-08-17 21:06:13</t>
        </is>
      </c>
      <c r="H2340" t="inlineStr"/>
    </row>
    <row r="2341">
      <c r="A2341" t="inlineStr">
        <is>
          <t>crxasv</t>
        </is>
      </c>
      <c r="B2341" t="inlineStr">
        <is>
          <t>I need to hear some stories!</t>
        </is>
      </c>
      <c r="C2341" t="inlineStr">
        <is>
          <t>Hey all so ill try to make this quick and painless 
So i want to hear from some of your stories, of how you got diagnosed and why (symptoms) 
So here's my symptoms 
I feel like i have a hard time breathing in. My vitals from the ER room came back good i got xrays and some other things. Im currently waiting to get am appointment with the cardiologist. 
I read that a cause for difficulty breathing could be related to silent reflux? I read this and took some pepcid and wow it did the job for a bit. 
Currently waiting for my doctor so i can tell him my adventure. 
I need to hear some stories all are welcome but mostly looking for people who had a hard time breathing and only that. 
If you'd like to share your story that is fine as well 
Thank you all and i apologize i am typing this while trying to sleep.</t>
        </is>
      </c>
      <c r="D2341" t="n">
        <v>2</v>
      </c>
      <c r="E2341" t="n">
        <v>7</v>
      </c>
      <c r="F2341">
        <f>HYPERLINK("https://www.reddit.com/r/GERD/comments/crxasv/i_need_to_hear_some_stories/")</f>
        <v/>
      </c>
      <c r="G2341" t="inlineStr">
        <is>
          <t>2019-08-17 22:23:03</t>
        </is>
      </c>
      <c r="H2341" t="inlineStr"/>
    </row>
    <row r="2342">
      <c r="A2342" t="inlineStr">
        <is>
          <t>crxdmf</t>
        </is>
      </c>
      <c r="B2342" t="inlineStr">
        <is>
          <t>How can I make chicken and rice tasty ?</t>
        </is>
      </c>
      <c r="C2342" t="inlineStr">
        <is>
          <t>Thinking of eating chicken and rice a little more to help my GERD. What are some safeways to keep it flavorful? Like what can I add besides salt? 
Thanks all replies</t>
        </is>
      </c>
      <c r="D2342" t="n">
        <v>1</v>
      </c>
      <c r="E2342" t="n">
        <v>9</v>
      </c>
      <c r="F2342">
        <f>HYPERLINK("https://www.reddit.com/r/GERD/comments/crxdmf/how_can_i_make_chicken_and_rice_tasty/")</f>
        <v/>
      </c>
      <c r="G2342" t="inlineStr">
        <is>
          <t>2019-08-17 22:32:21</t>
        </is>
      </c>
      <c r="H2342" t="inlineStr"/>
    </row>
    <row r="2343">
      <c r="A2343" t="inlineStr">
        <is>
          <t>crxkre</t>
        </is>
      </c>
      <c r="B2343" t="inlineStr">
        <is>
          <t>Anyone else ever had those nights where you wake up gasping and almost incapable of breathing because you have pure acid come up your throat?</t>
        </is>
      </c>
      <c r="C2343" t="inlineStr">
        <is>
          <t>I really don’t know how else to describe it. It doesn’t happen often but maybe 4 times in the last few years I’d be sleeping peacefully (often on my back when it happens) and I suddenly wake up terrified by this horrible horrible acid going up my throat almost gagging me making it unable to breathe. I end up having a horrible taste in my mouth once I can call myself down after and make sure I’m not going to throw up. Then for about an hour after I try to go back to sleep but sitting up to help. 
Anyone else experience this? Is it just awful acid reflux?</t>
        </is>
      </c>
      <c r="D2343" t="n">
        <v>16</v>
      </c>
      <c r="E2343" t="n">
        <v>10</v>
      </c>
      <c r="F2343">
        <f>HYPERLINK("https://www.reddit.com/r/GERD/comments/crxkre/anyone_else_ever_had_those_nights_where_you_wake/")</f>
        <v/>
      </c>
      <c r="G2343" t="inlineStr">
        <is>
          <t>2019-08-17 22:55:18</t>
        </is>
      </c>
      <c r="H2343" t="inlineStr"/>
    </row>
    <row r="2344">
      <c r="A2344" t="inlineStr">
        <is>
          <t>crxy8o</t>
        </is>
      </c>
      <c r="B2344" t="inlineStr">
        <is>
          <t>Liquid stuck in throat after drinking water</t>
        </is>
      </c>
      <c r="C2344" t="inlineStr">
        <is>
          <t>So I drank a sip of water before sleep and there was this constant regurgitation of water, mucus and I had swallow it over and over again. It felt like a endless supply of water just going up my throat even when I try to drink more water and I’m just worried about choking during sleeping and passing out because that’s my biggest fear.</t>
        </is>
      </c>
      <c r="D2344" t="n">
        <v>2</v>
      </c>
      <c r="E2344" t="n">
        <v>10</v>
      </c>
      <c r="F2344">
        <f>HYPERLINK("https://www.reddit.com/r/GERD/comments/crxy8o/liquid_stuck_in_throat_after_drinking_water/")</f>
        <v/>
      </c>
      <c r="G2344" t="inlineStr">
        <is>
          <t>2019-08-17 23:42:33</t>
        </is>
      </c>
      <c r="H2344" t="inlineStr"/>
    </row>
    <row r="2345">
      <c r="A2345" t="inlineStr">
        <is>
          <t>cs155j</t>
        </is>
      </c>
      <c r="B2345" t="inlineStr">
        <is>
          <t>I can feel my GERD worsen when I sit on a computer chair</t>
        </is>
      </c>
      <c r="C2345" t="inlineStr">
        <is>
          <t>Hey, been a gerd sufferer for 5+ years. Recently, I noticed when I sit on my computer chair to do stressful work (freelancing + managing a business), I can feel my acid/food going up to my throat. Other chairs don't do the same. 
Also it's not the chairs fault as prev chairs also did this, so I'm putting this to psychological issue HOWEVER gerd is making it even worse. how to resolve this? i don't take any medications either, not even PPIs. (only occasionally when my reflux gets bad)</t>
        </is>
      </c>
      <c r="D2345" t="n">
        <v>2</v>
      </c>
      <c r="E2345" t="n">
        <v>1</v>
      </c>
      <c r="F2345">
        <f>HYPERLINK("https://www.reddit.com/r/GERD/comments/cs155j/i_can_feel_my_gerd_worsen_when_i_sit_on_a/")</f>
        <v/>
      </c>
      <c r="G2345" t="inlineStr">
        <is>
          <t>2019-08-18 06:24:26</t>
        </is>
      </c>
      <c r="H2345" t="inlineStr"/>
    </row>
    <row r="2346">
      <c r="A2346" t="inlineStr">
        <is>
          <t>cs1deg</t>
        </is>
      </c>
      <c r="B2346" t="inlineStr">
        <is>
          <t>Tender ribs</t>
        </is>
      </c>
      <c r="C2346" t="inlineStr">
        <is>
          <t>Hey, folks. Thanks for reading. Male, 31.  I have seen an ENT who has referred me to a GI, just waiting on an appointment. I've had LPR symptoms (sore throat, tonsils, mucus, etc) for quite some time, but over the past month I've developed a tenderness in my ribs. It almost feels like I need to stretch. The discomfort is near where my ribs meet my sternum, and they are tender to touch. I have also been experiencing pain in my back directly behind where the pain in my ribs is occurring. This is accompanied by a tight band that runs under/across my ribs. Has anybody experienced this as a symptom of their GERD or LPR? Thanks!</t>
        </is>
      </c>
      <c r="D2346" t="n">
        <v>1</v>
      </c>
      <c r="E2346" t="n">
        <v>5</v>
      </c>
      <c r="F2346">
        <f>HYPERLINK("https://www.reddit.com/r/GERD/comments/cs1deg/tender_ribs/")</f>
        <v/>
      </c>
      <c r="G2346" t="inlineStr">
        <is>
          <t>2019-08-18 06:46:27</t>
        </is>
      </c>
      <c r="H2346" t="inlineStr"/>
    </row>
    <row r="2347">
      <c r="A2347" t="inlineStr">
        <is>
          <t>cs2bgg</t>
        </is>
      </c>
      <c r="B2347" t="inlineStr">
        <is>
          <t>Going to start weening off my PPI today. Need some suggestions.</t>
        </is>
      </c>
      <c r="C2347" t="inlineStr">
        <is>
          <t>So my “acid reflux” is not your typical acid reflux. It began after a particularly stressful month in my life and I never had the typical symptoms most have. My symptoms mostly consist of having a sour stomach, burping constantly and a poop taste in the back of my throat when I would eat or drink. Well the PPI I have been on the past couple of months somewhat helped  everything ( not the burping, that is a constant thing) but they are ruining my digestive system. Some days I’ll be constipated and the other days I’ll have light colored diarrhea. Everything seems to be moving so sluggish and I just want that to get back to normal. So I’m only on the 20mg Prilosec since I was too much of a baby to try the 40mg. I plan on taking one 20mg pill every other day and see how that goes for about two weeks. Does anyone have any helpful suggestions on how to do this? Any safe medications I can’t take that will help with any stomach pain I may feel?</t>
        </is>
      </c>
      <c r="D2347" t="n">
        <v>3</v>
      </c>
      <c r="E2347" t="n">
        <v>12</v>
      </c>
      <c r="F2347">
        <f>HYPERLINK("https://www.reddit.com/r/GERD/comments/cs2bgg/going_to_start_weening_off_my_ppi_today_need_some/")</f>
        <v/>
      </c>
      <c r="G2347" t="inlineStr">
        <is>
          <t>2019-08-18 08:07:18</t>
        </is>
      </c>
      <c r="H2347" t="inlineStr"/>
    </row>
    <row r="2348">
      <c r="A2348" t="inlineStr">
        <is>
          <t>cs2p3z</t>
        </is>
      </c>
      <c r="B2348" t="inlineStr">
        <is>
          <t>I find it a bit funny</t>
        </is>
      </c>
      <c r="C2348" t="inlineStr">
        <is>
          <t>How my friends seem to think regular ketchup and organic ketchup isn't different.
1. tell that to my stomach.
2. ORGANIC IS LESS ACIDIC. THANKS.</t>
        </is>
      </c>
      <c r="D2348" t="n">
        <v>1</v>
      </c>
      <c r="E2348" t="n">
        <v>6</v>
      </c>
      <c r="F2348">
        <f>HYPERLINK("https://www.reddit.com/r/GERD/comments/cs2p3z/i_find_it_a_bit_funny/")</f>
        <v/>
      </c>
      <c r="G2348" t="inlineStr">
        <is>
          <t>2019-08-18 08:37:54</t>
        </is>
      </c>
      <c r="H2348" t="inlineStr"/>
    </row>
    <row r="2349">
      <c r="A2349" t="inlineStr">
        <is>
          <t>cs2qzf</t>
        </is>
      </c>
      <c r="B2349" t="inlineStr">
        <is>
          <t>Holy crap, you guys, I think I may have figured something out.</t>
        </is>
      </c>
      <c r="C2349" t="inlineStr">
        <is>
          <t>I'm going to try to explain this as quickly as I can, because it's kind of complicated.
Essentially, in early June I started having reflux type problems. I went to the doctor and he diagnosed me with, well, reflux. Put me on Omeprazole and sent me on my way.
After a few days of taking the Omeprazole, I decided I was smarter than my doctors because I read a book written by an *absolute quack* called "Why Stomach Acid is Good for You". I'm not even going to list the author here because I don't want to advocate his work.
In this book, the "doctor" advocates taking extra stomach acid instead of taking PPIs. So I went to my health food store and bought a big bottle of Betaine Hydrocholoride (stomach acid) **with pepsin** (this will be important later).
I took those by the handful for about 7 - 10 days, and that's when things went from bad to terrible. I then went through the most miserable two months of my life.
I saw my main doctor (not the first guy), who changed my meds to Pantaprazole and Famotidine. No improvement. She then put me on Sulcrafate, which actually helped a little, but not as much as I'd like.
At this point my entire stomach felt like it was full of hot glue all day, and my esophagus felt like it was getting carpet bombed. I was starting to get so desperate that thoughts of suicide were creeping in.
I had an EGD done and the results were completely normal. I was disheartened because I certainly didn't *feel* normal. 
At this point I had given up. I was back to drinking coffee and soda, and just dealing with the pain. The pain was constant, anyway, so why not at least enjoy my energy drinks and stuff like that?
So this all changed just yesterday. I read a book called *Dr. Koufman's Acid Reflux Diet* by Dr. Jamie Koufman. Now this time around, I was wise enough to check the author's credentials before taking their advice. Dr. Koufman is basically the world authority on acid reflux. She has done a lot of research and she *invented* the terms "LPR" and "silent reflux". She does *not* advocate adding more stomach acid to your body. She does *not* advocate eating acidic foods because they "turn alkaline in your body". They do not.
Here's her theory, and I've found it to be immediately true. I'm paraphrasing, but this information is all in the book and I'll go dig out the actual citations if anyone wants them. I'm not selling her (four year old) book for her. I'm just happy I finally found something that helps:
Some reflux is normal for everyone. The body has ways to keep the esophagus happy (saliva, and the esophagus can make its own sodium bicarbonate). When reflux gets out of hand and starts to overwhelm the esophagus, that's when the cycle of acid reflux starts to happen. 
When esophageal tissue is being irritated, it's not the acid itself doing it- it's the pepsin *in* the acid. Pepsin is responsible for breaking down protein, and it will happily munch on whatever is in front of it. Food or esophageal tissue (this also applies to LPR type reflux- which is actually the main focus of this book).
Pepsin gets adhered at a cellular level inside the esophagus. It activates when it senses acid. That can be stomach acid *or* acidic foods. So you can have no stomach acid in your esophagus, but if you've got pepsin deposits and you drink a soda, those deposits are going to light up and cause immediate burning and an immediate reflux sensation (you may also get actual reflux).
Her number one recommendation to fight back against this is to immediate discontinue soft drinks and sodas of any form, which have a pH of 2 - 3 (lower than some stomach acid). In addition, drink plenty of alkaline water. pH of 8.5 or higher. Alkaline water destroys pepsin molecules, and can wash the pepsin out of your esophagus. Other than that, she recommends going on a 2 - 4 week "reflux detox" which involves eating only foods from a specific list of very safe foods, all while drinking only alkaline water (**you can make your own alkaline water by adding sodium bicarbonate to water if you don't want to buy it**).
After all I've been through, I was skeptical. I went to Walmart and bought some "88" brand water, which has a pH of 8.8 or higher. I went home and drank it. I **immediately noticed** that this was the first thing I had swallowed in 3 months that was 1) easy to swallow and 2) did not hurt *at all*. No burning. No pain. Went down smooth and easy.
I continued drinking several glasses of the stuff last night, and I went to bed with a huge smile on my face because my heartburn pain, which was a solid 6 - 7 for the last three *freaking* months, pretty much immediately dropped to a 2 - 3. It happened crazy fast. It legitimately felt like magic.
So all of this tells me a couple things. One, reflux is almost certainly my problem. EGD was normal, and I've been checked for ZE Syndrome, Eoe, and various other things. Two, I think the reason my reflux was so persistent was because I added so much extra pepsin to my body when I first started noticing my reflux, thus depositing it all along my esophagus and into my stomach. If you are taking anything with pepsin inside it, *FOR THE LOVE OF GOD, STOP*. Your body makes enough pepsin! Even on strong PPIs and H2A combinations, your body still produces plenty of stomach acid. You don't need to add more.
I say all this in the hopes that it helps someone else. If you suffer from chronic heartburn or respiratory symptoms, including a lump in your throat, coughing, trouble swallowing, etc, do yourself a favor and go buy some alkaline water *today* and give it a shot. Get the book too, if you want.
I tried about a million things during all of this, and this is the first thing I've found that *truly* brings actual relief. It's not perfect, but I feel much more human today than I felt a week ago. I can't believe that I was at a point where I was *going to shoot myself* a week ago, and now I'm feeling hopeful and recognizing that I have a *very very bad diet* that needs to be fixed if I'm going to conquer reflux. Starting with plenty of alkaline water to calm things down and flush out my esophagus and stomach.</t>
        </is>
      </c>
      <c r="D2349" t="n">
        <v>47</v>
      </c>
      <c r="E2349" t="n">
        <v>93</v>
      </c>
      <c r="F2349">
        <f>HYPERLINK("https://www.reddit.com/r/GERD/comments/cs2qzf/holy_crap_you_guys_i_think_i_may_have_figured/")</f>
        <v/>
      </c>
      <c r="G2349" t="inlineStr">
        <is>
          <t>2019-08-18 08:41:51</t>
        </is>
      </c>
      <c r="H2349" t="inlineStr"/>
    </row>
    <row r="2350">
      <c r="A2350" t="inlineStr">
        <is>
          <t>cs2udt</t>
        </is>
      </c>
      <c r="B2350" t="inlineStr">
        <is>
          <t>Constant pain left side of chest?</t>
        </is>
      </c>
      <c r="C2350" t="inlineStr">
        <is>
          <t>Is this normal? I’ve been having a sharp stabbing pain in the middle of my chest (left side).</t>
        </is>
      </c>
      <c r="D2350" t="n">
        <v>1</v>
      </c>
      <c r="E2350" t="n">
        <v>2</v>
      </c>
      <c r="F2350">
        <f>HYPERLINK("https://www.reddit.com/r/GERD/comments/cs2udt/constant_pain_left_side_of_chest/")</f>
        <v/>
      </c>
      <c r="G2350" t="inlineStr">
        <is>
          <t>2019-08-18 08:49:21</t>
        </is>
      </c>
      <c r="H2350" t="inlineStr"/>
    </row>
    <row r="2351">
      <c r="A2351" t="inlineStr">
        <is>
          <t>cs2vz6</t>
        </is>
      </c>
      <c r="B2351" t="inlineStr">
        <is>
          <t>Endoscopy showed relaxed LES but no Gerd???</t>
        </is>
      </c>
      <c r="C2351" t="inlineStr">
        <is>
          <t>Is this possible?? The GI said the esophagus is 100%, but LES is relaxed.</t>
        </is>
      </c>
      <c r="D2351" t="n">
        <v>1</v>
      </c>
      <c r="E2351" t="n">
        <v>0</v>
      </c>
      <c r="F2351">
        <f>HYPERLINK("https://www.reddit.com/r/GERD/comments/cs2vz6/endoscopy_showed_relaxed_les_but_no_gerd/")</f>
        <v/>
      </c>
      <c r="G2351" t="inlineStr">
        <is>
          <t>2019-08-18 08:52:39</t>
        </is>
      </c>
      <c r="H2351" t="inlineStr"/>
    </row>
    <row r="2352">
      <c r="A2352" t="inlineStr">
        <is>
          <t>cs2xz3</t>
        </is>
      </c>
      <c r="B2352" t="inlineStr">
        <is>
          <t>Is it okay to take Clonazepam before your gastroscopy?</t>
        </is>
      </c>
      <c r="C2352" t="inlineStr">
        <is>
          <t>I'm wondering for endonoscopy, can you take clonazepam? I'm not supposed to eat 8 hrs prior so should I just have it then?</t>
        </is>
      </c>
      <c r="D2352" t="n">
        <v>1</v>
      </c>
      <c r="E2352" t="n">
        <v>2</v>
      </c>
      <c r="F2352">
        <f>HYPERLINK("https://www.reddit.com/r/GERD/comments/cs2xz3/is_it_okay_to_take_clonazepam_before_your/")</f>
        <v/>
      </c>
      <c r="G2352" t="inlineStr">
        <is>
          <t>2019-08-18 08:57:17</t>
        </is>
      </c>
      <c r="H2352" t="inlineStr"/>
    </row>
    <row r="2353">
      <c r="A2353" t="inlineStr">
        <is>
          <t>cs5g1r</t>
        </is>
      </c>
      <c r="B2353" t="inlineStr">
        <is>
          <t>Anyone have extreme gas pains?</t>
        </is>
      </c>
      <c r="C2353" t="inlineStr">
        <is>
          <t>Sorry if this is TMI, but recently I’ve been getting extreme gas pains going from my lower stomach all the way up to my ribs. It hurts so bad I can’t move until it subsides. The pains usually happen right before I go #2 (sorry), but does this happen to anyone else? I’m fairly new to gerd and I’m just wondering if this is part of it.</t>
        </is>
      </c>
      <c r="D2353" t="n">
        <v>8</v>
      </c>
      <c r="E2353" t="n">
        <v>11</v>
      </c>
      <c r="F2353">
        <f>HYPERLINK("https://www.reddit.com/r/GERD/comments/cs5g1r/anyone_have_extreme_gas_pains/")</f>
        <v/>
      </c>
      <c r="G2353" t="inlineStr">
        <is>
          <t>2019-08-18 12:01:41</t>
        </is>
      </c>
      <c r="H2353" t="inlineStr"/>
    </row>
    <row r="2354">
      <c r="A2354" t="inlineStr">
        <is>
          <t>cs6izz</t>
        </is>
      </c>
      <c r="B2354" t="inlineStr">
        <is>
          <t>Best procedure for athletes/weight lifters?</t>
        </is>
      </c>
      <c r="C2354" t="inlineStr">
        <is>
          <t>I am looking into getting a procedure for LPR and I have heard nissen funduplication can limit your ability to lift weights.  Would stretta or linx be ok for someone competing in lifting or high impact sports?  I would think stretta would be ok since it strengthens the les.</t>
        </is>
      </c>
      <c r="D2354" t="n">
        <v>0</v>
      </c>
      <c r="E2354" t="n">
        <v>1</v>
      </c>
      <c r="F2354">
        <f>HYPERLINK("https://www.reddit.com/r/GERD/comments/cs6izz/best_procedure_for_athletesweight_lifters/")</f>
        <v/>
      </c>
      <c r="G2354" t="inlineStr">
        <is>
          <t>2019-08-18 13:21:55</t>
        </is>
      </c>
      <c r="H2354" t="inlineStr"/>
    </row>
    <row r="2355">
      <c r="A2355" t="inlineStr">
        <is>
          <t>cs8rfl</t>
        </is>
      </c>
      <c r="B2355" t="inlineStr">
        <is>
          <t>Has anyone else gone through months with constant pain in the throat due to silent reflux/lpr and then had it go away?</t>
        </is>
      </c>
      <c r="C2355" t="inlineStr">
        <is>
          <t>I almost never get the pain anymore after having it for nearly a year straight. I still get it on occasion but it usually only lasts an hour or so.</t>
        </is>
      </c>
      <c r="D2355" t="n">
        <v>3</v>
      </c>
      <c r="E2355" t="n">
        <v>7</v>
      </c>
      <c r="F2355">
        <f>HYPERLINK("https://www.reddit.com/r/GERD/comments/cs8rfl/has_anyone_else_gone_through_months_with_constant/")</f>
        <v/>
      </c>
      <c r="G2355" t="inlineStr">
        <is>
          <t>2019-08-18 16:21:21</t>
        </is>
      </c>
      <c r="H2355" t="inlineStr"/>
    </row>
    <row r="2356">
      <c r="A2356" t="inlineStr">
        <is>
          <t>csd9qt</t>
        </is>
      </c>
      <c r="B2356" t="inlineStr">
        <is>
          <t>Can you drink skim milk before bed?</t>
        </is>
      </c>
      <c r="C2356" t="inlineStr">
        <is>
          <t>I don't eat 3 hours before bed to help GERD, is it ok to drink skim milk less then 3 hours before bed?</t>
        </is>
      </c>
      <c r="D2356" t="n">
        <v>1</v>
      </c>
      <c r="E2356" t="n">
        <v>5</v>
      </c>
      <c r="F2356">
        <f>HYPERLINK("https://www.reddit.com/r/GERD/comments/csd9qt/can_you_drink_skim_milk_before_bed/")</f>
        <v/>
      </c>
      <c r="G2356" t="inlineStr">
        <is>
          <t>2019-08-18 23:33:17</t>
        </is>
      </c>
      <c r="H2356" t="inlineStr"/>
    </row>
    <row r="2357">
      <c r="A2357" t="inlineStr">
        <is>
          <t>cse2fb</t>
        </is>
      </c>
      <c r="B2357" t="inlineStr">
        <is>
          <t>Pylori Test question</t>
        </is>
      </c>
      <c r="C2357" t="inlineStr">
        <is>
          <t>I had a pylori blood test. Kaiser Doctor said that my tests came out normal. It came with 6.2 units. Normal in this test comes out to be less than or equal 20 units. Does this test rule out Pylori?</t>
        </is>
      </c>
      <c r="D2357" t="n">
        <v>2</v>
      </c>
      <c r="E2357" t="n">
        <v>4</v>
      </c>
      <c r="F2357">
        <f>HYPERLINK("https://www.reddit.com/r/GERD/comments/cse2fb/pylori_test_question/")</f>
        <v/>
      </c>
      <c r="G2357" t="inlineStr">
        <is>
          <t>2019-08-19 01:09:16</t>
        </is>
      </c>
      <c r="H2357" t="inlineStr"/>
    </row>
    <row r="2358">
      <c r="A2358" t="inlineStr">
        <is>
          <t>cset3u</t>
        </is>
      </c>
      <c r="B2358" t="inlineStr">
        <is>
          <t>Does anyone think/know if GERD/LPR will ever be 'cured' ?</t>
        </is>
      </c>
      <c r="C2358" t="inlineStr">
        <is>
          <t>I don't know about anyone else but I come to reddit a few times a week or once a day just to see what the 'remedy of the week' is, via other users... This is definitely one of those days where I'm so tired of trying things to 'cure' this disgusting issue that I guess a minority of people deal with. Literally NO ONE I know my age has gerd, people I know think heartburn is 'oh take a tum', eat yogurt. Recently I've been on the 'carnivore' diet, for the past 3 days, and my symptoms are completely gone. BUT i'm absolutely disgusted of meat at this point, so this is looking like a 'as soon as I stop this diet' that reflux is coming right back real quick, and even if I didn't stop, this can't be healthy, dude. Like whose job is it to figure this out ? Gastro's seem to know about as much as my mom or dad 'Take nexium'. Thanks chief, thanks for the information from 10 years ago that I can find on google in 2 seconds, what a guy!. Anyway, this is a vent, hope it's allowed on the forum</t>
        </is>
      </c>
      <c r="D2358" t="n">
        <v>1</v>
      </c>
      <c r="E2358" t="n">
        <v>0</v>
      </c>
      <c r="F2358">
        <f>HYPERLINK("https://www.reddit.com/r/GERD/comments/cset3u/does_anyone_thinkknow_if_gerdlpr_will_ever_be/")</f>
        <v/>
      </c>
      <c r="G2358" t="inlineStr">
        <is>
          <t>2019-08-19 02:40:33</t>
        </is>
      </c>
      <c r="H2358" t="inlineStr"/>
    </row>
    <row r="2359">
      <c r="A2359" t="inlineStr">
        <is>
          <t>csf0u0</t>
        </is>
      </c>
      <c r="B2359" t="inlineStr">
        <is>
          <t>Acid Reflux: Symptoms, Causes and Treatment Options</t>
        </is>
      </c>
      <c r="C2359" t="inlineStr">
        <is>
          <t xml:space="preserve">  
Acid reflux is a fairly common disease, and more than 10 million cases are reported each year in India. It is technically known as [GERD or ‘gastroesophageal reflux disease’](https://www.drchiragthakkar.com/digestive-surgery/heartburn-gerd-hiatus-hernia/). Acid reflux results in the backing up of stomach acids and bile into the food pipe in a reverse upward direction. An abnormal functioning of the LES (lower oesophageal sphincter), which connects the food pipe with the stomach results in acid reflux disease. It causes a burning pain in the chest, and irritation in the lining of the oesophagus (food pipe).
As it is a common disease, diagnosing acidic refluxes do not require a medical professional at all times. One can discern the presence of refluxes, based on symptoms experienced by oneself. Also laboratory testing is generally not required to diagnose acid refluxes. Let us study the symptoms, causes and various options for treatment of acid reflux in detail.
**Symptoms of acid reflux/ GERD:**
1. The patient may feel bloated a lot of the time, due to uneasiness in the stomach, especially after meals.
2. Excessive burping is a common sign of the presence of acid reflux. When the acids start moving upwards, this is an unnatural movement for the body. It reacts by burping.
3. Blood may appear in stool or in vomiting by the patient.
4. A chronically sore throat or dry cough could be a symptom of GERD.
5. The patient may experience continual hiccups and nausea due to the stomach lining being irritated by acids from the stomach.
6. A sudden loss of weight by the patient, without any reason is a symptom of chronic acid refluxes.
**Causes of acid reflux/ GERD:**
1. Hiatal hernia: It is also known as stomach hernia, and results in the pushing up of the stomach towards the diaphragm. [Hiatal hernia](https://www.drchiragthakkar.com/obesity-metabolic-surgery/) can be the reason for intestinal diseases and discomfort like acid reflux, and heartburn. When the stomach pushes through towards the chest cavity, the functioning of the LES gets affected negatively.
2. [Obesity:](https://www.drchiragthakkar.com/obesity-metabolic-surgery/) Carrying extra pounds on your body could be another reason for acid reflux. Today’s lifestyle has incorporated more junk food and less exercise. It is a sedentary lifestyle which involves minimum activity. This has led to the steady weight gain and obesity among many people across the world. Being overweight brings with it many associated risks like heart problems, intestinal discomfort, acid refluxes and BP problems as well.
3. Food habits: A major reason for gastroesophageal reflux disease is adverse eating habits that affect the normal functioning of the body. Habits like eating large meals, or lying down immediately after eating, or having snacks close to the time of sleeping lead to acidic refluxes. Our body is naturally not tuned to this lifestyle. It needs smaller and sensible meals, and an adequate gap between eating and resting.
4. Specific foods: We need to analyse what kind of foods do not suit our body and avoid these completely to avoid acid reflux. Foods like citrus fruits, tomatoes, garlic, mint, onion or spicy foods may have a negative impact if consumed by some individuals.
**Treatment Options for acid reflux:**
1. Lifestyle Change: A sure fire way of treating acid reflux is changing a sedentary lifestyle into a more active one. Regular exercise and a healthy diet with occasional junk food would definitely help in curing acid reflux naturally. Also, one should avoid eating very late at night, or right before sleeping.
2. OTC medicines: There are various over the counter medications available for acid reflux, as it is a fairly common ailment. Drugs like antacids neutralize the effect of the acids from the stomach. Other medicines like laxatives aid in regular bowel movements, to counter the strain on the stomach.
3. Lose weight: Aiming for a healthy weight will put you at lesser risk of acid reflux. Also you would put less pressure on your stomach for digesting food. Losing abdominal fat is sure to make you feel lighter and healthier. A steady weight loss is recommended. Crash dieting or avoiding exercise will increase the severity of heartburn and acid refluxes, and most probably cause irreparable damage to the system.
4. Eat healthy: Although there is no magic diet for GERD patients, there are certain foods that help in reducing the intensity and effects of acid reflux like fibrous foods and high protein foods. Also avoiding junk and fast food would greatly help your body heal itself in a natural manner.
5. Alternate medicine: Certain supplements aid in relieving the pain from acid reflux like chamomile, marshmallow, liquorice and slippery elm. Research is still ongoing to test the exact effect of these alternate medicines in treating acid reflux. However, there have been testimonials from patients claiming that these have helped them in relieving GERD issues. 
Reference - [https://en.wikipedia.org/wiki/User\_talk:Drchiragthakkar?markasread=169676692&amp;amp;markasreadwiki=enwiki#Welcome](https://en.wikipedia.org/wiki/User_talk:Drchiragthakkar?markasread=169676692&amp;amp;markasreadwiki=enwiki#Welcome)!</t>
        </is>
      </c>
      <c r="D2359" t="n">
        <v>2</v>
      </c>
      <c r="E2359" t="n">
        <v>4</v>
      </c>
      <c r="F2359">
        <f>HYPERLINK("https://www.reddit.com/r/GERD/comments/csf0u0/acid_reflux_symptoms_causes_and_treatment_options/")</f>
        <v/>
      </c>
      <c r="G2359" t="inlineStr">
        <is>
          <t>2019-08-19 03:04:59</t>
        </is>
      </c>
      <c r="H2359" t="inlineStr"/>
    </row>
    <row r="2360">
      <c r="A2360" t="inlineStr">
        <is>
          <t>csgge3</t>
        </is>
      </c>
      <c r="B2360" t="inlineStr">
        <is>
          <t>Visited EU for a week and half and only had local food,gerd disappeared why ? how ? and whats a standard eu diet</t>
        </is>
      </c>
      <c r="C2360" t="inlineStr">
        <is>
          <t>Visited Budapest Last week and i only ate stuff that was european so i am talking stuff like ratatouille,baked beans,sauteed vegetables,potato mash,roast duck etc which was in the hotels buffet. 
Not a single day did i feel GERD whereas back home(India) and i got and get gerd everyday.I realize this has got a lot to do with spices and curries. Any food without spice would not cause me gerd 
I definitely want to stick to a EU diet but i dont really know anything except for couple of recipes/dishes that i had there on a daily basis. Could use some suggestions help.</t>
        </is>
      </c>
      <c r="D2360" t="n">
        <v>1</v>
      </c>
      <c r="E2360" t="n">
        <v>5</v>
      </c>
      <c r="F2360">
        <f>HYPERLINK("https://www.reddit.com/r/GERD/comments/csgge3/visited_eu_for_a_week_and_half_and_only_had_local/")</f>
        <v/>
      </c>
      <c r="G2360" t="inlineStr">
        <is>
          <t>2019-08-19 05:33:03</t>
        </is>
      </c>
      <c r="H2360" t="inlineStr"/>
    </row>
    <row r="2361">
      <c r="A2361" t="inlineStr">
        <is>
          <t>csggpx</t>
        </is>
      </c>
      <c r="B2361" t="inlineStr">
        <is>
          <t>Bravo ph results show "no significant acid reflux".... ??? Please help...</t>
        </is>
      </c>
      <c r="C2361" t="inlineStr">
        <is>
          <t>So, I got an endoscopy last week with Bravo ph, and I have the MyChart app so I can see the doctor's notes. He put up a note that says:
&amp;amp;#x200B;
 **Results/Data Evaluation of Ambulatory 48 hour pH telemetry monitoring off of PPI, performed demonstrating evidence of the following** 
**1. % Acid exposure: 1.1% (normal &amp;lt; 4%)** 
**2. DeMeester score: 5.3 (normal &amp;lt; 14.72)** 
**3. Symptom Index (SI): 11.5% acid reflux, 0.0% nausea, 28.4% chest pain (normal &amp;lt; 50%)** 
**4. Symptom Associated Probability (SAP): 95.9 acid reflux, 0.0% nausea,100% chest pain (normal &amp;lt; 95%)**
 **This indicated no significant acid reflux and a indeterminate correlation between symptoms of chest pain as well as acid reflux and acid exposure.** 
&amp;amp;#x200B;
I don't have my follow-up scheduled with him yet, but how is this possible? I have constant heartburn (which I recorded as chest pain) and can't understand how there is "no significant acid reflux"... is he basically just gonna tell me there's nothing I can do? I'm taking 3 pills a day and it's still not enough. I want it to be gone and I don't want to take meds for the rest of my life.</t>
        </is>
      </c>
      <c r="D2361" t="n">
        <v>2</v>
      </c>
      <c r="E2361" t="n">
        <v>24</v>
      </c>
      <c r="F2361">
        <f>HYPERLINK("https://www.reddit.com/r/GERD/comments/csggpx/bravo_ph_results_show_no_significant_acid_reflux/")</f>
        <v/>
      </c>
      <c r="G2361" t="inlineStr">
        <is>
          <t>2019-08-19 05:33:49</t>
        </is>
      </c>
      <c r="H2361" t="inlineStr"/>
    </row>
    <row r="2362">
      <c r="A2362" t="inlineStr">
        <is>
          <t>csiawr</t>
        </is>
      </c>
      <c r="B2362" t="inlineStr">
        <is>
          <t>Do these symptoms check out</t>
        </is>
      </c>
      <c r="C2362" t="inlineStr">
        <is>
          <t>I know i shouldnt seek medical advice on here but 
1. I have an appointment woth my primary care provider
2. I have an app with a cardiologist 
3. I plan on an app with a pulmonologist
4. Ive been to ER AND UC in 1 week they blamed it on anxiety (never dealt with anxiety just normal feeling sad mad nervous for good reasons arguements stealing normal stuff that makes you anxious) i dont steal anymore and when i did it was a candy bar. 
Any way these are my symptoms does it sound like symptoms you had when you were diagnosed? 
Symptom 1:Sensation as if i am unable to get a full breath in. Ill find myself with my mouth open for a minute trying to suck in air or yawning for a long time.  Im sure i wont doe from this (according to ER and UC my breathing is fine) 
Symptom 2: these past 2 months or 3 i have had hiccups more than usual, i talked to my GF and she remembers that everyday she would ask me a question and i would respond 30 seconds later(holding my breathe to get rid of hiccups) 
Symptom 3: I've noticed that I've been having to burp quite a bit (I've cut out soda coffee juice this week) I've only drank water and burping after every sip. 
Symptom 4: this one is a wierd one i just felt it today it is kind of like a weird pain in my left side of chest, which doesnt worry me as much because ER said everything looked fine (xrays, blood, urine work) 
I will update with symptoms as i fall upon them. 
Home/Self care 
DISCLAIMER: please follow doctors orders i am no doctor just desperate. My ER doc said it was anxiety with mild bronchitis but really he said it was just anxiety he thought i was crazy told me i was making him anxious(I know. Anxious i can't fucking breathe) don't know if I've stated this before but i never dealt with anxiety in my life. This just wasn't a good answer for me then i went to the UC they said same as ER and told me to go back (i didn't ER and UC both said the same and i wasn't wasting time/money to hear the same thing as long as i wasn't dying it seemed like they wanted me out) . 
1. I bought some lung tea and lemon drop local honey 
2. I started to take prilosec otc which helps. 
3. I take b12 and magnesium idk why but i heard its good to take these because the prilosec deprives you of these i guess.
Anyway that's all i got i would love to hear from you guys, ive posted already but it was kind of scattered. I plan on updating this post as my journey continues. 
Has anyone fully been healed at least with the whole breathing issue?</t>
        </is>
      </c>
      <c r="D2362" t="n">
        <v>3</v>
      </c>
      <c r="E2362" t="n">
        <v>3</v>
      </c>
      <c r="F2362">
        <f>HYPERLINK("https://www.reddit.com/r/GERD/comments/csiawr/do_these_symptoms_check_out/")</f>
        <v/>
      </c>
      <c r="G2362" t="inlineStr">
        <is>
          <t>2019-08-19 08:05:39</t>
        </is>
      </c>
      <c r="H2362" t="inlineStr"/>
    </row>
    <row r="2363">
      <c r="A2363" t="inlineStr">
        <is>
          <t>csk4et</t>
        </is>
      </c>
      <c r="B2363" t="inlineStr">
        <is>
          <t>Accidentally ate a little bit of tomato sauce?</t>
        </is>
      </c>
      <c r="C2363" t="inlineStr">
        <is>
          <t>My GERD isnt too severe and my doctor gave me ranitidine to take once a day. I ate a little bit of tomato sauce from a vegan pizza I made (i forgot i couldnt eat tomatoes). If its a little should I be okay? Wondering if anyone has had bad symptoms or nausea from eating tomato sauce</t>
        </is>
      </c>
      <c r="D2363" t="n">
        <v>0</v>
      </c>
      <c r="E2363" t="n">
        <v>6</v>
      </c>
      <c r="F2363">
        <f>HYPERLINK("https://www.reddit.com/r/GERD/comments/csk4et/accidentally_ate_a_little_bit_of_tomato_sauce/")</f>
        <v/>
      </c>
      <c r="G2363" t="inlineStr">
        <is>
          <t>2019-08-19 10:15:58</t>
        </is>
      </c>
      <c r="H2363" t="inlineStr"/>
    </row>
    <row r="2364">
      <c r="A2364" t="inlineStr">
        <is>
          <t>csm35s</t>
        </is>
      </c>
      <c r="B2364" t="inlineStr">
        <is>
          <t>Eating out anxiety because of GERD</t>
        </is>
      </c>
      <c r="C2364" t="inlineStr">
        <is>
          <t>Anyone else have anxiety when they have to eat out with people?
I don’t know how to cope with it. I have such a fear of a bad flare up happening, not finding something suitable on the menu, etc. and I can’t enjoy spending time eating with people. 
The worst part is too, say I’ll order something very healthy or i don’t finish my meal there’s always that one person that makes some sarcastic comment, totally oblivious to what I have to live through. I’m the type of person that hates explaining my issues to people so it’s just a mess trying to make people understand.</t>
        </is>
      </c>
      <c r="D2364" t="n">
        <v>11</v>
      </c>
      <c r="E2364" t="n">
        <v>27</v>
      </c>
      <c r="F2364">
        <f>HYPERLINK("https://www.reddit.com/r/GERD/comments/csm35s/eating_out_anxiety_because_of_gerd/")</f>
        <v/>
      </c>
      <c r="G2364" t="inlineStr">
        <is>
          <t>2019-08-19 12:33:56</t>
        </is>
      </c>
      <c r="H2364" t="inlineStr"/>
    </row>
    <row r="2365">
      <c r="A2365" t="inlineStr">
        <is>
          <t>csnbqt</t>
        </is>
      </c>
      <c r="B2365" t="inlineStr">
        <is>
          <t>Sodium Alginate capsules (instead of Gaviscon Advance)</t>
        </is>
      </c>
      <c r="C2365" t="inlineStr">
        <is>
          <t>I've been reading that Gaviscon Advance is far superior than US Gaviscon because of its higher sodium alginate content. 
I also read that sodium alginate doesn't work as well when taken with antacids, something about requiring a higher stomach acidity.
Would sodium alginate capsules sold at health food stores be a good substitute for Gaviscon Advance? (I don't live in the UK and I don't really want to go making my own DIY).
Thanks.</t>
        </is>
      </c>
      <c r="D2365" t="n">
        <v>3</v>
      </c>
      <c r="E2365" t="n">
        <v>1</v>
      </c>
      <c r="F2365">
        <f>HYPERLINK("https://www.reddit.com/r/GERD/comments/csnbqt/sodium_alginate_capsules_instead_of_gaviscon/")</f>
        <v/>
      </c>
      <c r="G2365" t="inlineStr">
        <is>
          <t>2019-08-19 14:01:36</t>
        </is>
      </c>
      <c r="H2365" t="inlineStr"/>
    </row>
    <row r="2366">
      <c r="A2366" t="inlineStr">
        <is>
          <t>csnstc</t>
        </is>
      </c>
      <c r="B2366" t="inlineStr">
        <is>
          <t>GERD diet tips?</t>
        </is>
      </c>
      <c r="C2366" t="inlineStr">
        <is>
          <t>Can anyone link or post foods that I should and should not eat? 
This is completely new to me but the intermittent chest pains and heart pains aren’t letting up. It’s been days. 
My PPI helps the heartpains but not the chest pains</t>
        </is>
      </c>
      <c r="D2366" t="n">
        <v>4</v>
      </c>
      <c r="E2366" t="n">
        <v>4</v>
      </c>
      <c r="F2366">
        <f>HYPERLINK("https://www.reddit.com/r/GERD/comments/csnstc/gerd_diet_tips/")</f>
        <v/>
      </c>
      <c r="G2366" t="inlineStr">
        <is>
          <t>2019-08-19 14:35:51</t>
        </is>
      </c>
      <c r="H2366" t="inlineStr"/>
    </row>
    <row r="2367">
      <c r="A2367" t="inlineStr">
        <is>
          <t>csnzzq</t>
        </is>
      </c>
      <c r="B2367" t="inlineStr">
        <is>
          <t>Need help with awful symptoms(nausea)</t>
        </is>
      </c>
      <c r="C2367" t="inlineStr">
        <is>
          <t>This all started back in February of 2019. Before that, heartburn had been a minor but manageable issue in my life, just like anybody else. Then one morning in college, after drinking a cup of coffee and eating a bagel, I felt really nauseous, so much so that I thought I would throw up imminently. I spent the next 12 hours with the worst nausea and heartburn of my life, with constant reflux in my mouth. I was told by the clinic that I probably had a stomach bug and after about a week and a half of constant debilitating nausea, it finally went away. Everything was fine until May, when I had a Jaegerbomb one night and felt really ill. That nausea persisted for two weeks and came with pretty bad heartburn as well. I was prescribed omeprazole, which I took until it ran out. After a flare up of heartburn the day after I stopped treatment, I went on Nexium once a day until July. I had a single rum and coke that night while still on Nexium and I was incredibly nauseous for two weeks afterward. Even while still taking Nexium, this didn’t improve. I saw a gastroenterologist and got an upper endoscopy which detected no sign of Barrets, Hiatal, or H. Pylori. I asked about the extreme bouts of nausea and they told me it could be from weed, which I don’t use or maybe cyclic vomiting syndrome. I don’t think either of those are it because it seems to be triggered by caffeine or alcohol. Has anyone experienced this level of intense nausea before? I’ve been bedridden and absolutely miserable for a month now and with the prospect of school coming up again, I don’t know what I’m going to do. Please help!!!</t>
        </is>
      </c>
      <c r="D2367" t="n">
        <v>1</v>
      </c>
      <c r="E2367" t="n">
        <v>3</v>
      </c>
      <c r="F2367">
        <f>HYPERLINK("https://www.reddit.com/r/GERD/comments/csnzzq/need_help_with_awful_symptomsnausea/")</f>
        <v/>
      </c>
      <c r="G2367" t="inlineStr">
        <is>
          <t>2019-08-19 14:51:05</t>
        </is>
      </c>
      <c r="H2367" t="inlineStr"/>
    </row>
    <row r="2368">
      <c r="A2368" t="inlineStr">
        <is>
          <t>csomu3</t>
        </is>
      </c>
      <c r="B2368" t="inlineStr">
        <is>
          <t>Does marijuana help or hurt gerds?</t>
        </is>
      </c>
      <c r="C2368" t="inlineStr">
        <is>
          <t>Wondering if cbd or thc have any e effect on my barrett's esophagus? My Dr. Didn't talk about it. I'm a casual consumer of cannabis. Just wondering. Newly diagnosed.</t>
        </is>
      </c>
      <c r="D2368" t="n">
        <v>3</v>
      </c>
      <c r="E2368" t="n">
        <v>5</v>
      </c>
      <c r="F2368">
        <f>HYPERLINK("https://www.reddit.com/r/GERD/comments/csomu3/does_marijuana_help_or_hurt_gerds/")</f>
        <v/>
      </c>
      <c r="G2368" t="inlineStr">
        <is>
          <t>2019-08-19 15:37:13</t>
        </is>
      </c>
      <c r="H2368" t="inlineStr"/>
    </row>
    <row r="2369">
      <c r="A2369" t="inlineStr">
        <is>
          <t>csqifg</t>
        </is>
      </c>
      <c r="B2369" t="inlineStr">
        <is>
          <t>Anyone else depressed as fuck? Lol</t>
        </is>
      </c>
      <c r="C2369" t="inlineStr">
        <is>
          <t>I’ve been crying the past 2 days continuously because of this shit. Some days are just better than others I guess. 
I just can’t seem to be optimistic at all with this. Has anyone had a clear solution, either mentally or physically, to GERD? Seems like it’s just trial and error for everyone.</t>
        </is>
      </c>
      <c r="D2369" t="n">
        <v>16</v>
      </c>
      <c r="E2369" t="n">
        <v>24</v>
      </c>
      <c r="F2369">
        <f>HYPERLINK("https://www.reddit.com/r/GERD/comments/csqifg/anyone_else_depressed_as_fuck_lol/")</f>
        <v/>
      </c>
      <c r="G2369" t="inlineStr">
        <is>
          <t>2019-08-19 17:56:10</t>
        </is>
      </c>
      <c r="H2369" t="inlineStr"/>
    </row>
    <row r="2370">
      <c r="A2370" t="inlineStr">
        <is>
          <t>csw4b3</t>
        </is>
      </c>
      <c r="B2370" t="inlineStr">
        <is>
          <t>How can i relax?</t>
        </is>
      </c>
      <c r="C2370" t="inlineStr">
        <is>
          <t>I'm 15 years old and i recently got diagnosed with GERD. Not long ago, i went to the mall with my friends (for the first time) my friend called me to go and i just said, "Hey why not? it might be fun" believe me when i say this, it went disgusting. I ate a medium box of Buffalo chicken wings and ever since i've been feeling awful. I've been feeling like i'm gonna die and the nausea doesn't stop. I've tried Yoga but my nerves prevent me from relaxing the tiniest bit. It's really stressing me out to the point where i'm crying and i can't sleep every night.</t>
        </is>
      </c>
      <c r="D2370" t="n">
        <v>1</v>
      </c>
      <c r="E2370" t="n">
        <v>0</v>
      </c>
      <c r="F2370">
        <f>HYPERLINK("https://www.reddit.com/r/GERD/comments/csw4b3/how_can_i_relax/")</f>
        <v/>
      </c>
      <c r="G2370" t="inlineStr">
        <is>
          <t>2019-08-20 03:10:00</t>
        </is>
      </c>
      <c r="H2370" t="inlineStr"/>
    </row>
    <row r="2371">
      <c r="A2371" t="inlineStr">
        <is>
          <t>csxjlu</t>
        </is>
      </c>
      <c r="B2371" t="inlineStr">
        <is>
          <t>Acid free for a few months now</t>
        </is>
      </c>
      <c r="C2371" t="inlineStr">
        <is>
          <t>Not sure how effective this is going to be for some people but hopefully it does the job for others.
Things that i ve changed in the last few months that might be responsible for my current well being (lack of acid reflux) :
• I started working out again, but this time I'm including some abs exercises in my workout which i suspect might the main factor for my health improvement.
• I ve been eating a lot of sunflower seeds which contain a fair amount of minerals including calcium/magnesium (which is basically what most antacid are made of). These also helped improve the frequency and cosistency of my stool which is great. Be careful on the amount though because they have a high caloric value.
• Whenever i was about to regurgitate food/drinks, I would force myself to hold it in by inhaling hard and expanding my abdomen, sort of like a diaphragmatic belly breathing. Also, pressing the center of my chest with my hand, would do the trick and stop the acid/food from entering the esophagus.
Those are the major changes that i think are the main factors for my present state. 
Plus now i can eat food that otherwise would have triggered a flare up and i have no issues. I will continue to watch out for any changes though.</t>
        </is>
      </c>
      <c r="D2371" t="n">
        <v>5</v>
      </c>
      <c r="E2371" t="n">
        <v>5</v>
      </c>
      <c r="F2371">
        <f>HYPERLINK("https://www.reddit.com/r/GERD/comments/csxjlu/acid_free_for_a_few_months_now/")</f>
        <v/>
      </c>
      <c r="G2371" t="inlineStr">
        <is>
          <t>2019-08-20 05:00:29</t>
        </is>
      </c>
      <c r="H2371" t="inlineStr"/>
    </row>
    <row r="2372">
      <c r="A2372" t="inlineStr">
        <is>
          <t>csy8bu</t>
        </is>
      </c>
      <c r="B2372" t="inlineStr">
        <is>
          <t>Waking up nauseous</t>
        </is>
      </c>
      <c r="C2372" t="inlineStr">
        <is>
          <t>It’s so hard to start the day positive when I wake up already nauseous 🙄</t>
        </is>
      </c>
      <c r="D2372" t="n">
        <v>4</v>
      </c>
      <c r="E2372" t="n">
        <v>12</v>
      </c>
      <c r="F2372">
        <f>HYPERLINK("https://www.reddit.com/r/GERD/comments/csy8bu/waking_up_nauseous/")</f>
        <v/>
      </c>
      <c r="G2372" t="inlineStr">
        <is>
          <t>2019-08-20 05:48:34</t>
        </is>
      </c>
      <c r="H2372" t="inlineStr"/>
    </row>
    <row r="2373">
      <c r="A2373" t="inlineStr">
        <is>
          <t>ct15pf</t>
        </is>
      </c>
      <c r="B2373" t="inlineStr">
        <is>
          <t>Prilosec side effects?</t>
        </is>
      </c>
      <c r="C2373" t="inlineStr">
        <is>
          <t>Anyone get any stool related side effects from Prilosec? I started it back in June and have since started tapering down and take it every 2 days right now. I’ve noticed since starting it my stool formations and schedule has gone out of sync. It seems I stay constipated for a couple days with very minor movements before having a large one that looks mostly formed but can break apart. I especially notice it a day after taking the Prilosec. Just looking to see if others dealt with this.</t>
        </is>
      </c>
      <c r="D2373" t="n">
        <v>2</v>
      </c>
      <c r="E2373" t="n">
        <v>26</v>
      </c>
      <c r="F2373">
        <f>HYPERLINK("https://www.reddit.com/r/GERD/comments/ct15pf/prilosec_side_effects/")</f>
        <v/>
      </c>
      <c r="G2373" t="inlineStr">
        <is>
          <t>2019-08-20 08:56:32</t>
        </is>
      </c>
      <c r="H2373" t="inlineStr"/>
    </row>
    <row r="2374">
      <c r="A2374" t="inlineStr">
        <is>
          <t>ct1xbd</t>
        </is>
      </c>
      <c r="B2374" t="inlineStr">
        <is>
          <t>People with LINX can you tell me about your recovery and what it's like after 8 months? Have you had it removed?</t>
        </is>
      </c>
      <c r="C2374" t="inlineStr">
        <is>
          <t>To make a long story short, my mother has had terrible acid Reflux for awhile now we're considering the LINX as a solution.
I would love to hear about your recovery, how eating has changed (I hear you have to drink a lot of water?) How long the "stuck feeling lasts. (I read it had lasted up to 8 months before.) How it feels, how long you've had it, everything about it, and if anyone has had a negative experience with the LINX, even if you had it removed later.
I want to gather as much information as I can to help my mom make an informed decision, all the good, bad and anything else that comes with it. I like our doctor but I would love to hear from people who've had this procedure done and hear about how it's changed your life for better or worse.
Thanks!</t>
        </is>
      </c>
      <c r="D2374" t="n">
        <v>6</v>
      </c>
      <c r="E2374" t="n">
        <v>4</v>
      </c>
      <c r="F2374">
        <f>HYPERLINK("https://www.reddit.com/r/GERD/comments/ct1xbd/people_with_linx_can_you_tell_me_about_your/")</f>
        <v/>
      </c>
      <c r="G2374" t="inlineStr">
        <is>
          <t>2019-08-20 09:43:43</t>
        </is>
      </c>
      <c r="H2374" t="inlineStr"/>
    </row>
    <row r="2375">
      <c r="A2375" t="inlineStr">
        <is>
          <t>ct2j08</t>
        </is>
      </c>
      <c r="B2375" t="inlineStr">
        <is>
          <t>Thyroid Issues?</t>
        </is>
      </c>
      <c r="C2375" t="inlineStr">
        <is>
          <t>Anyone else in here also have Hypothyroidism? I am in both subreddits and didn't know they are often related.
https://www.reddit.com/r/Hypothyroidism/comments/csywpq/can_hypothyroidism_cause_heartburn_or_reflux/</t>
        </is>
      </c>
      <c r="D2375" t="n">
        <v>7</v>
      </c>
      <c r="E2375" t="n">
        <v>4</v>
      </c>
      <c r="F2375">
        <f>HYPERLINK("https://www.reddit.com/r/GERD/comments/ct2j08/thyroid_issues/")</f>
        <v/>
      </c>
      <c r="G2375" t="inlineStr">
        <is>
          <t>2019-08-20 10:20:27</t>
        </is>
      </c>
      <c r="H2375" t="inlineStr"/>
    </row>
    <row r="2376">
      <c r="A2376" t="inlineStr">
        <is>
          <t>ct4mn8</t>
        </is>
      </c>
      <c r="B2376" t="inlineStr">
        <is>
          <t>Holy crap, I think I have silent reflux</t>
        </is>
      </c>
      <c r="C2376" t="inlineStr">
        <is>
          <t>I didn't know this was a thing, but it came up when I was doing a bit of homework about what to do about my symptoms. I don't have an actual diagnosis of this condition, but my symptoms all match. And my doctor did tell me that some people have reflux without the acid.
The difficulty swallowing, the lump in throat feeling, the asthma-like breathing problems, the coughing, the throat clearing, the sinus inflammation nobody can figure out (apparently sinus problems can go hand in hand with silent reflux), the post-nasal drip/mucous for no reason, the 24/7 burping, the more recent development of a chronic sore/burning throat, and traditional reflux medications doing absolutely nothing. Full bingo card!
This has to be what I have. I'm glad to at least know that what's wrong with me has a name and it's not all in my head. Problem is all the recommended treatments are things I've tried that didn't work. Tried an elimination diet (including low carb dieting), I've lost about 60 pounds and my symptoms have actually worsened instead of improved. I can't quit smoking and drinking because I don't smoke or drink in the first place, and I gave up caffeine/coffee for a while and that didn't help (but it did "cure" some lower GI issues I was having). Eating bland foods doesn't help either because I'll burp on an empty stomach first thing in the morning. I eat small meals already because if I eat larger ones, I wind up in major pain, and I'm typically not hungry 2-3 hours before bed anyway, so that eliminates the need to quit eating before bed.
I also can't sleep with a wedge because for some reason, no matter how exhausted I am, I can only sleep on my stomach. I've tried and I just don't fall asleep upright.
I guess I just have to live with it, which sucks because the shortness of breath prevents me from falling asleep and I've been miserable because of it. I'm glad I know what it most likely is now after craploads of tests and procedures that showed nothing wrong with me, but it seems nothing helps it. I guess I can just hope that it disappears as mysteriously as it appeared.</t>
        </is>
      </c>
      <c r="D2376" t="n">
        <v>2</v>
      </c>
      <c r="E2376" t="n">
        <v>13</v>
      </c>
      <c r="F2376">
        <f>HYPERLINK("https://www.reddit.com/r/GERD/comments/ct4mn8/holy_crap_i_think_i_have_silent_reflux/")</f>
        <v/>
      </c>
      <c r="G2376" t="inlineStr">
        <is>
          <t>2019-08-20 12:29:37</t>
        </is>
      </c>
      <c r="H2376" t="inlineStr"/>
    </row>
    <row r="2377">
      <c r="A2377" t="inlineStr">
        <is>
          <t>ct4o3g</t>
        </is>
      </c>
      <c r="B2377" t="inlineStr">
        <is>
          <t>Alkalie 88 water?</t>
        </is>
      </c>
      <c r="C2377" t="inlineStr">
        <is>
          <t>I bought a jug of 8.8 oh water. Someone suggested it on here. Gonna give it a try. Any luck with it?</t>
        </is>
      </c>
      <c r="D2377" t="n">
        <v>2</v>
      </c>
      <c r="E2377" t="n">
        <v>2</v>
      </c>
      <c r="F2377">
        <f>HYPERLINK("https://www.reddit.com/r/GERD/comments/ct4o3g/alkalie_88_water/")</f>
        <v/>
      </c>
      <c r="G2377" t="inlineStr">
        <is>
          <t>2019-08-20 12:32:18</t>
        </is>
      </c>
      <c r="H2377" t="inlineStr"/>
    </row>
    <row r="2378">
      <c r="A2378" t="inlineStr">
        <is>
          <t>ct5niv</t>
        </is>
      </c>
      <c r="B2378" t="inlineStr">
        <is>
          <t>UPDATE: Nausea after every meal</t>
        </is>
      </c>
      <c r="C2378" t="inlineStr">
        <is>
          <t>Original post: https://www.reddit.com/r/GERD/comments/brsfmw/nausea_after_every_meal/?utm_source=share&amp;amp;amp;utm_medium=ios_app
I thought I would put an update on here.
As explained in my original post, I was experiencing nausea after every meal to the point where I couldn’t eat much of anything for 8 months. I lost 30 lbs. in just the first 4 of months, and I’ve lost an additional 10 lbs since then. I had three tests done: a gastric emptying test, an ultra sound, and finally an endoscopy. It wasn’t until I got the endoscopy done that I received any sort of useful results. Before then, I was actually led to believe by my doctor that I was crazy. It was like he didn’t believe anything I was saying. The next step was going to be seeing a psychiatrist for “anxiety.”
Well, turns out, I have a hiatal hernia, as well as case of GERDs way worse than my doctor believed. Even though he told me two months before that he couldn’t increase my Pantoprazole anymore, after my endoscopy he doubled it. He told me in an email that it was a chronic condition and “wouldn’t disappear overnight”, which was hard to hear, but also that it explained every single one of my symptoms (including having a hard time swallowing and having coughing fits with the nausea sometimes).
I feel super relieved to have people believe me now. I thought I was really going crazy and had a mental illness or something. My symptoms have improved some with the doubled dosage of Pantoprazole and propping my bed up 6 in., but I’m still having problems swallowing sometimes and I keep losing weight.  My doctor seems to be listening to me now and taking me more seriously.
My advice to anybody, regardless of symptoms: Don’t let anybody convince you that you’re crazy when you really are sick. You know your body more than anybody else, and sometimes you have to press to get the medical attention you need. If I had not pressed my doctor until he ordered an endoscopy, I wouldn’t know that A) I had a hiatal hernia, and B) that I was at high risk for my hernia to become strangulated, which could kill me. I now know what symptoms to look for in case it does become strangulated, and hopefully soon I can get treatment to prevent such an attack, as well as for my other symptoms.</t>
        </is>
      </c>
      <c r="D2378" t="n">
        <v>24</v>
      </c>
      <c r="E2378" t="n">
        <v>4</v>
      </c>
      <c r="F2378">
        <f>HYPERLINK("https://www.reddit.com/r/GERD/comments/ct5niv/update_nausea_after_every_meal/")</f>
        <v/>
      </c>
      <c r="G2378" t="inlineStr">
        <is>
          <t>2019-08-20 13:32:13</t>
        </is>
      </c>
      <c r="H2378" t="inlineStr"/>
    </row>
    <row r="2379">
      <c r="A2379" t="inlineStr">
        <is>
          <t>ct5q7o</t>
        </is>
      </c>
      <c r="B2379" t="inlineStr">
        <is>
          <t>19 And I Want To Give Up Already!</t>
        </is>
      </c>
      <c r="C2379" t="inlineStr">
        <is>
          <t>Hey, guys. I’m gonna keep this as short as possible. I’m 19 years old, living in the U.S. I’m really active, and my diet is super consistent and does not consist of any acidic foods, added sugars, no dairy, no wheat (gluten), or anything high in fat. I have GERD. My symptoms are throat tightness (globes), acid regurgitation, difficulty swallowing, CONSTANT belching, and loss of appetite. 
I’m not underweight or anything, but have been trying to gain weight for a while. Needless to say, I have to eat a lot of food, and often, I’m eating when I’m not hungry due to my reflux, that throat tightness really kills my appetite. What I’ll do is chew my food a little, and then chase whatever I’m eating with water. This is the only way I can put food down sometimes. I hate that I do this, but a young man has to eat. What has helped y’all the MOST for keeping your GERD at bay? 
Things I’ve tried : - PPI’s, did not work or help anything besides decreasing stomach acid, which caused me to have an upset stomach all the time. Least effective thing I’ve tried.
- Gaviscon Advance from the UK - Helped, but didn’t help with the actual issue
- Betaine HCL with pepsin - Didn’t help, gave me heartburn, which I never get. 
- Ranitidine - Nope. Didn’t help. 
- Alkaline water - Tastes good. Temporary relief, doesn’t help throat tightness at all. 
What do I do? I have had multiple endoscopies and tests done, these people have no idea what else they can do. What really helps? Honestly, I’m tired of putting time into this, if it’s something I have to live with so be it, and if I get esophageal cancer or something one day, it is what it is. I’ve dealt with this for almost three years, guys. Things aren’t looking up, but it’s hard to care anymore. Life is still okay.</t>
        </is>
      </c>
      <c r="D2379" t="n">
        <v>3</v>
      </c>
      <c r="E2379" t="n">
        <v>24</v>
      </c>
      <c r="F2379">
        <f>HYPERLINK("https://www.reddit.com/r/GERD/comments/ct5q7o/19_and_i_want_to_give_up_already/")</f>
        <v/>
      </c>
      <c r="G2379" t="inlineStr">
        <is>
          <t>2019-08-20 13:36:36</t>
        </is>
      </c>
      <c r="H2379" t="inlineStr"/>
    </row>
    <row r="2380">
      <c r="A2380" t="inlineStr">
        <is>
          <t>ct7i3o</t>
        </is>
      </c>
      <c r="B2380" t="inlineStr">
        <is>
          <t>Can a bleeding ulcer heal on it's own?</t>
        </is>
      </c>
      <c r="C2380" t="inlineStr">
        <is>
          <t xml:space="preserve"> I've been having nausea and black stool for the past 3 days, I've been taking pepcid but I'm not sure that's enough. I really moved to pantoprazole. I am a young male, 27 but do not have insurance. I cannot afford a colonoscopy or endoscopy. I WILL have insurance starting in Jan 2020 but I'm having this issue right now unfortunately, what suggestions do you have for me?</t>
        </is>
      </c>
      <c r="D2380" t="n">
        <v>1</v>
      </c>
      <c r="E2380" t="n">
        <v>5</v>
      </c>
      <c r="F2380">
        <f>HYPERLINK("https://www.reddit.com/r/GERD/comments/ct7i3o/can_a_bleeding_ulcer_heal_on_its_own/")</f>
        <v/>
      </c>
      <c r="G2380" t="inlineStr">
        <is>
          <t>2019-08-20 15:33:13</t>
        </is>
      </c>
      <c r="H2380" t="inlineStr"/>
    </row>
    <row r="2381">
      <c r="A2381" t="inlineStr">
        <is>
          <t>ct8f2a</t>
        </is>
      </c>
      <c r="B2381" t="inlineStr">
        <is>
          <t>Do your GERD symptoms flare up like crazy for a few days and then go away like nothing ever happened?</t>
        </is>
      </c>
      <c r="C2381" t="inlineStr">
        <is>
          <t>I've been dealing with this for years where I'll get these nasty flare ups out of nowhere. They will typically be 3-5 days where I'll be miserable. My stomach will be clenched up with nausea after eating or on an empty stomach with sour stomach plus lots of phlegm and regurgitation even when eating light clean meals.  It also seems to trigger these other awful psychological effects almost like an adrenal flight or flight response where I'll lose control of my emotions by getting intense anxiety, irritability, depression with often a felling of light headedness, derealization, decreased sex drive, fatigue and insomnia. Once the symptoms stabilize or I burp and the nausea/stomach pressure goes away it's almost like a switch goes off where I feel 100% myself again.
For most of last week I felt this way and things started to get better by the weekend. I went from being miserable and in despair to going on a 6 mile hike, eating Korean BBQ and having a beer with some friends and feeling totally fine. Luckily eating clean has made these flare ups happen less frequently but when they do happen they're awful. For the longest time I've suspected that I possibly had a sliding hiatal hernia. I recently got an endoscopy and they didn't find any issues with that however I wasn't experiencing those symptoms at the time of the procedure. Makes me wonder if it's something that can come and go. I have seen a link as well to these episodes being triggered a day or two after an intense workout.
Anyone else sporadically have intense symptoms like this that come and go? Seems too much of a pattern for there not to be something structurally wrong.</t>
        </is>
      </c>
      <c r="D2381" t="n">
        <v>12</v>
      </c>
      <c r="E2381" t="n">
        <v>6</v>
      </c>
      <c r="F2381">
        <f>HYPERLINK("https://www.reddit.com/r/GERD/comments/ct8f2a/do_your_gerd_symptoms_flare_up_like_crazy_for_a/")</f>
        <v/>
      </c>
      <c r="G2381" t="inlineStr">
        <is>
          <t>2019-08-20 16:44:01</t>
        </is>
      </c>
      <c r="H2381" t="inlineStr"/>
    </row>
    <row r="2382">
      <c r="A2382" t="inlineStr">
        <is>
          <t>ctblaj</t>
        </is>
      </c>
      <c r="B2382" t="inlineStr">
        <is>
          <t>Possible Gerd?</t>
        </is>
      </c>
      <c r="C2382" t="inlineStr">
        <is>
          <t xml:space="preserve"> I've has asthma my whole life with ups and a few downs until 2 months ago when I got sick and had to go to the hospital for the first time from an asthma flare up. Since I recovered my breathing hasn't felt the same. I've been to my gp twice and then finally a pulmonologist who both said my lungs sounded perfectly clear and I even had a spirometry test done that came out normal. My peak flow is always 750-800 and my oxygen is almost always 97%. I had a chest x ray and blood sample in the hospital that both came out normal. I've had absolutely no cough or wheeze since then.
 So anyways even though it kind of feels like an asthma issue theres no real evidence leading to that especially since this is a 24/7 thing and usually asthma is flare ups.
Symptoms are: Chest tightness/soreness, feeling that I cant take full breaths, maybe a slight neck tightness sometimes, cant complete my yawns, clear post nasal drip especially when drinking water or finishing a meal. I feel short of breath but I'm able to walk to my campus and go up and down stairs without breathing heavy or being exhausted. It hasn't really immobilized me it's just a bad constant discomfort.
I eat pretty frequently and whatever I feel like. Eggs, grilled cheese, fast food, coffee in the morning, etc. 
I know I dont have super common symptoms of gerd like burps and cough or an acidy feeling (at least yet) but I do think I feel a little worse after scarfing down a meal (I tend to eat pretty fast). So I'm wondering if you guys think this could be gerd and I'm really hoping it is so I can get proper treatment and at least know I'm not dying.</t>
        </is>
      </c>
      <c r="D2382" t="n">
        <v>1</v>
      </c>
      <c r="E2382" t="n">
        <v>7</v>
      </c>
      <c r="F2382">
        <f>HYPERLINK("https://www.reddit.com/r/GERD/comments/ctblaj/possible_gerd/")</f>
        <v/>
      </c>
      <c r="G2382" t="inlineStr">
        <is>
          <t>2019-08-20 21:11:19</t>
        </is>
      </c>
      <c r="H2382" t="inlineStr"/>
    </row>
    <row r="2383">
      <c r="A2383" t="inlineStr">
        <is>
          <t>ctc0lb</t>
        </is>
      </c>
      <c r="B2383" t="inlineStr">
        <is>
          <t>Bloating after eating whole grain bread?</t>
        </is>
      </c>
      <c r="C2383" t="inlineStr">
        <is>
          <t>So this one’s a first for me. I know my triggers and am able to pretty much avoid heartburn and nausea, but this is the first time in a while that I’ve felt extremely bloated after eating something. I bought whole grain bread because I’m trying to be healthy, and within 30 minutes I was having stomach pain, bloating, etc. No nausea or heartburn though which is a first. I’ve had it for several hours now. Took pills, drank lots of water, and soaked in a warm bath but still feeling it.
Could this be GERD? I looked up “bloating after eating bread” and gluten intolerance came up?? Does it sound more like that?</t>
        </is>
      </c>
      <c r="D2383" t="n">
        <v>1</v>
      </c>
      <c r="E2383" t="n">
        <v>0</v>
      </c>
      <c r="F2383">
        <f>HYPERLINK("https://www.reddit.com/r/GERD/comments/ctc0lb/bloating_after_eating_whole_grain_bread/")</f>
        <v/>
      </c>
      <c r="G2383" t="inlineStr">
        <is>
          <t>2019-08-20 21:53:59</t>
        </is>
      </c>
      <c r="H2383" t="inlineStr"/>
    </row>
    <row r="2384">
      <c r="A2384" t="inlineStr">
        <is>
          <t>ctcdrt</t>
        </is>
      </c>
      <c r="B2384" t="inlineStr">
        <is>
          <t>LINX vs NISSEN</t>
        </is>
      </c>
      <c r="C2384" t="inlineStr">
        <is>
          <t>Any thoughts?
I've recently been pointed to Linx, and now am more confused! One thing is apparently Linx can be undone whereas Nissen is a permanent thing.</t>
        </is>
      </c>
      <c r="D2384" t="n">
        <v>8</v>
      </c>
      <c r="E2384" t="n">
        <v>26</v>
      </c>
      <c r="F2384">
        <f>HYPERLINK("https://www.reddit.com/r/GERD/comments/ctcdrt/linx_vs_nissen/")</f>
        <v/>
      </c>
      <c r="G2384" t="inlineStr">
        <is>
          <t>2019-08-20 22:32:20</t>
        </is>
      </c>
      <c r="H2384" t="inlineStr"/>
    </row>
    <row r="2385">
      <c r="A2385" t="inlineStr">
        <is>
          <t>ctcoyn</t>
        </is>
      </c>
      <c r="B2385" t="inlineStr">
        <is>
          <t>Nexium vs UK Gaviscon Advance</t>
        </is>
      </c>
      <c r="C2385" t="inlineStr">
        <is>
          <t>Whats superior. I reflux nonstop basically 24/7. Nexium works to stop most of the burn and heartburn but i have heart great things about Gaviscon.</t>
        </is>
      </c>
      <c r="D2385" t="n">
        <v>6</v>
      </c>
      <c r="E2385" t="n">
        <v>17</v>
      </c>
      <c r="F2385">
        <f>HYPERLINK("https://www.reddit.com/r/GERD/comments/ctcoyn/nexium_vs_uk_gaviscon_advance/")</f>
        <v/>
      </c>
      <c r="G2385" t="inlineStr">
        <is>
          <t>2019-08-20 23:06:25</t>
        </is>
      </c>
      <c r="H2385" t="inlineStr"/>
    </row>
    <row r="2386">
      <c r="A2386" t="inlineStr">
        <is>
          <t>ctcw7c</t>
        </is>
      </c>
      <c r="B2386" t="inlineStr">
        <is>
          <t>Heartburn Treatment | Gastroesophageal reflux disease (GERD) Specialist in Ahmedabad Gujarat India</t>
        </is>
      </c>
      <c r="C2386" t="inlineStr">
        <is>
          <t xml:space="preserve"> Although “heartburn” is often used to describe a variety of digestive problems, in medical terms it is actually a symptom of gastroesophageal reflux disease. In this condition, the acids from the stomach reflux or accidently “back up” into the esophagus (food pipe). Heartburn is described as a harsh, burning sensation in the area in between your ribs or just below your neck. Laparoscopic antireflux surgery (also called Nissen fundoplication) is used in the treatment of heartburn (GERD/Acid Reflux) when medicines are not successful. If you are suffering from heartburn then take an appointment with [GERD specialist – Dr. Chirag Thakkar](https://www.drchiragthakkar.com/) at Adroit Centre for Digestive and Obesity Surgery.</t>
        </is>
      </c>
      <c r="D2386" t="n">
        <v>0</v>
      </c>
      <c r="E2386" t="n">
        <v>0</v>
      </c>
      <c r="F2386">
        <f>HYPERLINK("https://www.reddit.com/r/GERD/comments/ctcw7c/heartburn_treatment_gastroesophageal_reflux/")</f>
        <v/>
      </c>
      <c r="G2386" t="inlineStr">
        <is>
          <t>2019-08-20 23:28:53</t>
        </is>
      </c>
      <c r="H2386" t="inlineStr"/>
    </row>
    <row r="2387">
      <c r="A2387" t="inlineStr">
        <is>
          <t>ctednb</t>
        </is>
      </c>
      <c r="B2387" t="inlineStr">
        <is>
          <t>Preventing damage or structural changes on esophagus ?</t>
        </is>
      </c>
      <c r="C2387" t="inlineStr">
        <is>
          <t>So, as many GERD sufferers or  LPR, I'm really not sure the risks of developing strictures, or abnormalities in cells in the esophagus or throat. 
&amp;amp;#x200B;
Ever since a few months ago, Everyday I drink a smoothie and in the smoothie there are fruits containing vitamin C, such as strawberry's mangos, etc. I also include Black Raspberry powder, as just a precaution. AND to top it off, taking Manuka Honey (authentic version)  I know Acid Reflux is basically life long at this point until there's some major impact /treatment other than PPI's. Anyway long question short, I know it's rare to have stuff like B.E or strictures etc, but I read enough research that I THINK this stuff I'm taking daily, will possibly prevent those complications ? I don't actively take PPI or heartburn meds, I only get reflux with certain foods, when I'm on a diet it's usually preventable. Should I be taking PPI ?</t>
        </is>
      </c>
      <c r="D2387" t="n">
        <v>5</v>
      </c>
      <c r="E2387" t="n">
        <v>7</v>
      </c>
      <c r="F2387">
        <f>HYPERLINK("https://www.reddit.com/r/GERD/comments/ctednb/preventing_damage_or_structural_changes_on/")</f>
        <v/>
      </c>
      <c r="G2387" t="inlineStr">
        <is>
          <t>2019-08-21 02:26:06</t>
        </is>
      </c>
      <c r="H2387" t="inlineStr"/>
    </row>
    <row r="2388">
      <c r="A2388" t="inlineStr">
        <is>
          <t>ctf0s6</t>
        </is>
      </c>
      <c r="B2388" t="inlineStr">
        <is>
          <t>GERD, Pylori and muscle aches</t>
        </is>
      </c>
      <c r="C2388" t="inlineStr">
        <is>
          <t>Hi everyone!
I've been battling with GERD for 2 years, and now have completed a treatment cycle (amoxicillin, claritromyxin, pantoprozol 7 days) although it appears that the Pylori is still present.
I've got symptoms that I can read or find nowhere. Everytime my stomach flares up, I also get muscle pain and weakness all over my body which will then stay until the stomach has calmed down (usually a few days or weeks). Almost every muscle hurts - not badly, but annoying. It also appears to come with low grade fevers.
Does anyone recognize this symptom? The muscle weakness is not caused by medicine, as it also appears when I'm not using any medicine.</t>
        </is>
      </c>
      <c r="D2388" t="n">
        <v>2</v>
      </c>
      <c r="E2388" t="n">
        <v>1</v>
      </c>
      <c r="F2388">
        <f>HYPERLINK("https://www.reddit.com/r/GERD/comments/ctf0s6/gerd_pylori_and_muscle_aches/")</f>
        <v/>
      </c>
      <c r="G2388" t="inlineStr">
        <is>
          <t>2019-08-21 03:38:30</t>
        </is>
      </c>
      <c r="H2388" t="inlineStr"/>
    </row>
    <row r="2389">
      <c r="A2389" t="inlineStr">
        <is>
          <t>ctfz8n</t>
        </is>
      </c>
      <c r="B2389" t="inlineStr">
        <is>
          <t>Waking up every morning with stuck burps?</t>
        </is>
      </c>
      <c r="C2389" t="inlineStr">
        <is>
          <t>Does anyone else wake in the mornings feeling like there is air trapped in their esophagus? This has been happening to me for close to a year now (M-28). I have LPR which I’m treating with a once a day prescription Prilosec as well as cutting out potential triggers such as coffee, soda and red sauce. My symptoms throughout the day have improved, however, even if I go to bed (relatively) symptom free I wake up with this feeling of air in my throat that I cant release. This usually starts anytime between 4:30 and 6:30 am, before I wake for work. No other issues burping throughout the day except when my reflux is really bad it does get tough to squeeze a burp out and release the pressure. Any similar experiences?</t>
        </is>
      </c>
      <c r="D2389" t="n">
        <v>9</v>
      </c>
      <c r="E2389" t="n">
        <v>7</v>
      </c>
      <c r="F2389">
        <f>HYPERLINK("https://www.reddit.com/r/GERD/comments/ctfz8n/waking_up_every_morning_with_stuck_burps/")</f>
        <v/>
      </c>
      <c r="G2389" t="inlineStr">
        <is>
          <t>2019-08-21 05:12:43</t>
        </is>
      </c>
      <c r="H2389" t="inlineStr"/>
    </row>
    <row r="2390">
      <c r="A2390" t="inlineStr">
        <is>
          <t>cti3pn</t>
        </is>
      </c>
      <c r="B2390" t="inlineStr">
        <is>
          <t>Anxiety - depression with gerd/acid reflux</t>
        </is>
      </c>
      <c r="C2390" t="inlineStr">
        <is>
          <t>Besides my gerd and acid reflux symptoms I got anxiety and maybe depression from my symptoms and lifestyle changes and thinking all this stuff is wrong with me and thinking I could die and  going threw pain an flare ups , my doc put me on anxiety pills I’m scared to take. When I’m low I have thoughts of death not suicide. nightmares etc it’s scary and I want to seek therapy soon , I wake up teary eyed when I pass out sleeping wrong or eat something I wasn’t suppose to cause of predicament and have a acid flash by mistake cause I have to live a caution life and switch everything I did 😕 I just been praying and trying to stay busy but it’s been rough</t>
        </is>
      </c>
      <c r="D2390" t="n">
        <v>9</v>
      </c>
      <c r="E2390" t="n">
        <v>17</v>
      </c>
      <c r="F2390">
        <f>HYPERLINK("https://www.reddit.com/r/GERD/comments/cti3pn/anxiety_depression_with_gerdacid_reflux/")</f>
        <v/>
      </c>
      <c r="G2390" t="inlineStr">
        <is>
          <t>2019-08-21 08:03:46</t>
        </is>
      </c>
      <c r="H2390" t="inlineStr"/>
    </row>
    <row r="2391">
      <c r="A2391" t="inlineStr">
        <is>
          <t>cti516</t>
        </is>
      </c>
      <c r="B2391" t="inlineStr">
        <is>
          <t>Could this be Gerd</t>
        </is>
      </c>
      <c r="C2391" t="inlineStr">
        <is>
          <t>Hi
I have been ill for over a year now. Have had a lot of different symptoms over that time but the main ones are    chest pain, stomach issues, groin pain, a lump in throat that comes and goes. I have seen doctors a rheumatologist and been to urgent care twice for the chest pains, have had ultrasounds,blood tests, urine tests, ecg, stool tests all of which came back clear. No doctor has ever suggested Gerd but when i googled ."chest pain that goes away with exercise" at the weekend everything pointed towards Gerd/Acid Reflux. Since the weekend I have started taking Gavascone and zantac and my chest pain is no where near as bad as usual. I stand in the one spot all day at work and usually around lunch time my chest feels like a weight is on it and its on fire. Since the zantac its much better. I plan to give this a go for a week and go back to the doctor and tell them I think it might be that. Just wondering does this sound like it could be it and is groin pain associated with it. I can't find much online about the groin pain.  The past few days have been the  best i have felt in a year so hopefully thats it!</t>
        </is>
      </c>
      <c r="D2391" t="n">
        <v>3</v>
      </c>
      <c r="E2391" t="n">
        <v>4</v>
      </c>
      <c r="F2391">
        <f>HYPERLINK("https://www.reddit.com/r/GERD/comments/cti516/could_this_be_gerd/")</f>
        <v/>
      </c>
      <c r="G2391" t="inlineStr">
        <is>
          <t>2019-08-21 08:06:30</t>
        </is>
      </c>
      <c r="H2391" t="inlineStr"/>
    </row>
    <row r="2392">
      <c r="A2392" t="inlineStr">
        <is>
          <t>cti7qk</t>
        </is>
      </c>
      <c r="B2392" t="inlineStr">
        <is>
          <t>LPR/ or really sore throat</t>
        </is>
      </c>
      <c r="C2392" t="inlineStr">
        <is>
          <t>I was diagnosed with LPR in March and have been taking 150mg of ranitidine at bedtime and extra strength gaviscon with meals. I’ve noticed a ton of mucus in my throat it makes working out difficult sometimes bc I almost can’t swallow when I’m working out and my mouth/throat feel full of mucus - that’s not gotten any better despite the medicines. But what’s definitely gotten worse is my throat. It’s been a couple days I thought maybe I was getting sick but I have no tonsils and no other cold or flu like symptoms. Does anyone have a burning and sore throat that’s nearly unbearable? I feel like I can’t talk at my normal voice level it doesn’t sound different but I’m talking in a more hushed tone. I have woken up where you feel like your choking on your saliva but not super frequently. I did drink alcohol this past weekend and I don’t typically have more than a couple drinks not sure if it’s a delayed LPR reaction to that but that was Saturday and I noticed this on Tuesday.
I’m going to my primary doctor tomorrow to get it looked at and talk about maybe changing medicines and am going to try harder to avoid certain foods/drinks. Curious to know if anyone’s had an unbearably burning throat from lpr!</t>
        </is>
      </c>
      <c r="D2392" t="n">
        <v>6</v>
      </c>
      <c r="E2392" t="n">
        <v>4</v>
      </c>
      <c r="F2392">
        <f>HYPERLINK("https://www.reddit.com/r/GERD/comments/cti7qk/lpr_or_really_sore_throat/")</f>
        <v/>
      </c>
      <c r="G2392" t="inlineStr">
        <is>
          <t>2019-08-21 08:12:32</t>
        </is>
      </c>
      <c r="H2392" t="inlineStr"/>
    </row>
    <row r="2393">
      <c r="A2393" t="inlineStr">
        <is>
          <t>ctigq4</t>
        </is>
      </c>
      <c r="B2393" t="inlineStr">
        <is>
          <t>DAE have to “prime” their stomach for eating every day?</t>
        </is>
      </c>
      <c r="C2393" t="inlineStr">
        <is>
          <t>Hey all - first time posting here. I’m fairly certain that I have GERD. I’m working on getting an appointment at a GI to confirm/rule out anything else.
Does anyone else have trouble with appetite early in the day? I feel like I just don’t want to eat until around 2-3pm, and even then I have to be intentional about it. Recently I discovered that if I force myself to eat something small in the am, my appetite increases and I’ll actually be hungry for a full breakfast and again around 12 for lunch. 
Part of me worries I’m becoming food avoidant because *everything* has made me feel sick at some point. Maybe it’s some kind of physical anxiety that eating will make me feel worse than I already do. And then when I have a bit of something approachable, my body realizes that food is Good Stuff and it wants more. Idk, AE?</t>
        </is>
      </c>
      <c r="D2393" t="n">
        <v>7</v>
      </c>
      <c r="E2393" t="n">
        <v>2</v>
      </c>
      <c r="F2393">
        <f>HYPERLINK("https://www.reddit.com/r/GERD/comments/ctigq4/dae_have_to_prime_their_stomach_for_eating_every/")</f>
        <v/>
      </c>
      <c r="G2393" t="inlineStr">
        <is>
          <t>2019-08-21 08:34:30</t>
        </is>
      </c>
      <c r="H2393" t="inlineStr"/>
    </row>
    <row r="2394">
      <c r="A2394" t="inlineStr">
        <is>
          <t>ctj5gu</t>
        </is>
      </c>
      <c r="B2394" t="inlineStr">
        <is>
          <t>Curiousity</t>
        </is>
      </c>
      <c r="C2394" t="inlineStr">
        <is>
          <t>Does anyone here with GERD wake up in a panic feeling like they can't breathe?</t>
        </is>
      </c>
      <c r="D2394" t="n">
        <v>6</v>
      </c>
      <c r="E2394" t="n">
        <v>3</v>
      </c>
      <c r="F2394">
        <f>HYPERLINK("https://www.reddit.com/r/GERD/comments/ctj5gu/curiousity/")</f>
        <v/>
      </c>
      <c r="G2394" t="inlineStr">
        <is>
          <t>2019-08-21 09:24:18</t>
        </is>
      </c>
      <c r="H2394" t="inlineStr"/>
    </row>
    <row r="2395">
      <c r="A2395" t="inlineStr">
        <is>
          <t>ctj72d</t>
        </is>
      </c>
      <c r="B2395" t="inlineStr">
        <is>
          <t>Sorry if this is a dumb question, but: does an increase in symptoms/reflux when lying down mean that a hiatal hernia is certain? Or can that happen with people who don't have hernias as well?</t>
        </is>
      </c>
      <c r="C2395" t="inlineStr">
        <is>
          <t>I'm still feel much (much, much) better after starting on the diet prescribed by Dr. Koufman ([see my post about it here)](https://old.reddit.com/r/GERD/comments/cs2qzf/holy_crap_you_guys_i_think_i_may_have_figured/). I also started taking mastic gum, which is controversial but some people think it helps fight excessive levels of H. Pylori. I feel better while taking it, but that could also be me just feeling better in general.
At any rate, I would say my symptoms are at approximately 20% of what they were, which is a huge improvement. For the most part I don't get heartburn now, and that awful "chunky" feeling in my chest and throat has declined considerably (sorry, I know it's gross but that's the only way I can describe it- like oatmeal hanging out in my chest cavity).
By far I feel the worst when I wake up first thing in the morning. Actually today, "the worst" wasn't even that bad. But I still always feel better when I get up and start moving around. That's got me thinking: if reflux happens more when you lie down/at night, is that a for sure sign of hiatal hernia? 
I have a wedge pillow that I haven't been using but I can dig it out and start using it again. Although, honestly, my symptoms are mild enough at this point that my goal is more to prevent bodily harm rather than stop the symptoms. 
I did have an endoscope done and it was totally normal. I'm not sure how much I trust it. I asked the doctor about endoscopes missing hiatal hernias before he put me under, and he explained that they had a method of palpating the herniated area to see if a sliding hernia was present. This was at an endoscopy clinic so this guy does endoscopies and colonoscopies all day every day, so I feel inclined to trust him, but again I just don't know.
It's only been a few days on my new reflux diet so maybe I'll just give it some more time. If I do have a hernia, honestly it's not that big of a deal now that I'm not *absolutely dying* from my symptoms. I have heard that a lot of people have them and most of the time they aren't all that bothersome.</t>
        </is>
      </c>
      <c r="D2395" t="n">
        <v>4</v>
      </c>
      <c r="E2395" t="n">
        <v>12</v>
      </c>
      <c r="F2395">
        <f>HYPERLINK("https://www.reddit.com/r/GERD/comments/ctj72d/sorry_if_this_is_a_dumb_question_but_does_an/")</f>
        <v/>
      </c>
      <c r="G2395" t="inlineStr">
        <is>
          <t>2019-08-21 09:27:39</t>
        </is>
      </c>
      <c r="H2395" t="inlineStr"/>
    </row>
    <row r="2396">
      <c r="A2396" t="inlineStr">
        <is>
          <t>ctm21w</t>
        </is>
      </c>
      <c r="B2396" t="inlineStr">
        <is>
          <t>Vomiting every time I eat for the last 2 weeks</t>
        </is>
      </c>
      <c r="C2396" t="inlineStr">
        <is>
          <t>Hi all, I was diagnosed with GERD 4 years ago. I occasionally experience vomiting as a symptom, but the last 2 weeks I have vomited every time I eat, for up to 3 hours. I saw my doctor 2 days ago and she took me off Prilosec and put me of dexilant. I also take ranitidine. Does anyone have any suggestions on how to stop vomiting short term, until the medication starts working? I’ve tried tums, pepto, and everything else similar to those.</t>
        </is>
      </c>
      <c r="D2396" t="n">
        <v>3</v>
      </c>
      <c r="E2396" t="n">
        <v>5</v>
      </c>
      <c r="F2396">
        <f>HYPERLINK("https://www.reddit.com/r/GERD/comments/ctm21w/vomiting_every_time_i_eat_for_the_last_2_weeks/")</f>
        <v/>
      </c>
      <c r="G2396" t="inlineStr">
        <is>
          <t>2019-08-21 12:53:08</t>
        </is>
      </c>
      <c r="H2396" t="inlineStr"/>
    </row>
    <row r="2397">
      <c r="A2397" t="inlineStr">
        <is>
          <t>ctness</t>
        </is>
      </c>
      <c r="B2397" t="inlineStr">
        <is>
          <t>L-Glutamine</t>
        </is>
      </c>
      <c r="C2397" t="inlineStr">
        <is>
          <t>Anyone supplemented this before? Looks promising for those with gut inflammation.</t>
        </is>
      </c>
      <c r="D2397" t="n">
        <v>1</v>
      </c>
      <c r="E2397" t="n">
        <v>5</v>
      </c>
      <c r="F2397">
        <f>HYPERLINK("https://www.reddit.com/r/GERD/comments/ctness/lglutamine/")</f>
        <v/>
      </c>
      <c r="G2397" t="inlineStr">
        <is>
          <t>2019-08-21 14:30:05</t>
        </is>
      </c>
      <c r="H2397" t="inlineStr"/>
    </row>
    <row r="2398">
      <c r="A2398" t="inlineStr">
        <is>
          <t>ctofec</t>
        </is>
      </c>
      <c r="B2398" t="inlineStr">
        <is>
          <t>Could this be a hital hernia or gerd? I'm going downhill mentally and I'm not sure what to do...all advice would be very appreciated.</t>
        </is>
      </c>
      <c r="C2398" t="inlineStr">
        <is>
          <t>Male 19
Smoked for 2 years
For the past year and a half I have had some awful constant symptoms. First of all the most scary one is the trouble swallowing which feels as if it's only got worse. I haven't choked on anything but it just feels like food takes a little bit longer to go down than normal. I usually have to have a drink of water every 4 or 5 bites to push it down. When I eat to much or to fast it also feels like my chest is heavy and uncomfortable aswell as finding it a little difficult to breath. There is always a constant feeling in my throat like something is stuck or just sitting there it usually gets worse throughout the day but never goes away its extremely uncomfortable and drives me crazy. I feel right around my Adams apple area. I feel the need to burp a lot aswell as having trapped burps. I get dry mouth in the morning and my throat has become extremely sensitive to carbonation and spicy foods which I use to be able to handle just fine. Need to clear my throat a lot and then of course the awful acid reflux. I dont really ever experience heart burn by the way. I also have been getting very thick saliva especially with certain foods and drinks which is uncomfortable. Sorry this is a lot I've gone to a couple doctors appointments and I'm waiting on my next paycheck to do a endoscopy. All feedback or personal stories would be extremely helpful as I'm obviously stressed with anxiety 24/7 thinking about cancer.</t>
        </is>
      </c>
      <c r="D2398" t="n">
        <v>2</v>
      </c>
      <c r="E2398" t="n">
        <v>4</v>
      </c>
      <c r="F2398">
        <f>HYPERLINK("https://www.reddit.com/r/GERD/comments/ctofec/could_this_be_a_hital_hernia_or_gerd_im_going/")</f>
        <v/>
      </c>
      <c r="G2398" t="inlineStr">
        <is>
          <t>2019-08-21 15:45:47</t>
        </is>
      </c>
      <c r="H2398" t="inlineStr"/>
    </row>
    <row r="2399">
      <c r="A2399" t="inlineStr">
        <is>
          <t>ctopj7</t>
        </is>
      </c>
      <c r="B2399" t="inlineStr">
        <is>
          <t>What medication do you use that OTC?</t>
        </is>
      </c>
      <c r="C2399" t="inlineStr">
        <is>
          <t>I’m running out of my medication I was given which is omeprazole and I wanted to see what was your daily medication that you use for your reflux. I suffer from really bad reflux and I don’t know what I’m going to do once my medication runs out lol. Or should I go back to my doc and ask for more?? My acid reflux is really bad so I’m not sure what to do. I’ve been on omeprazole for almost 1 month. My symptoms were: constant burping up to 60x a day !!!, lump in throat sensation, heartburn up to 4x a day, regurgitation, difficult swallowing. All of these symptoms got so much better once I got on the medication. As you can see my GERD is really severe, any tips ?</t>
        </is>
      </c>
      <c r="D2399" t="n">
        <v>1</v>
      </c>
      <c r="E2399" t="n">
        <v>6</v>
      </c>
      <c r="F2399">
        <f>HYPERLINK("https://www.reddit.com/r/GERD/comments/ctopj7/what_medication_do_you_use_that_otc/")</f>
        <v/>
      </c>
      <c r="G2399" t="inlineStr">
        <is>
          <t>2019-08-21 16:07:52</t>
        </is>
      </c>
      <c r="H2399" t="inlineStr"/>
    </row>
    <row r="2400">
      <c r="A2400" t="inlineStr">
        <is>
          <t>ctp8he</t>
        </is>
      </c>
      <c r="B2400" t="inlineStr">
        <is>
          <t>Dreaded Manometry is Next for Me. Gag Reflex Off the Charts. Tips or Reassurance?</t>
        </is>
      </c>
      <c r="C2400" t="inlineStr">
        <is>
          <t>Yeah.  Title says it all.  I literally asked my doctor today if I could snort the lidocaine solution to make sure everything gets numb all the way down, lol.  She just laughed &amp;amp; said sure.  **I have autism &amp;amp; my gag reflex (among all other senses) is horrendously exaggerated**.  I've never even gotten an x-ray at the dentist because those bitewings make me retch.  They have to use a special machine.  Can't get a tooth filled unless they numb my *entire* mouth.  Just holding my mouth open for very long makes me gag, so I don't know how in the everloving hell I'm supposed to manage this.  
On top of that, **I have a paralyzing phobia of vomiting** that makes things like this absolute torture.  Gagging to me is a HUGE deal &amp;amp; causes PTSD-like flashbacks for years after the fact.  I'm in therapy (CBT) but I don't know how any calming technique is going to help this biological response.  All that "breathe through your nose" shit doesn't do JACK for the gag reflex :(
**Just how numb does the solution get your nasal cavity/throat?**  Any ways I can enhance the numbness so I don't make a scene &amp;amp; leave in a straight jacket?  They said I can't even take a Valium for my nerves which is no bueno.  
Any first-hand experiences or tips or ANYTHING positive appreciated.</t>
        </is>
      </c>
      <c r="D2400" t="n">
        <v>1</v>
      </c>
      <c r="E2400" t="n">
        <v>6</v>
      </c>
      <c r="F2400">
        <f>HYPERLINK("https://www.reddit.com/r/GERD/comments/ctp8he/dreaded_manometry_is_next_for_me_gag_reflex_off/")</f>
        <v/>
      </c>
      <c r="G2400" t="inlineStr">
        <is>
          <t>2019-08-21 16:50:36</t>
        </is>
      </c>
      <c r="H2400" t="inlineStr"/>
    </row>
    <row r="2401">
      <c r="A2401" t="inlineStr">
        <is>
          <t>ctp9pt</t>
        </is>
      </c>
      <c r="B2401" t="inlineStr">
        <is>
          <t>Time to Decide: LINX vs Nissen</t>
        </is>
      </c>
      <c r="C2401" t="inlineStr">
        <is>
          <t>So, after months of feeling terrible and loads of testing, I finally met with the surgeon yesterday to discuss my options for hiatal hernia and GERD.
While he leans towards doing the Nissen, either a full or partial, he said that I was also eligible to do the LINX device. My manometry didn't show great peristalsis, but my barium swallow testing looked great, so he said either should be ok.
I'm stuck. I'm not sure what to do, and my wife just told me to go with whatever I thought would be best.
I like how the Nissen has been around for a long time, but recovery seems much worse, especially with the full. Lots of weeks of liquids and soft foods, plus no lifting anything for a while. The no burps or vomiting thing scares me a bit too. He said that some of that is better with a partial, which he is willing to do as well.
The LINX seems cool, but just hasn't been around that long to have nearly as much data. I like how it's a much quicker recovery time, pending I don't have issues getting the food down, which some people have and then need to get it stretched out via a balloon.
So, yeah, I'm just not sure what to do here. Any of you Redditors have to make that same choice? What did you go with? Any other opinions?
Thanks!</t>
        </is>
      </c>
      <c r="D2401" t="n">
        <v>5</v>
      </c>
      <c r="E2401" t="n">
        <v>13</v>
      </c>
      <c r="F2401">
        <f>HYPERLINK("https://www.reddit.com/r/GERD/comments/ctp9pt/time_to_decide_linx_vs_nissen/")</f>
        <v/>
      </c>
      <c r="G2401" t="inlineStr">
        <is>
          <t>2019-08-21 16:53:30</t>
        </is>
      </c>
      <c r="H2401" t="inlineStr"/>
    </row>
    <row r="2402">
      <c r="A2402" t="inlineStr">
        <is>
          <t>ctpc0x</t>
        </is>
      </c>
      <c r="B2402" t="inlineStr">
        <is>
          <t>Missed three days of work, going on four.</t>
        </is>
      </c>
      <c r="C2402" t="inlineStr">
        <is>
          <t>New episode!
A couple weeks ago I had an endoscopy and colonoscopy.  Everything looked fine and I was told to start taking Protonix.
Well, I have pretty good insurance..so I thought. The freakin price for my pills is $120 for a month supply!  Yeah, no. (I’ve cycled through several OTC &amp;amp; RX meds, Protonix is a new one) 
I did fine up until Monday. 
There was light pressure in my chest and some wet burps. No big deal. I’ve dealt with this before. I slept like shit because I choked myself awake with puke.  
For dinner I made sautéed spinach &amp;amp; shrimp laid on a bed of rice. No crazy oils or fats. 
Tuesday morning I wake up with a stabbing chest pain and my stomach is in knots.  My lower intestines felt knotted up so I took Levsin.  That barely worked so I started to panic and dug around for an old bottle of Carafate. 
Before I could open the bottle,  watery drool started and I knew I had less than 5 seconds to get to the toilet. 
I heaved a good six times. Lots of undigested rice and spinach. 
I can barely manage a sip of water and maybe one spoonful of apple sauce.
My husband brought me some Pedialyte and I have been sipping on that. 
Late Tuesday night I managed to get Carafate down and kept taking it every 4hrs as needed.
Sleeping has been shit, I’m a back sleeper so the elevated pillow and forcing myself to sleep on my left side sucks. I’m also getting hot &amp;amp; cold sweats. 
My lower back and abs hurt. I have a migraine and I’m just freaking exhausted. 
I’m now able to eat about 75% of a banana and can finish an apple sauce cup. Still sipping on Pedialyte. I also ate a small plain scone. 
I have a sinking feeling this is going to be a long slow road to recovery.
The ER has been an option, however the last time I went they charged me $900 for saline and the amazing gastric cocktail that tasted like mint &amp;amp; cooled off the fire in my chest.
If the stabbing pains come back my husband said we have to go. 
Hope none of you have had a shit show  of a week with GERD like I have.</t>
        </is>
      </c>
      <c r="D2402" t="n">
        <v>3</v>
      </c>
      <c r="E2402" t="n">
        <v>1</v>
      </c>
      <c r="F2402">
        <f>HYPERLINK("https://www.reddit.com/r/GERD/comments/ctpc0x/missed_three_days_of_work_going_on_four/")</f>
        <v/>
      </c>
      <c r="G2402" t="inlineStr">
        <is>
          <t>2019-08-21 16:58:48</t>
        </is>
      </c>
      <c r="H2402" t="inlineStr"/>
    </row>
    <row r="2403">
      <c r="A2403" t="inlineStr">
        <is>
          <t>ctpfne</t>
        </is>
      </c>
      <c r="B2403" t="inlineStr">
        <is>
          <t>Losing lower end of vocal range when silent reflux acts up?</t>
        </is>
      </c>
      <c r="C2403" t="inlineStr">
        <is>
          <t>It feels like my voice trails off when I naturally get lower at the end of my sentences. Anyone else notice this? I’ve been on Zantac for the past month and it really helps, but some days the reflux over powers it and my throat is very clenchy/strainy</t>
        </is>
      </c>
      <c r="D2403" t="n">
        <v>2</v>
      </c>
      <c r="E2403" t="n">
        <v>4</v>
      </c>
      <c r="F2403">
        <f>HYPERLINK("https://www.reddit.com/r/GERD/comments/ctpfne/losing_lower_end_of_vocal_range_when_silent/")</f>
        <v/>
      </c>
      <c r="G2403" t="inlineStr">
        <is>
          <t>2019-08-21 17:08:15</t>
        </is>
      </c>
      <c r="H2403" t="inlineStr"/>
    </row>
    <row r="2404">
      <c r="A2404" t="inlineStr">
        <is>
          <t>ctr2c8</t>
        </is>
      </c>
      <c r="B2404" t="inlineStr">
        <is>
          <t>After pylori treatment..</t>
        </is>
      </c>
      <c r="C2404" t="inlineStr">
        <is>
          <t>After an endoscopy and a biopsy, i was diagnosed with chronic gastritis with h pylori
So i finished my h pylori treatment (3 diff antibiotics + ppi) and my doctor said i need to keep taking the ppi for a month after finishing antibiotics (30mg lanzoprazole at morning) 
Last week i finished the antibiotics, but i still have some symptoms, like air trapped in my stomach/esopaghus and a feeling of not being able to burp all the air inside. This happens mainly after dinner and really sucks.
Has anyone treated h pylori before and still have symptoms?
Any advise would be awesome</t>
        </is>
      </c>
      <c r="D2404" t="n">
        <v>2</v>
      </c>
      <c r="E2404" t="n">
        <v>5</v>
      </c>
      <c r="F2404">
        <f>HYPERLINK("https://www.reddit.com/r/GERD/comments/ctr2c8/after_pylori_treatment/")</f>
        <v/>
      </c>
      <c r="G2404" t="inlineStr">
        <is>
          <t>2019-08-21 19:25:00</t>
        </is>
      </c>
      <c r="H2404" t="inlineStr"/>
    </row>
    <row r="2405">
      <c r="A2405" t="inlineStr">
        <is>
          <t>ctrdb3</t>
        </is>
      </c>
      <c r="B2405" t="inlineStr">
        <is>
          <t>My voice is tight and strained (LPR)</t>
        </is>
      </c>
      <c r="C2405" t="inlineStr">
        <is>
          <t>I drank two servings of soda which I now know is a bad idea. This happened about a week ago and my voice is very tight and in pain whenever I talk. It's like the only way I can avoid pain is by talking softly. I've been trying what I've been taught in the past in vocal therapy where I breathe before speaking and take pauses, but that was back when I had a granuloma. Now, I believe this is a side effect of my acid reflux. That went away in a little more than a month. Can this be the same deal? What can I do to treat it?</t>
        </is>
      </c>
      <c r="D2405" t="n">
        <v>1</v>
      </c>
      <c r="E2405" t="n">
        <v>6</v>
      </c>
      <c r="F2405">
        <f>HYPERLINK("https://www.reddit.com/r/GERD/comments/ctrdb3/my_voice_is_tight_and_strained_lpr/")</f>
        <v/>
      </c>
      <c r="G2405" t="inlineStr">
        <is>
          <t>2019-08-21 19:51:48</t>
        </is>
      </c>
      <c r="H2405" t="inlineStr"/>
    </row>
    <row r="2406">
      <c r="A2406" t="inlineStr">
        <is>
          <t>ctrf7t</t>
        </is>
      </c>
      <c r="B2406" t="inlineStr">
        <is>
          <t>A synopsis of my symptoms...(no heartburn)...silent reflux?</t>
        </is>
      </c>
      <c r="C2406" t="inlineStr">
        <is>
          <t>Hey all,
Trying to get a handle around some symptoms I've been dealing with for the last couple of years. It seems to veer more toward possible LPR than GERD, but wanted some opinions.
I have not dealt with classic GERD symptoms such as heartburn or regurgitation.
What is most noticeable for me is:
• Constantly having to clear my throat/cough for 15-20 mins following a meal.
• Sometimes at night, I will wheeze while in bed. It happened almost every night in the winter - I would wake up in the middle of the night and be wheezing. In addition, if I'm yelling loudly for a period of time, or laughing hard for a period of time, it will bring about a wheezing fit that subsides within about 20 minutes.
• Occasional feeling of Globus in throat.
• Occasional feeling of post nasil drip.
Unfortunately, without medical coverage, I've put off seeing a specialist because A.) I couldn't afford it and B.) It hasn't really bothered me that much.
I'm starting a new job next month which will finally afford me healthcare, but just wanted to check in here to see what you thought of these symptoms.</t>
        </is>
      </c>
      <c r="D2406" t="n">
        <v>6</v>
      </c>
      <c r="E2406" t="n">
        <v>7</v>
      </c>
      <c r="F2406">
        <f>HYPERLINK("https://www.reddit.com/r/GERD/comments/ctrf7t/a_synopsis_of_my_symptomsno_heartburnsilent_reflux/")</f>
        <v/>
      </c>
      <c r="G2406" t="inlineStr">
        <is>
          <t>2019-08-21 19:56:41</t>
        </is>
      </c>
      <c r="H2406" t="inlineStr"/>
    </row>
    <row r="2407">
      <c r="A2407" t="inlineStr">
        <is>
          <t>cts22e</t>
        </is>
      </c>
      <c r="B2407" t="inlineStr">
        <is>
          <t>Sore throat past 3 days since going back on Omeprazole</t>
        </is>
      </c>
      <c r="C2407" t="inlineStr">
        <is>
          <t>Tried Zantac and it didn’t work so I’m back on Prilosec since it worked before. However I’ve had a sore throat like I’ve never had before in my life. Is this subject to go away once I get used to the Prilosec again? 
Water actually makes me feel worse too. When I don’t drink water I feel fine</t>
        </is>
      </c>
      <c r="D2407" t="n">
        <v>1</v>
      </c>
      <c r="E2407" t="n">
        <v>2</v>
      </c>
      <c r="F2407">
        <f>HYPERLINK("https://www.reddit.com/r/GERD/comments/cts22e/sore_throat_past_3_days_since_going_back_on/")</f>
        <v/>
      </c>
      <c r="G2407" t="inlineStr">
        <is>
          <t>2019-08-21 20:56:01</t>
        </is>
      </c>
      <c r="H2407" t="inlineStr"/>
    </row>
    <row r="2408">
      <c r="A2408" t="inlineStr">
        <is>
          <t>cts9em</t>
        </is>
      </c>
      <c r="B2408" t="inlineStr">
        <is>
          <t>Can I crush down Famotidine pills?</t>
        </is>
      </c>
      <c r="C2408" t="inlineStr">
        <is>
          <t>Anyone know if I can crush my 20mg famotidine pills down? My reflux has gotten much more frequent to the point where swallowing anything solid makes my throat ache. Naturally, it makes swallowing my pills a chore.</t>
        </is>
      </c>
      <c r="D2408" t="n">
        <v>1</v>
      </c>
      <c r="E2408" t="n">
        <v>2</v>
      </c>
      <c r="F2408">
        <f>HYPERLINK("https://www.reddit.com/r/GERD/comments/cts9em/can_i_crush_down_famotidine_pills/")</f>
        <v/>
      </c>
      <c r="G2408" t="inlineStr">
        <is>
          <t>2019-08-21 21:15:56</t>
        </is>
      </c>
      <c r="H2408" t="inlineStr"/>
    </row>
    <row r="2409">
      <c r="A2409" t="inlineStr">
        <is>
          <t>ctv0az</t>
        </is>
      </c>
      <c r="B2409" t="inlineStr">
        <is>
          <t>LINX Surgery</t>
        </is>
      </c>
      <c r="C2409" t="inlineStr">
        <is>
          <t>Hi guys,
i've been lingering here for a while..
I am 23M and have been taking Nexium for nearly 4 years. I usually take 20mg a day but sometimes do have to take 40mg. I have a hard time with anxiety and reading what people say about PPIs doesnt help at all.
I have been considering LINX surgery for a while primarily because i do not want to take ppis forever (No side effects at all so far). One of the other main reasons is, and without trying to sound like a bit of a dick, i dont want to keep to a strict diet of bland food. One of my main enjoyments in life is eating good food and having a drink (i am well within normal weight).
I have thought about it and it seems the best option for me in the future to continue enjoying my life is to get the LINX surgery, as i am pretty miserable on the ppis and i know i would be even worse without them and sticking to a diet.
Basically just wondering if any of you guys have had the surgery or are feeling the same as me?</t>
        </is>
      </c>
      <c r="D2409" t="n">
        <v>6</v>
      </c>
      <c r="E2409" t="n">
        <v>18</v>
      </c>
      <c r="F2409">
        <f>HYPERLINK("https://www.reddit.com/r/GERD/comments/ctv0az/linx_surgery/")</f>
        <v/>
      </c>
      <c r="G2409" t="inlineStr">
        <is>
          <t>2019-08-22 02:34:00</t>
        </is>
      </c>
      <c r="H2409" t="inlineStr"/>
    </row>
    <row r="2410">
      <c r="A2410" t="inlineStr">
        <is>
          <t>ctvwy5</t>
        </is>
      </c>
      <c r="B2410" t="inlineStr">
        <is>
          <t>Hiatal hernia</t>
        </is>
      </c>
      <c r="C2410" t="inlineStr">
        <is>
          <t>So i was diagnosed with hiatal hernia but the doctor said it’s not that big so there is no need for surgery. So the doctor prescribes me Pantoprazole Teva 40g, but i saw it has a lot of sides effects. So i was thinking is Omeprazol is better, less side effects. 
So which wouldn’t effect my body so hard, Prantoprazole or Omeprazol?</t>
        </is>
      </c>
      <c r="D2410" t="n">
        <v>3</v>
      </c>
      <c r="E2410" t="n">
        <v>20</v>
      </c>
      <c r="F2410">
        <f>HYPERLINK("https://www.reddit.com/r/GERD/comments/ctvwy5/hiatal_hernia/")</f>
        <v/>
      </c>
      <c r="G2410" t="inlineStr">
        <is>
          <t>2019-08-22 04:12:05</t>
        </is>
      </c>
      <c r="H2410" t="inlineStr"/>
    </row>
    <row r="2411">
      <c r="A2411" t="inlineStr">
        <is>
          <t>ctwdji</t>
        </is>
      </c>
      <c r="B2411" t="inlineStr">
        <is>
          <t>Tips on living with fear of Barretts?</t>
        </is>
      </c>
      <c r="C2411" t="inlineStr">
        <is>
          <t>i have had symptoms for around 4 years and take nexium. primarily my symptoms were heartburn but since taking nexium i do not sometimes feel other symptoms such as potential regurfitation, although it only ever feels like water rather than acid. also chest pain sometimes and a burning stomach.
My last scope was 8 months ago and came back \*all normal\*.
I am just terrified that i am still doing damage to myself even whilst on Nexium - and terrified of getting barretts.
Any positive words of wisdom?</t>
        </is>
      </c>
      <c r="D2411" t="n">
        <v>2</v>
      </c>
      <c r="E2411" t="n">
        <v>5</v>
      </c>
      <c r="F2411">
        <f>HYPERLINK("https://www.reddit.com/r/GERD/comments/ctwdji/tips_on_living_with_fear_of_barretts/")</f>
        <v/>
      </c>
      <c r="G2411" t="inlineStr">
        <is>
          <t>2019-08-22 04:57:08</t>
        </is>
      </c>
      <c r="H2411" t="inlineStr"/>
    </row>
    <row r="2412">
      <c r="A2412" t="inlineStr">
        <is>
          <t>ctxfkm</t>
        </is>
      </c>
      <c r="B2412" t="inlineStr">
        <is>
          <t>Having acid rebound, after stopping PPI, any tips?</t>
        </is>
      </c>
      <c r="C2412" t="inlineStr">
        <is>
          <t>Hey guys! 
I have stopped taking new generation of PPI tablets. Was on them for 2 months, due to silent reflux exacerbating my asthma. Has been more than 48 hours. I can feel the acid rebound. Any tips to ease the symptoms?  I am already on a diet. Already keep my head up when sleeping. Don't consume any coffee, soda, fizzy drinks, eat very little fatty food. Anything else I should be aware of? 
Thanks!</t>
        </is>
      </c>
      <c r="D2412" t="n">
        <v>2</v>
      </c>
      <c r="E2412" t="n">
        <v>12</v>
      </c>
      <c r="F2412">
        <f>HYPERLINK("https://www.reddit.com/r/GERD/comments/ctxfkm/having_acid_rebound_after_stopping_ppi_any_tips/")</f>
        <v/>
      </c>
      <c r="G2412" t="inlineStr">
        <is>
          <t>2019-08-22 06:27:07</t>
        </is>
      </c>
      <c r="H2412" t="inlineStr"/>
    </row>
    <row r="2413">
      <c r="A2413" t="inlineStr">
        <is>
          <t>ctzmfc</t>
        </is>
      </c>
      <c r="B2413" t="inlineStr">
        <is>
          <t>Should I stop doing handstands?</t>
        </is>
      </c>
      <c r="C2413" t="inlineStr">
        <is>
          <t>I switched and do a few in the morning. I figured at wake up time, that's when I don't have any acid inside me?
Is this still a bad idea? Should I stop?</t>
        </is>
      </c>
      <c r="D2413" t="n">
        <v>0</v>
      </c>
      <c r="E2413" t="n">
        <v>13</v>
      </c>
      <c r="F2413">
        <f>HYPERLINK("https://www.reddit.com/r/GERD/comments/ctzmfc/should_i_stop_doing_handstands/")</f>
        <v/>
      </c>
      <c r="G2413" t="inlineStr">
        <is>
          <t>2019-08-22 09:14:17</t>
        </is>
      </c>
      <c r="H2413" t="inlineStr"/>
    </row>
    <row r="2414">
      <c r="A2414" t="inlineStr">
        <is>
          <t>cu0vxd</t>
        </is>
      </c>
      <c r="B2414" t="inlineStr">
        <is>
          <t>Reflux, no appetitie, chest pains for a week. Ruining my sleep and life.</t>
        </is>
      </c>
      <c r="C2414" t="inlineStr">
        <is>
          <t>My reflux started last week Saturday morning. Chest pains, difficulty breathing, pain below my breastbone, small dry coughs, and constant burping. I'm certain this is GERD?
I've had my gallbladder out 2 years ago and my GERD became more intense, then it went low, then recently, I've been getting attacks.
I don't have the appetite to eat anything because I feel extremely bloated. I'll be visiting my doctor later and ask her for medications.
I used to take omeprazole, pantoprazole, and antacid to ease my pain but got no prescription at the moment.
It's like I want to let out a massive fart and a large burp just to be able to breath well. I haven't had proper sleep for the entire week. Most nights I spend sleeping only for 4-5 hours.
Do you have any home remedies that are effective for you? How do you sleep well at night?</t>
        </is>
      </c>
      <c r="D2414" t="n">
        <v>1</v>
      </c>
      <c r="E2414" t="n">
        <v>12</v>
      </c>
      <c r="F2414">
        <f>HYPERLINK("https://www.reddit.com/r/GERD/comments/cu0vxd/reflux_no_appetitie_chest_pains_for_a_week/")</f>
        <v/>
      </c>
      <c r="G2414" t="inlineStr">
        <is>
          <t>2019-08-22 10:45:21</t>
        </is>
      </c>
      <c r="H2414" t="inlineStr"/>
    </row>
    <row r="2415">
      <c r="A2415" t="inlineStr">
        <is>
          <t>cu257t</t>
        </is>
      </c>
      <c r="B2415" t="inlineStr">
        <is>
          <t>GERD is ruining my life</t>
        </is>
      </c>
      <c r="C2415" t="inlineStr">
        <is>
          <t>I am 23. I have been having GERD for about six months, it happens 24/7. I get heart burn, acid reflux, hiccups, burps, I spit up acid and it even comes out of my nose. I recently got an EGD and had a hiatal hernia and Schatzki rings and got dilated. I watch my diet like crazy, was put on a PPI and antacid, it does NOTHING. There is no relief ever. Does anyone have any advice?</t>
        </is>
      </c>
      <c r="D2415" t="n">
        <v>9</v>
      </c>
      <c r="E2415" t="n">
        <v>16</v>
      </c>
      <c r="F2415">
        <f>HYPERLINK("https://www.reddit.com/r/GERD/comments/cu257t/gerd_is_ruining_my_life/")</f>
        <v/>
      </c>
      <c r="G2415" t="inlineStr">
        <is>
          <t>2019-08-22 12:15:45</t>
        </is>
      </c>
      <c r="H2415" t="inlineStr"/>
    </row>
    <row r="2416">
      <c r="A2416" t="inlineStr">
        <is>
          <t>cu27r8</t>
        </is>
      </c>
      <c r="B2416" t="inlineStr">
        <is>
          <t>Questions to ask gastroenterologist for an effective treatment plan?</t>
        </is>
      </c>
      <c r="C2416" t="inlineStr">
        <is>
          <t>I had a pretty scary bloating episode a few days ago. I've been experiencing bloating a lot more often the last few months but on Monday about an hour after dinner, it suddenly started to get worse and worse. My abdomen felt like it was about to tear in two and I was salivating so much it felt like I was drowning. Ever since then, I've had a pain in the center of my stomach, which is typical for me but not usually this constant. 
That whole ordeal, coupled with the frustration of just not knowing how to effectively manage this condition, prompted me to make an appointment with my gastroenterologist - who I see in three weeks. He's a nice man but I feel like every time I see him, he's in the room for 2.5 minutes and I leave with a prescription for a new PPI. But I'm really getting sick of putting bandaids on the symptoms and I really want to get to the bottom of my issues. It's getting extremely out of control and not to mention, nerve-wracking. I suffer pretty badly from health anxiety and it's hard not to constantly worry about stomach cancer when you're constantly having uncomfortable symptoms. 
I tried to schedule with a new doctor at a different practice, thinking a fresh perspective might help, but that doctor's earliest appointment isn't until two months from now and for all I know, I could be dead by then. Who knows what the heck is going on in my stomach. So long story short, I'm looking for suggestions on things I should ask or discuss with my current doctor to figure out a good path forward.
- What specifically is causing my symptoms? Is it a mechanical issue? Too much acid? Too little? 
- Are there any long term solutions other than PPIs? 
- Would there be any value in testing for food allergies/sensitivities? Or seeing a dietician? 
Appreciate any suggestions from anyone who's managed to get good info and a successful treatment plan from their doctor.</t>
        </is>
      </c>
      <c r="D2416" t="n">
        <v>3</v>
      </c>
      <c r="E2416" t="n">
        <v>4</v>
      </c>
      <c r="F2416">
        <f>HYPERLINK("https://www.reddit.com/r/GERD/comments/cu27r8/questions_to_ask_gastroenterologist_for_an/")</f>
        <v/>
      </c>
      <c r="G2416" t="inlineStr">
        <is>
          <t>2019-08-22 12:20:49</t>
        </is>
      </c>
      <c r="H2416" t="inlineStr"/>
    </row>
    <row r="2417">
      <c r="A2417" t="inlineStr">
        <is>
          <t>cu43k1</t>
        </is>
      </c>
      <c r="B2417" t="inlineStr">
        <is>
          <t>New Symptoms After Eliminating Triggers</t>
        </is>
      </c>
      <c r="C2417" t="inlineStr">
        <is>
          <t>I recently stated a new diet that includes eliminating my biggest triggers completely - this includes no coffee or tea, no caffeine of any kind, no alcohol, nothing citrus or with tomatoes, and nothing acidic. I take omeprazole every day. I no longer have acid reflux and heartburn which is GREAT, but I still have hiccups and burps. However, since eliminating my triggers a week ago, I've developed a constant - and I mean all day every day - feeling that my throat is dry. It feels like a sore throat, but not painful. Nothing seems to make it better, not even water. It's so irritating. I also have that feeling you get when you swallow food wrong or swallow a big pill and it gets stuck in your throat, which is also new. I feel like I have more phlegm than usual as well. So my question is: Is this a normal part of healing? Has anyone experienced a chronic sore throat/dry throat feeling and was there any way of relieving this? Don't get me wrong I would take these symptoms over acid reflux and heartburn any day, but this is just as irritating.</t>
        </is>
      </c>
      <c r="D2417" t="n">
        <v>4</v>
      </c>
      <c r="E2417" t="n">
        <v>1</v>
      </c>
      <c r="F2417">
        <f>HYPERLINK("https://www.reddit.com/r/GERD/comments/cu43k1/new_symptoms_after_eliminating_triggers/")</f>
        <v/>
      </c>
      <c r="G2417" t="inlineStr">
        <is>
          <t>2019-08-22 14:37:56</t>
        </is>
      </c>
      <c r="H2417" t="inlineStr"/>
    </row>
    <row r="2418">
      <c r="A2418" t="inlineStr">
        <is>
          <t>cu4c6k</t>
        </is>
      </c>
      <c r="B2418" t="inlineStr">
        <is>
          <t>Anyone noticed hair loss, thinning and textural changes on omeprazole?</t>
        </is>
      </c>
      <c r="C2418" t="inlineStr">
        <is>
          <t>I’m weaning off omeprazole anyway (it seemed a lifesaver in the beginning but now that I’m coming off of it I’m not sure how much it was actually doing), but I’ve noticed some hair issues and I wondered if that was related to the medication or deficiencies it might cause.
Mainly my hair feels dry and brittle and damaged, but I’ve also noticed what seems like thinking for someone who’s always had too much hair if anything. Could be age, but I’m not sure it would happen this fast.</t>
        </is>
      </c>
      <c r="D2418" t="n">
        <v>3</v>
      </c>
      <c r="E2418" t="n">
        <v>2</v>
      </c>
      <c r="F2418">
        <f>HYPERLINK("https://www.reddit.com/r/GERD/comments/cu4c6k/anyone_noticed_hair_loss_thinning_and_textural/")</f>
        <v/>
      </c>
      <c r="G2418" t="inlineStr">
        <is>
          <t>2019-08-22 14:55:41</t>
        </is>
      </c>
      <c r="H2418" t="inlineStr"/>
    </row>
    <row r="2419">
      <c r="A2419" t="inlineStr">
        <is>
          <t>cu4r6k</t>
        </is>
      </c>
      <c r="B2419" t="inlineStr">
        <is>
          <t>Did I cause GERD?</t>
        </is>
      </c>
      <c r="C2419" t="inlineStr">
        <is>
          <t>29 year old female.
After having gastritis in March (I took too many Advil when I had the flu) and then getting hit by the stomach flu 3 weeks later, my stomach has been a bit of a mess.  However, a month ago, I stupidly ate a bunch of pizza and had a bunch of beers and haven’t been the same since.
The next day after drinking, I was extremely nauseous and ended up having stomach pain, nausea, and chest pain for 4 days (I went to the walk in and the ER), I was prescribed omeprazole which I took for 3 weeks.  I also followed up with a gastroenterologist and have an endoscopy tomorrow (I’ll post an update then).  In the meantime, my stomach pain somewhat subsided but now I have extremely bad heartburn.  
My chest hurts, my back hurts, my throat hurts, and I feel like I have a lump or mucus in my throat.  I stopped taking the omeprazole because I was scared of the long term side effects but I’ll probably start taking it again after my endoscopy tomorrow.  In the meantime, I’ve been taking Zantac and antacids.  
I had this issue before about 8 years ago, had an endoscopy which showed some inflammation but everything sort of resolved after a few months.  I now realize I’ve been having some form of silent reflux since then as my throat often hurts and has little bumps in it when I wake up after a night of drinking or eating poorly.  I’m wondering if the gastritis led to GERD or if I made my “silent” reflux not so silent.
I drink probably more than I should but since this started I stopped drinking anything other than water (I’ve just started drinking alkaline water) and I’ve been eating super plain (potatoes, rice, simple meat, simple veggies, salad, yogurt, bananas).  I’m still not feeling a whole lot of relief though.
The Zantac also makes me super gassy and sometimes causes my stomach to burn.  Today the heartburn was so bad it was hurting my teeth and nose.  The zantac and alkaline water seemed to take the edge off a little.  
Anyone else had something similar happen?  Anything I can try for relief?  I now realize I need to make some significant lifestyle changes (less drinking, no caffeine, better food choices, more exercise).  I just want to start feeling better though!  Every single day I am extremely uncomfortable or am in pain.  I barely want to do anything and haven’t been able to focus on working so clearly.
Very excited to see what the endoscopy will show tomorrow.</t>
        </is>
      </c>
      <c r="D2419" t="n">
        <v>2</v>
      </c>
      <c r="E2419" t="n">
        <v>12</v>
      </c>
      <c r="F2419">
        <f>HYPERLINK("https://www.reddit.com/r/GERD/comments/cu4r6k/did_i_cause_gerd/")</f>
        <v/>
      </c>
      <c r="G2419" t="inlineStr">
        <is>
          <t>2019-08-22 15:26:56</t>
        </is>
      </c>
      <c r="H2419" t="inlineStr"/>
    </row>
    <row r="2420">
      <c r="A2420" t="inlineStr">
        <is>
          <t>cu4sl5</t>
        </is>
      </c>
      <c r="B2420" t="inlineStr">
        <is>
          <t>upper endoscopy</t>
        </is>
      </c>
      <c r="C2420" t="inlineStr">
        <is>
          <t>Having an upper endoscopy done on Saturday, any advice? Been feeling kind of anxious about it if I’m being honest. Already got the checklist of what I need to do pre op, any advice, or assurance would be great. 
I’m getting it because I’ve been symptomatic with sore throat, regurgitation, things feeling like they’re Stuck in my throat, acid reflux, heartburn, chest pain, abdominal pain, shortness of breath, and back pain as well. Tried everything from PPIS to d-Limonene. Just thought I’d add some context to everything. Thanks</t>
        </is>
      </c>
      <c r="D2420" t="n">
        <v>3</v>
      </c>
      <c r="E2420" t="n">
        <v>22</v>
      </c>
      <c r="F2420">
        <f>HYPERLINK("https://www.reddit.com/r/GERD/comments/cu4sl5/upper_endoscopy/")</f>
        <v/>
      </c>
      <c r="G2420" t="inlineStr">
        <is>
          <t>2019-08-22 15:30:03</t>
        </is>
      </c>
      <c r="H2420" t="inlineStr"/>
    </row>
    <row r="2421">
      <c r="A2421" t="inlineStr">
        <is>
          <t>cu5hn6</t>
        </is>
      </c>
      <c r="B2421" t="inlineStr">
        <is>
          <t>Found out I have Gerd on Tuesday</t>
        </is>
      </c>
      <c r="C2421" t="inlineStr">
        <is>
          <t>Hello!
Apologies upfront if the questions I ask have been answered before - I'm still adjusting to this diagnosis so I'm still a little disoriented/confused.
I had a brief ER visit last weekend due to abdominal pain that had lasted over 3 days and which led to my first panic attack. CT Scans and bloodwork all came back great but I started experiencing increased acid reflux after my visit and constant feeling of gas in my chest. Fast forward to this Tuesday, I can't sleep all night because the left side of my chest feels weird (not really any pain but more like it's uncomfortable) and my left arm hurts so ofc I panic and Google assures me its problems. I head to urgent care in the morning, they do all basic tests and an ecg and everything comes back fine. They gave me a gi cocktail for the acid and prescribed Zantac.
It's been two days, the Zantac has helped beat the acid reflux - I only have constant burps now, sometimes it feels like gas is stuck in my chest. There's still pain in my left arm and my left chest/boob feels uncomfortable - it's like a constant muscle ache. I'll go back soon if the pain doesn't subside but it's relieving to know that it's nothing heart related cause that was terrifying me. For anyone with similar symptoms, does the pain go away eventually? I'm still trying to adjust my diet, but I'm hoping that with caution and restrictions I can control this before it grows any further.
Any helpful tips/advice would be super appreciated!! Thank you!</t>
        </is>
      </c>
      <c r="D2421" t="n">
        <v>2</v>
      </c>
      <c r="E2421" t="n">
        <v>5</v>
      </c>
      <c r="F2421">
        <f>HYPERLINK("https://www.reddit.com/r/GERD/comments/cu5hn6/found_out_i_have_gerd_on_tuesday/")</f>
        <v/>
      </c>
      <c r="G2421" t="inlineStr">
        <is>
          <t>2019-08-22 16:25:03</t>
        </is>
      </c>
      <c r="H2421" t="inlineStr"/>
    </row>
    <row r="2422">
      <c r="A2422" t="inlineStr">
        <is>
          <t>cubdjy</t>
        </is>
      </c>
      <c r="B2422" t="inlineStr">
        <is>
          <t>Carnivore / Keto , Currently feeling amazing</t>
        </is>
      </c>
      <c r="C2422" t="inlineStr">
        <is>
          <t>Hey guys. I started a carnivore diet about 5-6 days ago,  after starting the diet I've felt amazing as far as no gerd symptoms. I actually casually shifted into keto (mostly eating meat butter and cheese) but sometimes peanut butter and other 1-2 net carb per serving meals. I haven't had one episode of feeling bloated, globus feeling, food in throat feeling , no sore throat, nothing. ( I mostly had silent reflux) obviously I still have it but that's if I completely go off this diet.
&amp;amp;#x200B;
If anyones willing to try a VERY low carb diet, like netting 20-25 per day max. It may or may not help you but it's worth the shot. I haven't felt any relief from anything but this diet in over a year.  Any questions about what I eat daily ? let me know</t>
        </is>
      </c>
      <c r="D2422" t="n">
        <v>0</v>
      </c>
      <c r="E2422" t="n">
        <v>10</v>
      </c>
      <c r="F2422">
        <f>HYPERLINK("https://www.reddit.com/r/GERD/comments/cubdjy/carnivore_keto_currently_feeling_amazing/")</f>
        <v/>
      </c>
      <c r="G2422" t="inlineStr">
        <is>
          <t>2019-08-23 02:16:24</t>
        </is>
      </c>
      <c r="H2422" t="inlineStr"/>
    </row>
    <row r="2423">
      <c r="A2423" t="inlineStr">
        <is>
          <t>cuc07x</t>
        </is>
      </c>
      <c r="B2423" t="inlineStr">
        <is>
          <t>Does anyone else get a bad fever / chills after a acid reflux attack?</t>
        </is>
      </c>
      <c r="C2423" t="inlineStr">
        <is>
          <t>I have been having this for years and wondering if anyone else experienced this</t>
        </is>
      </c>
      <c r="D2423" t="n">
        <v>0</v>
      </c>
      <c r="E2423" t="n">
        <v>5</v>
      </c>
      <c r="F2423">
        <f>HYPERLINK("https://www.reddit.com/r/GERD/comments/cuc07x/does_anyone_else_get_a_bad_fever_chills_after_a/")</f>
        <v/>
      </c>
      <c r="G2423" t="inlineStr">
        <is>
          <t>2019-08-23 03:28:24</t>
        </is>
      </c>
      <c r="H2423" t="inlineStr"/>
    </row>
    <row r="2424">
      <c r="A2424" t="inlineStr">
        <is>
          <t>cucutr</t>
        </is>
      </c>
      <c r="B2424" t="inlineStr">
        <is>
          <t>Can GERD cause your heart rate/BPM to drop?</t>
        </is>
      </c>
      <c r="C2424" t="inlineStr">
        <is>
          <t>I was diagnosed with GERD/Silent Reflux a few months ago. Had an endoscopy, everything came back clear, but doc told me to avoid coffee and spicy foods for a while. I've stopped them for 3 weeks and my symptoms have slightly resolved, but I noticed since being diagnosed with GERD I will feel a slight pressure in my left side of my chest, where my heart is, and my fitbit will say my BPM is at 52-56.
I'm 27, clean diet, workout 6x a week, but none of it is cardio. So docs suspect that it's because I'm athletic, but I was wondering if their is some certain correlation there or maybe someone else is experiencing something else. Going to a cardio to get tested next week just in case.</t>
        </is>
      </c>
      <c r="D2424" t="n">
        <v>0</v>
      </c>
      <c r="E2424" t="n">
        <v>5</v>
      </c>
      <c r="F2424">
        <f>HYPERLINK("https://www.reddit.com/r/GERD/comments/cucutr/can_gerd_cause_your_heart_ratebpm_to_drop/")</f>
        <v/>
      </c>
      <c r="G2424" t="inlineStr">
        <is>
          <t>2019-08-23 04:56:50</t>
        </is>
      </c>
      <c r="H2424" t="inlineStr"/>
    </row>
    <row r="2425">
      <c r="A2425" t="inlineStr">
        <is>
          <t>cue25z</t>
        </is>
      </c>
      <c r="B2425" t="inlineStr">
        <is>
          <t>Acid reflux reappearing after quitting the diet soda</t>
        </is>
      </c>
      <c r="C2425" t="inlineStr">
        <is>
          <t>I quit drinking diet soda on Monday because it would always cause bad acid reflux.  I am also on Omeprazole and take tums every other day.  I want to get off the Omeprazole so I quit drinking the diet soda but since I quit, I now feel a different type of acid reflux appearing.  I now have to take tums more often I feel like. 
Has anyone experienced this before or does anyone know if it's just my esophagus healing or something?</t>
        </is>
      </c>
      <c r="D2425" t="n">
        <v>2</v>
      </c>
      <c r="E2425" t="n">
        <v>12</v>
      </c>
      <c r="F2425">
        <f>HYPERLINK("https://www.reddit.com/r/GERD/comments/cue25z/acid_reflux_reappearing_after_quitting_the_diet/")</f>
        <v/>
      </c>
      <c r="G2425" t="inlineStr">
        <is>
          <t>2019-08-23 06:41:36</t>
        </is>
      </c>
      <c r="H2425" t="inlineStr"/>
    </row>
    <row r="2426">
      <c r="A2426" t="inlineStr">
        <is>
          <t>cuh93k</t>
        </is>
      </c>
      <c r="B2426" t="inlineStr">
        <is>
          <t>Trying to find out if this is GERD</t>
        </is>
      </c>
      <c r="C2426" t="inlineStr">
        <is>
          <t>I've mentioned this to my PCP but she hasn't been super helpful so far, so I'm going to try eliminating things and documenting. But anyway, most mornings I'll have up with a burning chest pain that somewhat feels better when I deeply inhale, if that makes sense. I'm assuming it's heartburn, but I don't really ever get any symptoms after eating, it's just when I wake up, and will often last until the afternoon. Tums helps a bit, but not a ton.   
It's not consistent so I'm thinking it could be heartburn or GERD and being caused by what I eat or drink before bed.. I do drink 2 seltzers a day, and the occasional beer at night, but that's really it. My mom has GERD / constant heartburn and  hiatal hernia so I'm thinking this might be one of those? Any suggestions or things to try are helpful! I'm 37 (F) by the way.</t>
        </is>
      </c>
      <c r="D2426" t="n">
        <v>2</v>
      </c>
      <c r="E2426" t="n">
        <v>4</v>
      </c>
      <c r="F2426">
        <f>HYPERLINK("https://www.reddit.com/r/GERD/comments/cuh93k/trying_to_find_out_if_this_is_gerd/")</f>
        <v/>
      </c>
      <c r="G2426" t="inlineStr">
        <is>
          <t>2019-08-23 10:44:39</t>
        </is>
      </c>
      <c r="H2426" t="inlineStr"/>
    </row>
    <row r="2427">
      <c r="A2427" t="inlineStr">
        <is>
          <t>cuhuhk</t>
        </is>
      </c>
      <c r="B2427" t="inlineStr">
        <is>
          <t>Anyone have success with a toupet fundoplication and have poor esophageal motility?</t>
        </is>
      </c>
      <c r="C2427" t="inlineStr">
        <is>
          <t>Just like the title states has anyone had success getting a toupet fundoplication and also have poor Esophageal Motility?
I only passed 3/10 swallows and I am trying to weigh my options.</t>
        </is>
      </c>
      <c r="D2427" t="n">
        <v>3</v>
      </c>
      <c r="E2427" t="n">
        <v>11</v>
      </c>
      <c r="F2427">
        <f>HYPERLINK("https://www.reddit.com/r/GERD/comments/cuhuhk/anyone_have_success_with_a_toupet_fundoplication/")</f>
        <v/>
      </c>
      <c r="G2427" t="inlineStr">
        <is>
          <t>2019-08-23 11:28:30</t>
        </is>
      </c>
      <c r="H2427" t="inlineStr"/>
    </row>
    <row r="2428">
      <c r="A2428" t="inlineStr">
        <is>
          <t>cuieej</t>
        </is>
      </c>
      <c r="B2428" t="inlineStr">
        <is>
          <t>Burning side pain</t>
        </is>
      </c>
      <c r="C2428" t="inlineStr">
        <is>
          <t>I have been dealing with GERD for about a year now. I try to eat a low carb/ plant based diet and I have eliminated enriched flours as well. If I do ever so often cheat on my meal plan, I get a severe, burning pain in the right side of my stomach. Has anyone ever experienced this before as well? The pain will come in waves and only for about 30 seconds at a time. Maybe it is indigestion or just a symptom of GERD and not eating right. Just trying to see if anyone can relate and provide some info</t>
        </is>
      </c>
      <c r="D2428" t="n">
        <v>3</v>
      </c>
      <c r="E2428" t="n">
        <v>11</v>
      </c>
      <c r="F2428">
        <f>HYPERLINK("https://www.reddit.com/r/GERD/comments/cuieej/burning_side_pain/")</f>
        <v/>
      </c>
      <c r="G2428" t="inlineStr">
        <is>
          <t>2019-08-23 12:09:55</t>
        </is>
      </c>
      <c r="H2428" t="inlineStr"/>
    </row>
    <row r="2429">
      <c r="A2429" t="inlineStr">
        <is>
          <t>cuji59</t>
        </is>
      </c>
      <c r="B2429" t="inlineStr">
        <is>
          <t>Please help, easy question</t>
        </is>
      </c>
      <c r="C2429" t="inlineStr">
        <is>
          <t>After endoscopy My doctor said I have a relaxed lower esophageal sphincter, but the mucosa of the esophagus is normal, no esophagitis. He said to watch my diet
Does this mean I am at risk to develop gerd?</t>
        </is>
      </c>
      <c r="D2429" t="n">
        <v>1</v>
      </c>
      <c r="E2429" t="n">
        <v>2</v>
      </c>
      <c r="F2429">
        <f>HYPERLINK("https://www.reddit.com/r/GERD/comments/cuji59/please_help_easy_question/")</f>
        <v/>
      </c>
      <c r="G2429" t="inlineStr">
        <is>
          <t>2019-08-23 13:33:34</t>
        </is>
      </c>
      <c r="H2429" t="inlineStr"/>
    </row>
    <row r="2430">
      <c r="A2430" t="inlineStr">
        <is>
          <t>cukvij</t>
        </is>
      </c>
      <c r="B2430" t="inlineStr">
        <is>
          <t>Chest pains while sitting</t>
        </is>
      </c>
      <c r="C2430" t="inlineStr">
        <is>
          <t>Does anyone’s chest pains get worst when sitting?</t>
        </is>
      </c>
      <c r="D2430" t="n">
        <v>1</v>
      </c>
      <c r="E2430" t="n">
        <v>4</v>
      </c>
      <c r="F2430">
        <f>HYPERLINK("https://www.reddit.com/r/GERD/comments/cukvij/chest_pains_while_sitting/")</f>
        <v/>
      </c>
      <c r="G2430" t="inlineStr">
        <is>
          <t>2019-08-23 15:19:29</t>
        </is>
      </c>
      <c r="H2430" t="inlineStr"/>
    </row>
    <row r="2431">
      <c r="A2431" t="inlineStr">
        <is>
          <t>cukvp2</t>
        </is>
      </c>
      <c r="B2431" t="inlineStr">
        <is>
          <t>Constant belching and need to burp causing nausea while on PPI</t>
        </is>
      </c>
      <c r="C2431" t="inlineStr">
        <is>
          <t>Hi all, I've recently gone back on PPIs after ranitidine wasn't doing the trick. Normally Nexium takes about 2-3 days to fully kick in for me. It's been a week now and the acidity has diminished in my reflux but the reflux is still there. I have a constant need to burp after I eat and when I don't I feel really nauseous. In the past, PPIs have gotten rid of these symptoms for me. I tried upping the dose from 20 mg a day(my old dosage) to 20 mg twice a day to no effect. Should I continue to up the dose? Should I switch to another PPI like Prilosec? Have I somehow become immune to PPIs? I'm stumped!</t>
        </is>
      </c>
      <c r="D2431" t="n">
        <v>4</v>
      </c>
      <c r="E2431" t="n">
        <v>11</v>
      </c>
      <c r="F2431">
        <f>HYPERLINK("https://www.reddit.com/r/GERD/comments/cukvp2/constant_belching_and_need_to_burp_causing_nausea/")</f>
        <v/>
      </c>
      <c r="G2431" t="inlineStr">
        <is>
          <t>2019-08-23 15:19:56</t>
        </is>
      </c>
      <c r="H2431" t="inlineStr"/>
    </row>
    <row r="2432">
      <c r="A2432" t="inlineStr">
        <is>
          <t>cuo5c7</t>
        </is>
      </c>
      <c r="B2432" t="inlineStr">
        <is>
          <t>Had my first EGD today</t>
        </is>
      </c>
      <c r="C2432" t="inlineStr">
        <is>
          <t>I've been suffering since March of this year with what I thought was GERD. In May, my doctor put me on a month long course of 40mg Protonix, then another month of 20mg (all the while making lifestyle changes), and then weaning down to no meds. The only time I felt "normal" was on the 40mg Protonix, but as soon as I went down to 20mg and nothing the GERD came back, thought not as bad as it initially was in March/April. So I was referred to a gastro doc and had an EGD today.
Everything looked normal and healthy except for some mild irritation (gastritis) in my stomach lining. The doctor took some biopsies and then they are also going to test for H. pylori. Anyone else ever have everything come back mostly normal? With how much pain I was in I was expecting much worse. I am hoping that everything can be explained away by an H. pylori infection and antibiotics will cure me. Pretty confused right now.</t>
        </is>
      </c>
      <c r="D2432" t="n">
        <v>2</v>
      </c>
      <c r="E2432" t="n">
        <v>6</v>
      </c>
      <c r="F2432">
        <f>HYPERLINK("https://www.reddit.com/r/GERD/comments/cuo5c7/had_my_first_egd_today/")</f>
        <v/>
      </c>
      <c r="G2432" t="inlineStr">
        <is>
          <t>2019-08-23 20:08:32</t>
        </is>
      </c>
      <c r="H2432" t="inlineStr"/>
    </row>
    <row r="2433">
      <c r="A2433" t="inlineStr">
        <is>
          <t>cuoylc</t>
        </is>
      </c>
      <c r="B2433" t="inlineStr">
        <is>
          <t>Accidentally took 80mg of esomeprazole magnesium.</t>
        </is>
      </c>
      <c r="C2433" t="inlineStr">
        <is>
          <t>I accidentally took 80mg of nexium instead of my prescribed 40. Does anybody else do this? Should I be concerned? Thanks!</t>
        </is>
      </c>
      <c r="D2433" t="n">
        <v>3</v>
      </c>
      <c r="E2433" t="n">
        <v>7</v>
      </c>
      <c r="F2433">
        <f>HYPERLINK("https://www.reddit.com/r/GERD/comments/cuoylc/accidentally_took_80mg_of_esomeprazole_magnesium/")</f>
        <v/>
      </c>
      <c r="G2433" t="inlineStr">
        <is>
          <t>2019-08-23 21:31:11</t>
        </is>
      </c>
      <c r="H2433" t="inlineStr"/>
    </row>
    <row r="2434">
      <c r="A2434" t="inlineStr">
        <is>
          <t>cupjw2</t>
        </is>
      </c>
      <c r="B2434" t="inlineStr">
        <is>
          <t>How often do you eat?</t>
        </is>
      </c>
      <c r="C2434" t="inlineStr">
        <is>
          <t>If I don’t eat every 2 hours, I get hunger pangs.</t>
        </is>
      </c>
      <c r="D2434" t="n">
        <v>1</v>
      </c>
      <c r="E2434" t="n">
        <v>6</v>
      </c>
      <c r="F2434">
        <f>HYPERLINK("https://www.reddit.com/r/GERD/comments/cupjw2/how_often_do_you_eat/")</f>
        <v/>
      </c>
      <c r="G2434" t="inlineStr">
        <is>
          <t>2019-08-23 22:37:17</t>
        </is>
      </c>
      <c r="H2434" t="inlineStr"/>
    </row>
    <row r="2435">
      <c r="A2435" t="inlineStr">
        <is>
          <t>cupri0</t>
        </is>
      </c>
      <c r="B2435" t="inlineStr">
        <is>
          <t>Quick question about Prilosec with GERD (still havent seen a gastroenterologist)</t>
        </is>
      </c>
      <c r="C2435" t="inlineStr">
        <is>
          <t>If i just ended my 14 day program with Prilosec OTC, am i supposed to stop taking acid reducers for 3 months until the next possible program or should i go to CVS tomorrow and pick up acid reducers (Zantac or Pepcid)?
Also tips on who to see and what to ask would be appreciated. 18 M</t>
        </is>
      </c>
      <c r="D2435" t="n">
        <v>2</v>
      </c>
      <c r="E2435" t="n">
        <v>16</v>
      </c>
      <c r="F2435">
        <f>HYPERLINK("https://www.reddit.com/r/GERD/comments/cupri0/quick_question_about_prilosec_with_gerd_still/")</f>
        <v/>
      </c>
      <c r="G2435" t="inlineStr">
        <is>
          <t>2019-08-23 23:02:37</t>
        </is>
      </c>
      <c r="H2435" t="inlineStr"/>
    </row>
    <row r="2436">
      <c r="A2436" t="inlineStr">
        <is>
          <t>cuqtua</t>
        </is>
      </c>
      <c r="B2436" t="inlineStr">
        <is>
          <t>Looking for some reassurance or advice</t>
        </is>
      </c>
      <c r="C2436" t="inlineStr">
        <is>
          <t>Hi all, I’ve been diagnosed with mild GERD for almost three years now. It’s never been too much of an issue for me as I’ve managed Symptoms with Omeprazol and Zantac for several years. However, I am on vacation this week 3000 miles from home and am having some ridiculous symptoms that I can’t get under control.
For context I’m pretty sure I got food poisoning that caused me to spend the night puking my
Brains out. My whole family got sick so I’m
Pretty sure that’s the culprit. After this happened I’ve had to burp maybe every 3 minutes and my chest feels very tight. I constantly feel like I have an air bubble in my chest or a burp I can’t get out. It feels extremely painful.  
I’m going on 36 hours with out eating due to the Nausea and constant belching. I can deal with that it’s just the tightness and pain in my chest that are skyrocketing my anxiety. I spoke to my GI via phone and she assured me that these were all symptoms of GERD and that if I continue my medication regimen they will pass. This hasn’t done much to calm me down and I feel like I’m hurting myself more by being so stressed and anxious. 
I know nobody here can diagnose me or provide serious medical reassurance I’m more or less venting and maybe looking for some similar stories to help me relax.
Thanks</t>
        </is>
      </c>
      <c r="D2436" t="n">
        <v>1</v>
      </c>
      <c r="E2436" t="n">
        <v>4</v>
      </c>
      <c r="F2436">
        <f>HYPERLINK("https://www.reddit.com/r/GERD/comments/cuqtua/looking_for_some_reassurance_or_advice/")</f>
        <v/>
      </c>
      <c r="G2436" t="inlineStr">
        <is>
          <t>2019-08-24 01:21:09</t>
        </is>
      </c>
      <c r="H2436" t="inlineStr"/>
    </row>
    <row r="2437">
      <c r="A2437" t="inlineStr">
        <is>
          <t>cusjg0</t>
        </is>
      </c>
      <c r="B2437" t="inlineStr">
        <is>
          <t>Questions about potential GERD symptoms.</t>
        </is>
      </c>
      <c r="C2437" t="inlineStr">
        <is>
          <t>I've been experiencing symptoms which seem like they could be GERD. I don't have the "classic" heartburn symptoms, which I understand isn't uncommon in GERD. But I do have some of the other things, such as a persistent cough, feeling like there is a lump in my throat, chest pain, and sometimes like there is pressure around my heart, and intermittent shortness of breath (but nothing that inhibits physical activity, more of an annoyance.) Dr. Google says some of these correlate with GERD. 
But what seems atypical is that these symptoms can last for days without ceasing. I'm currently on day 3 of this "flair". Does anyone else experience these long lasting symptoms? When I started noticing symptoms several months ago I went ahead and stopped drinking (my only pleasure in life), stopped eating terrible food and started less bad food.  
Thoughts?</t>
        </is>
      </c>
      <c r="D2437" t="n">
        <v>3</v>
      </c>
      <c r="E2437" t="n">
        <v>11</v>
      </c>
      <c r="F2437">
        <f>HYPERLINK("https://www.reddit.com/r/GERD/comments/cusjg0/questions_about_potential_gerd_symptoms/")</f>
        <v/>
      </c>
      <c r="G2437" t="inlineStr">
        <is>
          <t>2019-08-24 04:59:51</t>
        </is>
      </c>
      <c r="H2437" t="inlineStr"/>
    </row>
    <row r="2438">
      <c r="A2438" t="inlineStr">
        <is>
          <t>cuvne7</t>
        </is>
      </c>
      <c r="B2438" t="inlineStr">
        <is>
          <t>"Atypical chest pain" for 4 months... is it GERD?</t>
        </is>
      </c>
      <c r="C2438" t="inlineStr">
        <is>
          <t>Hello! I'm getting impatient with my doctors because it has been 4 months with no diagnosis and no official treatment. I'm wondering if anyone in the GERD community can relate to the following symptoms, since I'm starting to think it is bad acid reflux mixed with some chest wall inflammation...
**Here are my symptoms (since late April 2019):**
* Mild soreness at all times in left chest and all over the left pectoral region, left rib, left neck, left shoulder and down the left arm
* Tightness in upper chest wall, soreness in collarbone
* Often a sore throat, sometimes feels like lump in throat and/or sternum, and at times it feels like it's a bit hard to swallow food or like food gets caught in chest
* Pain gets worse when I drink caffeine or use nicotine (which I have quit)
* Heart racing or "fluttering" at times
* Sometimes if feels like an internal itchy feeling in chest (pins and needles mixed with an actual internal "itch"), extending down from my left pecs to my left rib and below the rib
* Oddly enough, at times this pain even goes into my left ear
**BACKGROUND:**
I had an extremely stressful winter with various issues. Meanwhile, I was vaping on the Juul (high nicotine, menthol) all hours of the day to “deal with” my stress (I realize this was counterproductive).
In late April 2019, I started having symptoms of what felt like a heart attack -- including left-side chest and neck pain that radiated down my left arm and into my left hand, as well as a racing/flutter feeling in my chest. I went to the ER and my ECG was normal.
Although mild, this chest pain feeling was pretty constant, but got a lot more intense when I consumed nicotine in the form of vaping (which I quit), nicotine lozenges, and nicotine gum. So I quit all nicotine products on June 10.
However, the symptoms continued, and the pain has even gotten worse in some regards...
**TESTING:**
In the past four months, I have had numerous heart test. I will spare you from listing all of them, but trust me, they covered everything, and all cardiology problems were ruled out.
Lung/breathing problems were ruled out according to pulmonary doctors.
In addition, breast exam was normal, along with ear, nose and throat exam.
Upper and middle chest and neck X-rays ruled out a slipped disc or any major injuries.
Also had full blood count (normal), SED rate test to determine inflammation (normal).
Had an upper endoscopy, and they didn't find anything major except a small hiatal hernia and esophageal thrush, for which I took 2 weeks of Fluconazole. They didn’t think either of these things would be causing all the symptoms, since the hernia is small and the thrush was minimal.
Had a GI follow-up and doctor ordered a manometry (i.e. esophageal motility test) and I'm still waiting on the results (should know in a week). 
Currently I'm taking Zantac until we find out if it's related to GI stuff (at which point they would probably start a PPI). Also started a low-acid diet, but even with that, certain foods still trigger symptoms. Also propping up my head a bit with an adjustable bed frame.
**TRIGGERS:**
The left-side pain is there all the time, but things that make it worse include: working at a desk all day, eating acid reflux trigger foods, but also many other foods (the food connection is very random), drinking anything other than water or chamomile tea, heavy exercise, very hot weather, nicotine, alcohol, ibuprofen, anxiety, anger.
I know that anxiety doesn't help, but I know it's not all in my head. It's the not knowing that is the hardest part -- I have never had something like this go on for so long with no answers. 
Thanks for reading.</t>
        </is>
      </c>
      <c r="D2438" t="n">
        <v>5</v>
      </c>
      <c r="E2438" t="n">
        <v>21</v>
      </c>
      <c r="F2438">
        <f>HYPERLINK("https://www.reddit.com/r/GERD/comments/cuvne7/atypical_chest_pain_for_4_months_is_it_gerd/")</f>
        <v/>
      </c>
      <c r="G2438" t="inlineStr">
        <is>
          <t>2019-08-24 09:38:19</t>
        </is>
      </c>
      <c r="H2438" t="inlineStr"/>
    </row>
    <row r="2439">
      <c r="A2439" t="inlineStr">
        <is>
          <t>cuwmrj</t>
        </is>
      </c>
      <c r="B2439" t="inlineStr">
        <is>
          <t>Just got done with endoscopy</t>
        </is>
      </c>
      <c r="C2439" t="inlineStr">
        <is>
          <t>I feel high affffff</t>
        </is>
      </c>
      <c r="D2439" t="n">
        <v>0</v>
      </c>
      <c r="E2439" t="n">
        <v>0</v>
      </c>
      <c r="F2439">
        <f>HYPERLINK("https://www.reddit.com/r/GERD/comments/cuwmrj/just_got_done_with_endoscopy/")</f>
        <v/>
      </c>
      <c r="G2439" t="inlineStr">
        <is>
          <t>2019-08-24 10:51:22</t>
        </is>
      </c>
      <c r="H2439" t="inlineStr"/>
    </row>
    <row r="2440">
      <c r="A2440" t="inlineStr">
        <is>
          <t>cuwqu6</t>
        </is>
      </c>
      <c r="B2440" t="inlineStr">
        <is>
          <t>Getting better w/o doctor</t>
        </is>
      </c>
      <c r="C2440" t="inlineStr">
        <is>
          <t xml:space="preserve"> The fact that this all started over eating a Buffalo wings large box of traditional wings takeout baffles me. I was really sick and with all the nausea, the pain, the acid the heartburn, the chest pain, the rib inflammation pain, my stomach felt like it was bleeding, the trouble swallowing...i thought i was going to literally die right there in my bed. I would have panic attacks and feel dizzy from time to time. I chose not to go to the doctor because i was scared they wouldn't help me and i'll just stay there for nothing because i know very well i had GERD ever since i got a huge reflux from eating that crap. I was on Bactrim for a few days and now i feel so much better and i highly reccomend it. (of course i did also follow a GERD diet) All my pain was reduced. Yeah.. the side effects weren't that pretty because they gave me headaches and more dizziness. You just have to drink a lot of water when you take it and try avoiding the sun more than usual. (AND PLEASE DON'T DRINK) And please i advise you to research the other Bactrim side effects. The side effects can vary on the person. I hope this helps.</t>
        </is>
      </c>
      <c r="D2440" t="n">
        <v>1</v>
      </c>
      <c r="E2440" t="n">
        <v>6</v>
      </c>
      <c r="F2440">
        <f>HYPERLINK("https://www.reddit.com/r/GERD/comments/cuwqu6/getting_better_wo_doctor/")</f>
        <v/>
      </c>
      <c r="G2440" t="inlineStr">
        <is>
          <t>2019-08-24 10:59:58</t>
        </is>
      </c>
      <c r="H2440" t="inlineStr"/>
    </row>
    <row r="2441">
      <c r="A2441" t="inlineStr">
        <is>
          <t>cuyn5l</t>
        </is>
      </c>
      <c r="B2441" t="inlineStr">
        <is>
          <t>Insane insatiable hunger</t>
        </is>
      </c>
      <c r="C2441" t="inlineStr">
        <is>
          <t>I am 1 day away from finishing a 2 week treatment for h. pylori (2 antibiotics, bismuth &amp;amp; stomach pill) and I am RAVENOUS all the time! Even after a big meal, I get symptoms of being full (burping) but I still feel hunger. Is this typical? I am trying to maintain a healthy calorie count but all I can think if is food!!</t>
        </is>
      </c>
      <c r="D2441" t="n">
        <v>4</v>
      </c>
      <c r="E2441" t="n">
        <v>1</v>
      </c>
      <c r="F2441">
        <f>HYPERLINK("https://www.reddit.com/r/GERD/comments/cuyn5l/insane_insatiable_hunger/")</f>
        <v/>
      </c>
      <c r="G2441" t="inlineStr">
        <is>
          <t>2019-08-24 13:28:43</t>
        </is>
      </c>
      <c r="H2441" t="inlineStr"/>
    </row>
    <row r="2442">
      <c r="A2442" t="inlineStr">
        <is>
          <t>cuyncs</t>
        </is>
      </c>
      <c r="B2442" t="inlineStr">
        <is>
          <t>My history with GERD and dysphagia . Advice is much appreciated!</t>
        </is>
      </c>
      <c r="C2442" t="inlineStr">
        <is>
          <t>17 F , 114 lbs , height : 5’2 
About 1 month ago exactly, I was having trouble swallowing anything, even water would get stuck. Food would get stuck at the base of my throat. I was also experiencing heartburn 4x a day, constant burping up to 40x a day!, globus sensation, throat tightness, shortness of breath, regurgitation, sore throat, and a mild cough. Went to the doc and I was given omeprazole 20 mg. My symptoms resolved 1 week after I starter medication. All though I was occasionally burping after eating food, I sometimes I would also regurgitate my food, throat tightness occasionally too. But nothing too extreme like before. 
I thought to myself cool! No more swallowing problems but I guess I was wrong 
New symptoms began yesterday, I was eating some chicken and every time I swallowed I would get a dull/sharp pain right below my stomach. I’m guessing at the end of my esophagus? Food doesn’t get suck but I constantly have discomfort right below my stomach. I’m still experiencing throat tightness and throat soreness. 
I’m going to be honest, my diet hasn’t been perfect but I have been trying to avoid all food triggers. I still wear tight clothing which I know is terrible for acid reflux sufferers. I don’t incline my head. I was eating right before bed too .
The problem location first started at the base of throat and switched to the end of my esophagus?? This is really confusing, I have no idea what’s going. I am writing this to see if someone has had a similar experience. 
Thanks for taking your time reading this</t>
        </is>
      </c>
      <c r="D2442" t="n">
        <v>4</v>
      </c>
      <c r="E2442" t="n">
        <v>6</v>
      </c>
      <c r="F2442">
        <f>HYPERLINK("https://www.reddit.com/r/GERD/comments/cuyncs/my_history_with_gerd_and_dysphagia_advice_is_much/")</f>
        <v/>
      </c>
      <c r="G2442" t="inlineStr">
        <is>
          <t>2019-08-24 13:29:13</t>
        </is>
      </c>
      <c r="H2442" t="inlineStr"/>
    </row>
    <row r="2443">
      <c r="A2443" t="inlineStr">
        <is>
          <t>cv2tl4</t>
        </is>
      </c>
      <c r="B2443" t="inlineStr">
        <is>
          <t>Stomach Cancer?</t>
        </is>
      </c>
      <c r="C2443" t="inlineStr">
        <is>
          <t>What are some symptoms that are 100% stomach cancer related? I'm seeing a GI in two weeks but I've felt insanely sick for 3 months. Most of the symptoms I feel are also symptoms of gerd,gastritis,ibs,cancer etc so I have no idea now</t>
        </is>
      </c>
      <c r="D2443" t="n">
        <v>2</v>
      </c>
      <c r="E2443" t="n">
        <v>7</v>
      </c>
      <c r="F2443">
        <f>HYPERLINK("https://www.reddit.com/r/GERD/comments/cv2tl4/stomach_cancer/")</f>
        <v/>
      </c>
      <c r="G2443" t="inlineStr">
        <is>
          <t>2019-08-24 19:24:06</t>
        </is>
      </c>
      <c r="H2443" t="inlineStr"/>
    </row>
    <row r="2444">
      <c r="A2444" t="inlineStr">
        <is>
          <t>cv47fj</t>
        </is>
      </c>
      <c r="B2444" t="inlineStr">
        <is>
          <t>Ate tomato sauce. Er mer GERD.</t>
        </is>
      </c>
      <c r="C2444" t="inlineStr">
        <is>
          <t>Dang it I messed up.</t>
        </is>
      </c>
      <c r="D2444" t="n">
        <v>54</v>
      </c>
      <c r="E2444" t="n">
        <v>15</v>
      </c>
      <c r="F2444">
        <f>HYPERLINK("https://www.reddit.com/r/GERD/comments/cv47fj/ate_tomato_sauce_er_mer_gerd/")</f>
        <v/>
      </c>
      <c r="G2444" t="inlineStr">
        <is>
          <t>2019-08-24 21:38:53</t>
        </is>
      </c>
      <c r="H2444" t="inlineStr"/>
    </row>
    <row r="2445">
      <c r="A2445" t="inlineStr">
        <is>
          <t>cv4jw9</t>
        </is>
      </c>
      <c r="B2445" t="inlineStr">
        <is>
          <t>Shortness of breath</t>
        </is>
      </c>
      <c r="C2445" t="inlineStr">
        <is>
          <t>Anybody have episodes of shortness of breath or difficulty breathing?</t>
        </is>
      </c>
      <c r="D2445" t="n">
        <v>3</v>
      </c>
      <c r="E2445" t="n">
        <v>5</v>
      </c>
      <c r="F2445">
        <f>HYPERLINK("https://www.reddit.com/r/GERD/comments/cv4jw9/shortness_of_breath/")</f>
        <v/>
      </c>
      <c r="G2445" t="inlineStr">
        <is>
          <t>2019-08-24 22:17:15</t>
        </is>
      </c>
      <c r="H2445" t="inlineStr"/>
    </row>
    <row r="2446">
      <c r="A2446" t="inlineStr">
        <is>
          <t>cv5cz0</t>
        </is>
      </c>
      <c r="B2446" t="inlineStr">
        <is>
          <t>Anyone else have trouble swallowing?</t>
        </is>
      </c>
      <c r="C2446" t="inlineStr">
        <is>
          <t>For me it feels like I can’t get the muscles to move and actually swallow things. May be neurological, not sure. What is dysphagia like for you?</t>
        </is>
      </c>
      <c r="D2446" t="n">
        <v>1</v>
      </c>
      <c r="E2446" t="n">
        <v>1</v>
      </c>
      <c r="F2446">
        <f>HYPERLINK("https://www.reddit.com/r/GERD/comments/cv5cz0/anyone_else_have_trouble_swallowing/")</f>
        <v/>
      </c>
      <c r="G2446" t="inlineStr">
        <is>
          <t>2019-08-24 23:57:23</t>
        </is>
      </c>
      <c r="H2446" t="inlineStr"/>
    </row>
    <row r="2447">
      <c r="A2447" t="inlineStr">
        <is>
          <t>cv6loc</t>
        </is>
      </c>
      <c r="B2447" t="inlineStr">
        <is>
          <t>Diet Testing , Carbohydrate &amp;amp; GERD</t>
        </is>
      </c>
      <c r="C2447" t="inlineStr">
        <is>
          <t>This entire week i've been testing a new diet for GERD/LPR. I've basically have been on an EXTREMELY low carb diet, meaning less than 10 carbs per day, maybe even less than that, basically no carbs. Mainly consuming cauliflower bread, which is like 60% Cauliflower &amp;amp; 40% Parm cheese. None the less, my Silent reflux symptoms have basically disappeared completely, I can almost say I could lie down flat and sleep without a wedge (in over a year), i'm just too scared to do so.
&amp;amp;#x200B;
Anyway, today I slipped up majorly because I thought i'd "reward" myself for being so good on my diet. I consumed some carbs, mainly sugar + bread. And low and behold, bloating, stomach pressure, gas, and reflux which I immediately took a ton of gaviscon to avoid feeling those symptoms.  I'm just wondering if ANYONE out there has the same type of issue, only with carbs ? i've tried this before (avoiding all types of carbs) with the same success. I'm now wondering if I have some sort of food allergy, or if my body is just unable to digest carbs. If anyone has answers! :) And i'm not boasting about this diet either, but I plan on staying on this diet for at least 3-6 months. generally feel so much bette r, and I look/feel super fit  (i'm not overweight either) I actually was underweight for a while but now i'm just about where I need to be</t>
        </is>
      </c>
      <c r="D2447" t="n">
        <v>1</v>
      </c>
      <c r="E2447" t="n">
        <v>0</v>
      </c>
      <c r="F2447">
        <f>HYPERLINK("https://www.reddit.com/r/GERD/comments/cv6loc/diet_testing_carbohydrate_gerd/")</f>
        <v/>
      </c>
      <c r="G2447" t="inlineStr">
        <is>
          <t>2019-08-25 02:45:15</t>
        </is>
      </c>
      <c r="H2447" t="inlineStr"/>
    </row>
    <row r="2448">
      <c r="A2448" t="inlineStr">
        <is>
          <t>cvbfrr</t>
        </is>
      </c>
      <c r="B2448" t="inlineStr">
        <is>
          <t>Any connection between GERD and spinal problems?</t>
        </is>
      </c>
      <c r="C2448" t="inlineStr">
        <is>
          <t>Quick story:
In high school I had dysphagia so badly I couldn’t eat solid food for three or four months. I struggled with GERD on and off but don’t remember associating it with this. I also had terrible neck and head pain from “tech neck” and spinal misalignment. 
I had an endoscopy where they diagnosed me with dysmotility and gave me a pill that didn’t do much. Around the same time, I started going to the chiropractor for my neck. Fixed my neck, the dysphagia went away. Never connected this until years later. Thought it was a coincidence. 
Now I’m wondering—could spinal issues be associated with GERD? My work involves too much computer, so tech neck is always a real danger. The esophagus and stomach seem sensitive to nerves, and nerves have a relationship with the spine... 
Just thought I’d ask, since losing weight and changing my diet have done nothing for me.</t>
        </is>
      </c>
      <c r="D2448" t="n">
        <v>3</v>
      </c>
      <c r="E2448" t="n">
        <v>2</v>
      </c>
      <c r="F2448">
        <f>HYPERLINK("https://www.reddit.com/r/GERD/comments/cvbfrr/any_connection_between_gerd_and_spinal_problems/")</f>
        <v/>
      </c>
      <c r="G2448" t="inlineStr">
        <is>
          <t>2019-08-25 10:31:51</t>
        </is>
      </c>
      <c r="H2448" t="inlineStr"/>
    </row>
    <row r="2449">
      <c r="A2449" t="inlineStr">
        <is>
          <t>cvc8lp</t>
        </is>
      </c>
      <c r="B2449" t="inlineStr">
        <is>
          <t>My friend need some help</t>
        </is>
      </c>
      <c r="C2449" t="inlineStr">
        <is>
          <t>Hello friends! 
My best friend just got diagnosed with GERD and it is really making him Anxious to eat anything. He has lost a lot of weight, he really does not cook for himself very much and his wife is having problems getting him to eat anything. 
Is there any recipe list y’all like? Or is there something else a friend can do to help his best mate out? 
Any advice would be appreciated.</t>
        </is>
      </c>
      <c r="D2449" t="n">
        <v>2</v>
      </c>
      <c r="E2449" t="n">
        <v>2</v>
      </c>
      <c r="F2449">
        <f>HYPERLINK("https://www.reddit.com/r/GERD/comments/cvc8lp/my_friend_need_some_help/")</f>
        <v/>
      </c>
      <c r="G2449" t="inlineStr">
        <is>
          <t>2019-08-25 11:32:21</t>
        </is>
      </c>
      <c r="H2449" t="inlineStr"/>
    </row>
    <row r="2450">
      <c r="A2450" t="inlineStr">
        <is>
          <t>cvcow9</t>
        </is>
      </c>
      <c r="B2450" t="inlineStr">
        <is>
          <t>Breathing issues? LPR diagnosis</t>
        </is>
      </c>
      <c r="C2450" t="inlineStr">
        <is>
          <t>So apparently I have pretty bad LPR. It’s mainly silent so I didn’t really know the havoc it was creating. 
My main complaint/symptom is with my breathing. I often have a horse voice and feel like I can’t get a deep enough breath. I also cough sometimes. My scope did show inflammation. 
Anyone else deal with this? It’s kind of scary &amp;amp; driving me crazy. What helped?</t>
        </is>
      </c>
      <c r="D2450" t="n">
        <v>10</v>
      </c>
      <c r="E2450" t="n">
        <v>19</v>
      </c>
      <c r="F2450">
        <f>HYPERLINK("https://www.reddit.com/r/GERD/comments/cvcow9/breathing_issues_lpr_diagnosis/")</f>
        <v/>
      </c>
      <c r="G2450" t="inlineStr">
        <is>
          <t>2019-08-25 12:05:42</t>
        </is>
      </c>
      <c r="H2450" t="inlineStr"/>
    </row>
    <row r="2451">
      <c r="A2451" t="inlineStr">
        <is>
          <t>cvd6x7</t>
        </is>
      </c>
      <c r="B2451" t="inlineStr">
        <is>
          <t>Loud talking/being hungover helped LPR, does this make sense?</t>
        </is>
      </c>
      <c r="C2451" t="inlineStr">
        <is>
          <t>My LPR was flaring up again last week (I think due to a course in antibiotics which nuked my gut bacteria) which caused my voice to be thin and strainy due to inflammation. Yesterday, I was at an outside party drinking, talking loudly over music for about 7 hours and got very little sleep, but the next day my voice has much more of it’s range and sounds fuller. Shouldn’t what I did yesterday make LPR worse?
I didn’t change anything in my regimen - still took my Ranitidine and a few tums</t>
        </is>
      </c>
      <c r="D2451" t="n">
        <v>1</v>
      </c>
      <c r="E2451" t="n">
        <v>3</v>
      </c>
      <c r="F2451">
        <f>HYPERLINK("https://www.reddit.com/r/GERD/comments/cvd6x7/loud_talkingbeing_hungover_helped_lpr_does_this/")</f>
        <v/>
      </c>
      <c r="G2451" t="inlineStr">
        <is>
          <t>2019-08-25 12:44:18</t>
        </is>
      </c>
      <c r="H2451" t="inlineStr"/>
    </row>
    <row r="2452">
      <c r="A2452" t="inlineStr">
        <is>
          <t>cvexcq</t>
        </is>
      </c>
      <c r="B2452" t="inlineStr">
        <is>
          <t>What is acid reflux exactly? Used to suffer from GERD but not anymore (i think)</t>
        </is>
      </c>
      <c r="C2452" t="inlineStr">
        <is>
          <t>I used to have symptoms of GERD (indigestion feeling at times, burning stomach, constant sour taste / acid brash) early this year for about 3-4 months and now they have disappeared completely apart from occasional slight burning feeling in throat (only when waking up) and indigestion/heart burn feeling very rarely/randomly.  I also used to wake up middle of the night with this acid liquid coming up my throat into the back my my mouth but never get that now.
I am curious, when someone says they have acid reflux what does that mean exactly?  Is it sour taste back of mouth or water/acid brash or actual acid (maybe mixed with other stomach contents) coming up into throat/mouth?  Is it same as regurgitation?  Is there a particular amount that needs to reflux for it to be considered acid reflux?</t>
        </is>
      </c>
      <c r="D2452" t="n">
        <v>4</v>
      </c>
      <c r="E2452" t="n">
        <v>5</v>
      </c>
      <c r="F2452">
        <f>HYPERLINK("https://www.reddit.com/r/GERD/comments/cvexcq/what_is_acid_reflux_exactly_used_to_suffer_from/")</f>
        <v/>
      </c>
      <c r="G2452" t="inlineStr">
        <is>
          <t>2019-08-25 15:01:10</t>
        </is>
      </c>
      <c r="H2452" t="inlineStr"/>
    </row>
    <row r="2453">
      <c r="A2453" t="inlineStr">
        <is>
          <t>cvfbyt</t>
        </is>
      </c>
      <c r="B2453" t="inlineStr">
        <is>
          <t>Feel like my health is failing or there might be something serious going on and I’m only 17. Cancer fears</t>
        </is>
      </c>
      <c r="C2453" t="inlineStr">
        <is>
          <t>17 F, weight 114 lbs, height 5’2 
I’ve been suffering with dysphagia and GERD symptoms for 1 month now. Everything happened all at once. 
I was having trouble swallowing my food, it was so severe that even water would get stuck at the base of my throat, along with globus sensation. I would regurgitate all my food, sore throat, really bad heartburn too, I also had the sensation that someone was choking me out, along with shortness of breath. 
Went to the doc got prescribed omeprazole, my symptoms improved so much. My swallowing was back to normal. I was able to eat anything I wanted. 
1 month later... I started having difficulty swallowing but in a different place like at the end of my esophagus, 
Food doesn’t get stuck at the end of the day I find it painful to swallow. I get a dull/tight feeling above my stomach. 
now I get easily full. I am terrified I have stomach of the esophagus/stomach. Why can’t I just enjoy food like a normal person? I’m seeing my regular doc so I can see a gastro. This is really bumming me out. Of course I’m always thinking about the worst case scenario but I feel like this is too much. 
:( 
all my symptoms are indicating stomach cancer</t>
        </is>
      </c>
      <c r="D2453" t="n">
        <v>1</v>
      </c>
      <c r="E2453" t="n">
        <v>0</v>
      </c>
      <c r="F2453">
        <f>HYPERLINK("https://www.reddit.com/r/GERD/comments/cvfbyt/feel_like_my_health_is_failing_or_there_might_be/")</f>
        <v/>
      </c>
      <c r="G2453" t="inlineStr">
        <is>
          <t>2019-08-25 15:33:38</t>
        </is>
      </c>
      <c r="H2453" t="inlineStr"/>
    </row>
    <row r="2454">
      <c r="A2454" t="inlineStr">
        <is>
          <t>cvftkq</t>
        </is>
      </c>
      <c r="B2454" t="inlineStr">
        <is>
          <t>Angina</t>
        </is>
      </c>
      <c r="C2454" t="inlineStr">
        <is>
          <t>Anybody get angina like chest pain. That just feels like something is grabbing your chest and squeezing it</t>
        </is>
      </c>
      <c r="D2454" t="n">
        <v>6</v>
      </c>
      <c r="E2454" t="n">
        <v>39</v>
      </c>
      <c r="F2454">
        <f>HYPERLINK("https://www.reddit.com/r/GERD/comments/cvftkq/angina/")</f>
        <v/>
      </c>
      <c r="G2454" t="inlineStr">
        <is>
          <t>2019-08-25 16:14:31</t>
        </is>
      </c>
      <c r="H2454" t="inlineStr"/>
    </row>
    <row r="2455">
      <c r="A2455" t="inlineStr">
        <is>
          <t>cvge9p</t>
        </is>
      </c>
      <c r="B2455" t="inlineStr">
        <is>
          <t>Ears plugging up for a second</t>
        </is>
      </c>
      <c r="C2455" t="inlineStr">
        <is>
          <t>Does anyone else get this, where your ears will plug up briefly as air/gas from your stomach rises into your upper airways? This happens many times throughout the day for me and wants to know if anyone else experiences this.</t>
        </is>
      </c>
      <c r="D2455" t="n">
        <v>3</v>
      </c>
      <c r="E2455" t="n">
        <v>1</v>
      </c>
      <c r="F2455">
        <f>HYPERLINK("https://www.reddit.com/r/GERD/comments/cvge9p/ears_plugging_up_for_a_second/")</f>
        <v/>
      </c>
      <c r="G2455" t="inlineStr">
        <is>
          <t>2019-08-25 17:04:22</t>
        </is>
      </c>
      <c r="H2455" t="inlineStr"/>
    </row>
    <row r="2456">
      <c r="A2456" t="inlineStr">
        <is>
          <t>cvgmw9</t>
        </is>
      </c>
      <c r="B2456" t="inlineStr">
        <is>
          <t>Stomach cancer worries</t>
        </is>
      </c>
      <c r="C2456" t="inlineStr">
        <is>
          <t>17 F, weight 114 lbs, height 5’2 
I’ve been suffering with dysphagia and GERD symptoms for 1 month now. Everything happened all at once. 
I was having trouble swallowing my food, it was so severe that even water would get stuck at the base of my throat, along with globus sensation. I would regurgitate all my food, sore throat, really bad heartburn too, I also had the sensation that someone was choking me out, along with shortness of breath. 
Went to the doc got prescribed omeprazole, my symptoms improved so much. My swallowing was back to normal. I was able to eat anything I wanted. 
1 month later... I started having difficulty swallowing but in a different place like at the end of my esophagus, 
Food doesn’t get stuck but at the end of the day I find it painful to swallow. I get a dull/tight feeling above my stomach. 
now I get easily full. I am terrified I have cancer of the esophagus/stomach. Why can’t I just enjoy food like a normal person? I’m seeing my regular doc so I can see a gastro. This is really bumming me out. Of course I’m always thinking about the worst case scenario but I feel like this is too much. 
:( 
all my symptoms are indicating stomach cancer
In all honesty, I was still eating spicy and greasy foods now and then. I was still wearing tight clothing, eating before bed. So maybe it’s my fault I’m still having symptoms</t>
        </is>
      </c>
      <c r="D2456" t="n">
        <v>0</v>
      </c>
      <c r="E2456" t="n">
        <v>7</v>
      </c>
      <c r="F2456">
        <f>HYPERLINK("https://www.reddit.com/r/GERD/comments/cvgmw9/stomach_cancer_worries/")</f>
        <v/>
      </c>
      <c r="G2456" t="inlineStr">
        <is>
          <t>2019-08-25 17:24:52</t>
        </is>
      </c>
      <c r="H2456" t="inlineStr"/>
    </row>
    <row r="2457">
      <c r="A2457" t="inlineStr">
        <is>
          <t>cvhf16</t>
        </is>
      </c>
      <c r="B2457" t="inlineStr">
        <is>
          <t>Constant mucus in back of throat</t>
        </is>
      </c>
      <c r="C2457" t="inlineStr">
        <is>
          <t>What do you guys think? The constant mucus in the back of my throat/needing to clear my throat is my only symptom. No heartburn or anything that would scream “reflux”. I’ve been reading up on LPR..that seems more likely I believe. That or seasonal allergies which I definitely have. This has been going on since late April 2019.</t>
        </is>
      </c>
      <c r="D2457" t="n">
        <v>3</v>
      </c>
      <c r="E2457" t="n">
        <v>2</v>
      </c>
      <c r="F2457">
        <f>HYPERLINK("https://www.reddit.com/r/GERD/comments/cvhf16/constant_mucus_in_back_of_throat/")</f>
        <v/>
      </c>
      <c r="G2457" t="inlineStr">
        <is>
          <t>2019-08-25 18:33:28</t>
        </is>
      </c>
      <c r="H2457" t="inlineStr"/>
    </row>
    <row r="2458">
      <c r="A2458" t="inlineStr">
        <is>
          <t>cvjkwb</t>
        </is>
      </c>
      <c r="B2458" t="inlineStr">
        <is>
          <t>Gerd pain remedied/lessened by smoking after eating?</t>
        </is>
      </c>
      <c r="C2458" t="inlineStr">
        <is>
          <t>I know how crazy and counterproductive this sounds. I've even doubted it myself until i noticed the difference.  Maybe it's placebo and maybe it's all in my head but i swear the pain and discomfort i get from gerd is usually remedied by smoking a cigarette or dipping after eating.  
Between the two i think dipping eases it more for obvious reasons but I'm wondering if there's any theory or science behind this or if it's just a compulsion that my brain is trying to justify.</t>
        </is>
      </c>
      <c r="D2458" t="n">
        <v>1</v>
      </c>
      <c r="E2458" t="n">
        <v>4</v>
      </c>
      <c r="F2458">
        <f>HYPERLINK("https://www.reddit.com/r/GERD/comments/cvjkwb/gerd_pain_remediedlessened_by_smoking_after_eating/")</f>
        <v/>
      </c>
      <c r="G2458" t="inlineStr">
        <is>
          <t>2019-08-25 22:05:40</t>
        </is>
      </c>
      <c r="H2458" t="inlineStr"/>
    </row>
    <row r="2459">
      <c r="A2459" t="inlineStr">
        <is>
          <t>cvkeox</t>
        </is>
      </c>
      <c r="B2459" t="inlineStr">
        <is>
          <t>Apple Cidar Vinegar.</t>
        </is>
      </c>
      <c r="C2459" t="inlineStr">
        <is>
          <t>Take a little Apple Cidar Vinegar, mix with lots of water and drink. Has helped me loads. It would seem that some reflux stems from indigestion.
Hope this helps.</t>
        </is>
      </c>
      <c r="D2459" t="n">
        <v>0</v>
      </c>
      <c r="E2459" t="n">
        <v>3</v>
      </c>
      <c r="F2459">
        <f>HYPERLINK("https://www.reddit.com/r/GERD/comments/cvkeox/apple_cidar_vinegar/")</f>
        <v/>
      </c>
      <c r="G2459" t="inlineStr">
        <is>
          <t>2019-08-25 23:43:23</t>
        </is>
      </c>
      <c r="H2459" t="inlineStr"/>
    </row>
    <row r="2460">
      <c r="A2460" t="inlineStr">
        <is>
          <t>cvks6e</t>
        </is>
      </c>
      <c r="B2460" t="inlineStr">
        <is>
          <t>Congestion</t>
        </is>
      </c>
      <c r="C2460" t="inlineStr">
        <is>
          <t>Little backstory.
I’m a mid-twenties, otherwise fairly healthy male. I’m an avid runner and run about 20-30 miles weekly. I’ve been seeing doctors for the past year now but have dealt with congestion since I was about 15 years old. I’ve seen an allergist, who then sent me to an ENT, and now a pulmonologist. 
Did an allergy test with the allergist and it was ruled I didn’t have any allergies. She prescribed a few nasal sprays which have greatly reduced my nasal congestion. After the allergist, I was sent to an ENT and he said that he didn’t believe it was anything stemming from my nasal area and believed it might be from the chest, so went to a pulmonologist. I’ve been on montelukast for a few weeks and it doesn’t seem to be helping much.
I’m still having a lot of congestion in my chest. I wake up and have a ton of mucus in my mouth and throat. It makes waking up and mornings in general a real bitch. I don’t have the acid reflux symptom per se, but combined with other symptoms I’ve experienced I’ve always suspected GERD/LPR and have discussed this with my doctors. I think that’s eventually where the treatment will go, I’m just getting frustrated as I have seen a ton of results.
So my question for everybody here is, does anybody experience major chest congestion? It doesn’t seem to be a super common symptom of GERD/LPR, so wanted to hear from you all and see if you had any advice to alleviate the symptoms.</t>
        </is>
      </c>
      <c r="D2460" t="n">
        <v>3</v>
      </c>
      <c r="E2460" t="n">
        <v>9</v>
      </c>
      <c r="F2460">
        <f>HYPERLINK("https://www.reddit.com/r/GERD/comments/cvks6e/congestion/")</f>
        <v/>
      </c>
      <c r="G2460" t="inlineStr">
        <is>
          <t>2019-08-26 00:29:33</t>
        </is>
      </c>
      <c r="H2460" t="inlineStr"/>
    </row>
    <row r="2461">
      <c r="A2461" t="inlineStr">
        <is>
          <t>cvogco</t>
        </is>
      </c>
      <c r="B2461" t="inlineStr">
        <is>
          <t>Anyone else here get high dysphagia?</t>
        </is>
      </c>
      <c r="C2461" t="inlineStr">
        <is>
          <t>Basically when it feels like you can’t get the food down your throat? I worry it’s not gerd but something else but my issue seems to be getting the food down my throat at all sometimes. Anyone else had this?</t>
        </is>
      </c>
      <c r="D2461" t="n">
        <v>4</v>
      </c>
      <c r="E2461" t="n">
        <v>22</v>
      </c>
      <c r="F2461">
        <f>HYPERLINK("https://www.reddit.com/r/GERD/comments/cvogco/anyone_else_here_get_high_dysphagia/")</f>
        <v/>
      </c>
      <c r="G2461" t="inlineStr">
        <is>
          <t>2019-08-26 06:58:44</t>
        </is>
      </c>
      <c r="H2461" t="inlineStr"/>
    </row>
    <row r="2462">
      <c r="A2462" t="inlineStr">
        <is>
          <t>cvrjim</t>
        </is>
      </c>
      <c r="B2462" t="inlineStr">
        <is>
          <t>Guidance on seeing Gastroenterologist + sleep tips</t>
        </is>
      </c>
      <c r="C2462" t="inlineStr">
        <is>
          <t>Hi all, posting on behalf of my partner.
Currently my partner is exhibiting signs of GERD and perhaps LRP (acid washing into mouth). They are currently uninsured (we're working to get this ASAP). After going to the local urgent care clinic and doing a quick test for h. pylori turns out negative. The doctor's recommendation was to change diet and up the dosage amount for omeprazole. I want to cover all of our bases in case the upped dosage won't help. I see there are a few gastroenterologists in my area and I'm curious if they'll see a patient that's not currently insured. Also, do you have any tips for extremely painful throat burns (very bad at night)? We've tried salt gargling, drinking tons of water, Tums, OTC anti-acids, and propping up the back with pillows. Any and all suggestions are appreciated a ton. Thank you!</t>
        </is>
      </c>
      <c r="D2462" t="n">
        <v>2</v>
      </c>
      <c r="E2462" t="n">
        <v>9</v>
      </c>
      <c r="F2462">
        <f>HYPERLINK("https://www.reddit.com/r/GERD/comments/cvrjim/guidance_on_seeing_gastroenterologist_sleep_tips/")</f>
        <v/>
      </c>
      <c r="G2462" t="inlineStr">
        <is>
          <t>2019-08-26 10:54:43</t>
        </is>
      </c>
      <c r="H2462" t="inlineStr"/>
    </row>
    <row r="2463">
      <c r="A2463" t="inlineStr">
        <is>
          <t>cvs1z8</t>
        </is>
      </c>
      <c r="B2463" t="inlineStr">
        <is>
          <t>Doctors made my mom worse</t>
        </is>
      </c>
      <c r="C2463" t="inlineStr">
        <is>
          <t>My mom age 73 lost 40 pounds 3 years ago. She saw the familly doctor and 4 specialists in just over a year before a gastroenterologist saw her. He had her on pantoprazole for a few months because of a hiatus hernia.He then told her it was just depression and stop taking the medicine. In January she went to the hospital and was on pantoprazole for a month. In April she started having severe panic attacks. In may the family  doctor misdiagnosed her with alzheimers . She had to wait until 4 weeks ago to see the geriatric clinic. They say her problem is gerd and put her on pantoprazole and anxiety medication. Since on the medication she is eating less and mainly drinking ensure and lost a few more pounds. She had problems 15 years ago and was treated.the doctors should have known this and treated her for the last 3 years.</t>
        </is>
      </c>
      <c r="D2463" t="n">
        <v>0</v>
      </c>
      <c r="E2463" t="n">
        <v>1</v>
      </c>
      <c r="F2463">
        <f>HYPERLINK("https://www.reddit.com/r/GERD/comments/cvs1z8/doctors_made_my_mom_worse/")</f>
        <v/>
      </c>
      <c r="G2463" t="inlineStr">
        <is>
          <t>2019-08-26 11:32:43</t>
        </is>
      </c>
      <c r="H2463" t="inlineStr"/>
    </row>
    <row r="2464">
      <c r="A2464" t="inlineStr">
        <is>
          <t>cvsjpz</t>
        </is>
      </c>
      <c r="B2464" t="inlineStr">
        <is>
          <t>EoE treatment tips?</t>
        </is>
      </c>
      <c r="C2464" t="inlineStr">
        <is>
          <t>Almost two years ago I was diagnosed with EoE and was put on protonix for three months. Most of my symptoms completely vanished after this run with a PPI so I was very relieved. It has recently come back at full force and in some ways is even more painful than the first time, with a constant feeling like there’s a lump in my throat and I’m about to vomit. I’m seeing my doctor in three weeks but I’m in so much discomfort what can I do to ease it until then? Thank you all!</t>
        </is>
      </c>
      <c r="D2464" t="n">
        <v>2</v>
      </c>
      <c r="E2464" t="n">
        <v>2</v>
      </c>
      <c r="F2464">
        <f>HYPERLINK("https://www.reddit.com/r/GERD/comments/cvsjpz/eoe_treatment_tips/")</f>
        <v/>
      </c>
      <c r="G2464" t="inlineStr">
        <is>
          <t>2019-08-26 12:09:31</t>
        </is>
      </c>
      <c r="H2464" t="inlineStr"/>
    </row>
    <row r="2465">
      <c r="A2465" t="inlineStr">
        <is>
          <t>cvssh4</t>
        </is>
      </c>
      <c r="B2465" t="inlineStr">
        <is>
          <t>Im going to Turkey</t>
        </is>
      </c>
      <c r="C2465" t="inlineStr">
        <is>
          <t>My gerd got worse recently. I've been eating mozzarella, 1 day old kaiser buns and oatmeal everything else hurts. My trip is in one month. I don't think i will get better before that. I'm taking omeprazole but I've taken it before it didnt do much. Im afraid there won't be anything safe for me to eat</t>
        </is>
      </c>
      <c r="D2465" t="n">
        <v>0</v>
      </c>
      <c r="E2465" t="n">
        <v>7</v>
      </c>
      <c r="F2465">
        <f>HYPERLINK("https://www.reddit.com/r/GERD/comments/cvssh4/im_going_to_turkey/")</f>
        <v/>
      </c>
      <c r="G2465" t="inlineStr">
        <is>
          <t>2019-08-26 12:27:24</t>
        </is>
      </c>
      <c r="H2465" t="inlineStr"/>
    </row>
    <row r="2466">
      <c r="A2466" t="inlineStr">
        <is>
          <t>cvt4f0</t>
        </is>
      </c>
      <c r="B2466" t="inlineStr">
        <is>
          <t>For those with successful surgeries, can you recommend your surgeon?</t>
        </is>
      </c>
      <c r="C2466" t="inlineStr">
        <is>
          <t>HI all, with some of posts saying you have to choose an excellent surgeon, I thought it would be helpful if anyone who has had a good, possibly somewhat long term result, to recommend your surgeons. Include some information as to the date, type of surgery, any complications, what tests determined you were a candidate, have you heard of other good outcomes from the same surgeon. Don't know if this is allowed, but if so I think this would be a good resource for others, of course with the understanding that a good result for one does not necessarily mean a good result for others with the same surgeon.</t>
        </is>
      </c>
      <c r="D2466" t="n">
        <v>3</v>
      </c>
      <c r="E2466" t="n">
        <v>0</v>
      </c>
      <c r="F2466">
        <f>HYPERLINK("https://www.reddit.com/r/GERD/comments/cvt4f0/for_those_with_successful_surgeries_can_you/")</f>
        <v/>
      </c>
      <c r="G2466" t="inlineStr">
        <is>
          <t>2019-08-26 12:51:45</t>
        </is>
      </c>
      <c r="H2466" t="inlineStr"/>
    </row>
    <row r="2467">
      <c r="A2467" t="inlineStr">
        <is>
          <t>cvtmdc</t>
        </is>
      </c>
      <c r="B2467" t="inlineStr">
        <is>
          <t>Suggestions for treating sore throat?</t>
        </is>
      </c>
      <c r="C2467" t="inlineStr">
        <is>
          <t>I have LPR and the main daily symptom that gets to me is the feeling of having a lump in my throat and having a sore throat. Sometimes I wonder if I’m inadvertently creating this sore throat feeling by swallowing excessively...I start swallowing to check to see if I have a lump feeling, and then before I know it I’m swallowing compulsively all day long. Or is excessive swallowing a known symptom of LPR?
Either way, my throat feels awful. I’ve been to see an ENT and he used a camera to view my throat - he didn’t see any noticeable irritation or irregularities. That was hard to hear because my throat feels very much not normal and has for months. So I’m wondering if anyone on this sub has recommendations for treating a sore throat as is related to LPR/GERD?</t>
        </is>
      </c>
      <c r="D2467" t="n">
        <v>5</v>
      </c>
      <c r="E2467" t="n">
        <v>7</v>
      </c>
      <c r="F2467">
        <f>HYPERLINK("https://www.reddit.com/r/GERD/comments/cvtmdc/suggestions_for_treating_sore_throat/")</f>
        <v/>
      </c>
      <c r="G2467" t="inlineStr">
        <is>
          <t>2019-08-26 13:28:25</t>
        </is>
      </c>
      <c r="H2467" t="inlineStr"/>
    </row>
    <row r="2468">
      <c r="A2468" t="inlineStr">
        <is>
          <t>cvtung</t>
        </is>
      </c>
      <c r="B2468" t="inlineStr">
        <is>
          <t>Does anyone else's Gerd get worse when stressed?</t>
        </is>
      </c>
      <c r="C2468" t="inlineStr">
        <is>
          <t>I swear mine was improving for the past month, slowly eating different stuff without the usual burps, and throat burning sensation. Then I started stressing for a few days, and now I'm having to take Zantac along with my 40mg Neixum to be able to eat my normal safe foods. The Zantac seems to be helping thank God. It's almost like I feel like I'm getting better, and then go backwards, it's a vicious cycle.</t>
        </is>
      </c>
      <c r="D2468" t="n">
        <v>36</v>
      </c>
      <c r="E2468" t="n">
        <v>19</v>
      </c>
      <c r="F2468">
        <f>HYPERLINK("https://www.reddit.com/r/GERD/comments/cvtung/does_anyone_elses_gerd_get_worse_when_stressed/")</f>
        <v/>
      </c>
      <c r="G2468" t="inlineStr">
        <is>
          <t>2019-08-26 13:45:28</t>
        </is>
      </c>
      <c r="H2468" t="inlineStr"/>
    </row>
    <row r="2469">
      <c r="A2469" t="inlineStr">
        <is>
          <t>cvvlms</t>
        </is>
      </c>
      <c r="B2469" t="inlineStr">
        <is>
          <t>What are your LPR symptoms?</t>
        </is>
      </c>
      <c r="C2469" t="inlineStr">
        <is>
          <t>I’d also be curious to know what your first symptoms were and if you were able to remedy them.</t>
        </is>
      </c>
      <c r="D2469" t="n">
        <v>2</v>
      </c>
      <c r="E2469" t="n">
        <v>7</v>
      </c>
      <c r="F2469">
        <f>HYPERLINK("https://www.reddit.com/r/GERD/comments/cvvlms/what_are_your_lpr_symptoms/")</f>
        <v/>
      </c>
      <c r="G2469" t="inlineStr">
        <is>
          <t>2019-08-26 15:58:34</t>
        </is>
      </c>
      <c r="H2469" t="inlineStr"/>
    </row>
    <row r="2470">
      <c r="A2470" t="inlineStr">
        <is>
          <t>cvw4eu</t>
        </is>
      </c>
      <c r="B2470" t="inlineStr">
        <is>
          <t>Any recs for throat pain while weaning off omeprazole?</t>
        </is>
      </c>
      <c r="C2470" t="inlineStr">
        <is>
          <t>Ugh—it’s severe but my GERD hasn’t been fixed in the year and a half I’ve been on it and I don’t want long term consequences of PPIs.
I’ve learned that Ambien can cause acid to stay in your throat at night so I’m quitting that too.
But just need some advice for coping with the pain in the meantime. Any OTC meds that protect esophagus or ease pain without damaging your stomach?</t>
        </is>
      </c>
      <c r="D2470" t="n">
        <v>2</v>
      </c>
      <c r="E2470" t="n">
        <v>4</v>
      </c>
      <c r="F2470">
        <f>HYPERLINK("https://www.reddit.com/r/GERD/comments/cvw4eu/any_recs_for_throat_pain_while_weaning_off/")</f>
        <v/>
      </c>
      <c r="G2470" t="inlineStr">
        <is>
          <t>2019-08-26 16:40:19</t>
        </is>
      </c>
      <c r="H2470" t="inlineStr"/>
    </row>
    <row r="2471">
      <c r="A2471" t="inlineStr">
        <is>
          <t>cvyk5y</t>
        </is>
      </c>
      <c r="B2471" t="inlineStr">
        <is>
          <t>GERD Symptoms</t>
        </is>
      </c>
      <c r="C2471" t="inlineStr">
        <is>
          <t>Hi Guys, I am 24M. Around first week of April I started having little chest pain and occasional chest burn, mostly on the right side. Then after a month I started having chest pain just above the abdomen. And now I have chest pain from left to right. And some discomfort. Not sure if it is burn or not. I had occasional burn in the middle part. But most of the discomfort is towards the arms. Now a days when I drink water or tea it fills not normal. I am not sure whether it gets stuck in some part of chest or not but it just doesn't feel normal. I am not having any trouble eating though. 
I tried having antacids but it didn't help. Currently I am not under any medication. Are these symptoms normal? Or is it something else?</t>
        </is>
      </c>
      <c r="D2471" t="n">
        <v>1</v>
      </c>
      <c r="E2471" t="n">
        <v>2</v>
      </c>
      <c r="F2471">
        <f>HYPERLINK("https://www.reddit.com/r/GERD/comments/cvyk5y/gerd_symptoms/")</f>
        <v/>
      </c>
      <c r="G2471" t="inlineStr">
        <is>
          <t>2019-08-26 20:07:35</t>
        </is>
      </c>
      <c r="H2471" t="inlineStr"/>
    </row>
    <row r="2472">
      <c r="A2472" t="inlineStr">
        <is>
          <t>cvz2lz</t>
        </is>
      </c>
      <c r="B2472" t="inlineStr">
        <is>
          <t>"No GERD" at night</t>
        </is>
      </c>
      <c r="C2472" t="inlineStr">
        <is>
          <t>Just another anecdote for the group.
I've noticed that I don't feel GERD when I'm asleep. Zero. When I get up in the morning, I start feeling GERD gradually  worsening over an hour. But, it's at zero for the first few minutes when I'm awake.
In my case, GERD is always accompanied by a lot of bloating and burping, and I can trigger a burp buy pushing on certain parts of my esophagus.
I haven't read anything that could explain why I don't have GERD when I'm asleep but the symptoms gradually build up when i'm awake. Perhaps because the acid/gas isn't sloshing around ...
Anyway, interested in any theories about this.</t>
        </is>
      </c>
      <c r="D2472" t="n">
        <v>1</v>
      </c>
      <c r="E2472" t="n">
        <v>4</v>
      </c>
      <c r="F2472">
        <f>HYPERLINK("https://www.reddit.com/r/GERD/comments/cvz2lz/no_gerd_at_night/")</f>
        <v/>
      </c>
      <c r="G2472" t="inlineStr">
        <is>
          <t>2019-08-26 20:55:42</t>
        </is>
      </c>
      <c r="H2472" t="inlineStr"/>
    </row>
    <row r="2473">
      <c r="A2473" t="inlineStr">
        <is>
          <t>cw71vj</t>
        </is>
      </c>
      <c r="B2473" t="inlineStr">
        <is>
          <t>cause you guys understand</t>
        </is>
      </c>
      <c r="C2473" t="inlineStr">
        <is>
          <t>I just miss coffee 😭 is it so much to ask for</t>
        </is>
      </c>
      <c r="D2473" t="n">
        <v>39</v>
      </c>
      <c r="E2473" t="n">
        <v>32</v>
      </c>
      <c r="F2473">
        <f>HYPERLINK("https://www.reddit.com/r/GERD/comments/cw71vj/cause_you_guys_understand/")</f>
        <v/>
      </c>
      <c r="G2473" t="inlineStr">
        <is>
          <t>2019-08-27 09:45:11</t>
        </is>
      </c>
      <c r="H2473" t="inlineStr"/>
    </row>
    <row r="2474">
      <c r="A2474" t="inlineStr">
        <is>
          <t>cw8vh6</t>
        </is>
      </c>
      <c r="B2474" t="inlineStr">
        <is>
          <t>LPR and PPI's</t>
        </is>
      </c>
      <c r="C2474" t="inlineStr">
        <is>
          <t>Has anyone with LPR here been cured after doing PPI therapy? Or know someone who has?</t>
        </is>
      </c>
      <c r="D2474" t="n">
        <v>3</v>
      </c>
      <c r="E2474" t="n">
        <v>23</v>
      </c>
      <c r="F2474">
        <f>HYPERLINK("https://www.reddit.com/r/GERD/comments/cw8vh6/lpr_and_ppis/")</f>
        <v/>
      </c>
      <c r="G2474" t="inlineStr">
        <is>
          <t>2019-08-27 12:00:07</t>
        </is>
      </c>
      <c r="H2474" t="inlineStr"/>
    </row>
    <row r="2475">
      <c r="A2475" t="inlineStr">
        <is>
          <t>cw99h5</t>
        </is>
      </c>
      <c r="B2475" t="inlineStr">
        <is>
          <t>manuka</t>
        </is>
      </c>
      <c r="C2475" t="inlineStr">
        <is>
          <t>Anyone try Manuka  honey drops for reflux and which product?</t>
        </is>
      </c>
      <c r="D2475" t="n">
        <v>2</v>
      </c>
      <c r="E2475" t="n">
        <v>0</v>
      </c>
      <c r="F2475">
        <f>HYPERLINK("https://www.reddit.com/r/GERD/comments/cw99h5/manuka/")</f>
        <v/>
      </c>
      <c r="G2475" t="inlineStr">
        <is>
          <t>2019-08-27 12:28:56</t>
        </is>
      </c>
      <c r="H2475" t="inlineStr"/>
    </row>
    <row r="2476">
      <c r="A2476" t="inlineStr">
        <is>
          <t>cwaap6</t>
        </is>
      </c>
      <c r="B2476" t="inlineStr">
        <is>
          <t>LPR - Pepcid (famotidine), diet, medcline pillow, vit D, anyone ever clear up their LPR for good?</t>
        </is>
      </c>
      <c r="C2476" t="inlineStr">
        <is>
          <t>can anyone recommend a good way to take this medicine (Pepcid) or any recommendations on how to deal with LPR in general. my only real symptoms now are a bad taste in my mouth that just wont quit, a little sinus/post nasal drip, and minor throat discomfort. no cough, no breathing issues, no throat clearing, no lump in throat, and no heartburn (knock on wood). 
my an ENT doc put me on 40mg of pepcid twice a day. i heard its best to take at night and I also heard before eating?  I want to try and avoid PPI's b/c I had a horrible reaction to omeprazole earlier this year during a bout of gastritis. It caused me a ton of anxiety and i even developed thrush while on it (I dont take steroids for asthma, was tested for HIV and diabetes, so that wasn't the cause of thrush). My doc said he wants to see if the Pepcid "will help calm things down". I don't see him for about another month. Is that enough time to see how things are working?
I was taking the meds for a while but nothing was really improving. so I stopped for a week and the taste was still bad as ever. I started back on them and am going to at least continue until I see my doc again. 
is diet really key to healing? I haven't been super strict but I have stopped citrus fruits, tomato, alcohol, etc Do I need to stop whole wheat rice and whole wheat bread though? 
I've raised by bed and even got a wedge pillow. was thinking about getting a medcline pillow. anyone know if its worth the money?
I also had my vitamin d tested earlier this year and was pretty low. I got a 50000 unit vitamin d script and that brought that back up but I stopped taking it. wondering if I should go back to taking that once a week. 
is this a life long thing or does it clear up for some people after a few months? or is it a very individual thing- varying for one person to the next. 
my anxiety is through the roof right now with all this. I feel like I need something to help calm me down too. 
thanks in advance for any help or replies.</t>
        </is>
      </c>
      <c r="D2476" t="n">
        <v>1</v>
      </c>
      <c r="E2476" t="n">
        <v>3</v>
      </c>
      <c r="F2476">
        <f>HYPERLINK("https://www.reddit.com/r/GERD/comments/cwaap6/lpr_pepcid_famotidine_diet_medcline_pillow_vit_d/")</f>
        <v/>
      </c>
      <c r="G2476" t="inlineStr">
        <is>
          <t>2019-08-27 13:45:45</t>
        </is>
      </c>
      <c r="H2476" t="inlineStr"/>
    </row>
    <row r="2477">
      <c r="A2477" t="inlineStr">
        <is>
          <t>cwaawt</t>
        </is>
      </c>
      <c r="B2477" t="inlineStr">
        <is>
          <t>Does this sound like gerd?</t>
        </is>
      </c>
      <c r="C2477" t="inlineStr">
        <is>
          <t>When I wake up in the morning, even when I am empty stomach, I feel a bit of acid coming up in my stomach area. I don't have a heart burn. Sometimes I get this gag relax and feel like throwing up but dont, because I had nothing to eat. Couple of times I did vomit some acid like substance.Nowadays I burp more than usual. I eat very healthy and drink loads of water.  Yet, I am experiencing these issues. My breath is going bad, even though I floss and brush two times. Does this sound like GERD? ( sorry for the disgusting details)</t>
        </is>
      </c>
      <c r="D2477" t="n">
        <v>0</v>
      </c>
      <c r="E2477" t="n">
        <v>0</v>
      </c>
      <c r="F2477">
        <f>HYPERLINK("https://www.reddit.com/r/GERD/comments/cwaawt/does_this_sound_like_gerd/")</f>
        <v/>
      </c>
      <c r="G2477" t="inlineStr">
        <is>
          <t>2019-08-27 13:46:14</t>
        </is>
      </c>
      <c r="H2477" t="inlineStr"/>
    </row>
    <row r="2478">
      <c r="A2478" t="inlineStr">
        <is>
          <t>cwb108</t>
        </is>
      </c>
      <c r="B2478" t="inlineStr">
        <is>
          <t>New to this</t>
        </is>
      </c>
      <c r="C2478" t="inlineStr">
        <is>
          <t>I first experienced acid reflux last night, and it was terrible, being a person who suffers from emetophobia. Thankfully a friend of mine bought me a big box of saltines today and I've eaten quite a few and it's finally starting to subside (I can eat without drinking water every 30 seconds and feeling like I'm gonna gag). My question is, once it's subsided enough, will it stay away? Or will I have to eat an insane amount of saltines in order to keep it at bay?</t>
        </is>
      </c>
      <c r="D2478" t="n">
        <v>3</v>
      </c>
      <c r="E2478" t="n">
        <v>1</v>
      </c>
      <c r="F2478">
        <f>HYPERLINK("https://www.reddit.com/r/GERD/comments/cwb108/new_to_this/")</f>
        <v/>
      </c>
      <c r="G2478" t="inlineStr">
        <is>
          <t>2019-08-27 14:40:26</t>
        </is>
      </c>
      <c r="H2478" t="inlineStr"/>
    </row>
    <row r="2479">
      <c r="A2479" t="inlineStr">
        <is>
          <t>cwbhw9</t>
        </is>
      </c>
      <c r="B2479" t="inlineStr">
        <is>
          <t>Hello Everyone! I have a ?</t>
        </is>
      </c>
      <c r="C2479" t="inlineStr">
        <is>
          <t>About a couple months ago I was in the hospital for dehydration which caused heart palpitations. This was my own fault I wanted to lose weight so bad I would barely eat go to work outside and then come home and workout. When I would eat a bad meal I’d come home and feel bad and take laxatives. Yes stupid I know. Please don’t judge me. At one point I watched me heart rate go from Normal to 135. All test wear good. Well I developed extreme anxiety after and which resulted in upset stomach for weeks. I’m still working through my issues. I’ve noticed now a couple months later I’m still suffering from acid reflux on occasion, constant burping, constipation, and what I feel like is breathing issues. I talked with my Dr and I’m on prilosec for two weeks. All my test again are great and physical exam is great. 
I’m on my third day of Prilosec and my throat just feels numb and I still feel like I can get a normal deep breath. I’ve been watching what I eat during this time and drinking plenty of water. Is my throat just heeling? Is this why I feel this way? It’s so uncomfortable. 
Btw my anxiety has gotten loads better. 
I know I’m a complete idiot trying to lose weight stupidly. Ya don’t gotta tell me, but lesson learned.</t>
        </is>
      </c>
      <c r="D2479" t="n">
        <v>2</v>
      </c>
      <c r="E2479" t="n">
        <v>0</v>
      </c>
      <c r="F2479">
        <f>HYPERLINK("https://www.reddit.com/r/GERD/comments/cwbhw9/hello_everyone_i_have_a/")</f>
        <v/>
      </c>
      <c r="G2479" t="inlineStr">
        <is>
          <t>2019-08-27 15:13:02</t>
        </is>
      </c>
      <c r="H2479" t="inlineStr"/>
    </row>
    <row r="2480">
      <c r="A2480" t="inlineStr">
        <is>
          <t>cwbs8c</t>
        </is>
      </c>
      <c r="B2480" t="inlineStr">
        <is>
          <t>Pre-PH Test Food Recommendations?</t>
        </is>
      </c>
      <c r="C2480" t="inlineStr">
        <is>
          <t>Background: I’ve been battling GERD for 15+ years (32yo female). It started with noises- my chest sounded like it was “creaking” or “groaning.” Much like a stomach growl, but definitely coming from my esophagus. It has progressively gotten worse, and made my two pregnancies miserable. I’ve been on Dexilant for around 6 years and it’s been life-saving. However, I’m to the point now that Dexilant doesn’t prevent my GERD all of the time. I still often throw up in the middle of the night after waking up “aspirating” on acid that has gone down my wind pipe. An EGD in 2015 showed a weakened LES, but the plan at the time was to continue with meds as long as they were controlling the reflux.
On Thursday, I have a Manometry Study and begin a 24 hour PH Study (not Bravo as I’m allergic to Nickel). I stopped my Dexilant last Thursday and have been miserable since. I’ve been taking tums but was told not to after tonight. I can’t sit without reflux burning my throat (and I have a fussy daughter that is requiring a lot of holding and rocking right now). Is there ANYTHING that you all might have eaten that has helped with your reflux? I tried a banana smoothie today and it made it worse.  I’m desperate to eat without pain.</t>
        </is>
      </c>
      <c r="D2480" t="n">
        <v>3</v>
      </c>
      <c r="E2480" t="n">
        <v>0</v>
      </c>
      <c r="F2480">
        <f>HYPERLINK("https://www.reddit.com/r/GERD/comments/cwbs8c/preph_test_food_recommendations/")</f>
        <v/>
      </c>
      <c r="G2480" t="inlineStr">
        <is>
          <t>2019-08-27 15:35:13</t>
        </is>
      </c>
      <c r="H2480" t="inlineStr"/>
    </row>
    <row r="2481">
      <c r="A2481" t="inlineStr">
        <is>
          <t>cwcwgr</t>
        </is>
      </c>
      <c r="B2481" t="inlineStr">
        <is>
          <t>Tongue burns</t>
        </is>
      </c>
      <c r="C2481" t="inlineStr">
        <is>
          <t>Had heartburn and acid reflux for the first time yesterday and today and now the back of my tongue and tonsils feel like I swallowed a ton of hot water and burned them. Is this common? Is there any way to relieve the pain?</t>
        </is>
      </c>
      <c r="D2481" t="n">
        <v>5</v>
      </c>
      <c r="E2481" t="n">
        <v>5</v>
      </c>
      <c r="F2481">
        <f>HYPERLINK("https://www.reddit.com/r/GERD/comments/cwcwgr/tongue_burns/")</f>
        <v/>
      </c>
      <c r="G2481" t="inlineStr">
        <is>
          <t>2019-08-27 17:06:10</t>
        </is>
      </c>
      <c r="H2481" t="inlineStr"/>
    </row>
    <row r="2482">
      <c r="A2482" t="inlineStr">
        <is>
          <t>cwd2uv</t>
        </is>
      </c>
      <c r="B2482" t="inlineStr">
        <is>
          <t>Help. I think ranitidine is starting to not work.</t>
        </is>
      </c>
      <c r="C2482" t="inlineStr">
        <is>
          <t>I’ve been on ranitidine 150mg twice a day since last year seeing my gastrointestinal doctor. Starting around May, I have felt like it isn’t working as well, and I’ve had these episodes occasionally of extreme pain and gas that last about 20-30 minutes. I get full on sweating, crying, must lay down on my left side, feel like food is stuck in my stomach and won’t move pain. Does anyone else get that? 
I see the gastro soon, but I was wondering if anyone has the same experience.</t>
        </is>
      </c>
      <c r="D2482" t="n">
        <v>3</v>
      </c>
      <c r="E2482" t="n">
        <v>2</v>
      </c>
      <c r="F2482">
        <f>HYPERLINK("https://www.reddit.com/r/GERD/comments/cwd2uv/help_i_think_ranitidine_is_starting_to_not_work/")</f>
        <v/>
      </c>
      <c r="G2482" t="inlineStr">
        <is>
          <t>2019-08-27 17:20:31</t>
        </is>
      </c>
      <c r="H2482" t="inlineStr"/>
    </row>
    <row r="2483">
      <c r="A2483" t="inlineStr">
        <is>
          <t>cwd8v4</t>
        </is>
      </c>
      <c r="B2483" t="inlineStr">
        <is>
          <t>Different and worse symptoms since taking medications?</t>
        </is>
      </c>
      <c r="C2483" t="inlineStr">
        <is>
          <t>I was recently diagnosed with gerd although I've probably always had it with mild symptoms (coughing mainly).  I started taking PPI's and famotidine and now I am getting a sore throat and my ears feel full and itch.  I stopped taking the PPI because of this and now just the famotidine and it is still happening.  Is this normal?  Could this be due to my reflux caused by low stomach acid?</t>
        </is>
      </c>
      <c r="D2483" t="n">
        <v>2</v>
      </c>
      <c r="E2483" t="n">
        <v>9</v>
      </c>
      <c r="F2483">
        <f>HYPERLINK("https://www.reddit.com/r/GERD/comments/cwd8v4/different_and_worse_symptoms_since_taking/")</f>
        <v/>
      </c>
      <c r="G2483" t="inlineStr">
        <is>
          <t>2019-08-27 17:34:32</t>
        </is>
      </c>
      <c r="H2483" t="inlineStr"/>
    </row>
    <row r="2484">
      <c r="A2484" t="inlineStr">
        <is>
          <t>cwdjd7</t>
        </is>
      </c>
      <c r="B2484" t="inlineStr">
        <is>
          <t>Just diagnosed with LPR. Prescription question</t>
        </is>
      </c>
      <c r="C2484" t="inlineStr">
        <is>
          <t>Hello there! Just found out officially I have LPR. Happy to know I’m not crazy and imagining my symptoms. Anyways the question I have is,  the ENT doctor prescribed to me 40mg of omeprazole but with my insurance it’s $72. Could I just take two OTC omeprazole or is the prescribed one better?</t>
        </is>
      </c>
      <c r="D2484" t="n">
        <v>3</v>
      </c>
      <c r="E2484" t="n">
        <v>4</v>
      </c>
      <c r="F2484">
        <f>HYPERLINK("https://www.reddit.com/r/GERD/comments/cwdjd7/just_diagnosed_with_lpr_prescription_question/")</f>
        <v/>
      </c>
      <c r="G2484" t="inlineStr">
        <is>
          <t>2019-08-27 17:59:18</t>
        </is>
      </c>
      <c r="H2484" t="inlineStr"/>
    </row>
    <row r="2485">
      <c r="A2485" t="inlineStr">
        <is>
          <t>cwesgk</t>
        </is>
      </c>
      <c r="B2485" t="inlineStr">
        <is>
          <t>Stopped my PPI and my symptoms went away.....WTF</t>
        </is>
      </c>
      <c r="C2485" t="inlineStr">
        <is>
          <t>No I’m not telling anyone to stop their PPI but I have to post this Bc I told myself all along that I didn’t need to be on a PPI for longer than 2-3 weeks for healing. I never got a confirmed LPR diagnosis, I have a 1cm hiatal hernia, but obviously I have heartburn after stopping the PPI rebound effect but it’s not bad at all and I pop a Pepcid and it’s gone, so idk what the issue is, I still get the globus sensation sometimes, but I fixed my sleep schedule and don’t eat in the middle of the night and now most of my symptoms are gone honestly, and I don’t eat all that clean, but 85% of the time it’s clean meals, and also been drinking a lot of alkaline water (Kroger brand &amp;amp; CORE).</t>
        </is>
      </c>
      <c r="D2485" t="n">
        <v>1</v>
      </c>
      <c r="E2485" t="n">
        <v>9</v>
      </c>
      <c r="F2485">
        <f>HYPERLINK("https://www.reddit.com/r/GERD/comments/cwesgk/stopped_my_ppi_and_my_symptoms_went_awaywtf/")</f>
        <v/>
      </c>
      <c r="G2485" t="inlineStr">
        <is>
          <t>2019-08-27 19:44:39</t>
        </is>
      </c>
      <c r="H2485" t="inlineStr"/>
    </row>
    <row r="2486">
      <c r="A2486" t="inlineStr">
        <is>
          <t>cwfjvl</t>
        </is>
      </c>
      <c r="B2486" t="inlineStr">
        <is>
          <t>Best LPR cookbooks/recipes?</t>
        </is>
      </c>
      <c r="C2486" t="inlineStr">
        <is>
          <t>Going to give a low acid/acid free diet a shot for a month or two. Any recommendations for recipes or cookbooks I can look at? I’ve read that a lot of books provide good insight into LPR but the recipes aren’t realistic for someone who works a 9-5 job. The more simple the better!</t>
        </is>
      </c>
      <c r="D2486" t="n">
        <v>2</v>
      </c>
      <c r="E2486" t="n">
        <v>4</v>
      </c>
      <c r="F2486">
        <f>HYPERLINK("https://www.reddit.com/r/GERD/comments/cwfjvl/best_lpr_cookbooksrecipes/")</f>
        <v/>
      </c>
      <c r="G2486" t="inlineStr">
        <is>
          <t>2019-08-27 20:57:05</t>
        </is>
      </c>
      <c r="H2486" t="inlineStr"/>
    </row>
    <row r="2487">
      <c r="A2487" t="inlineStr">
        <is>
          <t>cwkipw</t>
        </is>
      </c>
      <c r="B2487" t="inlineStr">
        <is>
          <t>How do you breathe at night?</t>
        </is>
      </c>
      <c r="C2487" t="inlineStr">
        <is>
          <t>I barely get more than 2 hours of sleep anymore because when I get in bed and I’m about to fall asleep my body just starts gasping for air which in turn keeps me up all night till I’m able to breathe normally again. Anyone else had these problems? If so how did you resolve it?</t>
        </is>
      </c>
      <c r="D2487" t="n">
        <v>2</v>
      </c>
      <c r="E2487" t="n">
        <v>4</v>
      </c>
      <c r="F2487">
        <f>HYPERLINK("https://www.reddit.com/r/GERD/comments/cwkipw/how_do_you_breathe_at_night/")</f>
        <v/>
      </c>
      <c r="G2487" t="inlineStr">
        <is>
          <t>2019-08-28 06:03:13</t>
        </is>
      </c>
      <c r="H2487" t="inlineStr"/>
    </row>
    <row r="2488">
      <c r="A2488" t="inlineStr">
        <is>
          <t>cwljep</t>
        </is>
      </c>
      <c r="B2488" t="inlineStr">
        <is>
          <t>Why don't people just get surgery?</t>
        </is>
      </c>
      <c r="C2488" t="inlineStr">
        <is>
          <t>I see so many people down emotionally (like me) who dont seem to be considering surgery?
I just wanted to know peoples reasoning, as im looking into getting the LINX myself. 
i know some people have negative results but overall, most people are extremely happy with it.</t>
        </is>
      </c>
      <c r="D2488" t="n">
        <v>3</v>
      </c>
      <c r="E2488" t="n">
        <v>16</v>
      </c>
      <c r="F2488">
        <f>HYPERLINK("https://www.reddit.com/r/GERD/comments/cwljep/why_dont_people_just_get_surgery/")</f>
        <v/>
      </c>
      <c r="G2488" t="inlineStr">
        <is>
          <t>2019-08-28 07:25:58</t>
        </is>
      </c>
      <c r="H2488" t="inlineStr"/>
    </row>
    <row r="2489">
      <c r="A2489" t="inlineStr">
        <is>
          <t>cwlpwi</t>
        </is>
      </c>
      <c r="B2489" t="inlineStr">
        <is>
          <t>Resources- Diet</t>
        </is>
      </c>
      <c r="C2489" t="inlineStr">
        <is>
          <t>Anyone know of any helpful, effective resources regarding a LPR friendly diet? I know everyone has unique triggers, but I am newly diagnosed looking to start from scratch with a better diet.
Thank you!</t>
        </is>
      </c>
      <c r="D2489" t="n">
        <v>5</v>
      </c>
      <c r="E2489" t="n">
        <v>16</v>
      </c>
      <c r="F2489">
        <f>HYPERLINK("https://www.reddit.com/r/GERD/comments/cwlpwi/resources_diet/")</f>
        <v/>
      </c>
      <c r="G2489" t="inlineStr">
        <is>
          <t>2019-08-28 07:40:34</t>
        </is>
      </c>
      <c r="H2489" t="inlineStr"/>
    </row>
    <row r="2490">
      <c r="A2490" t="inlineStr">
        <is>
          <t>cwn65z</t>
        </is>
      </c>
      <c r="B2490" t="inlineStr">
        <is>
          <t>WTF GUYS.</t>
        </is>
      </c>
      <c r="C2490" t="inlineStr">
        <is>
          <t>Yesterday all I had was an old fashioned donut, spicy fried chicken, ranch and honey mustard dipping sauce, and butted Texas toast. 
AND I FELT FINE.
Does anyone else have inconsistency like this?</t>
        </is>
      </c>
      <c r="D2490" t="n">
        <v>27</v>
      </c>
      <c r="E2490" t="n">
        <v>20</v>
      </c>
      <c r="F2490">
        <f>HYPERLINK("https://www.reddit.com/r/GERD/comments/cwn65z/wtf_guys/")</f>
        <v/>
      </c>
      <c r="G2490" t="inlineStr">
        <is>
          <t>2019-08-28 09:30:15</t>
        </is>
      </c>
      <c r="H2490" t="inlineStr"/>
    </row>
    <row r="2491">
      <c r="A2491" t="inlineStr">
        <is>
          <t>cwoqix</t>
        </is>
      </c>
      <c r="B2491" t="inlineStr">
        <is>
          <t>Managing Silent Reflux/Gerd Cough</t>
        </is>
      </c>
      <c r="C2491" t="inlineStr">
        <is>
          <t>I’ve had a cough due to reflux for the last 4-5 weeks and it’s making me crazy. Any tips on managing it? I already do all the necessary diet/lifestyle changes but it doesn’t seem to be getting better.</t>
        </is>
      </c>
      <c r="D2491" t="n">
        <v>1</v>
      </c>
      <c r="E2491" t="n">
        <v>1</v>
      </c>
      <c r="F2491">
        <f>HYPERLINK("https://www.reddit.com/r/GERD/comments/cwoqix/managing_silent_refluxgerd_cough/")</f>
        <v/>
      </c>
      <c r="G2491" t="inlineStr">
        <is>
          <t>2019-08-28 11:27:10</t>
        </is>
      </c>
      <c r="H2491" t="inlineStr"/>
    </row>
    <row r="2492">
      <c r="A2492" t="inlineStr">
        <is>
          <t>cwprek</t>
        </is>
      </c>
      <c r="B2492" t="inlineStr">
        <is>
          <t>Would it be weird to mix tea with vodka?</t>
        </is>
      </c>
      <c r="C2492" t="inlineStr">
        <is>
          <t>I dunno what else to mix my vodka with. Last time I put apple juice and it got really bad in the morning.</t>
        </is>
      </c>
      <c r="D2492" t="n">
        <v>1</v>
      </c>
      <c r="E2492" t="n">
        <v>0</v>
      </c>
      <c r="F2492">
        <f>HYPERLINK("https://www.reddit.com/r/GERD/comments/cwprek/would_it_be_weird_to_mix_tea_with_vodka/")</f>
        <v/>
      </c>
      <c r="G2492" t="inlineStr">
        <is>
          <t>2019-08-28 12:44:13</t>
        </is>
      </c>
      <c r="H2492" t="inlineStr"/>
    </row>
    <row r="2493">
      <c r="A2493" t="inlineStr">
        <is>
          <t>cwqrvh</t>
        </is>
      </c>
      <c r="B2493" t="inlineStr">
        <is>
          <t>GERD vs Angina</t>
        </is>
      </c>
      <c r="C2493" t="inlineStr">
        <is>
          <t>Anyone had experience with Angina vs GERD pain? I’ve been to the dr so much for GERD. They have me on some serious meds and it’s not helping. I have issues with pain in my left side of my chest into my arm and back and neck almost daily. Especially in intense stress moments. Have had several EKGs and trips to the ET over the years. They all say it looks fine. Had a stress test about 5 years ago. That was fine. Had a CT scan of my heart. Said it was good. I do have anxiety which seems to cause issues. My biggest concern is that when I have a highly stressful moment I feel that crushing feeling in my chest and back and it just makes the stress worse. Anyone have any insight on this?</t>
        </is>
      </c>
      <c r="D2493" t="n">
        <v>3</v>
      </c>
      <c r="E2493" t="n">
        <v>6</v>
      </c>
      <c r="F2493">
        <f>HYPERLINK("https://www.reddit.com/r/GERD/comments/cwqrvh/gerd_vs_angina/")</f>
        <v/>
      </c>
      <c r="G2493" t="inlineStr">
        <is>
          <t>2019-08-28 13:59:25</t>
        </is>
      </c>
      <c r="H2493" t="inlineStr"/>
    </row>
    <row r="2494">
      <c r="A2494" t="inlineStr">
        <is>
          <t>cwsj5r</t>
        </is>
      </c>
      <c r="B2494" t="inlineStr">
        <is>
          <t>Surgery day - laproscopic Nissen fundoplication</t>
        </is>
      </c>
      <c r="C2494" t="inlineStr">
        <is>
          <t>Has been a long, painful and expensive road but hopefully today is the start of getting my life back.</t>
        </is>
      </c>
      <c r="D2494" t="n">
        <v>12</v>
      </c>
      <c r="E2494" t="n">
        <v>17</v>
      </c>
      <c r="F2494">
        <f>HYPERLINK("https://www.reddit.com/r/GERD/comments/cwsj5r/surgery_day_laproscopic_nissen_fundoplication/")</f>
        <v/>
      </c>
      <c r="G2494" t="inlineStr">
        <is>
          <t>2019-08-28 16:15:05</t>
        </is>
      </c>
      <c r="H2494" t="inlineStr"/>
    </row>
    <row r="2495">
      <c r="A2495" t="inlineStr">
        <is>
          <t>cwtea7</t>
        </is>
      </c>
      <c r="B2495" t="inlineStr">
        <is>
          <t>Does anybody’s acid reflux start acting up when exercising?</t>
        </is>
      </c>
      <c r="C2495" t="inlineStr">
        <is>
          <t>I’m always burping and regurgitating my water and a bit of food when I exercise :(. Any tips on how to control it? I ate some food 1 hour before working out.</t>
        </is>
      </c>
      <c r="D2495" t="n">
        <v>1</v>
      </c>
      <c r="E2495" t="n">
        <v>0</v>
      </c>
      <c r="F2495">
        <f>HYPERLINK("https://www.reddit.com/r/GERD/comments/cwtea7/does_anybodys_acid_reflux_start_acting_up_when/")</f>
        <v/>
      </c>
      <c r="G2495" t="inlineStr">
        <is>
          <t>2019-08-28 17:29:11</t>
        </is>
      </c>
      <c r="H2495" t="inlineStr"/>
    </row>
    <row r="2496">
      <c r="A2496" t="inlineStr">
        <is>
          <t>cwtgxd</t>
        </is>
      </c>
      <c r="B2496" t="inlineStr">
        <is>
          <t>LPR but no longer having heartburn?</t>
        </is>
      </c>
      <c r="C2496" t="inlineStr">
        <is>
          <t>For the past couple months I went from having since December severe heartburn, acidic taste, burning in throat and lump feeling everyday to only having regurgitation and post nasal drip/mucous feeling throat with random bouts of burning every few days.
I have these symptoms everyday, does anyone feel the same way? It's really annoying but I don't know how worried I should be. I NEVER feel heartburn or pain in my stomach anymore.
I'm currently taking Omeprazole 40mg twice a day.</t>
        </is>
      </c>
      <c r="D2496" t="n">
        <v>4</v>
      </c>
      <c r="E2496" t="n">
        <v>7</v>
      </c>
      <c r="F2496">
        <f>HYPERLINK("https://www.reddit.com/r/GERD/comments/cwtgxd/lpr_but_no_longer_having_heartburn/")</f>
        <v/>
      </c>
      <c r="G2496" t="inlineStr">
        <is>
          <t>2019-08-28 17:35:19</t>
        </is>
      </c>
      <c r="H2496" t="inlineStr"/>
    </row>
    <row r="2497">
      <c r="A2497" t="inlineStr">
        <is>
          <t>cwtkm1</t>
        </is>
      </c>
      <c r="B2497" t="inlineStr">
        <is>
          <t>Esophageal dysmotility?</t>
        </is>
      </c>
      <c r="C2497" t="inlineStr">
        <is>
          <t>I had a barium swallow done after seeing a GI doc for shortness of breath, chest pains, and difficulty swallowing (feels like food had a hard time going down my chest). I got a call today from the office saying the results showed signs of esophageal dysmotility. I’m getting worried about what’s going on. When when I do a quick search for that on this sub I didn’t see much- I can’t be the only one with this issue right? Anyone else have experience with this?
 The doctors office said he wanted to see how I did on PPI for a couple weeks and then schedule an endoscopy.</t>
        </is>
      </c>
      <c r="D2497" t="n">
        <v>2</v>
      </c>
      <c r="E2497" t="n">
        <v>14</v>
      </c>
      <c r="F2497">
        <f>HYPERLINK("https://www.reddit.com/r/GERD/comments/cwtkm1/esophageal_dysmotility/")</f>
        <v/>
      </c>
      <c r="G2497" t="inlineStr">
        <is>
          <t>2019-08-28 17:44:21</t>
        </is>
      </c>
      <c r="H2497" t="inlineStr"/>
    </row>
    <row r="2498">
      <c r="A2498" t="inlineStr">
        <is>
          <t>cwujvm</t>
        </is>
      </c>
      <c r="B2498" t="inlineStr">
        <is>
          <t>Anyone's GERD symptoms get much worse at night (before bed)?</t>
        </is>
      </c>
      <c r="C2498" t="inlineStr">
        <is>
          <t>I notice that my worst flares up of GERD symptoms occur an hour or so before bed time, when I'm laying down (for obvious reasons), and in the morning. When I wake up I'll feel fine for the first 5 mins or so but then I get that shortness of breath, bad dry cough that sticks for a good hour or so. I also get intermittent flares during the day, but those are easily taken care of with a tums. The flares right before bed and in the morning though are only marginally eased by 2 or 3 tums. Anyone else notice that their symptoms get a lot worse around these times. I mean before bed I'm typically not even laying down, so I don't quite get why it gets so bad around 10pm for me every night. Any tips on fighting it off? 
I did finish taking 2 week OTC prilosec about 3 weeks ago but I still get pretty bad flares (no longer super severe one's though). So any other tips besides prilosec would be helpful.</t>
        </is>
      </c>
      <c r="D2498" t="n">
        <v>3</v>
      </c>
      <c r="E2498" t="n">
        <v>4</v>
      </c>
      <c r="F2498">
        <f>HYPERLINK("https://www.reddit.com/r/GERD/comments/cwujvm/anyones_gerd_symptoms_get_much_worse_at_night/")</f>
        <v/>
      </c>
      <c r="G2498" t="inlineStr">
        <is>
          <t>2019-08-28 19:09:38</t>
        </is>
      </c>
      <c r="H2498" t="inlineStr"/>
    </row>
    <row r="2499">
      <c r="A2499" t="inlineStr">
        <is>
          <t>cwv52k</t>
        </is>
      </c>
      <c r="B2499" t="inlineStr">
        <is>
          <t>quick question that just needs a short answer.</t>
        </is>
      </c>
      <c r="C2499" t="inlineStr">
        <is>
          <t>if i decide to take nyquil tonight is that a bad choice? i couldn't fall asleep for three hours last night because my nose was a bit sensitive when breathing (i got the cold this week :(. ) will nyquil cause my stomach to flare up? thank you in advance</t>
        </is>
      </c>
      <c r="D2499" t="n">
        <v>2</v>
      </c>
      <c r="E2499" t="n">
        <v>3</v>
      </c>
      <c r="F2499">
        <f>HYPERLINK("https://www.reddit.com/r/GERD/comments/cwv52k/quick_question_that_just_needs_a_short_answer/")</f>
        <v/>
      </c>
      <c r="G2499" t="inlineStr">
        <is>
          <t>2019-08-28 20:03:19</t>
        </is>
      </c>
      <c r="H2499" t="inlineStr"/>
    </row>
    <row r="2500">
      <c r="A2500" t="inlineStr">
        <is>
          <t>cwvtsh</t>
        </is>
      </c>
      <c r="B2500" t="inlineStr">
        <is>
          <t>CHOCOLATE??</t>
        </is>
      </c>
      <c r="C2500" t="inlineStr">
        <is>
          <t>Anybody has actually had bad symptoms from chocolate? Does acid reducing medication help with cacao has well?</t>
        </is>
      </c>
      <c r="D2500" t="n">
        <v>4</v>
      </c>
      <c r="E2500" t="n">
        <v>6</v>
      </c>
      <c r="F2500">
        <f>HYPERLINK("https://www.reddit.com/r/GERD/comments/cwvtsh/chocolate/")</f>
        <v/>
      </c>
      <c r="G2500" t="inlineStr">
        <is>
          <t>2019-08-28 21:10:49</t>
        </is>
      </c>
      <c r="H2500" t="inlineStr"/>
    </row>
    <row r="2501">
      <c r="A2501" t="inlineStr">
        <is>
          <t>cwwhnj</t>
        </is>
      </c>
      <c r="B2501" t="inlineStr">
        <is>
          <t>Doctor recommends that I return to Prilosec versus Zantac + Tums</t>
        </is>
      </c>
      <c r="C2501" t="inlineStr">
        <is>
          <t>From what I have read, there is increasing evidence that PPIs can result in heart and kidney problems (seemingly, in part, as a result of magnesium deficiency?). As a result, I discontinued use of Prilosec about 3 months ago, but continued my twice-daily Zantac 150 pill regimen (morning and afternoon). To make up for the impact of the Prilosec (which has definitely resulted in a significant rise in reflux), I  also take 3-5 sugar free Tums per day.
I recently had comprehensive bloodwork done with no issues to speak of, but my doctor has recommended that I return to the Prilosec regimen if I'm taking "that many Antacids every day."  I'm wondering if there is a consensus in this community about whether the benefits of a PPI outweigh the risks relative to more benign treatments like calcium/magnesium chewables.</t>
        </is>
      </c>
      <c r="D2501" t="n">
        <v>1</v>
      </c>
      <c r="E2501" t="n">
        <v>6</v>
      </c>
      <c r="F2501">
        <f>HYPERLINK("https://www.reddit.com/r/GERD/comments/cwwhnj/doctor_recommends_that_i_return_to_prilosec/")</f>
        <v/>
      </c>
      <c r="G2501" t="inlineStr">
        <is>
          <t>2019-08-28 22:22:30</t>
        </is>
      </c>
      <c r="H2501" t="inlineStr"/>
    </row>
    <row r="2502">
      <c r="A2502" t="inlineStr">
        <is>
          <t>cwwj5s</t>
        </is>
      </c>
      <c r="B2502" t="inlineStr">
        <is>
          <t>Teeth</t>
        </is>
      </c>
      <c r="C2502" t="inlineStr">
        <is>
          <t>How do others deal with teeth deterioration? I’ve been suffering with GERD for about 3 years, medicated and diagnosed for almost 2 years. My teeth have really took a hit.</t>
        </is>
      </c>
      <c r="D2502" t="n">
        <v>3</v>
      </c>
      <c r="E2502" t="n">
        <v>3</v>
      </c>
      <c r="F2502">
        <f>HYPERLINK("https://www.reddit.com/r/GERD/comments/cwwj5s/teeth/")</f>
        <v/>
      </c>
      <c r="G2502" t="inlineStr">
        <is>
          <t>2019-08-28 22:27:34</t>
        </is>
      </c>
      <c r="H2502" t="inlineStr"/>
    </row>
    <row r="2503">
      <c r="A2503" t="inlineStr">
        <is>
          <t>cwwnrg</t>
        </is>
      </c>
      <c r="B2503" t="inlineStr">
        <is>
          <t>Omeprazole (ppi) 40mg doesn't seem to be helping.....</t>
        </is>
      </c>
      <c r="C2503" t="inlineStr">
        <is>
          <t>Hi all. I've had GERD for 18mths now. went to the doc to get a advice and he put me on omeprazole 40mg one a day. Was working for the first few weeks.
Now on the forth week of my prescription and the  symptoms have come back. Shortly after eating I feel the lump in throat feeling with occasional burning throat.
I try to eat meals that aren't fatty and not too big.
This happens mainly through out the day.
Any advice particularly on diet or otherwise?</t>
        </is>
      </c>
      <c r="D2503" t="n">
        <v>2</v>
      </c>
      <c r="E2503" t="n">
        <v>12</v>
      </c>
      <c r="F2503">
        <f>HYPERLINK("https://www.reddit.com/r/GERD/comments/cwwnrg/omeprazole_ppi_40mg_doesnt_seem_to_be_helping/")</f>
        <v/>
      </c>
      <c r="G2503" t="inlineStr">
        <is>
          <t>2019-08-28 22:42:10</t>
        </is>
      </c>
      <c r="H2503" t="inlineStr"/>
    </row>
    <row r="2504">
      <c r="A2504" t="inlineStr">
        <is>
          <t>cwx7kc</t>
        </is>
      </c>
      <c r="B2504" t="inlineStr">
        <is>
          <t>GERD While Sleeping. Back Pain That Isn't Quite Back Pain?</t>
        </is>
      </c>
      <c r="C2504" t="inlineStr">
        <is>
          <t>I know it's a weird sentence but that is the best way to describe the sensation.
After a few hours of sleep, there's a discomfort in my lower back. It's not my lower back... it's just in that area. It's less painful when lying on my right side, more painful on my left if I stay in that position. Feels best when lying on back (which I hate to do).
If I get up and move around, it seems to go away after awhile. When I wake up and start the day, it's about 10 to 15 minutes of mild discomfort and then I'm back to normal.... well, GERD normal anyway.
Was wondering if anybody had any sensations like this?
I was diagnosed with GERD via an online consultation and put on pantoprazole for 30 days. It just ran out and I switched to taking zantac for a few days until I can schedule another consultation.... but it seems like the zantac is absolutely useless.
So... just wondering if anybody else had back pain like sensations when trying to sleep.</t>
        </is>
      </c>
      <c r="D2504" t="n">
        <v>3</v>
      </c>
      <c r="E2504" t="n">
        <v>0</v>
      </c>
      <c r="F2504">
        <f>HYPERLINK("https://www.reddit.com/r/GERD/comments/cwx7kc/gerd_while_sleeping_back_pain_that_isnt_quite/")</f>
        <v/>
      </c>
      <c r="G2504" t="inlineStr">
        <is>
          <t>2019-08-28 23:47:31</t>
        </is>
      </c>
      <c r="H2504" t="inlineStr"/>
    </row>
    <row r="2505">
      <c r="A2505" t="inlineStr">
        <is>
          <t>cwxcuw</t>
        </is>
      </c>
      <c r="B2505" t="inlineStr">
        <is>
          <t>What is Your Poop Like?</t>
        </is>
      </c>
      <c r="C2505" t="inlineStr">
        <is>
          <t>Mine is very strange. It use to be solid and brown... normal, everyday turds.
Now.... since dealing with GERD.... it's up and down. Sometimes I'm constipated and nothing or very little comes out.... unless I take a laxative of some kind.
And then when it does come out... it's not the normal turd you expect. It's ragged, torn poo.... with what looks to be undigested food (low stomach acid because of the medication I'm on?)
Also... my gerd symptoms worsen when I haven't gone to the bathroom in awhile. Almost like the food is fermenting inside me... and rather go out the bottom end via fart... it comes up though the top.
I suppose it could be the medication... I'm on pantoprazole at the moment... but it's definitely worrisome. 
I use to have great bowel movements... ever since this GERD nonsense..... it really is a toss up every time I go to the bathroom. Sitting down and nothing come out... even though a moment ago I felt I really needed to go.... that's just infuriating!!!!!</t>
        </is>
      </c>
      <c r="D2505" t="n">
        <v>19</v>
      </c>
      <c r="E2505" t="n">
        <v>30</v>
      </c>
      <c r="F2505">
        <f>HYPERLINK("https://www.reddit.com/r/GERD/comments/cwxcuw/what_is_your_poop_like/")</f>
        <v/>
      </c>
      <c r="G2505" t="inlineStr">
        <is>
          <t>2019-08-29 00:05:16</t>
        </is>
      </c>
      <c r="H2505" t="inlineStr"/>
    </row>
    <row r="2506">
      <c r="A2506" t="inlineStr">
        <is>
          <t>cwznsw</t>
        </is>
      </c>
      <c r="B2506" t="inlineStr">
        <is>
          <t>How does acid reflux/GERD cause nausea?</t>
        </is>
      </c>
      <c r="C2506" t="inlineStr">
        <is>
          <t>Can someone please explain this for me? Can't really seem to find an answer online.
I always thought acid reflux was just a burning in your chest/stomach and that's all.</t>
        </is>
      </c>
      <c r="D2506" t="n">
        <v>6</v>
      </c>
      <c r="E2506" t="n">
        <v>5</v>
      </c>
      <c r="F2506">
        <f>HYPERLINK("https://www.reddit.com/r/GERD/comments/cwznsw/how_does_acid_refluxgerd_cause_nausea/")</f>
        <v/>
      </c>
      <c r="G2506" t="inlineStr">
        <is>
          <t>2019-08-29 04:35:50</t>
        </is>
      </c>
      <c r="H2506" t="inlineStr"/>
    </row>
    <row r="2507">
      <c r="A2507" t="inlineStr">
        <is>
          <t>cx1vo3</t>
        </is>
      </c>
      <c r="B2507" t="inlineStr">
        <is>
          <t>Tif 2.0 vs Linx Procedure</t>
        </is>
      </c>
      <c r="C2507" t="inlineStr">
        <is>
          <t>What do you guys think is the better route to go for a procedure?</t>
        </is>
      </c>
      <c r="D2507" t="n">
        <v>2</v>
      </c>
      <c r="E2507" t="n">
        <v>0</v>
      </c>
      <c r="F2507">
        <f>HYPERLINK("https://www.reddit.com/r/GERD/comments/cx1vo3/tif_20_vs_linx_procedure/")</f>
        <v/>
      </c>
      <c r="G2507" t="inlineStr">
        <is>
          <t>2019-08-29 07:45:26</t>
        </is>
      </c>
      <c r="H2507" t="inlineStr"/>
    </row>
    <row r="2508">
      <c r="A2508" t="inlineStr">
        <is>
          <t>cx3212</t>
        </is>
      </c>
      <c r="B2508" t="inlineStr">
        <is>
          <t>Heart Palpitations</t>
        </is>
      </c>
      <c r="C2508" t="inlineStr">
        <is>
          <t>do you experience heart palpitations after eating ? I have it always after I eat , is it because of GERD?</t>
        </is>
      </c>
      <c r="D2508" t="n">
        <v>7</v>
      </c>
      <c r="E2508" t="n">
        <v>12</v>
      </c>
      <c r="F2508">
        <f>HYPERLINK("https://www.reddit.com/r/GERD/comments/cx3212/heart_palpitations/")</f>
        <v/>
      </c>
      <c r="G2508" t="inlineStr">
        <is>
          <t>2019-08-29 09:15:19</t>
        </is>
      </c>
      <c r="H2508" t="inlineStr"/>
    </row>
    <row r="2509">
      <c r="A2509" t="inlineStr">
        <is>
          <t>cx4mz0</t>
        </is>
      </c>
      <c r="B2509" t="inlineStr">
        <is>
          <t>Is it normal for this to happen when you try to poop?</t>
        </is>
      </c>
      <c r="C2509" t="inlineStr">
        <is>
          <t>Whenever I press down, I feel like I'm going to throw up and sometimes I also get reflux. Have had this problem for many, many years. Anyone else have this? Is this normal?</t>
        </is>
      </c>
      <c r="D2509" t="n">
        <v>5</v>
      </c>
      <c r="E2509" t="n">
        <v>9</v>
      </c>
      <c r="F2509">
        <f>HYPERLINK("https://www.reddit.com/r/GERD/comments/cx4mz0/is_it_normal_for_this_to_happen_when_you_try_to/")</f>
        <v/>
      </c>
      <c r="G2509" t="inlineStr">
        <is>
          <t>2019-08-29 11:15:13</t>
        </is>
      </c>
      <c r="H2509" t="inlineStr"/>
    </row>
    <row r="2510">
      <c r="A2510" t="inlineStr">
        <is>
          <t>cx4t35</t>
        </is>
      </c>
      <c r="B2510" t="inlineStr">
        <is>
          <t>Anyone know anything about or try BPC 157?</t>
        </is>
      </c>
      <c r="C2510" t="inlineStr">
        <is>
          <t>I found a super interesting article showing proof that BPC 157 increased LES pressure and helped with Esophagitis. The only thing is the trial was in rats. I've searched through reddit and found that lots of weightlifters use it for injuries with great results.
[Link to article](https://pdfs.semanticscholar.org/fa93/806795774d5a2d3e987282f4b3a65ffa7ee9.pdf)</t>
        </is>
      </c>
      <c r="D2510" t="n">
        <v>9</v>
      </c>
      <c r="E2510" t="n">
        <v>0</v>
      </c>
      <c r="F2510">
        <f>HYPERLINK("https://www.reddit.com/r/GERD/comments/cx4t35/anyone_know_anything_about_or_try_bpc_157/")</f>
        <v/>
      </c>
      <c r="G2510" t="inlineStr">
        <is>
          <t>2019-08-29 11:28:11</t>
        </is>
      </c>
      <c r="H2510" t="inlineStr"/>
    </row>
    <row r="2511">
      <c r="A2511" t="inlineStr">
        <is>
          <t>cx55f9</t>
        </is>
      </c>
      <c r="B2511" t="inlineStr">
        <is>
          <t>How did you begin the process of getting diagnosed?</t>
        </is>
      </c>
      <c r="C2511" t="inlineStr">
        <is>
          <t>I’m lining up too well with GERD and I’m interested in pursuing it further. I am constantly battling nausea lately, as well as breathing issues and dizziness and regurgitating a little every time I burp. I have been brushed off by two doctors now as just having anxiety, but I know it goes hand-in-hand with anxiety, and as my mental health worsens, so do all of the symptoms that line up with GERD apart from some long-term stuff. How’d you approach it with your doctor/practitioner? 
Thanks!</t>
        </is>
      </c>
      <c r="D2511" t="n">
        <v>3</v>
      </c>
      <c r="E2511" t="n">
        <v>6</v>
      </c>
      <c r="F2511">
        <f>HYPERLINK("https://www.reddit.com/r/GERD/comments/cx55f9/how_did_you_begin_the_process_of_getting_diagnosed/")</f>
        <v/>
      </c>
      <c r="G2511" t="inlineStr">
        <is>
          <t>2019-08-29 11:53:46</t>
        </is>
      </c>
      <c r="H2511" t="inlineStr"/>
    </row>
    <row r="2512">
      <c r="A2512" t="inlineStr">
        <is>
          <t>cx64ca</t>
        </is>
      </c>
      <c r="B2512" t="inlineStr">
        <is>
          <t>Dealing with GERD</t>
        </is>
      </c>
      <c r="C2512" t="inlineStr">
        <is>
          <t>How do you guys deal with it? I have all the symptoms, but it doesn't feel real. I know what it is, just getting used to it.</t>
        </is>
      </c>
      <c r="D2512" t="n">
        <v>2</v>
      </c>
      <c r="E2512" t="n">
        <v>6</v>
      </c>
      <c r="F2512">
        <f>HYPERLINK("https://www.reddit.com/r/GERD/comments/cx64ca/dealing_with_gerd/")</f>
        <v/>
      </c>
      <c r="G2512" t="inlineStr">
        <is>
          <t>2019-08-29 13:06:45</t>
        </is>
      </c>
      <c r="H2512" t="inlineStr"/>
    </row>
    <row r="2513">
      <c r="A2513" t="inlineStr">
        <is>
          <t>cx7jfu</t>
        </is>
      </c>
      <c r="B2513" t="inlineStr">
        <is>
          <t>What do you eat?</t>
        </is>
      </c>
      <c r="C2513" t="inlineStr">
        <is>
          <t>I've been eating for the past weeks nothing but white rice and unseasoned, plain old chicken. Sometimes I add a squirt of lemon juice, but after a while it's starting to get rather stale. What would you recommend that has little to no sodium or sugar?</t>
        </is>
      </c>
      <c r="D2513" t="n">
        <v>1</v>
      </c>
      <c r="E2513" t="n">
        <v>8</v>
      </c>
      <c r="F2513">
        <f>HYPERLINK("https://www.reddit.com/r/GERD/comments/cx7jfu/what_do_you_eat/")</f>
        <v/>
      </c>
      <c r="G2513" t="inlineStr">
        <is>
          <t>2019-08-29 14:52:46</t>
        </is>
      </c>
      <c r="H2513" t="inlineStr"/>
    </row>
    <row r="2514">
      <c r="A2514" t="inlineStr">
        <is>
          <t>cx7wum</t>
        </is>
      </c>
      <c r="B2514" t="inlineStr">
        <is>
          <t>Silent reflux with zero symptoms</t>
        </is>
      </c>
      <c r="C2514" t="inlineStr">
        <is>
          <t>I got diagnosed with silent reflux this week, got prescribed pantoprazole. An ENT specialist spotted it after I had a double ear infection and was referred to her for an exam. Thing is, I don’t notice any symptoms at all. Really. Maybe I’m just so used to it that I’ve learned to ignore them? How am I supposed to know if the medication is working? Just feels like I’m being treated for nothing. Anyone else been in this situation or have any pointers?</t>
        </is>
      </c>
      <c r="D2514" t="n">
        <v>3</v>
      </c>
      <c r="E2514" t="n">
        <v>9</v>
      </c>
      <c r="F2514">
        <f>HYPERLINK("https://www.reddit.com/r/GERD/comments/cx7wum/silent_reflux_with_zero_symptoms/")</f>
        <v/>
      </c>
      <c r="G2514" t="inlineStr">
        <is>
          <t>2019-08-29 15:20:13</t>
        </is>
      </c>
      <c r="H2514" t="inlineStr"/>
    </row>
    <row r="2515">
      <c r="A2515" t="inlineStr">
        <is>
          <t>cx8rk2</t>
        </is>
      </c>
      <c r="B2515" t="inlineStr">
        <is>
          <t>Does anyone else experience this?</t>
        </is>
      </c>
      <c r="C2515" t="inlineStr">
        <is>
          <t>Greek yogurt does not trigger my reflux, but skim milk does!</t>
        </is>
      </c>
      <c r="D2515" t="n">
        <v>2</v>
      </c>
      <c r="E2515" t="n">
        <v>3</v>
      </c>
      <c r="F2515">
        <f>HYPERLINK("https://www.reddit.com/r/GERD/comments/cx8rk2/does_anyone_else_experience_this/")</f>
        <v/>
      </c>
      <c r="G2515" t="inlineStr">
        <is>
          <t>2019-08-29 16:28:28</t>
        </is>
      </c>
      <c r="H2515" t="inlineStr"/>
    </row>
    <row r="2516">
      <c r="A2516" t="inlineStr">
        <is>
          <t>cx8v0c</t>
        </is>
      </c>
      <c r="B2516" t="inlineStr">
        <is>
          <t>Any ideas on what to try next? (LPR)</t>
        </is>
      </c>
      <c r="C2516" t="inlineStr">
        <is>
          <t>My gastroenterologist said I have acid reflux. I believe I have LPR to be specific. I have constant sore throat and post nasal drip/mucus in upper throat. Omeprazole somewhat works but gives me terrible side effects. Pantoprazole did not work. Zantac doesnt work all that well I have to take it like 3 times a day to be okay (tolerable.) Diet WAS helping for a while then just stopped. My dr gave me a sample of 60mg Dexilant, which helped. Although I did had to take a zantac at night. Dexilant is no longer an option as they are charging me $280 for a months prescription!
Last week I had an upper endoscope. My dr said everything looked completely normal. He tested me for all types of bacteria and celiac. I tested negative for all that. I had an abdominal sonogram. Everything came back normal. I'm healthy apparently. 
Fellow LPR sufferers, what can I try next? I'm at a loss. My anxiety is off the roof! Am I just going to have to live with a sore throat?</t>
        </is>
      </c>
      <c r="D2516" t="n">
        <v>3</v>
      </c>
      <c r="E2516" t="n">
        <v>20</v>
      </c>
      <c r="F2516">
        <f>HYPERLINK("https://www.reddit.com/r/GERD/comments/cx8v0c/any_ideas_on_what_to_try_next_lpr/")</f>
        <v/>
      </c>
      <c r="G2516" t="inlineStr">
        <is>
          <t>2019-08-29 16:36:24</t>
        </is>
      </c>
      <c r="H2516" t="inlineStr"/>
    </row>
    <row r="2517">
      <c r="A2517" t="inlineStr">
        <is>
          <t>cxa7wt</t>
        </is>
      </c>
      <c r="B2517" t="inlineStr">
        <is>
          <t>GERD, PPI's, Anxiety, Lightheadedness HELP</t>
        </is>
      </c>
      <c r="C2517" t="inlineStr">
        <is>
          <t>So I have been disgnosed with GERD. I'm taking Nexium (20mg 2x a day) and I hate the Nexium. I get all the side effects. I also have anxiety which I can tell is triggered by being tired. I get the feeling like all I want to do is sleep, like I'm about to nod out but if I force myself through it and do something I'm fine. I feel like I have a foggy head sometimes and I'm lightheaded at times, just feeling "off". I feel like it's the nexium because there's times I don't take it and I feel great... until I don't.
&amp;amp;#x200B;
My last GERD attack had my heart rate up to 150. I was about to take myself to the ER when my wife talked me off the ledge. She was reading to me how the pressure of gas, etc puts strain on the heart and as soon as I got to start burping, I started feeling better and came back down. I feel like the anxiety is somehow mixed into things with the GERD and so is the sleepiness and generally feeling like shit.
&amp;amp;#x200B;
There's so much to GERD and so many ways it affects people differently. Is there anyone else experiencing any of this? I have to take benadryl at night to get to sleep and always feel like shit or light headed if I'm not moving. I'm so tired of the side effects but also the GERD. I don't know where to start to talk to my Doctor or to where to begin with dealing with these physical feelings.... 
&amp;amp;#x200B;
&amp;amp;#x200B;
ANYONE?????</t>
        </is>
      </c>
      <c r="D2517" t="n">
        <v>5</v>
      </c>
      <c r="E2517" t="n">
        <v>4</v>
      </c>
      <c r="F2517">
        <f>HYPERLINK("https://www.reddit.com/r/GERD/comments/cxa7wt/gerd_ppis_anxiety_lightheadedness_help/")</f>
        <v/>
      </c>
      <c r="G2517" t="inlineStr">
        <is>
          <t>2019-08-29 18:35:25</t>
        </is>
      </c>
      <c r="H2517" t="inlineStr"/>
    </row>
    <row r="2518">
      <c r="A2518" t="inlineStr">
        <is>
          <t>cxabsm</t>
        </is>
      </c>
      <c r="B2518" t="inlineStr">
        <is>
          <t>Excessive belching..</t>
        </is>
      </c>
      <c r="C2518" t="inlineStr">
        <is>
          <t>Driving me nuts! I'm belching 2-3x an hour...  wake up and belch, although I don't burp in the middle of the night and when I'm laying down with my head raised it doesn't happen either..
I started taking prilosec which helped with the belching and sour taste I was feeling a month ago..  I stopped, and I don't know if there is a rebound effect but while the acid is controlled I still feel that i have this sudden rush of air coming up my throat that requires me to either swallow or belch.. sometimes if I do nothing it comes back down on its own..  I went to my PCP and my GI.. GI says they'd like to do a upper endoscopy, I don't like the idea of be putting under, even for 10 minutes, so we're going to give the medication and the diet a chance... 4 weeks..  
I've been huge on diet cokes, carbonated drinks, artificial sweetners, etc.. all the stuff you can't have on GERD, but I never had this kind of response until about 5 weeks ago when I got a sudden rush of health anxiety that I think help produce these symptoms.  I'm not as anxious but I can't shake the burping.
Occasionally I have gas, but really my single symptom for the most part is burping.  Is this GERD???  I've cut off carbonated drinks and sweeteners and I'm eating like a saint, how long would it take for my body to respond to this positively? weeks? months?
Could it be an ulcer? I don't have any stomach pain and all my lab tests came out perfect..</t>
        </is>
      </c>
      <c r="D2518" t="n">
        <v>3</v>
      </c>
      <c r="E2518" t="n">
        <v>13</v>
      </c>
      <c r="F2518">
        <f>HYPERLINK("https://www.reddit.com/r/GERD/comments/cxabsm/excessive_belching/")</f>
        <v/>
      </c>
      <c r="G2518" t="inlineStr">
        <is>
          <t>2019-08-29 18:45:01</t>
        </is>
      </c>
      <c r="H2518" t="inlineStr"/>
    </row>
    <row r="2519">
      <c r="A2519" t="inlineStr">
        <is>
          <t>cxago6</t>
        </is>
      </c>
      <c r="B2519" t="inlineStr">
        <is>
          <t>Am I being dramatic or should I go see a heart doctor?</t>
        </is>
      </c>
      <c r="C2519" t="inlineStr">
        <is>
          <t>So I am 99% sure I have GERD. I literally have all the symptoms, if not, I have a sever case of acid reflex. It’s no secret. 
I had a couple of instances when it comes to chest pain that really just freak me out. 
I was at work the other day and I was just fine and then all of a sudden I get sharp chest pains for about 30 seconds. 
Today, I was driving home... again.. I was just fine and happy. All of a sudden, my chest feels heavy and feels pinched. 
I’m only 28 so I’m like nahhh but at the same time, it’s scaring me. Like what is going on??
My question is this common??? Or am I having heart problems lol</t>
        </is>
      </c>
      <c r="D2519" t="n">
        <v>1</v>
      </c>
      <c r="E2519" t="n">
        <v>9</v>
      </c>
      <c r="F2519">
        <f>HYPERLINK("https://www.reddit.com/r/GERD/comments/cxago6/am_i_being_dramatic_or_should_i_go_see_a_heart/")</f>
        <v/>
      </c>
      <c r="G2519" t="inlineStr">
        <is>
          <t>2019-08-29 18:57:18</t>
        </is>
      </c>
      <c r="H2519" t="inlineStr"/>
    </row>
    <row r="2520">
      <c r="A2520" t="inlineStr">
        <is>
          <t>cxav2z</t>
        </is>
      </c>
      <c r="B2520" t="inlineStr">
        <is>
          <t>Possible GERD/acid reflux/stomach ulcers?! Help!</t>
        </is>
      </c>
      <c r="C2520" t="inlineStr">
        <is>
          <t>* Age: 20
* Height: 5'9
* Weight: 145 pounds
* Background: Hispanic
**Medical History:** Diagnosed with anxiety, might have GERD/acid reflux because old doctor gave me pills for something related to that but it never really did much for me, had breathing problems when I was in middle school. Also had phlegm since middle school but it feels like I have more now.
So I'm in class right now, not feeling well. My stomach keeps growling like I have to use the restroom, but it feels at times like I'm constipated or my bowel movement is different. My diet for the past three weeks has been nothing but white rice and chicken with a squirt of lemon juice and an orange. Additionally, it feels like I have heartburn right now... I don't know if it is or not but it's scary. When I first started going to the hospital from January to April, they had always deduced it was stomach ulcers until they switched to anxiety. Now it actually feels like it is going to kill me. I wasted a whole year of my life thinking I had diabetes and cancer, when this whole time it was stomach related and it's too late to get help now. I get out of class around 9 pm. What should I do?
There's a CVS open 24/7 near my house, would it be wise to buy laxatives and GERD medication? Tomorrow, apparently, I still have an appointment with my doctor even though I switched doctors a couple of hours ago. So I plan to go and see if she could prescribe some medicine for that.
I'm terrified right now. I messed up really badly. This whole time, convinced, thinking it was something when it was something else. It says on Google that I can get stomach or colon cancer from that. I knew it. I don't want to die yet.</t>
        </is>
      </c>
      <c r="D2520" t="n">
        <v>2</v>
      </c>
      <c r="E2520" t="n">
        <v>24</v>
      </c>
      <c r="F2520">
        <f>HYPERLINK("https://www.reddit.com/r/GERD/comments/cxav2z/possible_gerdacid_refluxstomach_ulcers_help/")</f>
        <v/>
      </c>
      <c r="G2520" t="inlineStr">
        <is>
          <t>2019-08-29 19:34:07</t>
        </is>
      </c>
      <c r="H2520" t="inlineStr"/>
    </row>
    <row r="2521">
      <c r="A2521" t="inlineStr">
        <is>
          <t>cxcfip</t>
        </is>
      </c>
      <c r="B2521" t="inlineStr">
        <is>
          <t>Omeprazole Side Effects - dizziness, nausea</t>
        </is>
      </c>
      <c r="C2521" t="inlineStr">
        <is>
          <t>I was just diagnosed with GERD this week. Doctor put me on omeprazole 20mg, once per day. I've taken it for only 2 days so far. Today I started experiencing pretty severe dizziness and some nausea.
Are these typical side effects of omeprazole? If so,  will the side effects fade away as my body gets used to the drug?
I am supposed to take it for 30 days, but I'm not sure I can handle it if the dizziness doesn't let up. It's causing me a lot of anxiety!</t>
        </is>
      </c>
      <c r="D2521" t="n">
        <v>1</v>
      </c>
      <c r="E2521" t="n">
        <v>7</v>
      </c>
      <c r="F2521">
        <f>HYPERLINK("https://www.reddit.com/r/GERD/comments/cxcfip/omeprazole_side_effects_dizziness_nausea/")</f>
        <v/>
      </c>
      <c r="G2521" t="inlineStr">
        <is>
          <t>2019-08-29 22:10:35</t>
        </is>
      </c>
      <c r="H2521" t="inlineStr"/>
    </row>
    <row r="2522">
      <c r="A2522" t="inlineStr">
        <is>
          <t>cxcnes</t>
        </is>
      </c>
      <c r="B2522" t="inlineStr">
        <is>
          <t>Anybody else can't drink soda, fruit juice, anything sugary or processed beverage wise?</t>
        </is>
      </c>
      <c r="C2522" t="inlineStr">
        <is>
          <t>I have to stick to water. Or herbal tea, no sugar. Anything else will cause me to have gerd pretty bad for a day or so. Same with alcohol too.</t>
        </is>
      </c>
      <c r="D2522" t="n">
        <v>3</v>
      </c>
      <c r="E2522" t="n">
        <v>11</v>
      </c>
      <c r="F2522">
        <f>HYPERLINK("https://www.reddit.com/r/GERD/comments/cxcnes/anybody_else_cant_drink_soda_fruit_juice_anything/")</f>
        <v/>
      </c>
      <c r="G2522" t="inlineStr">
        <is>
          <t>2019-08-29 22:34:32</t>
        </is>
      </c>
      <c r="H2522" t="inlineStr"/>
    </row>
    <row r="2523">
      <c r="A2523" t="inlineStr">
        <is>
          <t>cxdgkm</t>
        </is>
      </c>
      <c r="B2523" t="inlineStr">
        <is>
          <t>Difficulty swallowing?</t>
        </is>
      </c>
      <c r="C2523" t="inlineStr">
        <is>
          <t>Do you guys have difficulty swallowing too? I’m on a PPI which has helped a lot with heartburn and reflux. I also avoid fizzy drinks. They are my worst trigger. I can drink them while on my PPI, but I generally choose not to.
I still have difficulty swallowing though. I have to make sure I chew up my food properly if I don’t want to choke. I choke pretty often if I take too big a mouthful of water too. My throat also gets tight when I exercise making it difficult to breathe.</t>
        </is>
      </c>
      <c r="D2523" t="n">
        <v>5</v>
      </c>
      <c r="E2523" t="n">
        <v>5</v>
      </c>
      <c r="F2523">
        <f>HYPERLINK("https://www.reddit.com/r/GERD/comments/cxdgkm/difficulty_swallowing/")</f>
        <v/>
      </c>
      <c r="G2523" t="inlineStr">
        <is>
          <t>2019-08-30 00:10:40</t>
        </is>
      </c>
      <c r="H2523" t="inlineStr"/>
    </row>
    <row r="2524">
      <c r="A2524" t="inlineStr">
        <is>
          <t>cxe013</t>
        </is>
      </c>
      <c r="B2524" t="inlineStr">
        <is>
          <t>What food/drink triggers your GERD?</t>
        </is>
      </c>
      <c r="C2524" t="inlineStr">
        <is>
          <t>Mine are tomatoes and dairy products although I can tolerate low fat.</t>
        </is>
      </c>
      <c r="D2524" t="n">
        <v>1</v>
      </c>
      <c r="E2524" t="n">
        <v>1</v>
      </c>
      <c r="F2524">
        <f>HYPERLINK("https://www.reddit.com/r/GERD/comments/cxe013/what_fooddrink_triggers_your_gerd/")</f>
        <v/>
      </c>
      <c r="G2524" t="inlineStr">
        <is>
          <t>2019-08-30 01:20:02</t>
        </is>
      </c>
      <c r="H2524" t="inlineStr"/>
    </row>
    <row r="2525">
      <c r="A2525" t="inlineStr">
        <is>
          <t>cxfbin</t>
        </is>
      </c>
      <c r="B2525" t="inlineStr">
        <is>
          <t>Anyone heard of Berberine for GERD ?</t>
        </is>
      </c>
      <c r="C2525" t="inlineStr">
        <is>
          <t>I read something online, an article [Here](https://www.ncbi.nlm.nih.gov/pmc/articles/PMC3786780/) , and it's explaining 'Berberine protects against esophageal mucosal damage in reflux esophagitis by suppressing proinflammatory cytokines'. I did some research on it and apparently it has health benefits, including lowering blood sugar/pressure if i'm not mistaken. Obviously has nothing to do with GERD but I also read 
**'Berberine** has been shown to reverse a lacking gut barrier, along with the absorption of gut-derived toxins that comes with it, by promoting the growth of Akkermansia muciniphila—leading to an improved intestinal barrier, reduced circulating levels of gut-derived toxins and a significant reduction in inflammation' . 
&amp;amp;#x200B;
&amp;amp;#x200B;
Just was curious to see if anyone had tried this to have some benefit on the GERD or silent reflux ? I'm always trying different things gonna give this a shot too, who knows amiright ?</t>
        </is>
      </c>
      <c r="D2525" t="n">
        <v>7</v>
      </c>
      <c r="E2525" t="n">
        <v>10</v>
      </c>
      <c r="F2525">
        <f>HYPERLINK("https://www.reddit.com/r/GERD/comments/cxfbin/anyone_heard_of_berberine_for_gerd/")</f>
        <v/>
      </c>
      <c r="G2525" t="inlineStr">
        <is>
          <t>2019-08-30 03:58:57</t>
        </is>
      </c>
      <c r="H2525" t="inlineStr"/>
    </row>
    <row r="2526">
      <c r="A2526" t="inlineStr">
        <is>
          <t>cxg9ni</t>
        </is>
      </c>
      <c r="B2526" t="inlineStr">
        <is>
          <t>GERD Flareup???</t>
        </is>
      </c>
      <c r="C2526" t="inlineStr">
        <is>
          <t>I have had acid reflux issues on and off for about 10 years.
Just in the past year, these started causing sudden intermittent nausea/dizziness episodes. Those subsided for a few months, then seemed to return about 5 months ago as I started my new job in a new state.
However, during these times I didn’t have a lot of the typical burning sensation and I would still eat or drink whatever I wanted without much consequence.
The past 2-3 weeks, this has completely changed. I’ve had nausea almost every day for the past 2 weeks, and this week my stomach has started to burn nonstop along with my throat.
The interesting thing is, the past 2.5 weeks I started altering my diet to try and address the GERD (cutting down on caffeine, no spicy foods, no greasy foods, trying not to have big meals, trying to avoid alcohol and carbonated drinks) and also started taking ranitidine. 1 week ago I switched my meds to omeprazole (20mg/day). 
The past few days to week, as I said, the nausea and burning has seemed to take a turn for the worst. I just switched to pantoprazole last night and through the night, I had even more noticeable constant burning in my throat and stomach to the point where my throat feels very very sore and raw.
I have tried sitting and sleeping propped up, it doesn’t seem to do much for me.
I know this isn’t much still and it hasn’t even been going on for long, but I have emetophobia and anxiety so this is hitting me really hard right now, plus I am trying to grow my career at my new job (of 6 months) and this is really hindering me. 
Honestly even despite how short it’s been so constant, I’m really starting to get very discouraged and confused. Just 3 weeks ago I could eat whatever I wanted; now it seems like no matter what I eat, I’m fucked. I’ve already missed a decent amount of work and it’s going to be very hard to go in today with my symptoms the way they are too. I will add that my fiancé went overseas to teach English about a month ago and I did discover some bad news about a friend around a month ago, and that did trigger a lot of emotional stress; I do feel less stressed now apart from dealing with these symptoms.
Is there anything at all that I can do, eat, etc to get this burning to stop? I know this may be a futile question since that seems to be part of the disease but it’s already making me very frustrated and it’s just plain hard to get through the day already.</t>
        </is>
      </c>
      <c r="D2526" t="n">
        <v>1</v>
      </c>
      <c r="E2526" t="n">
        <v>0</v>
      </c>
      <c r="F2526">
        <f>HYPERLINK("https://www.reddit.com/r/GERD/comments/cxg9ni/gerd_flareup/")</f>
        <v/>
      </c>
      <c r="G2526" t="inlineStr">
        <is>
          <t>2019-08-30 05:31:47</t>
        </is>
      </c>
      <c r="H2526" t="inlineStr"/>
    </row>
    <row r="2527">
      <c r="A2527" t="inlineStr">
        <is>
          <t>cxgbrv</t>
        </is>
      </c>
      <c r="B2527" t="inlineStr">
        <is>
          <t>BCBSIL Insurance sucks</t>
        </is>
      </c>
      <c r="C2527" t="inlineStr">
        <is>
          <t>I finally was able to do an endoscopy a few weeks ago which visually confirms I have reflux. 
Bill hit me and I owe almost $1000.  
FML. 
I’m really sorry for those of you who can’t afford to go and get a solid diagnosis. 
I can’t afford my meds so right now so I’m taking Zantac 150 in the morning &amp;amp; Prilosec 24hr before bed.
Don’t eat? Reflux. Eat? Reflux. Water even triggers me right now. 
Doc said whenever I have a bad flare, start eating soft foods, reduce intake and pretty much stick to a BRAT diet until I feel better.
Wonder what the ER bill is going to be for last week when I lost 10lbs and couldn’t eat anything for about three days.
Fuck this disease.</t>
        </is>
      </c>
      <c r="D2527" t="n">
        <v>1</v>
      </c>
      <c r="E2527" t="n">
        <v>1</v>
      </c>
      <c r="F2527">
        <f>HYPERLINK("https://www.reddit.com/r/GERD/comments/cxgbrv/bcbsil_insurance_sucks/")</f>
        <v/>
      </c>
      <c r="G2527" t="inlineStr">
        <is>
          <t>2019-08-30 05:36:51</t>
        </is>
      </c>
      <c r="H2527" t="inlineStr"/>
    </row>
    <row r="2528">
      <c r="A2528" t="inlineStr">
        <is>
          <t>cxgxea</t>
        </is>
      </c>
      <c r="B2528" t="inlineStr">
        <is>
          <t>Anybody Give Up Bread/Wheat Completely to Heal GERD?</t>
        </is>
      </c>
      <c r="C2528" t="inlineStr">
        <is>
          <t>My GERD seems to react pretty badly whenever I have pizza, pasta, bread, cereal, etc.
The worst of course is pizza. I feel like I pay for that for 3 straight days until it clears my system.
Am considering giving up these delicious food items in an attempt to calm symptoms and heal.
Any of you try something like that and get results.
My experience with it below....
I have anecdotal evidence at best... but a few months ago I did it to lose weight and it worked, dropped 30lbs. I had GERD symptoms around this time but not yet diagnosed. Happily, these symptoms went away with the KETO diet.
HOWEVER, toward the end of the diet, I got some type of viral mouth infection in which I couldn't eat anything solid for several days.
I was put on an anti-viral and it cleared that up in about a week. As a reward for losing 30lbs and for surviving 7 days of soup hell, I indulged in all the greatness of carbs and bread. Pizzas, pastas, breads, you name it... in my belly it went.
Well, since I fell of the no-carb wagon.... the gerd has come back and it has stayed. I know correlation does not equal causation... but still... there's gotta be a connection.
Unfortunately, due to my current living circumstances... it is IMMENSELY difficult to stick with a no-carb diet. 
I'm trying... but the people around me... they suck and me it near impossible (we're ordering a pizza? you want in? I made a lasagna, you want some? Made baked ziti, want a little? uh... I hate you!)</t>
        </is>
      </c>
      <c r="D2528" t="n">
        <v>3</v>
      </c>
      <c r="E2528" t="n">
        <v>10</v>
      </c>
      <c r="F2528">
        <f>HYPERLINK("https://www.reddit.com/r/GERD/comments/cxgxea/anybody_give_up_breadwheat_completely_to_heal_gerd/")</f>
        <v/>
      </c>
      <c r="G2528" t="inlineStr">
        <is>
          <t>2019-08-30 06:28:03</t>
        </is>
      </c>
      <c r="H2528" t="inlineStr"/>
    </row>
    <row r="2529">
      <c r="A2529" t="inlineStr">
        <is>
          <t>cxi009</t>
        </is>
      </c>
      <c r="B2529" t="inlineStr">
        <is>
          <t>Esophageal Manometry in a few hours!</t>
        </is>
      </c>
      <c r="C2529" t="inlineStr">
        <is>
          <t>Any tips? Trying to stay positive, even though it sounds super uncomfortable. I would love to hear some first hand experiences. (:  Currently super hungry and thirsty.. hopefully that’s the worst part.</t>
        </is>
      </c>
      <c r="D2529" t="n">
        <v>4</v>
      </c>
      <c r="E2529" t="n">
        <v>21</v>
      </c>
      <c r="F2529">
        <f>HYPERLINK("https://www.reddit.com/r/GERD/comments/cxi009/esophageal_manometry_in_a_few_hours/")</f>
        <v/>
      </c>
      <c r="G2529" t="inlineStr">
        <is>
          <t>2019-08-30 07:52:46</t>
        </is>
      </c>
      <c r="H2529" t="inlineStr"/>
    </row>
    <row r="2530">
      <c r="A2530" t="inlineStr">
        <is>
          <t>cxif20</t>
        </is>
      </c>
      <c r="B2530" t="inlineStr">
        <is>
          <t>Gerd recipes</t>
        </is>
      </c>
      <c r="C2530" t="inlineStr">
        <is>
          <t>Im kinda curiuis ive had gerd for about 2 months now and made a sort of list foods /recipes i eat normaly every week kinda curious what do u guys eat 
Examples i eat 
Tuna+cucumbers with a little salt and avocado oil
Turkey slice sandwich on whole wheat grain bread
Chicken just seasoned with salt and cooked on corn oil and served with brown rice same just seasoned with a chicken stock i know is gerd safe 
Green beans with whole grain spagetti noodles</t>
        </is>
      </c>
      <c r="D2530" t="n">
        <v>2</v>
      </c>
      <c r="E2530" t="n">
        <v>2</v>
      </c>
      <c r="F2530">
        <f>HYPERLINK("https://www.reddit.com/r/GERD/comments/cxif20/gerd_recipes/")</f>
        <v/>
      </c>
      <c r="G2530" t="inlineStr">
        <is>
          <t>2019-08-30 08:23:56</t>
        </is>
      </c>
      <c r="H2530" t="inlineStr"/>
    </row>
    <row r="2531">
      <c r="A2531" t="inlineStr">
        <is>
          <t>cxin1p</t>
        </is>
      </c>
      <c r="B2531" t="inlineStr">
        <is>
          <t>Taking Omeprazole for 3 weeks then coming off</t>
        </is>
      </c>
      <c r="C2531" t="inlineStr">
        <is>
          <t>So, my throat pain has been very unbearable as of recently. I struggle with anorexia (bmi of 17 idk if this is helpful??) and I am 20. I used to take Omeprazole at 18 and took the medicine for about 3 months then weened myself off for a bit to cut cold turkey. I remember that this medicine did not help me very much, so I am planning on taking it for two weeks straight then 1 every other day for the last week. I was also prescribed Sucralfate.</t>
        </is>
      </c>
      <c r="D2531" t="n">
        <v>2</v>
      </c>
      <c r="E2531" t="n">
        <v>2</v>
      </c>
      <c r="F2531">
        <f>HYPERLINK("https://www.reddit.com/r/GERD/comments/cxin1p/taking_omeprazole_for_3_weeks_then_coming_off/")</f>
        <v/>
      </c>
      <c r="G2531" t="inlineStr">
        <is>
          <t>2019-08-30 08:40:51</t>
        </is>
      </c>
      <c r="H2531" t="inlineStr"/>
    </row>
    <row r="2532">
      <c r="A2532" t="inlineStr">
        <is>
          <t>cxinp8</t>
        </is>
      </c>
      <c r="B2532" t="inlineStr">
        <is>
          <t>TIL you can eat and breathe at the same time</t>
        </is>
      </c>
      <c r="C2532" t="inlineStr">
        <is>
          <t>I was just having lunch, chewing my way through a quesadilla. My Fitbit lit up and showed a heart rate of about 105 (my resting rate is around 66-68). I was a bit alarmed at first that it increased that much just by siting and eating until I realized that it was because I was short of breath. But I was just sitting so why??
I don’t breathe while I’m eating. Not at all. 
I’d never realized it or thought about it before so I tried to take some breaths while I was chewing and my heart rate immediately decreased to a more regular rate and my chest felt better. Idk why I’d never realized this before but make sure you breathe when you eat y’all. I’m sure it’s been having a negative effect on my digestion holding that air in while I’m eating. 
I’m going to be practicing mindful breathing during meals over the next few days and see if it improves my GERD symptoms.</t>
        </is>
      </c>
      <c r="D2532" t="n">
        <v>3</v>
      </c>
      <c r="E2532" t="n">
        <v>4</v>
      </c>
      <c r="F2532">
        <f>HYPERLINK("https://www.reddit.com/r/GERD/comments/cxinp8/til_you_can_eat_and_breathe_at_the_same_time/")</f>
        <v/>
      </c>
      <c r="G2532" t="inlineStr">
        <is>
          <t>2019-08-30 08:42:16</t>
        </is>
      </c>
      <c r="H2532" t="inlineStr"/>
    </row>
    <row r="2533">
      <c r="A2533" t="inlineStr">
        <is>
          <t>cxk0dc</t>
        </is>
      </c>
      <c r="B2533" t="inlineStr">
        <is>
          <t>UPDATE: Finally Diagnosed!!</t>
        </is>
      </c>
      <c r="C2533" t="inlineStr">
        <is>
          <t>yo so after a couple of months of this bullshit, I made an appointment with another ENT. After two endoscopies the third one was the charm. He told me I had cobblestoning and it’s akin to a golf ball which is causing my dysphagia and he confirmed I had Silent reflux. No cancer, clear sinuses, no neurological issues and that the acid watchers diet  was gonna start working around 100 days. 
i did CT Scans, X-rays and all that before today just desperate to figure it out.
I want to sincerely thank this community for pointing me in the right direction. I have a history of MDD, PTSD and GAD. Everyone after so many doctor and ER visits told me it was my anxiety. Got on sertraline 25 mg and some of the pain in my voicebox subsided but I have been on it a couple of days only. Anxiety and reflux are connected and it ultimately made the reflux WAY WORSE. But now I have hope and I cannot wait to start this diet!!</t>
        </is>
      </c>
      <c r="D2533" t="n">
        <v>12</v>
      </c>
      <c r="E2533" t="n">
        <v>19</v>
      </c>
      <c r="F2533">
        <f>HYPERLINK("https://www.reddit.com/r/GERD/comments/cxk0dc/update_finally_diagnosed/")</f>
        <v/>
      </c>
      <c r="G2533" t="inlineStr">
        <is>
          <t>2019-08-30 10:23:10</t>
        </is>
      </c>
      <c r="H2533" t="inlineStr"/>
    </row>
    <row r="2534">
      <c r="A2534" t="inlineStr">
        <is>
          <t>cxkud6</t>
        </is>
      </c>
      <c r="B2534" t="inlineStr">
        <is>
          <t>What have people replaced coffee with who get terrible reflux from coffee?</t>
        </is>
      </c>
      <c r="C2534" t="inlineStr">
        <is>
          <t>Every time I have coffee my stomach is a disaster. I was laying on the bathroom floor for hours feelings awful. I miss caffeine though. I’m happy to hear any suggestions</t>
        </is>
      </c>
      <c r="D2534" t="n">
        <v>5</v>
      </c>
      <c r="E2534" t="n">
        <v>11</v>
      </c>
      <c r="F2534">
        <f>HYPERLINK("https://www.reddit.com/r/GERD/comments/cxkud6/what_have_people_replaced_coffee_with_who_get/")</f>
        <v/>
      </c>
      <c r="G2534" t="inlineStr">
        <is>
          <t>2019-08-30 11:26:02</t>
        </is>
      </c>
      <c r="H2534" t="inlineStr"/>
    </row>
    <row r="2535">
      <c r="A2535" t="inlineStr">
        <is>
          <t>cxmedn</t>
        </is>
      </c>
      <c r="B2535" t="inlineStr">
        <is>
          <t>Esophageal Manometry Review!!!</t>
        </is>
      </c>
      <c r="C2535" t="inlineStr">
        <is>
          <t>I just finished my first esophageal manometry, and it was not bad at all!! It was a bit uncomfortable, and I walked out feeling like a badass. The nurse told me it is all mental. Trust the tube can not hurt you in any way, and you can breathe perfectly fine because it’s your esophagus, not your windpipe. Breathe and count slowly. Put the tip of your tongue on the roof of your mouth to help you not swallow. It is uncomfortable because it is a new sensation, but it is NOT painful if you follow the nurse’s instructions. I have anxiety and panic attacks. If I can get through this, so can you guys!! Staying calm is absolute key. I promise the sensation is weird, but not painful. I would do this again easily if I had to. 4/10 scary meter for me, and the worst part was just psyching myself up beforehand by reading horror stories. I hope this post can bring some of you guys peace. I will be happy to answer any of your questions!!</t>
        </is>
      </c>
      <c r="D2535" t="n">
        <v>20</v>
      </c>
      <c r="E2535" t="n">
        <v>7</v>
      </c>
      <c r="F2535">
        <f>HYPERLINK("https://www.reddit.com/r/GERD/comments/cxmedn/esophageal_manometry_review/")</f>
        <v/>
      </c>
      <c r="G2535" t="inlineStr">
        <is>
          <t>2019-08-30 13:25:12</t>
        </is>
      </c>
      <c r="H2535" t="inlineStr"/>
    </row>
    <row r="2536">
      <c r="A2536" t="inlineStr">
        <is>
          <t>cxobca</t>
        </is>
      </c>
      <c r="B2536" t="inlineStr">
        <is>
          <t>Rebound?</t>
        </is>
      </c>
      <c r="C2536" t="inlineStr">
        <is>
          <t>After being on PPI for how long should I now expect to have rebound effects? I took protonix for 6 months and felt like I may be all better so I’m trying to get off the ppi but I’m having some reflux now for sure. It’s either rebound effects that will go away or I’m not better and should have stayed on it? How do I know if this is a permanent condition or if I could get better if I don’t try to come off the ppi?</t>
        </is>
      </c>
      <c r="D2536" t="n">
        <v>3</v>
      </c>
      <c r="E2536" t="n">
        <v>12</v>
      </c>
      <c r="F2536">
        <f>HYPERLINK("https://www.reddit.com/r/GERD/comments/cxobca/rebound/")</f>
        <v/>
      </c>
      <c r="G2536" t="inlineStr">
        <is>
          <t>2019-08-30 15:59:37</t>
        </is>
      </c>
      <c r="H2536" t="inlineStr"/>
    </row>
    <row r="2537">
      <c r="A2537" t="inlineStr">
        <is>
          <t>cxowgm</t>
        </is>
      </c>
      <c r="B2537" t="inlineStr">
        <is>
          <t>Abdominal discomfort/pain</t>
        </is>
      </c>
      <c r="C2537" t="inlineStr">
        <is>
          <t>Age: 20 Height: 5'9 Weight: 145 pounds Background: Hispanic
Medical History: Diagnosed with anxiety, might have GERD/acid reflux because old doctor gave me pills for something related to that but it never really did much for me, had breathing problems when I was in middle school. Also had phlegm since middle school but it feels like I have more now.
I’m at work right now as I type this, so apologies in advance if everything comes out clustered.
I’m having this pressure in the top left section of my stomach. My bowel movements is lacking or only twice a day, but it feels like I’m constipated. I’m eating more now, not as much as I did last year but twice a day—white rice and chicken for the past four weeks—it feels like I have a bitter taste in my mouth. Chest pain and difficulty breathing as well. Like I can’t feel my heartbeat. Hands are dry. My vision is bad now, I have something called visual snow which on Google says it’s incurable, so I screwed my self over on that.
I know what I have but no one seems to believe me. My family and friends, my doctor before I switched today for a new one. My old one guessed it could have been stomach ulcers or Acid reflux or GERD, although he never actually further elaborated on that and just assumed it could be a possibility. All the symptoms match and I’m terrified right now.
I think now it gave me stomach or colon cancer. I plan to go to the USC hospital after work because they have a CT scan and endoscopy available on call.
I’ve done various x-rays, would it be better to do another X-ray with the endoscopy or ct scan? Because that’s a lot of radiation and I don’t want to multiply the cancer cells.</t>
        </is>
      </c>
      <c r="D2537" t="n">
        <v>0</v>
      </c>
      <c r="E2537" t="n">
        <v>1</v>
      </c>
      <c r="F2537">
        <f>HYPERLINK("https://www.reddit.com/r/GERD/comments/cxowgm/abdominal_discomfortpain/")</f>
        <v/>
      </c>
      <c r="G2537" t="inlineStr">
        <is>
          <t>2019-08-30 16:51:11</t>
        </is>
      </c>
      <c r="H2537" t="inlineStr"/>
    </row>
    <row r="2538">
      <c r="A2538" t="inlineStr">
        <is>
          <t>cxp9sd</t>
        </is>
      </c>
      <c r="B2538" t="inlineStr">
        <is>
          <t>Trigger reflux for days???</t>
        </is>
      </c>
      <c r="C2538" t="inlineStr">
        <is>
          <t>So I had a really spicy meal a few days ago.  And my reflux has been so bad for the past 3 days.  I have been diagnosed with GERD but it seemed to be ok for the past year.  Is it normal for one really spicy meal to trigger reflux for 3 whole days?</t>
        </is>
      </c>
      <c r="D2538" t="n">
        <v>4</v>
      </c>
      <c r="E2538" t="n">
        <v>1</v>
      </c>
      <c r="F2538">
        <f>HYPERLINK("https://www.reddit.com/r/GERD/comments/cxp9sd/trigger_reflux_for_days/")</f>
        <v/>
      </c>
      <c r="G2538" t="inlineStr">
        <is>
          <t>2019-08-30 17:25:54</t>
        </is>
      </c>
      <c r="H2538" t="inlineStr"/>
    </row>
    <row r="2539">
      <c r="A2539" t="inlineStr">
        <is>
          <t>cxq6tl</t>
        </is>
      </c>
      <c r="B2539" t="inlineStr">
        <is>
          <t>When does it go away?</t>
        </is>
      </c>
      <c r="C2539" t="inlineStr">
        <is>
          <t>For months after I eat I started to cough I went to doctor eight days ago and prescribed a medicine. Doctor told me to come back in 15 days. I keep coughing after I eat and the cough doesn’t seem to get better.</t>
        </is>
      </c>
      <c r="D2539" t="n">
        <v>3</v>
      </c>
      <c r="E2539" t="n">
        <v>1</v>
      </c>
      <c r="F2539">
        <f>HYPERLINK("https://www.reddit.com/r/GERD/comments/cxq6tl/when_does_it_go_away/")</f>
        <v/>
      </c>
      <c r="G2539" t="inlineStr">
        <is>
          <t>2019-08-30 18:53:16</t>
        </is>
      </c>
      <c r="H2539" t="inlineStr"/>
    </row>
    <row r="2540">
      <c r="A2540" t="inlineStr">
        <is>
          <t>cxre5r</t>
        </is>
      </c>
      <c r="B2540" t="inlineStr">
        <is>
          <t>What are the risks of getting surgery?</t>
        </is>
      </c>
      <c r="C2540" t="inlineStr">
        <is>
          <t>I am thinking about getting surgery. The only negative thing I know about is that if you feel like in your stomach after the surgery you need to visit the ER, but that's the only negative part I know about. Are there any more negative parts or risks of getting the surgery?</t>
        </is>
      </c>
      <c r="D2540" t="n">
        <v>2</v>
      </c>
      <c r="E2540" t="n">
        <v>13</v>
      </c>
      <c r="F2540">
        <f>HYPERLINK("https://www.reddit.com/r/GERD/comments/cxre5r/what_are_the_risks_of_getting_surgery/")</f>
        <v/>
      </c>
      <c r="G2540" t="inlineStr">
        <is>
          <t>2019-08-30 20:56:07</t>
        </is>
      </c>
      <c r="H2540" t="inlineStr"/>
    </row>
    <row r="2541">
      <c r="A2541" t="inlineStr">
        <is>
          <t>cxu4ic</t>
        </is>
      </c>
      <c r="B2541" t="inlineStr">
        <is>
          <t>I have "Ineffective Esophageal Motility" (anyone else?)</t>
        </is>
      </c>
      <c r="C2541" t="inlineStr">
        <is>
          <t>Hello. I posted a couple of weeks ago about unusual GERD-like symptoms (after 4 months of testing and having heart and lung stuff ruled out).
Well, after additional testing with a manometry, I have been diagnosed with Ineffective Esophageal Motility (IEM). This means that my esophageal muscle is not squeezing food down quickly enough into my stomach. I had 90% "failed swallows" on the test (yikes). Now I'm trying not to let my anxiety run wild about what may have caused this, but I'm told it's a common disorder.
Apparently you can have this condition for years and may not have any symptoms, but then people might start noticing because they develop a bad case of acid reflux, and acid is getting caught in the esophagus and causing chest pain. I'm not sure, but my theory is that I was vaping like crazy and under a lot of stress, and developed GERD, and now I have the IEM and the GERD.
IEM is permanent, as I understand it. I asked if there was a surgery and the doctor said no. There are also very limited medications. I'm taking Bethanechol for the IEM, BuSpar for anxiety and chest pain, and Zantac for the reflux (the doctor might switch to a PPI at some point, but she doesn't want to throw in too many factors right now).
Does anyone else have this condition? If so, have you learned of any new medications or surgeries or anything that would help? Or do you just learn to live with it?
I found some tips for IEM (which are similar to tips for GERD) such as eating very light (grazing vs. eating regular meals), eating slow and chewing your food a lot, avoiding acidic foods, never laying down after eating, taking Gaviscon liquid after meals, etc. But I'm open to any other tips.</t>
        </is>
      </c>
      <c r="D2541" t="n">
        <v>2</v>
      </c>
      <c r="E2541" t="n">
        <v>18</v>
      </c>
      <c r="F2541">
        <f>HYPERLINK("https://www.reddit.com/r/GERD/comments/cxu4ic/i_have_ineffective_esophageal_motility_anyone_else/")</f>
        <v/>
      </c>
      <c r="G2541" t="inlineStr">
        <is>
          <t>2019-08-31 02:42:45</t>
        </is>
      </c>
      <c r="H2541" t="inlineStr"/>
    </row>
    <row r="2542">
      <c r="A2542" t="inlineStr">
        <is>
          <t>cxvov9</t>
        </is>
      </c>
      <c r="B2542" t="inlineStr">
        <is>
          <t>LPR and weed?</t>
        </is>
      </c>
      <c r="C2542" t="inlineStr">
        <is>
          <t>I’m curious to know if weed has played a big roll in anyone’s LPR? Does is relax the LES? I’ve cut out almost everything that I love in my life because of this condition and am still dealing with it. Weed is the only thing that is somewhat helping me with the anxiety, as anxiety makes my symptoms much much worse. I really don’t want to cut it out, but if it’s not going to allow me to get better I may have to. 
If you quit, did your symptoms go away?</t>
        </is>
      </c>
      <c r="D2542" t="n">
        <v>1</v>
      </c>
      <c r="E2542" t="n">
        <v>0</v>
      </c>
      <c r="F2542">
        <f>HYPERLINK("https://www.reddit.com/r/GERD/comments/cxvov9/lpr_and_weed/")</f>
        <v/>
      </c>
      <c r="G2542" t="inlineStr">
        <is>
          <t>2019-08-31 06:19:58</t>
        </is>
      </c>
      <c r="H2542" t="inlineStr"/>
    </row>
    <row r="2543">
      <c r="A2543" t="inlineStr">
        <is>
          <t>cxw6ao</t>
        </is>
      </c>
      <c r="B2543" t="inlineStr">
        <is>
          <t>Anybody else have this happen to them?</t>
        </is>
      </c>
      <c r="C2543" t="inlineStr">
        <is>
          <t>Before I begin, I’d like to mention that I’m new here... so please excuse this post if it’s a bit of a ramble; here we go:
Does anybody else have the reflux where they can eat at (for example) 5pm, slowly have the reflux begin; and then by 3am you’re throwing (what feels like) the entire meal up and you’re in the midst of a full blown GERD attack? I’ve had this for a while and my GI Specialist seems to be stumped, everyone else that I know has GERD has told me that they’ve never had... could my ability to be throwing up my meals and my GERD by related or just a coinciding coincidence?</t>
        </is>
      </c>
      <c r="D2543" t="n">
        <v>5</v>
      </c>
      <c r="E2543" t="n">
        <v>10</v>
      </c>
      <c r="F2543">
        <f>HYPERLINK("https://www.reddit.com/r/GERD/comments/cxw6ao/anybody_else_have_this_happen_to_them/")</f>
        <v/>
      </c>
      <c r="G2543" t="inlineStr">
        <is>
          <t>2019-08-31 07:32:51</t>
        </is>
      </c>
      <c r="H2543" t="inlineStr"/>
    </row>
    <row r="2544">
      <c r="A2544" t="inlineStr">
        <is>
          <t>cxw9iz</t>
        </is>
      </c>
      <c r="B2544" t="inlineStr">
        <is>
          <t>LPR and weed?</t>
        </is>
      </c>
      <c r="C2544" t="inlineStr">
        <is>
          <t>Anyone find that weed was causing their LPR symptoms? I’ve cut out most everything I enjoy in life to try to figure out what’s causing this. Weed is helping me very much with the anxiety that these symptoms are giving me and I would absolutely hate to give it up along with everything else :( but I may have to if it’s the only thing that will help. 
Does weed relax or weaken the LES? If it in fact does, would quitting allow it to strengthen back up?</t>
        </is>
      </c>
      <c r="D2544" t="n">
        <v>5</v>
      </c>
      <c r="E2544" t="n">
        <v>33</v>
      </c>
      <c r="F2544">
        <f>HYPERLINK("https://www.reddit.com/r/GERD/comments/cxw9iz/lpr_and_weed/")</f>
        <v/>
      </c>
      <c r="G2544" t="inlineStr">
        <is>
          <t>2019-08-31 07:41:13</t>
        </is>
      </c>
      <c r="H2544" t="inlineStr"/>
    </row>
    <row r="2545">
      <c r="A2545" t="inlineStr">
        <is>
          <t>cxyj7a</t>
        </is>
      </c>
      <c r="B2545" t="inlineStr">
        <is>
          <t>Itchy/Twitching/Shaky Arms and Legs with probable LPR, is this common?</t>
        </is>
      </c>
      <c r="C2545" t="inlineStr">
        <is>
          <t>I went to the doc's a week ago for what I think is LPR, though I'm not sure, it at least displays some symptoms of reflux, that was after feeling a lump in my throat, trouble breathing, and some burning for 3 weeks beforehand. I've also noticed that my hands and arms have become seemingly shakier during that time, and become numb and tingly more easily.
The doc prescribed me with pantoprazole, after telling him that I tried both zantac and antacids, but after 4 days of usage, it also had no effect. And for the past 3 days, I've also been getting these twitches and crawling feelings in my legs. Is this caused by any of the medication at all? I've stopped taking all of it.
Also, I've taken a serology for H pylori screening, waiting on results and I haven't been sleeping all that well for the past 2 weeks, averaging 5 hours, and got 0-2 last night.</t>
        </is>
      </c>
      <c r="D2545" t="n">
        <v>3</v>
      </c>
      <c r="E2545" t="n">
        <v>6</v>
      </c>
      <c r="F2545">
        <f>HYPERLINK("https://www.reddit.com/r/GERD/comments/cxyj7a/itchytwitchingshaky_arms_and_legs_with_probable/")</f>
        <v/>
      </c>
      <c r="G2545" t="inlineStr">
        <is>
          <t>2019-08-31 11:02:45</t>
        </is>
      </c>
      <c r="H2545" t="inlineStr"/>
    </row>
    <row r="2546">
      <c r="A2546" t="inlineStr">
        <is>
          <t>cy12q6</t>
        </is>
      </c>
      <c r="B2546" t="inlineStr">
        <is>
          <t>Scared to take antibiotics...</t>
        </is>
      </c>
      <c r="C2546" t="inlineStr">
        <is>
          <t>I’ve been suffering with GERD for over a year now. It started off as gastritis (lots of pain below my chest and burning in my stomach plus nausea) and it was caused by pain killers. I’ve not taken any since then or antibiotics but right now I have a urinary tract infection or yeast infection (will find out on Monday) and I’m afraid the medication they will put me on will cause my gastritis to come back. I still have GERD symptoms but they haven’t been severe at all for the past months but I still get the occasional heartburn and indigestion sometimes. What can I do so I don’t go back to where I started? Obviously I’m gonna share my concerns with the doctors but I was hoping someone has some good advice. Will probiotics and a bland diet protect my gut? I’m very anxious and wish I didn’t have to take any medication at all</t>
        </is>
      </c>
      <c r="D2546" t="n">
        <v>1</v>
      </c>
      <c r="E2546" t="n">
        <v>10</v>
      </c>
      <c r="F2546">
        <f>HYPERLINK("https://www.reddit.com/r/GERD/comments/cy12q6/scared_to_take_antibiotics/")</f>
        <v/>
      </c>
      <c r="G2546" t="inlineStr">
        <is>
          <t>2019-08-31 14:19:25</t>
        </is>
      </c>
      <c r="H2546" t="inlineStr"/>
    </row>
    <row r="2547">
      <c r="A2547" t="inlineStr">
        <is>
          <t>cy1ptu</t>
        </is>
      </c>
      <c r="B2547" t="inlineStr">
        <is>
          <t>Has anyone tried Stretta for LPR?</t>
        </is>
      </c>
      <c r="C2547" t="inlineStr">
        <is>
          <t>I'm pretty much at the end of my rope with this globus sensation. I refuse to take PPI's (not that they help, anyway) and I'd just like to live my life like a normal person. Anyone have any experience with this procedure?</t>
        </is>
      </c>
      <c r="D2547" t="n">
        <v>6</v>
      </c>
      <c r="E2547" t="n">
        <v>13</v>
      </c>
      <c r="F2547">
        <f>HYPERLINK("https://www.reddit.com/r/GERD/comments/cy1ptu/has_anyone_tried_stretta_for_lpr/")</f>
        <v/>
      </c>
      <c r="G2547" t="inlineStr">
        <is>
          <t>2019-08-31 15:10:38</t>
        </is>
      </c>
      <c r="H2547" t="inlineStr"/>
    </row>
    <row r="2548">
      <c r="A2548" t="inlineStr">
        <is>
          <t>cy465c</t>
        </is>
      </c>
      <c r="B2548" t="inlineStr">
        <is>
          <t>Will supplementing magnesium and calcium combat the deficiencies caused by PPIs?</t>
        </is>
      </c>
      <c r="C2548" t="inlineStr">
        <is>
          <t>I see a lot of information out there regarding (often severe) magnesium deficiency after long-term PPI use, and levels restoring to normal after discontinuation.
Why doesn't simply supplementing with magnesium help?
Asking because I may have to get back on them.</t>
        </is>
      </c>
      <c r="D2548" t="n">
        <v>2</v>
      </c>
      <c r="E2548" t="n">
        <v>7</v>
      </c>
      <c r="F2548">
        <f>HYPERLINK("https://www.reddit.com/r/GERD/comments/cy465c/will_supplementing_magnesium_and_calcium_combat/")</f>
        <v/>
      </c>
      <c r="G2548" t="inlineStr">
        <is>
          <t>2019-08-31 18:53:40</t>
        </is>
      </c>
      <c r="H2548" t="inlineStr"/>
    </row>
    <row r="2549">
      <c r="A2549" t="inlineStr">
        <is>
          <t>cy4ok2</t>
        </is>
      </c>
      <c r="B2549" t="inlineStr">
        <is>
          <t>Whats the worse that could happen?</t>
        </is>
      </c>
      <c r="C2549" t="inlineStr">
        <is>
          <t>Ive had what I'm 99% sure is acid reflux/gerd since from 7 years back.
Only now it happens everyday. So much mucus in throat after eating anything. Esophagus and stomach buring for hours.
Sometimes I have a hard time swallowing food. Sometimes my esophagus just feels sore...like someone punched me in the throat from the inside.
I just wanna know whats the worse that can happen if this goes untreated. I'm not diagnosed.
 Havent seen a doctor in a while. Its not an option right now tbh. 
Ive been taking tums as needed but they make me gagg due to the taste.
Is there anything, natural or OTC that can help better.
And yes, I hope when (hopefully) have a doctor in the future, they'll take me seriously about this.</t>
        </is>
      </c>
      <c r="D2549" t="n">
        <v>3</v>
      </c>
      <c r="E2549" t="n">
        <v>22</v>
      </c>
      <c r="F2549">
        <f>HYPERLINK("https://www.reddit.com/r/GERD/comments/cy4ok2/whats_the_worse_that_could_happen/")</f>
        <v/>
      </c>
      <c r="G2549" t="inlineStr">
        <is>
          <t>2019-08-31 19:44:52</t>
        </is>
      </c>
      <c r="H2549" t="inlineStr"/>
    </row>
    <row r="2550">
      <c r="A2550" t="inlineStr">
        <is>
          <t>cy83xu</t>
        </is>
      </c>
      <c r="B2550" t="inlineStr">
        <is>
          <t>Omeprazole, Kidney pain? or in my head?</t>
        </is>
      </c>
      <c r="C2550" t="inlineStr">
        <is>
          <t>Been started on 40mg omeprazole and it's first thing that's worked, but started noticing pressure on the kidney area which turned into a stabbing pain last night when I was trying to sleep. Is this messing with my kidneys or am I just being paranoid? Can't get an appointment with doctor for 2 weeks so not sure if I should discontinue in the mean time or not.</t>
        </is>
      </c>
      <c r="D2550" t="n">
        <v>3</v>
      </c>
      <c r="E2550" t="n">
        <v>15</v>
      </c>
      <c r="F2550">
        <f>HYPERLINK("https://www.reddit.com/r/GERD/comments/cy83xu/omeprazole_kidney_pain_or_in_my_head/")</f>
        <v/>
      </c>
      <c r="G2550" t="inlineStr">
        <is>
          <t>2019-09-01 02:52:29</t>
        </is>
      </c>
      <c r="H2550" t="inlineStr"/>
    </row>
    <row r="2551">
      <c r="A2551" t="inlineStr">
        <is>
          <t>cy8fyg</t>
        </is>
      </c>
      <c r="B2551" t="inlineStr">
        <is>
          <t>lifting weights while on PPI</t>
        </is>
      </c>
      <c r="C2551" t="inlineStr">
        <is>
          <t>I have been diagnosed with GERD 7 years ago but I was able to get a grip on it by changing my lifestyle (e.g. getting more exercise and a little bit of watching what I ate). Recently I found myself with a severe case of periodic stomach pains. Got a blood test and CTAP (CT scan for abdomen and pelvis) done, all good. The doctor suspects an episode of acid reflux so he put me on Omeprazole 20g for 2 weeks.
I've Googled what Omeprazole is, and encoutered a worrying list of "correlations" to death, demendia, and bone density loss. I have a puny build and lifting weights helps put some shape on my body. Should I stop lifting weights while I am taking PPI?</t>
        </is>
      </c>
      <c r="D2551" t="n">
        <v>3</v>
      </c>
      <c r="E2551" t="n">
        <v>5</v>
      </c>
      <c r="F2551">
        <f>HYPERLINK("https://www.reddit.com/r/GERD/comments/cy8fyg/lifting_weights_while_on_ppi/")</f>
        <v/>
      </c>
      <c r="G2551" t="inlineStr">
        <is>
          <t>2019-09-01 03:37:07</t>
        </is>
      </c>
      <c r="H2551" t="inlineStr"/>
    </row>
    <row r="2552">
      <c r="A2552" t="inlineStr">
        <is>
          <t>cy8uqp</t>
        </is>
      </c>
      <c r="B2552" t="inlineStr">
        <is>
          <t>one of those I'm tired of Reflux and need to vent posts</t>
        </is>
      </c>
      <c r="C2552" t="inlineStr">
        <is>
          <t>hey guys. I truly hope soon, or some day soon a miracle can happen for all of us GERD or silent reflux sufferers. Personally, my reflux is on and off for different foods every damn day, and i'm just so sick of it. I just wanna be able to eat without thinking about a consequence. Ever since I was 23 (turning 25 soon) i've been dealing with this bullshit. So tired of it. I've easily spent over 1000 + dollars on amazon and different vitamin stores, testing out all kinds of things to fix this garbage issue, been to doctors, Gastros, got endoscopes, everything but no answer.  
I'm not even gonna lie I do feel like I did this to myself about two years ago. By putting my body in stress that it probably just couldn't handle for months. Anxiety, health anxiety... I know i'm not the only one. My life is finally going good but I can barely be happy because Im always focused on this. Who the hell in their twenties or even younger people than me, has to deal with this ? I know it isn't simple and there's no simple answer to the cause of this but it's just not fair. My 60 year old Uncle eats whatever the F\*\*\* he wants, overweight as HELL, with zero consequence, yet here we are... I go to the gym 4 days a week, tad bit under weight but fairly fit, and I have a decently 'healthy' diet, but I have to suffer with this garbage disease daily. I sleep with a wedge pillow, and an additional pillow on top. I haven't slept FLAT in almost two years... i'm sick of it. 
&amp;amp;#x200B;
By the way, about the anxiety story, to make it short. For 3-4 months I thought I had something majorly wrong in my brain, I had non stop headaches, DAILY for 3 months, when I woke up till I fell asleep... after the 4th month I finally broke down in front of everyone my whole family one day and said I couldn't take it anymore so they took me to the emergency room to get a brain scan, which everything came back normal. It was a huge relief off my shoulders, and coincidentally my headaches hadn't return after that night. However, 1 day later, I started coughing my LUNGS out, for a week or two, and that's when the silent reflux started.... never went away ever since. Could it be hormones? stress ? did I break something internally and it just never fixed itself ? idk, I hate life though for now.
Well, Just wanted to get this off my mind. if anyone has any suggestions or things to try, i'm basically a guinea pig at this point.</t>
        </is>
      </c>
      <c r="D2552" t="n">
        <v>17</v>
      </c>
      <c r="E2552" t="n">
        <v>39</v>
      </c>
      <c r="F2552">
        <f>HYPERLINK("https://www.reddit.com/r/GERD/comments/cy8uqp/one_of_those_im_tired_of_reflux_and_need_to_vent/")</f>
        <v/>
      </c>
      <c r="G2552" t="inlineStr">
        <is>
          <t>2019-09-01 04:31:27</t>
        </is>
      </c>
      <c r="H2552" t="inlineStr"/>
    </row>
    <row r="2553">
      <c r="A2553" t="inlineStr">
        <is>
          <t>cy96h6</t>
        </is>
      </c>
      <c r="B2553" t="inlineStr">
        <is>
          <t>Do I have GERD?</t>
        </is>
      </c>
      <c r="C2553" t="inlineStr">
        <is>
          <t>Around a year ago I started having really bad burps, I don't have heartburn or anything like that, I just have really loud burps. They go away in long periods when I eat better though.</t>
        </is>
      </c>
      <c r="D2553" t="n">
        <v>0</v>
      </c>
      <c r="E2553" t="n">
        <v>4</v>
      </c>
      <c r="F2553">
        <f>HYPERLINK("https://www.reddit.com/r/GERD/comments/cy96h6/do_i_have_gerd/")</f>
        <v/>
      </c>
      <c r="G2553" t="inlineStr">
        <is>
          <t>2019-09-01 05:09:12</t>
        </is>
      </c>
      <c r="H2553" t="inlineStr"/>
    </row>
    <row r="2554">
      <c r="A2554" t="inlineStr">
        <is>
          <t>cy9ey8</t>
        </is>
      </c>
      <c r="B2554" t="inlineStr">
        <is>
          <t>Believe it or not</t>
        </is>
      </c>
      <c r="C2554" t="inlineStr">
        <is>
          <t>My doctor (in the UK) suggested I get a psychiatrist rather than a solution to GERD because, clearly, I'm struggling to come to terms with the fact that I'll be like this for the next 40 years. Suffice it to say, I've not been back to that doctor. We were livid!</t>
        </is>
      </c>
      <c r="D2554" t="n">
        <v>1</v>
      </c>
      <c r="E2554" t="n">
        <v>5</v>
      </c>
      <c r="F2554">
        <f>HYPERLINK("https://www.reddit.com/r/GERD/comments/cy9ey8/believe_it_or_not/")</f>
        <v/>
      </c>
      <c r="G2554" t="inlineStr">
        <is>
          <t>2019-09-01 05:36:19</t>
        </is>
      </c>
      <c r="H2554" t="inlineStr"/>
    </row>
    <row r="2555">
      <c r="A2555" t="inlineStr">
        <is>
          <t>cy9r9l</t>
        </is>
      </c>
      <c r="B2555" t="inlineStr">
        <is>
          <t>Are these three issues GERD?</t>
        </is>
      </c>
      <c r="C2555" t="inlineStr">
        <is>
          <t>I have three main issues which I believe may have the same root cause - GERD. I am not diagnosed and I occasionally take omeprazole. 
1) The scariest issue has to do with swallowing. Occasionally, especially if I am quite hungry and haven't been drinking enough, I will take a bite of my food, swallow, and feel it go down my oesophagus up to a point. Then it gets stuck. I used to get quite scared by this because I didn't know how to handle it or what it was. It felt like my oesophagus was running both downwards and upwards at the same time and stuff got stuck. Now I think it has to do with fibrosis making the oesophagus too narrow. I used to stop breathing and moving completely until it passed, and if it took too long I would get a mixture of belching and hiccoughs at the same time that made it very scary. Now I try to force myself to drink a gulp of water, which pushes the food down. It hurts but it ends it very quickly. 
2) I often get heart burn, the kind when I feel the lowest part of my oesophagus being burnt by stomach acids. The burns are more or less where food gets stuck sometimes. This can last for hours and it's very painful. I used to take various antacids but sometimes it was so bad that I would have to take so much, which always leads to diarrhoea. Some of the foods that have caused the worst reflux have been tomatoes, hummus, wine, beer (even a single, tiny sip is enough) and coffee. 
3) The last issue is very similar to acid reflux but it feels different. Instead of a vivid burning sensation just above the oesophagal sphincter, it feels like pressure that I can't quite place. Sort of like when you have really bad stomach cramps, sharp stabby pressure pains. It's the one I'm least familiar with. It doesn't usually occur when eating, sometimes from sitting hunched over. 
So to me, it seems like the constant acid reflux has caused some sort of scarring above the sphincter, and the resulting fibrosis is sometimes enough to block food from passing into the stomach, but water helps. I don't know WHY I get acid reflux so often and so much, but I suspect it may have to do with the shape of my stomach, my habit of eating while sitting on the floor or in bed/sofa rather than sitting up straight in a chair, and probably some genetic factors that predispose me to all of the above.
But is it GERD? What can I do? Omeprazole every day for a week seems to help for a while. Is there anyway to remove the scar tissue I suspect is resulting from this?
Thank you!</t>
        </is>
      </c>
      <c r="D2555" t="n">
        <v>5</v>
      </c>
      <c r="E2555" t="n">
        <v>4</v>
      </c>
      <c r="F2555">
        <f>HYPERLINK("https://www.reddit.com/r/GERD/comments/cy9r9l/are_these_three_issues_gerd/")</f>
        <v/>
      </c>
      <c r="G2555" t="inlineStr">
        <is>
          <t>2019-09-01 06:10:52</t>
        </is>
      </c>
      <c r="H2555" t="inlineStr"/>
    </row>
    <row r="2556">
      <c r="A2556" t="inlineStr">
        <is>
          <t>cyakzk</t>
        </is>
      </c>
      <c r="B2556" t="inlineStr">
        <is>
          <t>GERD and anxiety medication? Did it Help? What kind worked for you?</t>
        </is>
      </c>
      <c r="C2556" t="inlineStr">
        <is>
          <t>Going to Dr. again. I always turn down anxiety med. this time I might give it try? Most of my gerd attack it at night.  Thank u</t>
        </is>
      </c>
      <c r="D2556" t="n">
        <v>9</v>
      </c>
      <c r="E2556" t="n">
        <v>7</v>
      </c>
      <c r="F2556">
        <f>HYPERLINK("https://www.reddit.com/r/GERD/comments/cyakzk/gerd_and_anxiety_medication_did_it_help_what_kind/")</f>
        <v/>
      </c>
      <c r="G2556" t="inlineStr">
        <is>
          <t>2019-09-01 07:27:53</t>
        </is>
      </c>
      <c r="H2556" t="inlineStr"/>
    </row>
    <row r="2557">
      <c r="A2557" t="inlineStr">
        <is>
          <t>cybk5c</t>
        </is>
      </c>
      <c r="B2557" t="inlineStr">
        <is>
          <t>Are my symptoms GERD?</t>
        </is>
      </c>
      <c r="C2557" t="inlineStr">
        <is>
          <t>I have strange feelings in my chest around the heart area:
1, Pressure build up and release with squirting sensation that I can also hear.
2. Restrictive Feeling/tightness in this area.
3. Squeezing feeling (think ringing a cloth out, and thats what feels like is happening inside my chest)
4. Pops and flutters
5. Sometimes when its bad it comes on like a rush and I gasp for breath, I involuntarily move my body like jolt up to catch my breath and relieve it. (A couple of months ago I was waking up gasping with this and felt like my heart was stopping) When this happens I have to move my body from its current position to catch my breath and relieve it. 
I had bad anxiety/panic disorder over 10 years ago but got over it untill last year when I start experiencing these symptoms which brought it back with a bang as I thought it was my heart.
My doctor sent me to hospital for Blood test, ECG and a Holter monitor for 24 hours (these symptoms were present and noted while I had the holster monitor on) &amp;amp;Thyroid function test. All tests showed normal so I can rule out my heart which subsided any anxiety alot, my doctor put it down to my anxiety and prescribed me beta blockers which I am taking afew months now.
This happens mostly in the evenings and night time. And last year when it started it was happening when I was training in the gym.
Also to note I have IBS and food intolerances.
So people of reddit, Are these symptoms just anxiety symptoms or could it be an acid reflux/GERD type of problem?
Any insight appreciated</t>
        </is>
      </c>
      <c r="D2557" t="n">
        <v>2</v>
      </c>
      <c r="E2557" t="n">
        <v>10</v>
      </c>
      <c r="F2557">
        <f>HYPERLINK("https://www.reddit.com/r/GERD/comments/cybk5c/are_my_symptoms_gerd/")</f>
        <v/>
      </c>
      <c r="G2557" t="inlineStr">
        <is>
          <t>2019-09-01 08:49:17</t>
        </is>
      </c>
      <c r="H2557" t="inlineStr"/>
    </row>
    <row r="2558">
      <c r="A2558" t="inlineStr">
        <is>
          <t>cycgsh</t>
        </is>
      </c>
      <c r="B2558" t="inlineStr">
        <is>
          <t>Looking For A Replacement Mod</t>
        </is>
      </c>
      <c r="C2558" t="inlineStr">
        <is>
          <t>Care about the community and want to lead them? Do you believe in the rules of the sub with a passion? Apply now to be a mod of this sub.</t>
        </is>
      </c>
      <c r="D2558" t="n">
        <v>3</v>
      </c>
      <c r="E2558" t="n">
        <v>10</v>
      </c>
      <c r="F2558">
        <f>HYPERLINK("https://www.reddit.com/r/GERD/comments/cycgsh/looking_for_a_replacement_mod/")</f>
        <v/>
      </c>
      <c r="G2558" t="inlineStr">
        <is>
          <t>2019-09-01 10:01:36</t>
        </is>
      </c>
      <c r="H2558" t="inlineStr"/>
    </row>
    <row r="2559">
      <c r="A2559" t="inlineStr">
        <is>
          <t>cyd9f5</t>
        </is>
      </c>
      <c r="B2559" t="inlineStr">
        <is>
          <t>Non-Cardiac Chest Pain Caused by Antibiotics (Clindamycin)?</t>
        </is>
      </c>
      <c r="C2559" t="inlineStr">
        <is>
          <t>Hi Reddit, 
New here, 22-year-old female. I started taking clindamycin, a pretty powerful antibiotic, to treat a bacterial infection on Sunday night. Come Monday night, I had this feeling of pressure in my chest going into my left armpit, but it subsided after a few minutes. Same thing happened on Tuesday. Wednesday, however, I was hit with this feeling of pressure in the left side of my chest that went to my armpit and all the way down my arm. It felt like a rushing feeling and it didn't go away after 2 hours, so I went to the ER. I mentioned the clindamycin but the doctors seemed more concerned about my heart (I have an abnormal EKG, have had it since I was a kid) and even kept me overnight to test my heart despite my suspicions that the medicine could have caused it. 
I left the hospital AMA since I was still having that feeling in my chest and arm, but they determined my heart isn't in any danger. I continued to finish my antibiotics and STILL, I have this feeling in my chest and my arm. I woke up this morning and it felt like my chest was going to explode. Called my pharmacist and she confirmed that clindamycin is known to wreak havoc on your esophageal system and recommended I take Tums because that will work the fastest.
My question is this: is it normal for the pressure to be so strong? Has anyone else experienced acid reflux with nonstop chest pain due to medication? I've been eating before I take the medicine and refrained from laying down 10 minutes after taking it as my pharmacist instructed, so I'm not sure why I'm getting this extreme heartburn (if this is even the cause). Thanks!
TLDR: I think my antibiotics are causing extreme, constant chest pain that won't go away after a few days. Is this normal? Should I be more concerned?</t>
        </is>
      </c>
      <c r="D2559" t="n">
        <v>0</v>
      </c>
      <c r="E2559" t="n">
        <v>2</v>
      </c>
      <c r="F2559">
        <f>HYPERLINK("https://www.reddit.com/r/GERD/comments/cyd9f5/noncardiac_chest_pain_caused_by_antibiotics/")</f>
        <v/>
      </c>
      <c r="G2559" t="inlineStr">
        <is>
          <t>2019-09-01 11:02:53</t>
        </is>
      </c>
      <c r="H2559" t="inlineStr"/>
    </row>
    <row r="2560">
      <c r="A2560" t="inlineStr">
        <is>
          <t>cydlkp</t>
        </is>
      </c>
      <c r="B2560" t="inlineStr">
        <is>
          <t>irritated vagus and shortness of breath from reflux?</t>
        </is>
      </c>
      <c r="C2560" t="inlineStr">
        <is>
          <t>Does anyone else go through this? I need to know I'm not alone!</t>
        </is>
      </c>
      <c r="D2560" t="n">
        <v>1</v>
      </c>
      <c r="E2560" t="n">
        <v>2</v>
      </c>
      <c r="F2560">
        <f>HYPERLINK("https://www.reddit.com/r/GERD/comments/cydlkp/irritated_vagus_and_shortness_of_breath_from/")</f>
        <v/>
      </c>
      <c r="G2560" t="inlineStr">
        <is>
          <t>2019-09-01 11:29:18</t>
        </is>
      </c>
      <c r="H2560" t="inlineStr"/>
    </row>
    <row r="2561">
      <c r="A2561" t="inlineStr">
        <is>
          <t>cydyw2</t>
        </is>
      </c>
      <c r="B2561" t="inlineStr">
        <is>
          <t>GERD ?</t>
        </is>
      </c>
      <c r="C2561" t="inlineStr">
        <is>
          <t>I’ll preface with yes I have panic attacks and yes I know the connection is strong
But all my life I’ve had panic disorder and never have I have I had  these 
A few months ago after dinner I’d have gnawing pains now a days it seems to happen almost every time I eat progressively worse each day 
I see a doc on Tuesday 
1. Feels like a lump in my throat like something is stuck and can’t come down I can swallow fine but it feels like I can’t it’s super uncomfortable like a pop bottle about to burst 
I panic after this usually because it’s scary as fuck 
2. Belching like insanity hours and hours of belching 
3. Chest pains (normal ekg ) right side left side sternum up &amp;amp; down under breasts squeezing pinching sharp if it has a word for it ive felt it 
4. Gurgling lots of gurgling 
5. Pain that radiates to the back 
6. Excessive Gas 
At first I thought after losing 77 lbs I may have gotten gallstones so I’ve been eating low fat
But it doesn’t matter what I eat lownfat no fat I get pain 
I’ve had heartburn 2 times in my life ( each time was when I started an ssri ) and it absolutely
Does not feel like this anymore that felt like a burn 
I don’t taste anything funny or have any acid taste 
This issue is making my panic disorder go off the damn wall 
I eat a whole food no cooking oil very minimal almost 0 processed food diet and now I’ve been eating low fat ontop
I exercise daily I don’t smoke 
I go to therapy biweekly for my panic disorder etc 
Idk what to do :( I’m in so much pain and I’m scared 😟and anxious</t>
        </is>
      </c>
      <c r="D2561" t="n">
        <v>3</v>
      </c>
      <c r="E2561" t="n">
        <v>8</v>
      </c>
      <c r="F2561">
        <f>HYPERLINK("https://www.reddit.com/r/GERD/comments/cydyw2/gerd/")</f>
        <v/>
      </c>
      <c r="G2561" t="inlineStr">
        <is>
          <t>2019-09-01 11:58:08</t>
        </is>
      </c>
      <c r="H2561" t="inlineStr"/>
    </row>
    <row r="2562">
      <c r="A2562" t="inlineStr">
        <is>
          <t>cye6h9</t>
        </is>
      </c>
      <c r="B2562" t="inlineStr">
        <is>
          <t>Can heartburn feel like a heart attack?</t>
        </is>
      </c>
      <c r="C2562" t="inlineStr">
        <is>
          <t>i had severe tightening and some pain in my chest last night for 20 minutes. it had been 3 hours since i ate so i wasn’t sure if it was heartburn, plus i don’t really get heartburn a lot.</t>
        </is>
      </c>
      <c r="D2562" t="n">
        <v>2</v>
      </c>
      <c r="E2562" t="n">
        <v>5</v>
      </c>
      <c r="F2562">
        <f>HYPERLINK("https://www.reddit.com/r/GERD/comments/cye6h9/can_heartburn_feel_like_a_heart_attack/")</f>
        <v/>
      </c>
      <c r="G2562" t="inlineStr">
        <is>
          <t>2019-09-01 12:14:22</t>
        </is>
      </c>
      <c r="H2562" t="inlineStr"/>
    </row>
    <row r="2563">
      <c r="A2563" t="inlineStr">
        <is>
          <t>cyfb2l</t>
        </is>
      </c>
      <c r="B2563" t="inlineStr">
        <is>
          <t>Feeling bad after eating with ppi intake, low acid problem?</t>
        </is>
      </c>
      <c r="C2563" t="inlineStr">
        <is>
          <t>Hello, in advance, sorry for my english
I have been treated for h pylori, and my doctor said i needed to take lanzoprasole one month more after antibiotics
Every day i take the PPI, on afternoon and night, i feel really stomach heavy and bloated, doesnt matter what i eat.
This lead me to stop taking ppi for a day, and when i didnt take it, that day i did not feel bloated, my stomach seemed to digest food better. The only problem is that at night and the next day i started to feel some heatburn (better than feeling bloated) so i took a PPI at morning and felt bloated again for that day
Could i have a low acid problem caused by the PPi that make my stomach digest food slower? 
Should i stop taking the ppi? I wont be seeing my doctor the next month so i would love any advise</t>
        </is>
      </c>
      <c r="D2563" t="n">
        <v>2</v>
      </c>
      <c r="E2563" t="n">
        <v>2</v>
      </c>
      <c r="F2563">
        <f>HYPERLINK("https://www.reddit.com/r/GERD/comments/cyfb2l/feeling_bad_after_eating_with_ppi_intake_low_acid/")</f>
        <v/>
      </c>
      <c r="G2563" t="inlineStr">
        <is>
          <t>2019-09-01 13:44:43</t>
        </is>
      </c>
      <c r="H2563" t="inlineStr"/>
    </row>
    <row r="2564">
      <c r="A2564" t="inlineStr">
        <is>
          <t>cyg77p</t>
        </is>
      </c>
      <c r="B2564" t="inlineStr">
        <is>
          <t>Are we allowed to eat oranges?</t>
        </is>
      </c>
      <c r="C2564" t="inlineStr">
        <is>
          <t>I haven’t eaten all day, but have been craving an orange for a couple days now. I recently found out I’m not diabetic, but since I have IBS, crohns diseases, GERD, acid reflux and gastritis, I don’t know if we’re allowed to eat acidic or sour fruits.</t>
        </is>
      </c>
      <c r="D2564" t="n">
        <v>1</v>
      </c>
      <c r="E2564" t="n">
        <v>16</v>
      </c>
      <c r="F2564">
        <f>HYPERLINK("https://www.reddit.com/r/GERD/comments/cyg77p/are_we_allowed_to_eat_oranges/")</f>
        <v/>
      </c>
      <c r="G2564" t="inlineStr">
        <is>
          <t>2019-09-01 14:59:00</t>
        </is>
      </c>
      <c r="H2564" t="inlineStr"/>
    </row>
    <row r="2565">
      <c r="A2565" t="inlineStr">
        <is>
          <t>cygr8h</t>
        </is>
      </c>
      <c r="B2565" t="inlineStr">
        <is>
          <t>Hypochlorhydria (Low stomach acid)</t>
        </is>
      </c>
      <c r="C2565" t="inlineStr">
        <is>
          <t>If you have this.... what are your daily symptoms???? I’m trying to figure out if I have low acid. I always feel bloated and sick. :/ especially after eating.</t>
        </is>
      </c>
      <c r="D2565" t="n">
        <v>3</v>
      </c>
      <c r="E2565" t="n">
        <v>2</v>
      </c>
      <c r="F2565">
        <f>HYPERLINK("https://www.reddit.com/r/GERD/comments/cygr8h/hypochlorhydria_low_stomach_acid/")</f>
        <v/>
      </c>
      <c r="G2565" t="inlineStr">
        <is>
          <t>2019-09-01 15:47:42</t>
        </is>
      </c>
      <c r="H2565" t="inlineStr"/>
    </row>
    <row r="2566">
      <c r="A2566" t="inlineStr">
        <is>
          <t>cyh19w</t>
        </is>
      </c>
      <c r="B2566" t="inlineStr">
        <is>
          <t>best OTC med for LPR?</t>
        </is>
      </c>
      <c r="C2566" t="inlineStr">
        <is>
          <t>Ranitidine, Prilosec, Nexium, Zantac..tablets, pills, etc...so many options. Which do you prefer and why if possible?
For what it’s worth, I have constant post nasal drip which is my only symptom for my LPR. I’ve been taking Gaviscon extra strength and have had fairly good results. I’d like to be able to take something once in the morning and be done with it vs. tablets after each meal.</t>
        </is>
      </c>
      <c r="D2566" t="n">
        <v>2</v>
      </c>
      <c r="E2566" t="n">
        <v>8</v>
      </c>
      <c r="F2566">
        <f>HYPERLINK("https://www.reddit.com/r/GERD/comments/cyh19w/best_otc_med_for_lpr/")</f>
        <v/>
      </c>
      <c r="G2566" t="inlineStr">
        <is>
          <t>2019-09-01 16:12:39</t>
        </is>
      </c>
      <c r="H2566" t="inlineStr"/>
    </row>
    <row r="2567">
      <c r="A2567" t="inlineStr">
        <is>
          <t>cyi45y</t>
        </is>
      </c>
      <c r="B2567" t="inlineStr">
        <is>
          <t>Antacid helps me breathe better</t>
        </is>
      </c>
      <c r="C2567" t="inlineStr">
        <is>
          <t>I've been diagnosed with asthma and my pulmonologist is not sure what the cause is. I frequently feel a sour bitter taste in my throat after eating so I went out and got a Magnesium Hydroxide and Calcium Carbonate antacid from CVS. I noticed that by taking it right after meals my breathing felt less obstructed and I felt I could breathe deeper. I was wondering is it sustainable to continually take an antacid? Or does the body eventually respond by creating more acid? Also are there side effects of taking high doses of antacid? Thanks!</t>
        </is>
      </c>
      <c r="D2567" t="n">
        <v>10</v>
      </c>
      <c r="E2567" t="n">
        <v>9</v>
      </c>
      <c r="F2567">
        <f>HYPERLINK("https://www.reddit.com/r/GERD/comments/cyi45y/antacid_helps_me_breathe_better/")</f>
        <v/>
      </c>
      <c r="G2567" t="inlineStr">
        <is>
          <t>2019-09-01 17:55:12</t>
        </is>
      </c>
      <c r="H2567" t="inlineStr"/>
    </row>
    <row r="2568">
      <c r="A2568" t="inlineStr">
        <is>
          <t>cyjoko</t>
        </is>
      </c>
      <c r="B2568" t="inlineStr">
        <is>
          <t>New to GERD</t>
        </is>
      </c>
      <c r="C2568" t="inlineStr">
        <is>
          <t>So my ENT has diagnosed me with GERD or Acid Reflux.. he didn't really specify but told me to take zantac daily.  36/F
&amp;amp;#x200B;
This started as a sore throat for weeks, and coughing.  I've never (still to this day) had heartburn, but apparently the acid has eaten my throat. They did a scope in my throat and said "that purple tissue there is bad, that's why it hurts"
&amp;amp;#x200B;
So i drink a lot, eat like shit, take lots of NSAID's, allergy meds, and with the list of things he told me to not eat, i'll be anorexic in a couple months.   I think this last time i ate some chili that was too spicy.. and then laid down for a nap.   Do my naps have anything to do with this? I have a heart condition from years ago and i just don't ever get enough sleep, so i usually take a nap on my lunch at work, and sometimes after work.  
&amp;amp;#x200B;
Most of my reasoning for this post is... how the hell do i make my throat stop burning? I've been  drinking warm broth, tea, Popsicle, they all give relief for 5 minutes, but is there something i don't know?</t>
        </is>
      </c>
      <c r="D2568" t="n">
        <v>2</v>
      </c>
      <c r="E2568" t="n">
        <v>3</v>
      </c>
      <c r="F2568">
        <f>HYPERLINK("https://www.reddit.com/r/GERD/comments/cyjoko/new_to_gerd/")</f>
        <v/>
      </c>
      <c r="G2568" t="inlineStr">
        <is>
          <t>2019-09-01 20:25:42</t>
        </is>
      </c>
      <c r="H2568" t="inlineStr"/>
    </row>
    <row r="2569">
      <c r="A2569" t="inlineStr">
        <is>
          <t>cykcqc</t>
        </is>
      </c>
      <c r="B2569" t="inlineStr">
        <is>
          <t>Undiagnosed/Terrible Anxiety</t>
        </is>
      </c>
      <c r="C2569" t="inlineStr">
        <is>
          <t>I’ll try to make this short, but basically for the past 2 years I thought I had terrible anxiety. Until my symptoms got worse and I realized it might actually be something physical. About 8 months ago I was diagnosed with acid reflux and was told to change my diet and try a PPI. I cut out coffee and soda and continued my usual diet as it was basically what they were telling me to try. It’s now at a point where it’s gotten much worse. I have constant mucus on the back of my throat, like all day everyday. Constantly swallowing and coughing. And when my anxiety takes over I feel like my throat is closing up because of the lump feeling I have. After a lot of research I’m thinking it’s LPR, but I don’t have a diagnosis yet. I have an appointment in a few days, and now working on finding an ENT. I guess I’m not looking for answers, more of some hope that I won’t live this way forever. It has to get better, right? Maybe if you all have any tips on questions/information I should ask the doctors?
*I’m 25, female, very active, and otherwise pretty healthy</t>
        </is>
      </c>
      <c r="D2569" t="n">
        <v>4</v>
      </c>
      <c r="E2569" t="n">
        <v>4</v>
      </c>
      <c r="F2569">
        <f>HYPERLINK("https://www.reddit.com/r/GERD/comments/cykcqc/undiagnosedterrible_anxiety/")</f>
        <v/>
      </c>
      <c r="G2569" t="inlineStr">
        <is>
          <t>2019-09-01 21:35:53</t>
        </is>
      </c>
      <c r="H2569" t="inlineStr"/>
    </row>
    <row r="2570">
      <c r="A2570" t="inlineStr">
        <is>
          <t>cykwmv</t>
        </is>
      </c>
      <c r="B2570" t="inlineStr">
        <is>
          <t>GOOD NEWS</t>
        </is>
      </c>
      <c r="C2570" t="inlineStr">
        <is>
          <t>I think my gerd is heeling or my symptoms are getting better , but it’s fdicjng my anxiety and depression , I’ve been eating a life looser at family functions getting into my daily routine working out even more I smoke (weed) from time to time but no where as much as I use to and even that doesn’t hurt me or give me bad heartburn like it used to. So just a reminder to the new comers it literally gets better it just may take a few months or whatever your body process times it , but don’t lose healthy faith💯</t>
        </is>
      </c>
      <c r="D2570" t="n">
        <v>2</v>
      </c>
      <c r="E2570" t="n">
        <v>2</v>
      </c>
      <c r="F2570">
        <f>HYPERLINK("https://www.reddit.com/r/GERD/comments/cykwmv/good_news/")</f>
        <v/>
      </c>
      <c r="G2570" t="inlineStr">
        <is>
          <t>2019-09-01 22:36:26</t>
        </is>
      </c>
      <c r="H2570" t="inlineStr"/>
    </row>
    <row r="2571">
      <c r="A2571" t="inlineStr">
        <is>
          <t>cyl8sy</t>
        </is>
      </c>
      <c r="B2571" t="inlineStr">
        <is>
          <t>How does weight loss help?</t>
        </is>
      </c>
      <c r="C2571" t="inlineStr">
        <is>
          <t>I've just started seriously upping my activity. 4 x aqua fitness classes this week. Start with a personal trainer today. Enthusiastic about losing quite a few kilos, but I have one question : why do I keep seeing people with Gerd saying they are UNDER weight and it being a problem? and how could weight loss help? Does 'weight' pull down on the stomach or something?</t>
        </is>
      </c>
      <c r="D2571" t="n">
        <v>2</v>
      </c>
      <c r="E2571" t="n">
        <v>5</v>
      </c>
      <c r="F2571">
        <f>HYPERLINK("https://www.reddit.com/r/GERD/comments/cyl8sy/how_does_weight_loss_help/")</f>
        <v/>
      </c>
      <c r="G2571" t="inlineStr">
        <is>
          <t>2019-09-01 23:14:14</t>
        </is>
      </c>
      <c r="H2571" t="inlineStr"/>
    </row>
    <row r="2572">
      <c r="A2572" t="inlineStr">
        <is>
          <t>cym7j2</t>
        </is>
      </c>
      <c r="B2572" t="inlineStr">
        <is>
          <t>No sleep for me</t>
        </is>
      </c>
      <c r="C2572" t="inlineStr">
        <is>
          <t>I’m in the midst of an attack... acid is burning my throat and even hurting my ears and teeth at this point. Between the huge storm that’s happening outside, and my GERD acting up (after drinking almost a jug of milk in desperation of relief) I don’t think I’ll be sleeping tonight. I tried my Nexium, two pills... it didn’t work, and neither did my backup plan: milk. I thought I’d try some honey, if it can save throat from going raw because of a chronic cough... surely it can help cost my throat to save me from the scalding of the acid, right? WRONG. Because of the honey,  I’m now sitting up in bed at 2:10 am, watching 13 Reasons Why because I’m in too much pain to sleep...my wheezing has started again, I’m afraid that if I breathe a little too deeply; the acid will come back up and I’ll be right back to where I started. 
Plz send hugs, and milk... and maybe send letters to manufacturer of Nexium and tell them that they need to produce some industrial-nuclear strength antacids for us poor souls that have to suffer the wrath of our own bodies. 
Thank you for listening to me ramble and complain</t>
        </is>
      </c>
      <c r="D2572" t="n">
        <v>5</v>
      </c>
      <c r="E2572" t="n">
        <v>31</v>
      </c>
      <c r="F2572">
        <f>HYPERLINK("https://www.reddit.com/r/GERD/comments/cym7j2/no_sleep_for_me/")</f>
        <v/>
      </c>
      <c r="G2572" t="inlineStr">
        <is>
          <t>2019-09-02 01:13:22</t>
        </is>
      </c>
      <c r="H2572" t="inlineStr"/>
    </row>
    <row r="2573">
      <c r="A2573" t="inlineStr">
        <is>
          <t>cymbqn</t>
        </is>
      </c>
      <c r="B2573" t="inlineStr">
        <is>
          <t>Any truth in this? Seems too good to be true.</t>
        </is>
      </c>
      <c r="C2573" t="inlineStr">
        <is>
          <t>[https://www.drdavidwilliams.com/how-to-fix-hiatal-hernia-naturally](https://www.drdavidwilliams.com/how-to-fix-hiatal-hernia-naturally)</t>
        </is>
      </c>
      <c r="D2573" t="n">
        <v>0</v>
      </c>
      <c r="E2573" t="n">
        <v>4</v>
      </c>
      <c r="F2573">
        <f>HYPERLINK("https://www.reddit.com/r/GERD/comments/cymbqn/any_truth_in_this_seems_too_good_to_be_true/")</f>
        <v/>
      </c>
      <c r="G2573" t="inlineStr">
        <is>
          <t>2019-09-02 01:28:53</t>
        </is>
      </c>
      <c r="H2573" t="inlineStr"/>
    </row>
    <row r="2574">
      <c r="A2574" t="inlineStr">
        <is>
          <t>cymv3x</t>
        </is>
      </c>
      <c r="B2574" t="inlineStr">
        <is>
          <t>High stomach acid</t>
        </is>
      </c>
      <c r="C2574" t="inlineStr">
        <is>
          <t>Ive constantly been feeling nauseous for like a year. In the morning I tend to eat something small like an apple. After I eat Im ok. The nausea is gone. I went to doctors and was prescribed omeprazole. I instead tried drinking Apple Cieer vinegar before bed and every time I wake up now my nausea is really low or gone. I didnt drink it last night and woke up feeling nauseous as hell so now Im trying Ginger Herb Tea. Is ginger good for stomach acid?</t>
        </is>
      </c>
      <c r="D2574" t="n">
        <v>1</v>
      </c>
      <c r="E2574" t="n">
        <v>5</v>
      </c>
      <c r="F2574">
        <f>HYPERLINK("https://www.reddit.com/r/GERD/comments/cymv3x/high_stomach_acid/")</f>
        <v/>
      </c>
      <c r="G2574" t="inlineStr">
        <is>
          <t>2019-09-02 02:39:27</t>
        </is>
      </c>
      <c r="H2574" t="inlineStr"/>
    </row>
    <row r="2575">
      <c r="A2575" t="inlineStr">
        <is>
          <t>cyptgm</t>
        </is>
      </c>
      <c r="B2575" t="inlineStr">
        <is>
          <t>Tonsillectomy and GERD</t>
        </is>
      </c>
      <c r="C2575" t="inlineStr">
        <is>
          <t>I am getting a tonsillectomy on Wednesday, and I was wondering if anyone has had one and how it affected their gastro issues. I suffer from allergies and tonsillitis/pharyngitis a bunch, but I feel that everything is related and maybe taking them out will help break a link in the chain and lessen the GERD symptoms as well.
In addition, I'd appreciate any recommendations anyone can give about things to eat/not eat, ways to feel better and stave off pain, or anything else they don't normally tell you.
Thanks so much!</t>
        </is>
      </c>
      <c r="D2575" t="n">
        <v>9</v>
      </c>
      <c r="E2575" t="n">
        <v>4</v>
      </c>
      <c r="F2575">
        <f>HYPERLINK("https://www.reddit.com/r/GERD/comments/cyptgm/tonsillectomy_and_gerd/")</f>
        <v/>
      </c>
      <c r="G2575" t="inlineStr">
        <is>
          <t>2019-09-02 07:41:38</t>
        </is>
      </c>
      <c r="H2575" t="inlineStr"/>
    </row>
    <row r="2576">
      <c r="A2576" t="inlineStr">
        <is>
          <t>cyr4g0</t>
        </is>
      </c>
      <c r="B2576" t="inlineStr">
        <is>
          <t>Water brash</t>
        </is>
      </c>
      <c r="C2576" t="inlineStr">
        <is>
          <t>Anyone experience water brash immediately after drinking water? It's kinda regurgitation.</t>
        </is>
      </c>
      <c r="D2576" t="n">
        <v>2</v>
      </c>
      <c r="E2576" t="n">
        <v>1</v>
      </c>
      <c r="F2576">
        <f>HYPERLINK("https://www.reddit.com/r/GERD/comments/cyr4g0/water_brash/")</f>
        <v/>
      </c>
      <c r="G2576" t="inlineStr">
        <is>
          <t>2019-09-02 09:20:23</t>
        </is>
      </c>
      <c r="H2576" t="inlineStr"/>
    </row>
    <row r="2577">
      <c r="A2577" t="inlineStr">
        <is>
          <t>cyr7ov</t>
        </is>
      </c>
      <c r="B2577" t="inlineStr">
        <is>
          <t>Return to work from Nissen</t>
        </is>
      </c>
      <c r="C2577" t="inlineStr">
        <is>
          <t>How long until you can return to work from laproscopic Nissen procedure? Gonna have done in November and my doctor just said at least 2 weeks.</t>
        </is>
      </c>
      <c r="D2577" t="n">
        <v>2</v>
      </c>
      <c r="E2577" t="n">
        <v>4</v>
      </c>
      <c r="F2577">
        <f>HYPERLINK("https://www.reddit.com/r/GERD/comments/cyr7ov/return_to_work_from_nissen/")</f>
        <v/>
      </c>
      <c r="G2577" t="inlineStr">
        <is>
          <t>2019-09-02 09:27:07</t>
        </is>
      </c>
      <c r="H2577" t="inlineStr"/>
    </row>
    <row r="2578">
      <c r="A2578" t="inlineStr">
        <is>
          <t>cysbjn</t>
        </is>
      </c>
      <c r="B2578" t="inlineStr">
        <is>
          <t>Starting Round 2 tomorrow!</t>
        </is>
      </c>
      <c r="C2578" t="inlineStr">
        <is>
          <t>This is honestly one of the most supportive subs ever! I love reading everyone’s encouraging comments! 
Does anyone have any absolutely fav recipes I should try this round? Here’s mine! [Chicken Shwarma Fries](https://iowagirleats.com/2016/03/21/chicken-shawarma-fries-mediterranean-salsa-garlic-sauce/)</t>
        </is>
      </c>
      <c r="D2578" t="n">
        <v>3</v>
      </c>
      <c r="E2578" t="n">
        <v>1</v>
      </c>
      <c r="F2578">
        <f>HYPERLINK("https://www.reddit.com/r/GERD/comments/cysbjn/starting_round_2_tomorrow/")</f>
        <v/>
      </c>
      <c r="G2578" t="inlineStr">
        <is>
          <t>2019-09-02 10:46:30</t>
        </is>
      </c>
      <c r="H2578" t="inlineStr"/>
    </row>
    <row r="2579">
      <c r="A2579" t="inlineStr">
        <is>
          <t>cysdx1</t>
        </is>
      </c>
      <c r="B2579" t="inlineStr">
        <is>
          <t>Whole 30, anyone?</t>
        </is>
      </c>
      <c r="C2579" t="inlineStr">
        <is>
          <t>So I did the whole 30 in January and I felt AMAZING. I was basically symptomless for the entire month. Unfortunately, I didn’t do the reintroduction process right and ended up giving myself the biggest flare up I’ve ever had. 
ANYWAYS, I’m doing it again in the hopes of figuring out what most of my triggers are. 
If you’re feeling super sick and lost as to how to make yourself feel better, you might think about trying this!</t>
        </is>
      </c>
      <c r="D2579" t="n">
        <v>3</v>
      </c>
      <c r="E2579" t="n">
        <v>4</v>
      </c>
      <c r="F2579">
        <f>HYPERLINK("https://www.reddit.com/r/GERD/comments/cysdx1/whole_30_anyone/")</f>
        <v/>
      </c>
      <c r="G2579" t="inlineStr">
        <is>
          <t>2019-09-02 10:51:01</t>
        </is>
      </c>
      <c r="H2579" t="inlineStr"/>
    </row>
    <row r="2580">
      <c r="A2580" t="inlineStr">
        <is>
          <t>cytgst</t>
        </is>
      </c>
      <c r="B2580" t="inlineStr">
        <is>
          <t>LPR and diet changes</t>
        </is>
      </c>
      <c r="C2580" t="inlineStr">
        <is>
          <t>Did anyone heal their LPR by following a low acid diet? If so, how long did it take? I’ve been following it for about a week now and notice my symptoms are a little better. Just curious how long it will take before no symptoms are present. 
This LPR has caused me so much anxiety and anguish. Wish I could travel back in time to a couple months ago when I was normal :(</t>
        </is>
      </c>
      <c r="D2580" t="n">
        <v>10</v>
      </c>
      <c r="E2580" t="n">
        <v>14</v>
      </c>
      <c r="F2580">
        <f>HYPERLINK("https://www.reddit.com/r/GERD/comments/cytgst/lpr_and_diet_changes/")</f>
        <v/>
      </c>
      <c r="G2580" t="inlineStr">
        <is>
          <t>2019-09-02 12:10:04</t>
        </is>
      </c>
      <c r="H2580" t="inlineStr"/>
    </row>
    <row r="2581">
      <c r="A2581" t="inlineStr">
        <is>
          <t>cytlk8</t>
        </is>
      </c>
      <c r="B2581" t="inlineStr">
        <is>
          <t>Reflux and hot flash like symptoms</t>
        </is>
      </c>
      <c r="C2581" t="inlineStr">
        <is>
          <t>I want to know I am not alone in this. Sometimes when I feel my reflux flaring up, I start feeling a warmth in my back and then it spreads to my whole upper body and I just feel really hot really suddenly. I usually have to get in front of a fan or in some good air. I also noticed if I took a tums and burped, I start cooling down. One time I was eating popcorn with a friend and started feeling real hot and had to walk outside in the middle of the winter so I didn't pass out. The popcorn incident happened when I was 22, I am now 32 and it still happens sometimes.</t>
        </is>
      </c>
      <c r="D2581" t="n">
        <v>3</v>
      </c>
      <c r="E2581" t="n">
        <v>3</v>
      </c>
      <c r="F2581">
        <f>HYPERLINK("https://www.reddit.com/r/GERD/comments/cytlk8/reflux_and_hot_flash_like_symptoms/")</f>
        <v/>
      </c>
      <c r="G2581" t="inlineStr">
        <is>
          <t>2019-09-02 12:19:52</t>
        </is>
      </c>
      <c r="H2581" t="inlineStr"/>
    </row>
    <row r="2582">
      <c r="A2582" t="inlineStr">
        <is>
          <t>cywyz5</t>
        </is>
      </c>
      <c r="B2582" t="inlineStr">
        <is>
          <t>Silent Reflux</t>
        </is>
      </c>
      <c r="C2582" t="inlineStr">
        <is>
          <t>So I've been dealing with silent reflux for over a year now. And I had an endoscopy recently and my doctor told me that I have a slightly patulous GE-J. So from my understanding and how he explained it...the opening where my stomach and esophagus meet is slightly bigger than normal, and that can be why I deal with regurgitating acid. He told me to try lifestyle modifications, which I do, and if not, try medication (I've also tried that). Just wondering if anyone has any recommendations for anything else I can try. There's probably no way to fix my GE-J right?  😫</t>
        </is>
      </c>
      <c r="D2582" t="n">
        <v>2</v>
      </c>
      <c r="E2582" t="n">
        <v>1</v>
      </c>
      <c r="F2582">
        <f>HYPERLINK("https://www.reddit.com/r/GERD/comments/cywyz5/silent_reflux/")</f>
        <v/>
      </c>
      <c r="G2582" t="inlineStr">
        <is>
          <t>2019-09-02 16:40:43</t>
        </is>
      </c>
      <c r="H2582" t="inlineStr"/>
    </row>
    <row r="2583">
      <c r="A2583" t="inlineStr">
        <is>
          <t>cyxbuk</t>
        </is>
      </c>
      <c r="B2583" t="inlineStr">
        <is>
          <t>Just learned that I have GERD</t>
        </is>
      </c>
      <c r="C2583" t="inlineStr">
        <is>
          <t>I learned that I have GERD about a week ago. Besides tomatoes and citric fruits what are other foods that I should avoid?</t>
        </is>
      </c>
      <c r="D2583" t="n">
        <v>10</v>
      </c>
      <c r="E2583" t="n">
        <v>9</v>
      </c>
      <c r="F2583">
        <f>HYPERLINK("https://www.reddit.com/r/GERD/comments/cyxbuk/just_learned_that_i_have_gerd/")</f>
        <v/>
      </c>
      <c r="G2583" t="inlineStr">
        <is>
          <t>2019-09-02 17:12:31</t>
        </is>
      </c>
      <c r="H2583" t="inlineStr"/>
    </row>
    <row r="2584">
      <c r="A2584" t="inlineStr">
        <is>
          <t>cyxje0</t>
        </is>
      </c>
      <c r="B2584" t="inlineStr">
        <is>
          <t>Does any body experience nausea occasionally?</t>
        </is>
      </c>
      <c r="C2584" t="inlineStr">
        <is>
          <t>Anybody ??</t>
        </is>
      </c>
      <c r="D2584" t="n">
        <v>13</v>
      </c>
      <c r="E2584" t="n">
        <v>10</v>
      </c>
      <c r="F2584">
        <f>HYPERLINK("https://www.reddit.com/r/GERD/comments/cyxje0/does_any_body_experience_nausea_occasionally/")</f>
        <v/>
      </c>
      <c r="G2584" t="inlineStr">
        <is>
          <t>2019-09-02 17:31:07</t>
        </is>
      </c>
      <c r="H2584" t="inlineStr"/>
    </row>
    <row r="2585">
      <c r="A2585" t="inlineStr">
        <is>
          <t>cyy0mm</t>
        </is>
      </c>
      <c r="B2585" t="inlineStr">
        <is>
          <t>Does anyone else feel full easily?</t>
        </is>
      </c>
      <c r="C2585" t="inlineStr">
        <is>
          <t>That’s the question. Lol 
Or am I the only one? I feel like since I’ve been having serious acid reflux lately that I feel fuller lately than ever! I could eat a couple of bites and not feel like eating more. 
I know this could also be caused by anxiety.
What is your experiences?</t>
        </is>
      </c>
      <c r="D2585" t="n">
        <v>6</v>
      </c>
      <c r="E2585" t="n">
        <v>14</v>
      </c>
      <c r="F2585">
        <f>HYPERLINK("https://www.reddit.com/r/GERD/comments/cyy0mm/does_anyone_else_feel_full_easily/")</f>
        <v/>
      </c>
      <c r="G2585" t="inlineStr">
        <is>
          <t>2019-09-02 18:14:54</t>
        </is>
      </c>
      <c r="H2585" t="inlineStr"/>
    </row>
    <row r="2586">
      <c r="A2586" t="inlineStr">
        <is>
          <t>cyyov8</t>
        </is>
      </c>
      <c r="B2586" t="inlineStr">
        <is>
          <t>Feeling of something in esophagus, but no burn</t>
        </is>
      </c>
      <c r="C2586" t="inlineStr">
        <is>
          <t>Hey guys, just a quick question
Doesn’t happen to me often, but probably once or twice a week. Does anyone ever get a feeling as if something is in their esophagus, but without any sort of burning sensation? Doesn’t necessarily always accompany my other LPR symptoms. Sometimes it just feels full and like I could puke. Not uncomfortable necessarily though. Very bizarre</t>
        </is>
      </c>
      <c r="D2586" t="n">
        <v>3</v>
      </c>
      <c r="E2586" t="n">
        <v>4</v>
      </c>
      <c r="F2586">
        <f>HYPERLINK("https://www.reddit.com/r/GERD/comments/cyyov8/feeling_of_something_in_esophagus_but_no_burn/")</f>
        <v/>
      </c>
      <c r="G2586" t="inlineStr">
        <is>
          <t>2019-09-02 19:16:36</t>
        </is>
      </c>
      <c r="H2586" t="inlineStr"/>
    </row>
    <row r="2587">
      <c r="A2587" t="inlineStr">
        <is>
          <t>cz0gdq</t>
        </is>
      </c>
      <c r="B2587" t="inlineStr">
        <is>
          <t>Gum dissolving in my mouth?</t>
        </is>
      </c>
      <c r="C2587" t="inlineStr">
        <is>
          <t>So every so often, I will be chewing gum and randomly it just... starts breaking apart and dissolving in my mouth within seconds. It gets sooo nasty and then spitting it out is impossible because there’s so many little pieces floating around. I used to think it was the brand of gum I chewed (usually Trident peppermint), but I’ve tried other brands and it also happens with Mentos, Extra, etc. I tried googling to see if it happens to other people too but there’s like no results for my search. And all of my friends/family have never heard of such a thing think it’s some sort of lame superpower. Do y’all think it could be GERD related? Maybe due to acid mixing with my saliva? I’ve noticed it happens mostly when I’m chewing while nauseated, but I never really linked nausea to my other GERD symptoms like heartburn, sore throat, etc. Has anyone else with GERD experienced this problem before?</t>
        </is>
      </c>
      <c r="D2587" t="n">
        <v>4</v>
      </c>
      <c r="E2587" t="n">
        <v>6</v>
      </c>
      <c r="F2587">
        <f>HYPERLINK("https://www.reddit.com/r/GERD/comments/cz0gdq/gum_dissolving_in_my_mouth/")</f>
        <v/>
      </c>
      <c r="G2587" t="inlineStr">
        <is>
          <t>2019-09-02 22:14:10</t>
        </is>
      </c>
      <c r="H2587" t="inlineStr"/>
    </row>
    <row r="2588">
      <c r="A2588" t="inlineStr">
        <is>
          <t>cz3i8q</t>
        </is>
      </c>
      <c r="B2588" t="inlineStr">
        <is>
          <t>Which PPI works best for you?</t>
        </is>
      </c>
      <c r="C2588" t="inlineStr">
        <is>
          <t>I am taking esomeprasole 40mg once a day and i was almost symptoms free for a few months but 2 months ago it seems that it isn't that effective anymore. I'm thinking about changing it so what are you recommending, which ppi gives you the best results.
Sorry about bad english 😔</t>
        </is>
      </c>
      <c r="D2588" t="n">
        <v>2</v>
      </c>
      <c r="E2588" t="n">
        <v>9</v>
      </c>
      <c r="F2588">
        <f>HYPERLINK("https://www.reddit.com/r/GERD/comments/cz3i8q/which_ppi_works_best_for_you/")</f>
        <v/>
      </c>
      <c r="G2588" t="inlineStr">
        <is>
          <t>2019-09-03 04:20:36</t>
        </is>
      </c>
      <c r="H2588" t="inlineStr"/>
    </row>
    <row r="2589">
      <c r="A2589" t="inlineStr">
        <is>
          <t>cz4bzu</t>
        </is>
      </c>
      <c r="B2589" t="inlineStr">
        <is>
          <t>Anyone get long lasting hiccups after eating? I've had them for about 12 hrs now.</t>
        </is>
      </c>
      <c r="C2589" t="inlineStr">
        <is>
          <t>I think it's from acid reflux</t>
        </is>
      </c>
      <c r="D2589" t="n">
        <v>2</v>
      </c>
      <c r="E2589" t="n">
        <v>11</v>
      </c>
      <c r="F2589">
        <f>HYPERLINK("https://www.reddit.com/r/GERD/comments/cz4bzu/anyone_get_long_lasting_hiccups_after_eating_ive/")</f>
        <v/>
      </c>
      <c r="G2589" t="inlineStr">
        <is>
          <t>2019-09-03 05:40:22</t>
        </is>
      </c>
      <c r="H2589" t="inlineStr"/>
    </row>
    <row r="2590">
      <c r="A2590" t="inlineStr">
        <is>
          <t>cz4ucn</t>
        </is>
      </c>
      <c r="B2590" t="inlineStr">
        <is>
          <t>How long did it take to diagnose your GERD (or related issues)?</t>
        </is>
      </c>
      <c r="C2590" t="inlineStr">
        <is>
          <t>Just curious: How long did it take for you to get an official diagnosis of GERD, or silent reflux, etc. and an effective treatment plan?
For me, it has now taken five months of testing (heart, lungs, ENT, etc.) to rule out other stuff, and when I started having trouble swallowing (in addition to chest pain, arm pain, back pain, etc.), I had to ask for an upper endoscopy and a follow-up with the GI doctor. I have had to advocate for myself every step of the way so that my symptoms aren't dismissed as simply anxiety, and because of my insistence on more testing, it's the only reason I know that I have a hiatal hernia and a very bad case of "ineffective esophageal motility."
Now I have to push the doctors to find out if I have GERD, silent reflux, or something else, because the one I'm seeing made it sound like with IEM, you're just screwed and have to deal with it. However, I haven't even tried PPI treatment yet, so I'm not sure why she would say that. From what I've read, some people with IEM no longer have symptoms once they treat the reflux. 
I guess I'm wondering if I'm alone here, or if it's common for many people with these issues to go through a lot of undue pain and suffering before finally getting a diagnosis and treatment? Do your doctors tend to dismiss your symptoms are purely psychosomatic? I get the sense that they just want me to take some Xanax and not bug them anymore :)</t>
        </is>
      </c>
      <c r="D2590" t="n">
        <v>3</v>
      </c>
      <c r="E2590" t="n">
        <v>5</v>
      </c>
      <c r="F2590">
        <f>HYPERLINK("https://www.reddit.com/r/GERD/comments/cz4ucn/how_long_did_it_take_to_diagnose_your_gerd_or/")</f>
        <v/>
      </c>
      <c r="G2590" t="inlineStr">
        <is>
          <t>2019-09-03 06:24:49</t>
        </is>
      </c>
      <c r="H2590" t="inlineStr"/>
    </row>
    <row r="2591">
      <c r="A2591" t="inlineStr">
        <is>
          <t>cz6xa7</t>
        </is>
      </c>
      <c r="B2591" t="inlineStr">
        <is>
          <t>Am I the only one who gets rebound reflux from ranitidine?</t>
        </is>
      </c>
      <c r="C2591" t="inlineStr">
        <is>
          <t>Trying to go off ranitidine and it is hell. I went on it about a year and a half ago and went off it after a month or so because it seemed that I was getting rebound reflux - meaning when it wore off I was getting reflux worse than I ever had it before, and it seemed like it was earlier and earlier in the day that I was needing a second dose. It wasn't that bad going off - I had more reflux for a couple of days and then it was okay.
But I went back on it after weaning off a course of PPIs my GI prescribed. I've been on it for probably a year and it is much harder going off now. I have actually lost some weight and nothing else is worse than it is a year ago, so I think it is so much more difficult this time because of how long I have been on it. Maybe I just need to try to wean off it the way I did PPIs?</t>
        </is>
      </c>
      <c r="D2591" t="n">
        <v>3</v>
      </c>
      <c r="E2591" t="n">
        <v>10</v>
      </c>
      <c r="F2591">
        <f>HYPERLINK("https://www.reddit.com/r/GERD/comments/cz6xa7/am_i_the_only_one_who_gets_rebound_reflux_from/")</f>
        <v/>
      </c>
      <c r="G2591" t="inlineStr">
        <is>
          <t>2019-09-03 09:09:57</t>
        </is>
      </c>
      <c r="H2591" t="inlineStr"/>
    </row>
    <row r="2592">
      <c r="A2592" t="inlineStr">
        <is>
          <t>cz7jkp</t>
        </is>
      </c>
      <c r="B2592" t="inlineStr">
        <is>
          <t>Do I have stomach cancer or GERD?</t>
        </is>
      </c>
      <c r="C2592" t="inlineStr">
        <is>
          <t>So I have horrible anxiety related to a specific phobia, which is emetophobia. This kind of spreads to health anxiety... I keep experiencing this sensation of feeling like I’ll vomit but it’s not actual nausea; what’ll happen is I’ll just gag, at it’s worst. But it’s super uncomfortable and causes panic attacks for me. I started feeling pain right in the center under the breast area about two weeks ago, but now it’s really severe. I barely have an appetite and I’m getting really hopeless because I can’t calm down, eat, or feel better. I’m quite scared this is cancer because I’m only 16; I’ve had GERD since I was in elementary school though, so I’m worried.... also because I feel very useless and agoraphobic because of this.</t>
        </is>
      </c>
      <c r="D2592" t="n">
        <v>0</v>
      </c>
      <c r="E2592" t="n">
        <v>4</v>
      </c>
      <c r="F2592">
        <f>HYPERLINK("https://www.reddit.com/r/GERD/comments/cz7jkp/do_i_have_stomach_cancer_or_gerd/")</f>
        <v/>
      </c>
      <c r="G2592" t="inlineStr">
        <is>
          <t>2019-09-03 09:56:56</t>
        </is>
      </c>
      <c r="H2592" t="inlineStr"/>
    </row>
    <row r="2593">
      <c r="A2593" t="inlineStr">
        <is>
          <t>cz7y0u</t>
        </is>
      </c>
      <c r="B2593" t="inlineStr">
        <is>
          <t>Breathing issue</t>
        </is>
      </c>
      <c r="C2593" t="inlineStr">
        <is>
          <t>I've had breathing problems since early June, and about a month ago the GI doctor diagnosed me with esophaghitis. Anyone in here dealing with a hard time breathing everyday? Seems like I can't take a full breathe since July and it's been bothering me everyday. For those of you who cured it, how did you manage it and what did you do to cure it. Weird thing is that I don't regurgitate food and don't feel burning sensation in my throst, just hard to breathe everyday.</t>
        </is>
      </c>
      <c r="D2593" t="n">
        <v>5</v>
      </c>
      <c r="E2593" t="n">
        <v>21</v>
      </c>
      <c r="F2593">
        <f>HYPERLINK("https://www.reddit.com/r/GERD/comments/cz7y0u/breathing_issue/")</f>
        <v/>
      </c>
      <c r="G2593" t="inlineStr">
        <is>
          <t>2019-09-03 10:27:01</t>
        </is>
      </c>
      <c r="H2593" t="inlineStr"/>
    </row>
    <row r="2594">
      <c r="A2594" t="inlineStr">
        <is>
          <t>czaqdw</t>
        </is>
      </c>
      <c r="B2594" t="inlineStr">
        <is>
          <t>So I have GERD - and today, got a diagnosis of fatty liver disorder</t>
        </is>
      </c>
      <c r="C2594" t="inlineStr">
        <is>
          <t>Oh joy! I have the healthiest of diets, because of GERD. But I am carrying an extra few kilos. I've had 3 or so hours of hardcore exercise this week and have a plan moving forward with a personal trainer etc.... It's the only way to solve fatty liver, and I'm not going to go the way of George Michael. (Sorry)
Question - I believe Ranitidine is bad for your liver. Does anyone know of a PPI that isn't bad for it?
I think there's some research that connects GERD with Liver Disease, with GERD as an effect of having LD.</t>
        </is>
      </c>
      <c r="D2594" t="n">
        <v>8</v>
      </c>
      <c r="E2594" t="n">
        <v>9</v>
      </c>
      <c r="F2594">
        <f>HYPERLINK("https://www.reddit.com/r/GERD/comments/czaqdw/so_i_have_gerd_and_today_got_a_diagnosis_of_fatty/")</f>
        <v/>
      </c>
      <c r="G2594" t="inlineStr">
        <is>
          <t>2019-09-03 13:55:48</t>
        </is>
      </c>
      <c r="H2594" t="inlineStr"/>
    </row>
    <row r="2595">
      <c r="A2595" t="inlineStr">
        <is>
          <t>czasfo</t>
        </is>
      </c>
      <c r="B2595" t="inlineStr">
        <is>
          <t>LPR issues while eating calorie surplus</t>
        </is>
      </c>
      <c r="C2595" t="inlineStr">
        <is>
          <t>Hi,
So I have had on and off LPR since uni. I am currently 26. The reason why I call this LPR on and off is because I don't have to use Omeprazole daily to combat this. 
Long story short, so you could get the idea of severity of it. I went to two different doctors when I started "burning" burping and constantly being bloated. One of them just told me I was ok and didn't need to do anything, just drink some teas, get some anticids and that's it. It worked for a while, but after a year I visited another one and he did an endoscopy and the h.pylori test. The endoscopy was alright, he didn't find anything unusual and the h.pylori test was negative. After this, he just told me to take Omeprazole  whenever I feel the burning feeling.
So, I did. Usually, I had to take 1 tablet in 1-2 months, which I was OK with (recently I had a gap of 6 months were I didn't take Omeprazole).
Now, I started going to gym after a while and eating a calories surplus (started bulking) as I am a skinny guy and need to add some weight. I gained some weight, but now I have to take Omeprazole roughly 1 time a week, as the burning feeling comes back...
What I do to prevent LPR: I sleep on a wedge pillow, eat 2-3 hours before sleep, don't lay down after eating and try to eat smaller meals which not always works out.
Any tips on how could I prevent LPR while bulking? 
Is it not that bad what I'm doing right now and taking 1 tablet a week?
If you have made till this point, thanks. I would really appreciate any feedback on this matter.</t>
        </is>
      </c>
      <c r="D2595" t="n">
        <v>4</v>
      </c>
      <c r="E2595" t="n">
        <v>4</v>
      </c>
      <c r="F2595">
        <f>HYPERLINK("https://www.reddit.com/r/GERD/comments/czasfo/lpr_issues_while_eating_calorie_surplus/")</f>
        <v/>
      </c>
      <c r="G2595" t="inlineStr">
        <is>
          <t>2019-09-03 14:00:07</t>
        </is>
      </c>
      <c r="H2595" t="inlineStr"/>
    </row>
    <row r="2596">
      <c r="A2596" t="inlineStr">
        <is>
          <t>czcv01</t>
        </is>
      </c>
      <c r="B2596" t="inlineStr">
        <is>
          <t>Anybody else have trouble with everything bagels?</t>
        </is>
      </c>
      <c r="C2596" t="inlineStr">
        <is>
          <t>Had an everything bagel today and my stomach is unusually troublesome. I havent had any stomach pain in a week and a half not including today (felt like a grace period of some sort). This happen to anyone else?</t>
        </is>
      </c>
      <c r="D2596" t="n">
        <v>3</v>
      </c>
      <c r="E2596" t="n">
        <v>8</v>
      </c>
      <c r="F2596">
        <f>HYPERLINK("https://www.reddit.com/r/GERD/comments/czcv01/anybody_else_have_trouble_with_everything_bagels/")</f>
        <v/>
      </c>
      <c r="G2596" t="inlineStr">
        <is>
          <t>2019-09-03 16:43:45</t>
        </is>
      </c>
      <c r="H2596" t="inlineStr"/>
    </row>
    <row r="2597">
      <c r="A2597" t="inlineStr">
        <is>
          <t>czcyju</t>
        </is>
      </c>
      <c r="B2597" t="inlineStr">
        <is>
          <t>Bulking with GERD</t>
        </is>
      </c>
      <c r="C2597" t="inlineStr">
        <is>
          <t>I'm at the sweet age of 17 and I want to start gaining weight. Any tips on how to manage a diet for this without the common GERD triggers? Also, what protein powder do you guys recommend? I heard from a while back to avoid whey protein isolates.</t>
        </is>
      </c>
      <c r="D2597" t="n">
        <v>2</v>
      </c>
      <c r="E2597" t="n">
        <v>3</v>
      </c>
      <c r="F2597">
        <f>HYPERLINK("https://www.reddit.com/r/GERD/comments/czcyju/bulking_with_gerd/")</f>
        <v/>
      </c>
      <c r="G2597" t="inlineStr">
        <is>
          <t>2019-09-03 16:52:19</t>
        </is>
      </c>
      <c r="H2597" t="inlineStr"/>
    </row>
    <row r="2598">
      <c r="A2598" t="inlineStr">
        <is>
          <t>czd5pr</t>
        </is>
      </c>
      <c r="B2598" t="inlineStr">
        <is>
          <t>Sickness related LPR</t>
        </is>
      </c>
      <c r="C2598" t="inlineStr">
        <is>
          <t>Hi all - hoping you might relate to my LPR issues!
It always starts with getting sick (i.e. a cold). Typically with a stuffy nose, sinus headache, and a sore throat.  Pretty standard cold.  Historically, I've treated it with advil, mucinex (guaifenesin). Historically I took sudafed, but I started to realize it makes everything worse. I've also cut out advil at this point.
About 3-7 days after getting sick, I'll be starting to get better... the sore throat has passed, and thennnn... it will come back.  I will then slowly get a painful, persistent cough (to the point where it gave me a hernia at one point, repaired now).  I'll start on penteprazole after visiting the ENT, and eventually 1-2 months later, the cough will go away.
I get GERD sometimes when I eat poorly, but really the only time it truly impacts my life (with LPR) is when I get sick and the above happens.
I'm going through a cold now.  Took Mucinex and advil for a day or so, but now stopping all meds (other than GERD-related).  I can feel the LPR coming, and hoping someone might have any other keys.  Going to a strict diet, stopping all cold meds, wedge pillow in bed, and just got Gaviscon Advanced in the mail.
Curious if anyone else gets anything like this, and how you deal with it?
TLDR:  I will get minimal GERD symptoms once in a while, but I only get LPR after being sick.</t>
        </is>
      </c>
      <c r="D2598" t="n">
        <v>3</v>
      </c>
      <c r="E2598" t="n">
        <v>2</v>
      </c>
      <c r="F2598">
        <f>HYPERLINK("https://www.reddit.com/r/GERD/comments/czd5pr/sickness_related_lpr/")</f>
        <v/>
      </c>
      <c r="G2598" t="inlineStr">
        <is>
          <t>2019-09-03 17:09:48</t>
        </is>
      </c>
      <c r="H2598" t="inlineStr"/>
    </row>
    <row r="2599">
      <c r="A2599" t="inlineStr">
        <is>
          <t>czd7tq</t>
        </is>
      </c>
      <c r="B2599" t="inlineStr">
        <is>
          <t>Cobblestone throat? Something else?</t>
        </is>
      </c>
      <c r="C2599" t="inlineStr">
        <is>
          <t>Hey guys. I’m going to the doctor next Monday to see what’s up. I’ve had this sore in my throat for as long as I can remember. I’m 23/M NON SMOKER and non drinker. 
I sometimes have a bitter taste in my mouth and excessive phlegm and an urge to clear my throat. My hypochondria has been in full force this past week or two.. does this appear to be as a result of GERD or herpes or cancer? I know you can’t diagnose and that’s not what I’m seeking. Has anyone experienced similar appearance in their throat? 
I’ve been having worries about my throat. I’ve seemed to have this small bump in the back of my throat for as long as I can remember. I sometimes feel phlegmy with a slight bitter taste in my mouth. 
Does anyone know if my throat looks normal or if I am just worrying? My hypochondria is hitting really hard today.  Below are two images of my throat. 
https://ibb.co/DDn7scL
https://ibb.co/CP4kZp6
Thanks</t>
        </is>
      </c>
      <c r="D2599" t="n">
        <v>1</v>
      </c>
      <c r="E2599" t="n">
        <v>16</v>
      </c>
      <c r="F2599">
        <f>HYPERLINK("https://www.reddit.com/r/GERD/comments/czd7tq/cobblestone_throat_something_else/")</f>
        <v/>
      </c>
      <c r="G2599" t="inlineStr">
        <is>
          <t>2019-09-03 17:14:22</t>
        </is>
      </c>
      <c r="H2599" t="inlineStr"/>
    </row>
    <row r="2600">
      <c r="A2600" t="inlineStr">
        <is>
          <t>czdy4c</t>
        </is>
      </c>
      <c r="B2600" t="inlineStr">
        <is>
          <t>Am I hungry or in pain?</t>
        </is>
      </c>
      <c r="C2600" t="inlineStr">
        <is>
          <t>(So i MIGHT have gerd. Im being treated for it to see if i get better. Day 5 on my 2 week pills. Pain all day. I hope tomorrow is better. Im afraid i might have diabetes cause ive been acting like my blood sugar is low on this diet to help my stomach not fuck me up.)
So i ate dinner 3 hrs ago. Sat straight to let it settle. Im feeling grumbles and not so much tge pain but it is still there. I normally eat 4 bananas as work to satisfy my hunger. Today i ate 6 or 7. I cant tell if im overeating or if my body needs food. Ive lost 30 pounds in the 4 months ive been dealing with this. 
Does anyone else confuse pain for hunger? Is that normal?</t>
        </is>
      </c>
      <c r="D2600" t="n">
        <v>3</v>
      </c>
      <c r="E2600" t="n">
        <v>2</v>
      </c>
      <c r="F2600">
        <f>HYPERLINK("https://www.reddit.com/r/GERD/comments/czdy4c/am_i_hungry_or_in_pain/")</f>
        <v/>
      </c>
      <c r="G2600" t="inlineStr">
        <is>
          <t>2019-09-03 18:17:07</t>
        </is>
      </c>
      <c r="H2600" t="inlineStr"/>
    </row>
    <row r="2601">
      <c r="A2601" t="inlineStr">
        <is>
          <t>cze48u</t>
        </is>
      </c>
      <c r="B2601" t="inlineStr">
        <is>
          <t>Does sleeping on your stomach help you?</t>
        </is>
      </c>
      <c r="C2601" t="inlineStr">
        <is>
          <t>It helps me sooo much yet it seems like that should be a nope!</t>
        </is>
      </c>
      <c r="D2601" t="n">
        <v>4</v>
      </c>
      <c r="E2601" t="n">
        <v>3</v>
      </c>
      <c r="F2601">
        <f>HYPERLINK("https://www.reddit.com/r/GERD/comments/cze48u/does_sleeping_on_your_stomach_help_you/")</f>
        <v/>
      </c>
      <c r="G2601" t="inlineStr">
        <is>
          <t>2019-09-03 18:31:37</t>
        </is>
      </c>
      <c r="H2601" t="inlineStr"/>
    </row>
    <row r="2602">
      <c r="A2602" t="inlineStr">
        <is>
          <t>czfr1d</t>
        </is>
      </c>
      <c r="B2602" t="inlineStr">
        <is>
          <t>Fast food - what places are you able to eat at and not eat at with your GERD?</t>
        </is>
      </c>
      <c r="C2602" t="inlineStr">
        <is>
          <t>So far I've learned that Chipotle and Panda Express are no go for me.  
Subway, Wendy's, Chick-fil-A are okay depending on what I order.
Haven't really tried burgers for a while, but I'm guessing they won't go down well.
Not that I'm recommending fast food in general, but I do travel a lot so sometimes there's no choice other than to eat out.  Just looking for more GERD-friendly options.</t>
        </is>
      </c>
      <c r="D2602" t="n">
        <v>6</v>
      </c>
      <c r="E2602" t="n">
        <v>5</v>
      </c>
      <c r="F2602">
        <f>HYPERLINK("https://www.reddit.com/r/GERD/comments/czfr1d/fast_food_what_places_are_you_able_to_eat_at_and/")</f>
        <v/>
      </c>
      <c r="G2602" t="inlineStr">
        <is>
          <t>2019-09-03 20:59:39</t>
        </is>
      </c>
      <c r="H2602" t="inlineStr"/>
    </row>
    <row r="2603">
      <c r="A2603" t="inlineStr">
        <is>
          <t>czg29g</t>
        </is>
      </c>
      <c r="B2603" t="inlineStr">
        <is>
          <t>Should I Go and See a Doctor?</t>
        </is>
      </c>
      <c r="C2603" t="inlineStr">
        <is>
          <t>Some background info, I've seen a Pulmonologist and my Primary Care doctor on this already and they found nothing wrong.
The side effects I have are the lump in throat, trouble yawning sometimes, trouble taking a deep breathe sometimes, and a tight throat sometimes. I'm not sure what triggers some of my symptoms to get worse. I've gotten some extra pillows at my chest and head, but not sure how much that helps.
I've taken Anti-acids chewable tablets before and they didn't really help. Some guy recommended me Zantac to take? Is there any other OTC medicine I could take?
I'm also afraid of seeing a GI specialist due to endoscopy and not sure if even necessary.</t>
        </is>
      </c>
      <c r="D2603" t="n">
        <v>3</v>
      </c>
      <c r="E2603" t="n">
        <v>5</v>
      </c>
      <c r="F2603">
        <f>HYPERLINK("https://www.reddit.com/r/GERD/comments/czg29g/should_i_go_and_see_a_doctor/")</f>
        <v/>
      </c>
      <c r="G2603" t="inlineStr">
        <is>
          <t>2019-09-03 21:30:50</t>
        </is>
      </c>
      <c r="H2603" t="inlineStr"/>
    </row>
    <row r="2604">
      <c r="A2604" t="inlineStr">
        <is>
          <t>czgs5n</t>
        </is>
      </c>
      <c r="B2604" t="inlineStr">
        <is>
          <t>Will I ever be able to eat normally again?</t>
        </is>
      </c>
      <c r="C2604" t="inlineStr">
        <is>
          <t>So diagnosed with gerd about 2 months ago taking 20mg omoprozal twice daily but doc said no fatty, oily, spicy, or acidic foods also no alcohol. So I'm I just supposed to eat broccoli for the rest of my life and drink nothing but water and never be able to enjoy a beer again? Or once my symptoms subside can I go back to leading a somewhat normal life? Cutting out everything fatty oily acidic greasy spicy and alcohol eliminates ALOT from your diet, everything is acidic, and almost everything is fatty. Current symptoms are abdominal pain CONSTANT burping pain in abdomen when bending over and constant stomach bubbling</t>
        </is>
      </c>
      <c r="D2604" t="n">
        <v>7</v>
      </c>
      <c r="E2604" t="n">
        <v>10</v>
      </c>
      <c r="F2604">
        <f>HYPERLINK("https://www.reddit.com/r/GERD/comments/czgs5n/will_i_ever_be_able_to_eat_normally_again/")</f>
        <v/>
      </c>
      <c r="G2604" t="inlineStr">
        <is>
          <t>2019-09-03 22:51:18</t>
        </is>
      </c>
      <c r="H2604" t="inlineStr"/>
    </row>
    <row r="2605">
      <c r="A2605" t="inlineStr">
        <is>
          <t>czh67s</t>
        </is>
      </c>
      <c r="B2605" t="inlineStr">
        <is>
          <t>What could be wrong with me?</t>
        </is>
      </c>
      <c r="C2605" t="inlineStr">
        <is>
          <t>Some context; I am a 23 yo male, slightly overweight but very active, with a good balanced diet. I am a fairly excessive drinker and smoker, and I have struggled with heartburn/reflux issues since my mid teens.
As stated, I have had on and off reflux for a while now, in the past I would get really bad heartburn after drinking a lot, it gradually progressed to certain other triggers, but whenever I'd had heartburn I knew it was because I ate/drank something in particular. Over the last 6 months or so my reflux has become less bearable, I have it every night without fail and most of the time during the day, if it's not actually burning then I have that weird uneasy throat feeling and a need to burp that I'm sure we're all familiar with. I have self treated myself with chewable antacids and it's at the point now where I'm having 10 a day. On top of this in the last month I have had extreme difficulty swallowing, it started off with difficulty with large bites, so I chewed my food more, then that stopped working, then I couldn't swallow soft foods and now I'm struggling to even get water down without pain. The pain/difficulty swallowing doesn't come in my throat, it's further down my oesophagus, like my sternum area, and it feels like whatever I'm swallowing it physically impeded by something in my oesophagus.
I have never been to the doctors for any of this, I'm starting to get very worried, basically I just wanted to know if anyone had been through similar symptoms and had any ideas, thanks in advance.</t>
        </is>
      </c>
      <c r="D2605" t="n">
        <v>3</v>
      </c>
      <c r="E2605" t="n">
        <v>5</v>
      </c>
      <c r="F2605">
        <f>HYPERLINK("https://www.reddit.com/r/GERD/comments/czh67s/what_could_be_wrong_with_me/")</f>
        <v/>
      </c>
      <c r="G2605" t="inlineStr">
        <is>
          <t>2019-09-03 23:37:39</t>
        </is>
      </c>
      <c r="H2605" t="inlineStr"/>
    </row>
    <row r="2606">
      <c r="A2606" t="inlineStr">
        <is>
          <t>czjfi6</t>
        </is>
      </c>
      <c r="B2606" t="inlineStr">
        <is>
          <t>I feel pressure on my throat as soon as I lay down.</t>
        </is>
      </c>
      <c r="C2606" t="inlineStr">
        <is>
          <t>Hello everyone. I've had GERD for 3 years now, but it was always something very subtle (had hiccups for 5 days once, had trouble breathing once, that's it). For the past 3 weeks, I've been feeling pressure on my throat as soon as I lay down. Keep in mind that it doesn't get worse (it actually gets better) when I wake up. It almost like someone is stepping on my throat very gently. Does any of you have this problem?</t>
        </is>
      </c>
      <c r="D2606" t="n">
        <v>3</v>
      </c>
      <c r="E2606" t="n">
        <v>5</v>
      </c>
      <c r="F2606">
        <f>HYPERLINK("https://www.reddit.com/r/GERD/comments/czjfi6/i_feel_pressure_on_my_throat_as_soon_as_i_lay_down/")</f>
        <v/>
      </c>
      <c r="G2606" t="inlineStr">
        <is>
          <t>2019-09-04 04:15:03</t>
        </is>
      </c>
      <c r="H2606" t="inlineStr"/>
    </row>
    <row r="2607">
      <c r="A2607" t="inlineStr">
        <is>
          <t>czkm0q</t>
        </is>
      </c>
      <c r="B2607" t="inlineStr">
        <is>
          <t>Holiday after a fundoplication</t>
        </is>
      </c>
      <c r="C2607" t="inlineStr">
        <is>
          <t>Hi is it still possible to go on vacations after a fundoplication? I love going to Turkey every year but the thought of having the op and getting food poisoning or a bug while away scares the s*** out of me. Is it a matter of just being careful with hygiene whilst away</t>
        </is>
      </c>
      <c r="D2607" t="n">
        <v>2</v>
      </c>
      <c r="E2607" t="n">
        <v>5</v>
      </c>
      <c r="F2607">
        <f>HYPERLINK("https://www.reddit.com/r/GERD/comments/czkm0q/holiday_after_a_fundoplication/")</f>
        <v/>
      </c>
      <c r="G2607" t="inlineStr">
        <is>
          <t>2019-09-04 06:05:42</t>
        </is>
      </c>
      <c r="H2607" t="inlineStr"/>
    </row>
    <row r="2608">
      <c r="A2608" t="inlineStr">
        <is>
          <t>czlh0k</t>
        </is>
      </c>
      <c r="B2608" t="inlineStr">
        <is>
          <t>Hot Shower Alleviates Gas and GERD Pain?</t>
        </is>
      </c>
      <c r="C2608" t="inlineStr">
        <is>
          <t>My gerd involves more gas and gas pain bursts more than anything else. 
Not a whole lot of "heart burn" or acid throat stuff. Just lots of gas and sudden gas burp pains. Also, weird, ragged looking poops. 
What I've found is a hot shower or a swim in my warm pool alleviates these symptoms quite a bit. Completely gone in some cases... for hours.
Is this GERD related you think or could it be a secondary bowel issue separate from gerd?
Have any of you have similar experiences with hot showers relieving has/bloating symptoms?
I know heat therapy can help with inflammation.... but I guess I never considered that my bowels are chronically inflamed...</t>
        </is>
      </c>
      <c r="D2608" t="n">
        <v>3</v>
      </c>
      <c r="E2608" t="n">
        <v>11</v>
      </c>
      <c r="F2608">
        <f>HYPERLINK("https://www.reddit.com/r/GERD/comments/czlh0k/hot_shower_alleviates_gas_and_gerd_pain/")</f>
        <v/>
      </c>
      <c r="G2608" t="inlineStr">
        <is>
          <t>2019-09-04 07:17:15</t>
        </is>
      </c>
      <c r="H2608" t="inlineStr"/>
    </row>
    <row r="2609">
      <c r="A2609" t="inlineStr">
        <is>
          <t>czmr1n</t>
        </is>
      </c>
      <c r="B2609" t="inlineStr">
        <is>
          <t>Pain in a weird place?</t>
        </is>
      </c>
      <c r="C2609" t="inlineStr">
        <is>
          <t>Hello, 
This’ll be short and sweet, I promise. But I have to ask as this has happened a couple of times and it’s getting me concerned... does anyone else experience ear pain (inner ear, just to be clear) when they have an attack? Like, you’ll be sitting there minding your own business (as one does) and then BOOM! Attack starts and as the acid rises, you’re inner ears begin to hurt? Am I weird? Is that a thing? I can’t see my GI Specialist for another two months, and this relatively new symptoms kind of freaking me out. 
Thanks for the advice and responses, I appreciate you taking the time to read this 
Have a good day!</t>
        </is>
      </c>
      <c r="D2609" t="n">
        <v>1</v>
      </c>
      <c r="E2609" t="n">
        <v>10</v>
      </c>
      <c r="F2609">
        <f>HYPERLINK("https://www.reddit.com/r/GERD/comments/czmr1n/pain_in_a_weird_place/")</f>
        <v/>
      </c>
      <c r="G2609" t="inlineStr">
        <is>
          <t>2019-09-04 08:56:48</t>
        </is>
      </c>
      <c r="H2609" t="inlineStr"/>
    </row>
    <row r="2610">
      <c r="A2610" t="inlineStr">
        <is>
          <t>czn9ct</t>
        </is>
      </c>
      <c r="B2610" t="inlineStr">
        <is>
          <t>Any safe water flavoring options?</t>
        </is>
      </c>
      <c r="C2610" t="inlineStr">
        <is>
          <t>I used to put a tiny bit of diet cranberry juice in glasses of water because I get more of my daily water if there’s some flavor. Well that’s clearly out.
Any safe options? Mio, Crystal Light, etc? 
I know I keep weight off more when I’m hydrated but it’s hard to get your recommended water intake (which my doctor family members say would ideally be even more than what they say) drinking bland water alone.</t>
        </is>
      </c>
      <c r="D2610" t="n">
        <v>5</v>
      </c>
      <c r="E2610" t="n">
        <v>12</v>
      </c>
      <c r="F2610">
        <f>HYPERLINK("https://www.reddit.com/r/GERD/comments/czn9ct/any_safe_water_flavoring_options/")</f>
        <v/>
      </c>
      <c r="G2610" t="inlineStr">
        <is>
          <t>2019-09-04 09:35:34</t>
        </is>
      </c>
      <c r="H2610" t="inlineStr"/>
    </row>
    <row r="2611">
      <c r="A2611" t="inlineStr">
        <is>
          <t>czp81u</t>
        </is>
      </c>
      <c r="B2611" t="inlineStr">
        <is>
          <t>Drank a cup of tea and now my throat feels swollen</t>
        </is>
      </c>
      <c r="C2611" t="inlineStr">
        <is>
          <t>Anyone else had this?</t>
        </is>
      </c>
      <c r="D2611" t="n">
        <v>3</v>
      </c>
      <c r="E2611" t="n">
        <v>11</v>
      </c>
      <c r="F2611">
        <f>HYPERLINK("https://www.reddit.com/r/GERD/comments/czp81u/drank_a_cup_of_tea_and_now_my_throat_feels_swollen/")</f>
        <v/>
      </c>
      <c r="G2611" t="inlineStr">
        <is>
          <t>2019-09-04 12:02:24</t>
        </is>
      </c>
      <c r="H2611" t="inlineStr"/>
    </row>
    <row r="2612">
      <c r="A2612" t="inlineStr">
        <is>
          <t>czs7vj</t>
        </is>
      </c>
      <c r="B2612" t="inlineStr">
        <is>
          <t>Just had an endoscopy...</t>
        </is>
      </c>
      <c r="C2612" t="inlineStr">
        <is>
          <t>If you are as anxious as i am, then i recommend you just do it if your physician recommends it.  
I am extremely health anxious and i was dreading the procedure... postponed it for 1 month and self diagnosed myself with hiatal hernia and tons of other stuff that weren’t even diagnosed post endoscopy.  
I suffered extreme anxiety (had 3-4 panic attacks and had residual anxiety afterwards) before the procedure but I’m now way more calm and at ease. I think i learned a lot about myself during this whole ordeal and i will start going to therapy to treat my health anxiety.</t>
        </is>
      </c>
      <c r="D2612" t="n">
        <v>25</v>
      </c>
      <c r="E2612" t="n">
        <v>23</v>
      </c>
      <c r="F2612">
        <f>HYPERLINK("https://www.reddit.com/r/GERD/comments/czs7vj/just_had_an_endoscopy/")</f>
        <v/>
      </c>
      <c r="G2612" t="inlineStr">
        <is>
          <t>2019-09-04 15:55:47</t>
        </is>
      </c>
      <c r="H2612" t="inlineStr"/>
    </row>
    <row r="2613">
      <c r="A2613" t="inlineStr">
        <is>
          <t>czsnbl</t>
        </is>
      </c>
      <c r="B2613" t="inlineStr">
        <is>
          <t>Does anyone have GERD but only one symptom??</t>
        </is>
      </c>
      <c r="C2613" t="inlineStr">
        <is>
          <t>So recently my doctor told me I might have GERD, which would make sense because I over ate often, lied down right after, ate fatty foods but I’m 20 and in healthy shape. I would often get heartburn from spicy foods but usually took Tums for it. 
But the only prevailing symptom I have now is a chronic cough and inability to inhale fully. I didn’t really respond to the H2 and PPI the doctor prescribed me so I’m trying to be better about my lifestyle habits and drinking more aloe vera and ginger to heal the possible inflammation in my airways. 
Does anyone else have this similar experience? Thanks!</t>
        </is>
      </c>
      <c r="D2613" t="n">
        <v>2</v>
      </c>
      <c r="E2613" t="n">
        <v>1</v>
      </c>
      <c r="F2613">
        <f>HYPERLINK("https://www.reddit.com/r/GERD/comments/czsnbl/does_anyone_have_gerd_but_only_one_symptom/")</f>
        <v/>
      </c>
      <c r="G2613" t="inlineStr">
        <is>
          <t>2019-09-04 16:29:27</t>
        </is>
      </c>
      <c r="H2613" t="inlineStr"/>
    </row>
    <row r="2614">
      <c r="A2614" t="inlineStr">
        <is>
          <t>czud2w</t>
        </is>
      </c>
      <c r="B2614" t="inlineStr">
        <is>
          <t>Anyone coughing til they puke?</t>
        </is>
      </c>
      <c r="C2614" t="inlineStr">
        <is>
          <t>Lately I dry cough until I puke - and also have moments of not being able to breathe.  Is this happening to anyone else?</t>
        </is>
      </c>
      <c r="D2614" t="n">
        <v>2</v>
      </c>
      <c r="E2614" t="n">
        <v>6</v>
      </c>
      <c r="F2614">
        <f>HYPERLINK("https://www.reddit.com/r/GERD/comments/czud2w/anyone_coughing_til_they_puke/")</f>
        <v/>
      </c>
      <c r="G2614" t="inlineStr">
        <is>
          <t>2019-09-04 18:54:21</t>
        </is>
      </c>
      <c r="H2614" t="inlineStr"/>
    </row>
    <row r="2615">
      <c r="A2615" t="inlineStr">
        <is>
          <t>czufqt</t>
        </is>
      </c>
      <c r="B2615" t="inlineStr">
        <is>
          <t>Does potassium deficiency worsen your symptoms?</t>
        </is>
      </c>
      <c r="C2615" t="inlineStr">
        <is>
          <t>So I'll try to make this quick but I've had GERD for what seems like most of my life. I had reflux as a baby and young child and it seemed to get better as I got older, only to resurface intermittently in my late twenties. It seemed to only bother me if I ate something spicy and then went and worked out later on, but anyway. Fast forward to me experimenting with various diets and boom. The shit came back hard. 
A few months ago I went on the keto diet and it made my heartburn WORSE. Everyone always talks about how all their ailments get better on keto and a lot of mine did, yeah. My eczema got better, I'll give it that. But my heartburn got nearly constant. If I ate too much salad I'd go over my carb limit so I avoided eating too much even though it seemed to be my go-to. It was easy to throw together, put a fatty vinaigrette on it and boom. Quick lunch.
I only did it for thirty days, because that was the plan, and afterward I went back on my regular diet (sans gluten/wheat) and my heartburn got better. I decided a few months later to cut out some more carbs, specifically this time around, it was potatoes. Something I'd never given up before. I also started making myself drink 64 oz. of water a day around th same time. Everything seemed to be going ok until a few days into the water uppage I got this weird symptom I'd never had. It felt like I had to burp but couldn't and I had to make myself burp. This went on for a couple of days and \*finally\* relented around the time I eased up on the water intake. A couple of weeks later, I went back on keto. Then a couple of weeks into \*that\*, the fucking weird, have-to-burp-but-can't started up again. It was so weird and I'd never felt anything like it.
I couldn't get rid of it. I resorted to PPI's to get some relief but they did little to help and it just kept going. It kept getting worse, especially if I hadn't eaten in awhile. My stomach just churned in this very weird way. It felt really tense and gassy but not your typical sort of gassiness. I couldn't really explain it other than it felt like I was hungry all the time, even after I'd eaten. Like my stomach was coming up into my throat. I thought I'd covered all my bases this time around on keto. I was taking magnesium supplements as well as a multi-vitamin (which I thought contained potassium...it didn't) in an effort to combat the dreaded keto flu which I got the first time and it was an absolute nightmare. 
Then I started getting a peculiar cramp in the top of my right calf that didn't really go away but seemed to be worse at certain times, mainly at night. After all that, I decided to stop keto. My face had gotten redder and irritated and although I was losing weight, I started feeling like shit. But how? I was taking a multivitamin AND magnesium to make sure I was getting enough. I was sure I was fine. 
Until today when I finally ate potatoes for the first time in months. I got In n Out on my way home from work and their fries are literally just a potato sliced and fried. It's such a weird thing because ever since then, I've felt...better. Wtf. WHY. After all this refluxing for weeks and fucking fast food made me feel better, of all the things. I wondered why so I started researching wtf I could've eaten that made me feel better and it had to be the potatoes because it's been a long time since I've eaten them. Apparently they have more potassium that the almighty banana which is touted as the potassium overlord. And I'm not a banana fan anyway because they make my mouth itch. 
Could this be what's helping my GERD? Fucking potatoes? Potassium? Has anyone ever experimented with supplementing it and found it to be of any help? I should mention that I'm not a typical case of "it's just a vitamin deficiency." My doctor suspects I have celiac or something similar due to my gluten intolerance and host of digestive symptoms that resulted in multiple vitamin deficiencies (iron, b12, vitamin d, mainly) a few months ago. I never got tesstd because by the time I went to see him for my hand cramping up, I'd already given up gluten and a lot of my main symptoms, including the joint pain, had gotten better. So it could be that I just wasn't absorbing the potassium well to begin with.
I don't know, and I don't want to seem too hopeful, but I feel better than I have in weeks. So I'm wondering if there's any merit to this, and if anyone else has found that supplementing potassium has helped their reflux. I know that potassium is important for regulating muscle contractions so perhaps that's why my esophagus turned on me. And like I said, it's not 100% better but I'd say since I had In n Out a few hours ago, it's about 75% better than it was. It could be a fluke but for now I'll just enjoy it.</t>
        </is>
      </c>
      <c r="D2615" t="n">
        <v>2</v>
      </c>
      <c r="E2615" t="n">
        <v>4</v>
      </c>
      <c r="F2615">
        <f>HYPERLINK("https://www.reddit.com/r/GERD/comments/czufqt/does_potassium_deficiency_worsen_your_symptoms/")</f>
        <v/>
      </c>
      <c r="G2615" t="inlineStr">
        <is>
          <t>2019-09-04 19:00:49</t>
        </is>
      </c>
      <c r="H2615" t="inlineStr"/>
    </row>
    <row r="2616">
      <c r="A2616" t="inlineStr">
        <is>
          <t>d03ezl</t>
        </is>
      </c>
      <c r="B2616" t="inlineStr">
        <is>
          <t>Suffering from LPR type Symptoms for years, Newest Round Of Tests only show Minor Gastritis &amp;amp; H.Pylori</t>
        </is>
      </c>
      <c r="C2616" t="inlineStr">
        <is>
          <t>Hello. 
To get to the point I've been dealing with constant LPR symptoms over the past 4 years, and have through the ringer with doctors. I've been to immunologists, ENTs, &amp;amp; G.I.'s, with pretty much no results/relief. My symptoms initially started off with post-nasal drip along with throat pain &amp;amp; voice hoarseness, but developed into burning/reflux feelings, and then more recently into a lot of bloating, early satiety, acidic belching, and abdominal soreness. Because of those new symptoms I decided to go to a G.I. Specialist in Atlanta (one that actually helped develop LINX), and he put me through a round of tests that included a Bravo PH, Gastric empty study, Barium Swallow, and a Endoscopy/biopsy. 
Most of the tests came back clean, and the 48 hour bravo test was so good that the DR. actually said that taking acid reducing medication wouldn't really help with whatever is causing my issues. He did however discover slightly slowed digestion, along with mild gastritis and H. Pylori. Now because of that the doctor wants me to start taking a PPI along with 2 rounds of antibiotics to attempt to treat the H. Pylori.
Despite being relieved the tests didn't fine anything serious, I truthfully can't help but feel a little defeated that the tests didn't find anything more, especially since I just can't seem to find much info about H. Pylori causing LPR type symptoms. I'm trying to stay very positive, but I can't help but be skeptical about this fixing my issues.
What I've been going through has been rather debilitating to say the least, some days I burn bad, &amp;amp; can barely speak without have pain/hoarseness. I've reached a point now where I'm underweight and sometimes struggle to even consume enough calories due to feeling full/bloated so easily, and cutting out certain some low Ph &amp;amp; trigger foods.  
I've tried so many medications, naturals remedies, and other recommendations with no luck. I just figured I'd make a post hear to see if anyone could share any input/advice at all. I'd like also like to know if anyone that had H.Pylori fixed their LPR/Gerd type symptoms after treating it.
Sorry for the long post, but If anyone bothers to read this I really appreciate any responses.</t>
        </is>
      </c>
      <c r="D2616" t="n">
        <v>4</v>
      </c>
      <c r="E2616" t="n">
        <v>6</v>
      </c>
      <c r="F2616">
        <f>HYPERLINK("https://www.reddit.com/r/GERD/comments/d03ezl/suffering_from_lpr_type_symptoms_for_years_newest/")</f>
        <v/>
      </c>
      <c r="G2616" t="inlineStr">
        <is>
          <t>2019-09-05 09:52:21</t>
        </is>
      </c>
      <c r="H2616" t="inlineStr"/>
    </row>
    <row r="2617">
      <c r="A2617" t="inlineStr">
        <is>
          <t>d03u3m</t>
        </is>
      </c>
      <c r="B2617" t="inlineStr">
        <is>
          <t>Could this be GERD?</t>
        </is>
      </c>
      <c r="C2617" t="inlineStr">
        <is>
          <t>Ive been waking up nauseous for like a year. When I wake up my stomach burns and I feel so sick. Also when I wake up I always have a stuffy nose which goes away after short time. Burping makes me feel somewhat better. I also sometimes feel so uneasy and dizzy. Last thing which is annoying is like a thing in my throat. Its hard to swallow. Like a lump sorta thing which also goes away. My voice is also alot more deeper in the morning.</t>
        </is>
      </c>
      <c r="D2617" t="n">
        <v>2</v>
      </c>
      <c r="E2617" t="n">
        <v>3</v>
      </c>
      <c r="F2617">
        <f>HYPERLINK("https://www.reddit.com/r/GERD/comments/d03u3m/could_this_be_gerd/")</f>
        <v/>
      </c>
      <c r="G2617" t="inlineStr">
        <is>
          <t>2019-09-05 10:23:22</t>
        </is>
      </c>
      <c r="H2617" t="inlineStr"/>
    </row>
    <row r="2618">
      <c r="A2618" t="inlineStr">
        <is>
          <t>d03x4u</t>
        </is>
      </c>
      <c r="B2618" t="inlineStr">
        <is>
          <t>Any good tomato substitutes?</t>
        </is>
      </c>
      <c r="C2618" t="inlineStr">
        <is>
          <t>So I love tomatoes in all forms - raw, ketchup, pasta sauce, pizza sauce, seasoning for rice or tacos, hot sauce, salsa, you name it. 
Anyone find a gerd friendly substitute? I saw a nomato sauce recipe made from beets and other ingredients. Anyone use something like this? Find a way to season mexican rice without tomato? 
I'm new to knowing I have gerd. I had symptoms as a child like a bad taste in my mouth. I ended up in the hospital during (TMI) a fecal impaction after I vomited and woke with an extremely high heart rate. All this caused after I gave birth and was constantly lieing down for 10 months to breastfeed infant even though i ate plus eating large two meals a day because finding time to eat was difficult. I guess I had GERD but it worsened to the extreme because of these. I am 27 now and this was a year ago and a half ago. The doctors said I had GERD by process of elimination after the fecal impaction was cleared and i ended up in the hospital again with the same symptoms a few days later. The endoscopy was clear, but I hadn't eaten much because of the inspection.
I made a few changes to prevent another impaction. I've noticed in my life filled with constant constipation that meat had not digested well with me, often causing me to not poop or experience nausea immediately after eating. I had dabbled with plant based eating in the past. After learning egg yolks are bad for GERD (the only thing i ate after after the first hospital visit which landed me there again), I decided to go ahead and start (i had planned on doing so when my daughter was a year old and that's a whole other unrelated story). I had already cut dairy for breastfeeding reasons (stopped her spit up and stomach aches in addition to cutting soy). Anyway, I noticed things got better. My bowel movements became easier and the other stuff (nausea, chest tightness, high heart rate, and throat tightness lessoned). I was also avoiding no go foods for GERD at first. 
I have had tongue issues for about 4 or 5 years. It looks like geographic tongue, but it burns and worsens when I eat certain foods (pinneapple for example). My tongue cleared up and i felt and slept better than I had since my early teens (when i started eating hot sauce like it would disappear any second. Guess my mom was right about burning a whole in my esophagus). 
I messed up. I remained plant based, but i began eating what i wanted. My tongue was my guide. When it started to burn, i stopped eating the trigger food (typically garlic, tomato, citrus foods, salty oily foods, spicy foods, or hummus). Took me time to figure out my triggers and now I've less tongue problems and more chest tightness, fatigue, throat tightness, and either fast heart rate or slowed heart rate.
I really want to make a change. Sometimes my GERD is so bad, I'm sure I will pass in my sleep that night. I have trouble sleeping, most likely from the stress of staying up to wait for the symptoms to pass only to have the scariest ones (chest, heart, throat) remain when i finally allow myself to sleep. 
My husband bought a wedge pillow for me, which allows me to wake up without the symptoms I fell asleep with. This is huge. I also discovered carrot ginger juice relieves GERD symptoms like a miracle. But I always feel tired like eyes burning after my symptoms have been relieved. It's like having a migraine. Once it's gone, exhaustion remains. And I do get those when my GERD is too frequent. Sometimes it feels like a rubber band over my brain. Even a sip of alcohol causes that. So that has been out of my diet for months. 
I don't have great eating habits. I am working toward going to a more fresh foods diet. Gotta eliminate those processed foods and eating out. I've been eating 50% to sometimes 100% gluten free just because i have food i already bought. This is honestly my problem, I have already purchased trigger foods that i can't convince my husband to take off my hands, so I slowly eat them so I just have mild GERD until they are gone, but I long for a healthy gut. 
For some reason, i have issues with soy sauce. I get the tongue burning, so it's a pretty bad one. I get gluten free soy sauce and still, it hurts. 
I think the hardest parts to fix will be indian cuisine, Mexican cuisine, garlic, gluten, tomatoes, and oil. This is my palette's life. It's depressing to experience eating with GERD. It's disappointing that my favorite things are my enemy.</t>
        </is>
      </c>
      <c r="D2618" t="n">
        <v>2</v>
      </c>
      <c r="E2618" t="n">
        <v>7</v>
      </c>
      <c r="F2618">
        <f>HYPERLINK("https://www.reddit.com/r/GERD/comments/d03x4u/any_good_tomato_substitutes/")</f>
        <v/>
      </c>
      <c r="G2618" t="inlineStr">
        <is>
          <t>2019-09-05 10:29:34</t>
        </is>
      </c>
      <c r="H2618" t="inlineStr"/>
    </row>
    <row r="2619">
      <c r="A2619" t="inlineStr">
        <is>
          <t>d03z3p</t>
        </is>
      </c>
      <c r="B2619" t="inlineStr">
        <is>
          <t>Can I vent?</t>
        </is>
      </c>
      <c r="C2619" t="inlineStr">
        <is>
          <t>I have been dealing with shortness of breath for a year now. Been bounced around from doctor to doctor and finally landed on GERD after months of tests and hundreds of dollars in medical bills. Where has that left me??? Still short of breath!!!
Now if this is something I just have to live with, fine... but my frustration is that through all of the doctors I have seen, none of them seem willing to sit with me for more than five minutes answering questions that I have, so I’m left confused on how to care for my health correctly. 
I was diagnosed with GERD , but I think I have LPR and I don’t know if those are treated differently. 
I’m currently taking Zantac but it’s not working, I’m wondering if I was pulled off of my PPI too soon.  Are you supposed to be completely healed before going off PPIs?
I would love to know if there is such a thing as a nutritionist that specializes in reflux, I haven’t found one but boy would I like to meet with one if they exist. 
I’m also curious if there are any links to GERD/LPR and developing it after having a baby. I never dealt with reflux a day in my life until my last month of pregnancy, which is totally normal and I thought nothing of it. After the baby I was fine and life went back to normal. One year after the baby all of the symptoms surfaced (short of breath and lump sensation in throat). Is it possible I developed reflux from being pregnant?  This question doesn’t matter as much I guess as it’s more of me just wondering where this damn thing came from.</t>
        </is>
      </c>
      <c r="D2619" t="n">
        <v>13</v>
      </c>
      <c r="E2619" t="n">
        <v>24</v>
      </c>
      <c r="F2619">
        <f>HYPERLINK("https://www.reddit.com/r/GERD/comments/d03z3p/can_i_vent/")</f>
        <v/>
      </c>
      <c r="G2619" t="inlineStr">
        <is>
          <t>2019-09-05 10:33:36</t>
        </is>
      </c>
      <c r="H2619" t="inlineStr"/>
    </row>
    <row r="2620">
      <c r="A2620" t="inlineStr">
        <is>
          <t>d05ler</t>
        </is>
      </c>
      <c r="B2620" t="inlineStr">
        <is>
          <t>Reflux acting up when working on my ergonomic chair</t>
        </is>
      </c>
      <c r="C2620" t="inlineStr">
        <is>
          <t>I freelance and have a separate home office. However, I noticed I get breathing issues and my gerd acts up all of a sudden, which leads to bad chestpain + feeling acid volcano has erupted in my stomache which leaves me feeling shit for the rest of the day. I discussed with my dr who said this is due to anxiety, as I go into 'stress mode' when using the chair. Also changed chairs, no luck. 
What annoys me is the shit feeling for the rest of day, where my esophagus feels constricted &amp;amp; trouble breathing. Any solutions?</t>
        </is>
      </c>
      <c r="D2620" t="n">
        <v>3</v>
      </c>
      <c r="E2620" t="n">
        <v>7</v>
      </c>
      <c r="F2620">
        <f>HYPERLINK("https://www.reddit.com/r/GERD/comments/d05ler/reflux_acting_up_when_working_on_my_ergonomic/")</f>
        <v/>
      </c>
      <c r="G2620" t="inlineStr">
        <is>
          <t>2019-09-05 12:33:28</t>
        </is>
      </c>
      <c r="H2620" t="inlineStr"/>
    </row>
    <row r="2621">
      <c r="A2621" t="inlineStr">
        <is>
          <t>d06s24</t>
        </is>
      </c>
      <c r="B2621" t="inlineStr">
        <is>
          <t>Recommended doctors in San Diego?</t>
        </is>
      </c>
      <c r="C2621" t="inlineStr">
        <is>
          <t>I was diagnosed with GERD in April of last year and was prescribed PPIs which I didn't take after reading about the long term health effects. For the next year I experimented with every natural/safe alternative I could find, none of which worked. I've been taking 20 mg omeprazole daily for the last four months which is the only thing that has significantly helped.
I need to discuss my treatment going forward with a doctor although I'm assuming I'll probably have to take the omeprazole for the rest of my life and face the health consequences later down the road.
This year I switched over to Molina insurance and need to find a new doctor. There are almost 200 doctors within 10 miles of me so I figured asking for recommendations on here might be a good way to narrow it down. 
I'm looking for one preferably located in between UTC and Oak Park (92115) and as mentioned above, would need to accept Molina insurance. Thanks in advance!</t>
        </is>
      </c>
      <c r="D2621" t="n">
        <v>2</v>
      </c>
      <c r="E2621" t="n">
        <v>4</v>
      </c>
      <c r="F2621">
        <f>HYPERLINK("https://www.reddit.com/r/GERD/comments/d06s24/recommended_doctors_in_san_diego/")</f>
        <v/>
      </c>
      <c r="G2621" t="inlineStr">
        <is>
          <t>2019-09-05 14:02:06</t>
        </is>
      </c>
      <c r="H2621" t="inlineStr"/>
    </row>
    <row r="2622">
      <c r="A2622" t="inlineStr">
        <is>
          <t>d07r8h</t>
        </is>
      </c>
      <c r="B2622" t="inlineStr">
        <is>
          <t>Should I go to the doctor over this?</t>
        </is>
      </c>
      <c r="C2622" t="inlineStr">
        <is>
          <t>Hey all,
I've been feeling excessive mucus in my throat particularly after eating. I don't feel the need to cough but rather constantly clear my throat. This has been happening for about 2 weeks now. I am an otherwise healthy adult. Should I wait this out? Could this be LPR or perhaps some other transient issue like seasonal allergies?
&amp;amp;#x200B;
Thanks.</t>
        </is>
      </c>
      <c r="D2622" t="n">
        <v>3</v>
      </c>
      <c r="E2622" t="n">
        <v>3</v>
      </c>
      <c r="F2622">
        <f>HYPERLINK("https://www.reddit.com/r/GERD/comments/d07r8h/should_i_go_to_the_doctor_over_this/")</f>
        <v/>
      </c>
      <c r="G2622" t="inlineStr">
        <is>
          <t>2019-09-05 15:16:45</t>
        </is>
      </c>
      <c r="H2622" t="inlineStr"/>
    </row>
    <row r="2623">
      <c r="A2623" t="inlineStr">
        <is>
          <t>d07ucw</t>
        </is>
      </c>
      <c r="B2623" t="inlineStr">
        <is>
          <t>Severe acid reflux for 2 years. Feel suicidal. Upper endoscopy came clear</t>
        </is>
      </c>
      <c r="C2623" t="inlineStr">
        <is>
          <t>This shit is ruining my life, I had a barium swallow which showed “significant acid”, followed by an upper endoscopy which also suggested I had acid but that everything is physically okay. So why do I have such severe reflux? It’s not even like a good triggers it. It’s literally 24/7, I feel like I’m choking, my mouth is full of saliva which consequently makes it difficult to talk/swallow and also makes my lips sticky and makes them go all white and icky. I feel like I’m constantly being tortured and struggle to even socialise. 
I’ve tried PPI’s, other medications, gaviscon and apple cider vinegar but nothing seems to get rid of it properly. When I open my mouth I can literally see some sort of saliva/acid bubbles at the back of my throat so I don’t believe it’s in my head.
I do have a history of severe depression/anxiety and am wondering if there could be a link. 
Desperately in need of some suggestions/advice. Thanks!</t>
        </is>
      </c>
      <c r="D2623" t="n">
        <v>14</v>
      </c>
      <c r="E2623" t="n">
        <v>18</v>
      </c>
      <c r="F2623">
        <f>HYPERLINK("https://www.reddit.com/r/GERD/comments/d07ucw/severe_acid_reflux_for_2_years_feel_suicidal/")</f>
        <v/>
      </c>
      <c r="G2623" t="inlineStr">
        <is>
          <t>2019-09-05 15:24:03</t>
        </is>
      </c>
      <c r="H2623" t="inlineStr"/>
    </row>
    <row r="2624">
      <c r="A2624" t="inlineStr">
        <is>
          <t>d08rsy</t>
        </is>
      </c>
      <c r="B2624" t="inlineStr">
        <is>
          <t>please help me out, doc is very clueless</t>
        </is>
      </c>
      <c r="C2624" t="inlineStr">
        <is>
          <t>Lost voice to a cold, voice doesn't come back (had symptoms before but didn't understand it was heartburn, thought I had atypical colds all winter with only throat pain as symptom). Finally get to see ENT and he looks down my throat and says I have acid reflux. Im prescribed omeprazole. It works very well for a week, my voice really starts to come back and gets mb to 65% from being 10% capacity, but then the med seems to have lost pretty much all of its effect. I have plenty of heartburn again even when I manage the diet and so on (which I find it difficult to do atm cause I'm very depressed over this at this point).
My question is this: I can either up the dosage, or I can try esomeprazole (nexium) instead which I also have availible. I did try the nexium once but for some reason I got way more SE on it. If there's good reason to think it'll work better I will push through, I'm sure my voice would be ok if I can only find something that really helps for 2-3 weeks, otherwise I will up dosage. 
&amp;amp;#x200B;
Any suggestions would be really helpful. My GP has been no help at all.</t>
        </is>
      </c>
      <c r="D2624" t="n">
        <v>1</v>
      </c>
      <c r="E2624" t="n">
        <v>0</v>
      </c>
      <c r="F2624">
        <f>HYPERLINK("https://www.reddit.com/r/GERD/comments/d08rsy/please_help_me_out_doc_is_very_clueless/")</f>
        <v/>
      </c>
      <c r="G2624" t="inlineStr">
        <is>
          <t>2019-09-05 16:48:36</t>
        </is>
      </c>
      <c r="H2624" t="inlineStr"/>
    </row>
    <row r="2625">
      <c r="A2625" t="inlineStr">
        <is>
          <t>d08tgf</t>
        </is>
      </c>
      <c r="B2625" t="inlineStr">
        <is>
          <t>Just came from seeing the head of the gastro dept at my local hospital. Read this if you’re GERD does not respond to PPI’s.</t>
        </is>
      </c>
      <c r="C2625" t="inlineStr">
        <is>
          <t>I have GERD with esophagitis but a Bravo PH study showed no reflux which didn’t make sense. He explained the Bravo test looks for acid. GERD can be caused by acid in which case a PPI is the standard treatment. However, GERD can also be the non acid type in which case a PPI will not work. He said there is a PH impedance test they can do which would verify if this is the type of GERD.  A PPI DOES NOT WORK for non acid GERD. Instead it would be the Nissen fundoplication surgery. 
So for those not responding to a PPI....look up non acid GERD and talk to your Dr.</t>
        </is>
      </c>
      <c r="D2625" t="n">
        <v>1</v>
      </c>
      <c r="E2625" t="n">
        <v>4</v>
      </c>
      <c r="F2625">
        <f>HYPERLINK("https://www.reddit.com/r/GERD/comments/d08tgf/just_came_from_seeing_the_head_of_the_gastro_dept/")</f>
        <v/>
      </c>
      <c r="G2625" t="inlineStr">
        <is>
          <t>2019-09-05 16:52:13</t>
        </is>
      </c>
      <c r="H2625" t="inlineStr"/>
    </row>
    <row r="2626">
      <c r="A2626" t="inlineStr">
        <is>
          <t>d0ahmr</t>
        </is>
      </c>
      <c r="B2626" t="inlineStr">
        <is>
          <t>weight loss and GERD?</t>
        </is>
      </c>
      <c r="C2626" t="inlineStr">
        <is>
          <t>Did any of y’all have a lot less symptoms or feel as if you healed your GERD after weight loss?</t>
        </is>
      </c>
      <c r="D2626" t="n">
        <v>6</v>
      </c>
      <c r="E2626" t="n">
        <v>7</v>
      </c>
      <c r="F2626">
        <f>HYPERLINK("https://www.reddit.com/r/GERD/comments/d0ahmr/weight_loss_and_gerd/")</f>
        <v/>
      </c>
      <c r="G2626" t="inlineStr">
        <is>
          <t>2019-09-05 19:19:20</t>
        </is>
      </c>
      <c r="H2626" t="inlineStr"/>
    </row>
    <row r="2627">
      <c r="A2627" t="inlineStr">
        <is>
          <t>d0bwuu</t>
        </is>
      </c>
      <c r="B2627" t="inlineStr">
        <is>
          <t>Does anyone feel sick when they talk?</t>
        </is>
      </c>
      <c r="C2627" t="inlineStr">
        <is>
          <t>I feel okay when I don't talk or barely say anything, but feel a little nauseous when I have a conversation with someone. Has anyone else experienced this?</t>
        </is>
      </c>
      <c r="D2627" t="n">
        <v>8</v>
      </c>
      <c r="E2627" t="n">
        <v>5</v>
      </c>
      <c r="F2627">
        <f>HYPERLINK("https://www.reddit.com/r/GERD/comments/d0bwuu/does_anyone_feel_sick_when_they_talk/")</f>
        <v/>
      </c>
      <c r="G2627" t="inlineStr">
        <is>
          <t>2019-09-05 21:34:40</t>
        </is>
      </c>
      <c r="H2627" t="inlineStr"/>
    </row>
    <row r="2628">
      <c r="A2628" t="inlineStr">
        <is>
          <t>d0c4f1</t>
        </is>
      </c>
      <c r="B2628" t="inlineStr">
        <is>
          <t>Is this GERD or something else?</t>
        </is>
      </c>
      <c r="C2628" t="inlineStr">
        <is>
          <t>I’ve been having a lot of pain that is very difficult to describe. Chest pain that is like burning/stabbing feeling. As well as in my back, and my lower right rib cage. It gives me some extreme anxiety and at one point I thought I was having a heart attack. It comes and goes, sometimes during the day and sometimes at night. For the past two nights it happens right before I go to sleep. The pain can get very painful to the point that I’ve considered going to the hospital, but convince myself that my anxiety is making it worse. Does this sound like GERD?</t>
        </is>
      </c>
      <c r="D2628" t="n">
        <v>3</v>
      </c>
      <c r="E2628" t="n">
        <v>5</v>
      </c>
      <c r="F2628">
        <f>HYPERLINK("https://www.reddit.com/r/GERD/comments/d0c4f1/is_this_gerd_or_something_else/")</f>
        <v/>
      </c>
      <c r="G2628" t="inlineStr">
        <is>
          <t>2019-09-05 21:57:38</t>
        </is>
      </c>
      <c r="H2628" t="inlineStr"/>
    </row>
    <row r="2629">
      <c r="A2629" t="inlineStr">
        <is>
          <t>d0fbc0</t>
        </is>
      </c>
      <c r="B2629" t="inlineStr">
        <is>
          <t>Symptoms from eating anything?</t>
        </is>
      </c>
      <c r="C2629" t="inlineStr">
        <is>
          <t>I’ve just started treatment for LPR:GERD.  
Has anyone experienced heartburn symptoms from literally eating anything? For the past few months it seems like no matter what I eat, even a cracker, I get symptoms. 
I was never this bad! I’m very stressed lately due to the passing of my father.</t>
        </is>
      </c>
      <c r="D2629" t="n">
        <v>6</v>
      </c>
      <c r="E2629" t="n">
        <v>23</v>
      </c>
      <c r="F2629">
        <f>HYPERLINK("https://www.reddit.com/r/GERD/comments/d0fbc0/symptoms_from_eating_anything/")</f>
        <v/>
      </c>
      <c r="G2629" t="inlineStr">
        <is>
          <t>2019-09-06 04:21:23</t>
        </is>
      </c>
      <c r="H2629" t="inlineStr"/>
    </row>
    <row r="2630">
      <c r="A2630" t="inlineStr">
        <is>
          <t>d0i3b7</t>
        </is>
      </c>
      <c r="B2630" t="inlineStr">
        <is>
          <t>Reflux when using my computer chair</t>
        </is>
      </c>
      <c r="C2630" t="inlineStr">
        <is>
          <t>Hey, I've started getting reflux from my ergonomic chair all of a sudden. Its chinese built and helps me avoid neck and back pain. 
What's strange is reflux only happens when using the chair, not when I'm on the sofa or anywhere else.
The previous chair I had was a gaming chair which I had to sell becuz it was giving me breathing issues. This chair is sort off giving me breathing issues as well, but reflux is more prominent as I can feel the acid creeping up my throat and burps.
How can I reduce the reflux?</t>
        </is>
      </c>
      <c r="D2630" t="n">
        <v>1</v>
      </c>
      <c r="E2630" t="n">
        <v>2</v>
      </c>
      <c r="F2630">
        <f>HYPERLINK("https://www.reddit.com/r/GERD/comments/d0i3b7/reflux_when_using_my_computer_chair/")</f>
        <v/>
      </c>
      <c r="G2630" t="inlineStr">
        <is>
          <t>2019-09-06 08:22:38</t>
        </is>
      </c>
      <c r="H2630" t="inlineStr"/>
    </row>
    <row r="2631">
      <c r="A2631" t="inlineStr">
        <is>
          <t>d0ij1g</t>
        </is>
      </c>
      <c r="B2631" t="inlineStr">
        <is>
          <t>Anyone experience any benefit by limiting Beta Agonists?</t>
        </is>
      </c>
      <c r="C2631" t="inlineStr">
        <is>
          <t>I'm assuming there's a fair bit of overlap here between the GERD and asthma communities, so I had a question. I'm currently taking Breo for asthma, and am also struggling with IBS/GERD.
I'm considering asking my pulm to prescribe me the steroid-only version of Breo, without the long-acting beta agonist in it. I've long been curious if the LABA could be adding to my GERD symptoms. Has anyone stepped down off a LABA and found it helped? Obviously you can never eliminate beta agonists completely if you're asthmatic. If I need my albuterol, that just is what it is. But inhaling a super powerful beta agonist every single day seems like a particularly pernicious measure if you have GERD, and I'm not sure I definitely need the LABA anymore.</t>
        </is>
      </c>
      <c r="D2631" t="n">
        <v>1</v>
      </c>
      <c r="E2631" t="n">
        <v>0</v>
      </c>
      <c r="F2631">
        <f>HYPERLINK("https://www.reddit.com/r/GERD/comments/d0ij1g/anyone_experience_any_benefit_by_limiting_beta/")</f>
        <v/>
      </c>
      <c r="G2631" t="inlineStr">
        <is>
          <t>2019-09-06 08:55:55</t>
        </is>
      </c>
      <c r="H2631" t="inlineStr"/>
    </row>
    <row r="2632">
      <c r="A2632" t="inlineStr">
        <is>
          <t>d0j076</t>
        </is>
      </c>
      <c r="B2632" t="inlineStr">
        <is>
          <t>Raspy feeling behind breastbone</t>
        </is>
      </c>
      <c r="C2632" t="inlineStr">
        <is>
          <t>Anyone else get this? Like when I inhale it feels raspy.</t>
        </is>
      </c>
      <c r="D2632" t="n">
        <v>1</v>
      </c>
      <c r="E2632" t="n">
        <v>0</v>
      </c>
      <c r="F2632">
        <f>HYPERLINK("https://www.reddit.com/r/GERD/comments/d0j076/raspy_feeling_behind_breastbone/")</f>
        <v/>
      </c>
      <c r="G2632" t="inlineStr">
        <is>
          <t>2019-09-06 09:32:40</t>
        </is>
      </c>
      <c r="H2632" t="inlineStr"/>
    </row>
    <row r="2633">
      <c r="A2633" t="inlineStr">
        <is>
          <t>d0j18h</t>
        </is>
      </c>
      <c r="B2633" t="inlineStr">
        <is>
          <t>GERD .. heart attack symptoms</t>
        </is>
      </c>
      <c r="C2633" t="inlineStr">
        <is>
          <t>I think I have GERD .. I've looked up all the symptoms and it all fits ... 
Today though it felt like I was having a heart attack? As I felt it in my neck and jaw and was dizzy etc .. 
Anyone else had this issue ?</t>
        </is>
      </c>
      <c r="D2633" t="n">
        <v>1</v>
      </c>
      <c r="E2633" t="n">
        <v>11</v>
      </c>
      <c r="F2633">
        <f>HYPERLINK("https://www.reddit.com/r/GERD/comments/d0j18h/gerd_heart_attack_symptoms/")</f>
        <v/>
      </c>
      <c r="G2633" t="inlineStr">
        <is>
          <t>2019-09-06 09:34:54</t>
        </is>
      </c>
      <c r="H2633" t="inlineStr"/>
    </row>
    <row r="2634">
      <c r="A2634" t="inlineStr">
        <is>
          <t>d0kby7</t>
        </is>
      </c>
      <c r="B2634" t="inlineStr">
        <is>
          <t>Stress and GERD?</t>
        </is>
      </c>
      <c r="C2634" t="inlineStr">
        <is>
          <t>Hey all, I have had mild Gerd symptoms for awhile now. It comes and goes and it goes away with tums usually. I have been under some extreme the past few weeks and this weekend I was feeling in a better headspace. I ate like shit the whole weekend, had pizza, chips fried chicken and a burrito. The previous week I ate very little due to the stress. On Tuesday I had tomato soup and instantly I had heartburn along with bloating and belching. I have been taking zantac and some tums and been eating soup and drinking lots of water. Every time I belch I can feel it in my throat and it feels likena lump. Today is day 3 and while I don't feel as bloated, I'm still cautious to eat and also upset my stomach. How much longer will this last and what else can I do?</t>
        </is>
      </c>
      <c r="D2634" t="n">
        <v>3</v>
      </c>
      <c r="E2634" t="n">
        <v>1</v>
      </c>
      <c r="F2634">
        <f>HYPERLINK("https://www.reddit.com/r/GERD/comments/d0kby7/stress_and_gerd/")</f>
        <v/>
      </c>
      <c r="G2634" t="inlineStr">
        <is>
          <t>2019-09-06 11:13:00</t>
        </is>
      </c>
      <c r="H2634" t="inlineStr"/>
    </row>
    <row r="2635">
      <c r="A2635" t="inlineStr">
        <is>
          <t>d0ko3v</t>
        </is>
      </c>
      <c r="B2635" t="inlineStr">
        <is>
          <t>Research shows PPIs may affect all your cells</t>
        </is>
      </c>
      <c r="C2635" t="inlineStr">
        <is>
          <t>I m still mad my doc didn't tell me how hard PPIs are to quit and came across this doing research.  They throw this drug around like candy and don't really yet know what it's doing. The maker of the drug intended for short term use but you can't get off it without worse problems. https://www.webmd.com/heartburn-gerd/news/20160608/proton-pump-inhibitor-health-risks</t>
        </is>
      </c>
      <c r="D2635" t="n">
        <v>8</v>
      </c>
      <c r="E2635" t="n">
        <v>32</v>
      </c>
      <c r="F2635">
        <f>HYPERLINK("https://www.reddit.com/r/GERD/comments/d0ko3v/research_shows_ppis_may_affect_all_your_cells/")</f>
        <v/>
      </c>
      <c r="G2635" t="inlineStr">
        <is>
          <t>2019-09-06 11:38:40</t>
        </is>
      </c>
      <c r="H2635" t="inlineStr"/>
    </row>
    <row r="2636">
      <c r="A2636" t="inlineStr">
        <is>
          <t>d0ktuf</t>
        </is>
      </c>
      <c r="B2636" t="inlineStr">
        <is>
          <t>Famotidine/Pepcid rare side effects?</t>
        </is>
      </c>
      <c r="C2636" t="inlineStr">
        <is>
          <t>I was prescribed Pepcid 40 mg 2 times a day for my lpr. I took it Saturday night and then Sunday morning , but later that night I had a panic attack out of nowhere so I stopped taking it. 2 days passed but I had really bad reflux so I decided to take 49 mg once a day. On Wednesday I took it in the morning, then had anxious feeling a night for a short time. On Thursday I took it in the morning again but at night felt really anxious/agitated, nauseous  and was feeling really shaky. Now today I woke up still feeling like yesterday night but not as intense, and I haven't taken Pepcid. Has anyone had these side effects before? How long does it take Pepcid to leave your body?</t>
        </is>
      </c>
      <c r="D2636" t="n">
        <v>3</v>
      </c>
      <c r="E2636" t="n">
        <v>3</v>
      </c>
      <c r="F2636">
        <f>HYPERLINK("https://www.reddit.com/r/GERD/comments/d0ktuf/famotidinepepcid_rare_side_effects/")</f>
        <v/>
      </c>
      <c r="G2636" t="inlineStr">
        <is>
          <t>2019-09-06 11:50:45</t>
        </is>
      </c>
      <c r="H2636" t="inlineStr"/>
    </row>
    <row r="2637">
      <c r="A2637" t="inlineStr">
        <is>
          <t>d0kxw6</t>
        </is>
      </c>
      <c r="B2637" t="inlineStr">
        <is>
          <t>LPR success stories?</t>
        </is>
      </c>
      <c r="C2637" t="inlineStr">
        <is>
          <t>Are here any out there? I’ve tried so many things and nothing seems to be working :(
300mg Zantac at night made my symptoms much worse. I’ve been taking vitamin d - 5000ui a day, k2, digestive enzymes and probiotics. Been in the acid watchers diet for a little over a week. I don’t feel like someone is choking me anymore and my throat isn’t on fire. But that’s about it, everything else persists. Is like I’ll have a decent day, then the next is brutal.
At this point I’m ready to throw in true towel. Suicidal thought on my mind everyday. I’m just lookin for some hope that this will pass. 
Has anyone successfully cured their LPR? And if so, how did you do it? Are you able to return to a more ‘normal’ lifestyle? I’ve completely lost who I am because of this condition and idk how much longer I can put up with it.</t>
        </is>
      </c>
      <c r="D2637" t="n">
        <v>7</v>
      </c>
      <c r="E2637" t="n">
        <v>49</v>
      </c>
      <c r="F2637">
        <f>HYPERLINK("https://www.reddit.com/r/GERD/comments/d0kxw6/lpr_success_stories/")</f>
        <v/>
      </c>
      <c r="G2637" t="inlineStr">
        <is>
          <t>2019-09-06 11:59:26</t>
        </is>
      </c>
      <c r="H2637" t="inlineStr"/>
    </row>
    <row r="2638">
      <c r="A2638" t="inlineStr">
        <is>
          <t>d0n7ec</t>
        </is>
      </c>
      <c r="B2638" t="inlineStr">
        <is>
          <t>Can you feel a hiatal hernia in your chest area?</t>
        </is>
      </c>
      <c r="C2638" t="inlineStr">
        <is>
          <t>Just curious if anyone that been diagnosed with a hernia if you can feel it,</t>
        </is>
      </c>
      <c r="D2638" t="n">
        <v>2</v>
      </c>
      <c r="E2638" t="n">
        <v>7</v>
      </c>
      <c r="F2638">
        <f>HYPERLINK("https://www.reddit.com/r/GERD/comments/d0n7ec/can_you_feel_a_hiatal_hernia_in_your_chest_area/")</f>
        <v/>
      </c>
      <c r="G2638" t="inlineStr">
        <is>
          <t>2019-09-06 14:51:57</t>
        </is>
      </c>
      <c r="H2638" t="inlineStr"/>
    </row>
    <row r="2639">
      <c r="A2639" t="inlineStr">
        <is>
          <t>d0n9mv</t>
        </is>
      </c>
      <c r="B2639" t="inlineStr">
        <is>
          <t>Chest/ lungs</t>
        </is>
      </c>
      <c r="C2639" t="inlineStr">
        <is>
          <t>Both my chest plates sometimes feel pressured I never cough or anything but sometimes I feel like my lungs are pressured could just be regular symptoms of heartburn/ gerd. My gerd hasn’t been as bad but I’ve stop taking my famotodine for a week and have been eating less restricted then I did when gerd was beating me ? Maybe I could be trippen and it’s just acid splashing everywhere</t>
        </is>
      </c>
      <c r="D2639" t="n">
        <v>2</v>
      </c>
      <c r="E2639" t="n">
        <v>4</v>
      </c>
      <c r="F2639">
        <f>HYPERLINK("https://www.reddit.com/r/GERD/comments/d0n9mv/chest_lungs/")</f>
        <v/>
      </c>
      <c r="G2639" t="inlineStr">
        <is>
          <t>2019-09-06 14:56:57</t>
        </is>
      </c>
      <c r="H2639" t="inlineStr"/>
    </row>
    <row r="2640">
      <c r="A2640" t="inlineStr">
        <is>
          <t>d0pzyu</t>
        </is>
      </c>
      <c r="B2640" t="inlineStr">
        <is>
          <t>What to use instead of ketchup?</t>
        </is>
      </c>
      <c r="C2640" t="inlineStr">
        <is>
          <t>What are some good alternatives to use instead of tomato ketchup for dipping my fries in?</t>
        </is>
      </c>
      <c r="D2640" t="n">
        <v>4</v>
      </c>
      <c r="E2640" t="n">
        <v>23</v>
      </c>
      <c r="F2640">
        <f>HYPERLINK("https://www.reddit.com/r/GERD/comments/d0pzyu/what_to_use_instead_of_ketchup/")</f>
        <v/>
      </c>
      <c r="G2640" t="inlineStr">
        <is>
          <t>2019-09-06 18:48:54</t>
        </is>
      </c>
      <c r="H2640" t="inlineStr"/>
    </row>
    <row r="2641">
      <c r="A2641" t="inlineStr">
        <is>
          <t>d0s7og</t>
        </is>
      </c>
      <c r="B2641" t="inlineStr">
        <is>
          <t>Gerd symptoms after pooping</t>
        </is>
      </c>
      <c r="C2641" t="inlineStr">
        <is>
          <t>So whenever I use the bathroom my gerd symptoms always get worse. Heartburn, some nausea, lump in throat, indigestion  etc.... Anyone ever experience this? Tried Google but no luck</t>
        </is>
      </c>
      <c r="D2641" t="n">
        <v>6</v>
      </c>
      <c r="E2641" t="n">
        <v>13</v>
      </c>
      <c r="F2641">
        <f>HYPERLINK("https://www.reddit.com/r/GERD/comments/d0s7og/gerd_symptoms_after_pooping/")</f>
        <v/>
      </c>
      <c r="G2641" t="inlineStr">
        <is>
          <t>2019-09-06 22:40:09</t>
        </is>
      </c>
      <c r="H2641" t="inlineStr"/>
    </row>
    <row r="2642">
      <c r="A2642" t="inlineStr">
        <is>
          <t>d0tf53</t>
        </is>
      </c>
      <c r="B2642" t="inlineStr">
        <is>
          <t>Just tried Gaviscon Advance (UK version) for the first time- real, actual relief! However, I am concerned this means I have a hiatal hernia after all?</t>
        </is>
      </c>
      <c r="C2642" t="inlineStr">
        <is>
          <t>I had an endoscopy done three weeks ago and they found absolutely nothing. No tumors, ulcers, inflammation or hernias. Just a totally clean scope.
I've had 24/7 reflux symptoms ranging from heartburn to a lump in my throat/chunky feeling in my chest and everything in between since early June.
I'm on both a PPI and an H2A. They help some, but not totally. I have to be very careful with my diet. Any amount of caffeine at all, any coffee, soda, or energy drink will give me terrible reflux for hours and hours. Fatty foods will as well. I eat very bland, mostly steamed vegetables and the like.
Since I've tried basically everything I thought I would try the UK version of the Gaviscon (the kind that forms a raft in your stomach). Holy crap, what a difference! I actually feel like a human being again about an hour after taking it!
My doctor is convinced that my reflux will go away eventually with medications, but honestly it's been over three months now and I've only improved somewhat. GERD/reflux has pretty much become the focus of every day for me. 
The Gaviscon says on the bottle that it's for "treatment of hiatus hernia". Since it's working so well for me, does that mean that I have a hernia after all?
I mean, I just don't know what else could explain why I'm so incredibly prone to reflux for so many months. I really want my doctor to give me a barium swallow test so we can see the size of the hernia. I just want a fundoplication so I can get back to my life :(</t>
        </is>
      </c>
      <c r="D2642" t="n">
        <v>11</v>
      </c>
      <c r="E2642" t="n">
        <v>32</v>
      </c>
      <c r="F2642">
        <f>HYPERLINK("https://www.reddit.com/r/GERD/comments/d0tf53/just_tried_gaviscon_advance_uk_version_for_the/")</f>
        <v/>
      </c>
      <c r="G2642" t="inlineStr">
        <is>
          <t>2019-09-07 01:17:47</t>
        </is>
      </c>
      <c r="H2642" t="inlineStr"/>
    </row>
    <row r="2643">
      <c r="A2643" t="inlineStr">
        <is>
          <t>d0zsxn</t>
        </is>
      </c>
      <c r="B2643" t="inlineStr">
        <is>
          <t>Bread Flavored Burps</t>
        </is>
      </c>
      <c r="C2643" t="inlineStr">
        <is>
          <t>Has anybody got these bread flavored burps. They happened to me when I have an empty stomach.</t>
        </is>
      </c>
      <c r="D2643" t="n">
        <v>4</v>
      </c>
      <c r="E2643" t="n">
        <v>2</v>
      </c>
      <c r="F2643">
        <f>HYPERLINK("https://www.reddit.com/r/GERD/comments/d0zsxn/bread_flavored_burps/")</f>
        <v/>
      </c>
      <c r="G2643" t="inlineStr">
        <is>
          <t>2019-09-07 11:39:42</t>
        </is>
      </c>
      <c r="H2643" t="inlineStr"/>
    </row>
    <row r="2644">
      <c r="A2644" t="inlineStr">
        <is>
          <t>d0zwe5</t>
        </is>
      </c>
      <c r="B2644" t="inlineStr">
        <is>
          <t>Diagnosed last month 30 F with PCOS</t>
        </is>
      </c>
      <c r="C2644" t="inlineStr">
        <is>
          <t>Hey everyone. I was diagnosed with non hiatal hernia GERD (not surprising as I’ve had issues since a teen) and was put on Pantoprazole 40mg 1x a day. I surprised the doctor because during the endoscopy, after he took out the acid, he was sure to find a bad hernia, and there wasn’t. I’m also on Metformin because my PCOS causes blood sugar issues. Between the two, if I take both, I have constipation, if I take just the Pantoprazole (trying to regulate sugar with diet and get off Metformin), I have the poops. Would it not be out of the ordinary to ask for a 20mg dose? But biggest question, anyone with similar diagnoses have any advice?</t>
        </is>
      </c>
      <c r="D2644" t="n">
        <v>3</v>
      </c>
      <c r="E2644" t="n">
        <v>2</v>
      </c>
      <c r="F2644">
        <f>HYPERLINK("https://www.reddit.com/r/GERD/comments/d0zwe5/diagnosed_last_month_30_f_with_pcos/")</f>
        <v/>
      </c>
      <c r="G2644" t="inlineStr">
        <is>
          <t>2019-09-07 11:47:16</t>
        </is>
      </c>
      <c r="H2644" t="inlineStr"/>
    </row>
    <row r="2645">
      <c r="A2645" t="inlineStr">
        <is>
          <t>d0zwob</t>
        </is>
      </c>
      <c r="B2645" t="inlineStr">
        <is>
          <t>Have you tried D limonene?</t>
        </is>
      </c>
      <c r="C2645" t="inlineStr">
        <is>
          <t>I'm taking 1000g for 20 days now and i didn't notice any improvement.</t>
        </is>
      </c>
      <c r="D2645" t="n">
        <v>1</v>
      </c>
      <c r="E2645" t="n">
        <v>5</v>
      </c>
      <c r="F2645">
        <f>HYPERLINK("https://www.reddit.com/r/GERD/comments/d0zwob/have_you_tried_d_limonene/")</f>
        <v/>
      </c>
      <c r="G2645" t="inlineStr">
        <is>
          <t>2019-09-07 11:47:53</t>
        </is>
      </c>
      <c r="H2645" t="inlineStr"/>
    </row>
    <row r="2646">
      <c r="A2646" t="inlineStr">
        <is>
          <t>d10err</t>
        </is>
      </c>
      <c r="B2646" t="inlineStr">
        <is>
          <t>Desk job for 8 hrs + 4 hr roundtrip commute - torture w/shortness of breath</t>
        </is>
      </c>
      <c r="C2646" t="inlineStr">
        <is>
          <t>My most uncomfortable symptom is all day shortness of breath. I've been on PPIs for about 3 days now. I recall having this 7 yrs ago and lasting months before feeling any normalcy. 
Any advice for dealing with shortness of breath, avoiding anxiety due to not being able to breathe properly, all while maintaining a sane mind &amp;amp; a job?</t>
        </is>
      </c>
      <c r="D2646" t="n">
        <v>11</v>
      </c>
      <c r="E2646" t="n">
        <v>17</v>
      </c>
      <c r="F2646">
        <f>HYPERLINK("https://www.reddit.com/r/GERD/comments/d10err/desk_job_for_8_hrs_4_hr_roundtrip_commute_torture/")</f>
        <v/>
      </c>
      <c r="G2646" t="inlineStr">
        <is>
          <t>2019-09-07 12:26:14</t>
        </is>
      </c>
      <c r="H2646" t="inlineStr"/>
    </row>
    <row r="2647">
      <c r="A2647" t="inlineStr">
        <is>
          <t>d1210i</t>
        </is>
      </c>
      <c r="B2647" t="inlineStr">
        <is>
          <t>Trigger foods that don't consistently trigger with LPR</t>
        </is>
      </c>
      <c r="C2647" t="inlineStr">
        <is>
          <t>Not sure if this makes sense, but in my quest to identify trigger foods, I've noticed that the foods I think cause a reaction don't cause a reaction *consistently.*
Case in point, I was absolutely convinced cheese doodles caused flare-ups because I seemed to get symptoms after eating them. Not that I eat them regularly, but it was just nice to rule something out. But I would only get symptoms every other time I ate them.
Same with ice cream. Had a scoop Monday and I was fine. Had a scoop Friday and I burped the rest of the day. Other times, I eat typically acidic foods like tomatoes and peppers and I don't feel any worse.
Mind you, the junky foods aren't things I eat regularly, but I make note of worsening symptoms when I eat anything and there is nothing I've eaten that has caused a problem every single time I've eaten it. Plus I sometimes get symptoms on an empty stomach. Makes it hard to pin down trigger foods! My only guess is certain food combinations result in a reaction rather than single foods.
Does this happen to anyone else? Why would certain things only cause problems sometimes?</t>
        </is>
      </c>
      <c r="D2647" t="n">
        <v>4</v>
      </c>
      <c r="E2647" t="n">
        <v>11</v>
      </c>
      <c r="F2647">
        <f>HYPERLINK("https://www.reddit.com/r/GERD/comments/d1210i/trigger_foods_that_dont_consistently_trigger_with/")</f>
        <v/>
      </c>
      <c r="G2647" t="inlineStr">
        <is>
          <t>2019-09-07 14:35:19</t>
        </is>
      </c>
      <c r="H2647" t="inlineStr"/>
    </row>
    <row r="2648">
      <c r="A2648" t="inlineStr">
        <is>
          <t>d12ww2</t>
        </is>
      </c>
      <c r="B2648" t="inlineStr">
        <is>
          <t>Gaviscon Advance - only on doctor’s advice?</t>
        </is>
      </c>
      <c r="C2648" t="inlineStr">
        <is>
          <t>Hi all,
I’m reading great things here about Gaviscon Advance. I’ve had reflux for years, but due to a stupid fear of taking medication I haven’t taken anything prescribed by my doctor years ago...  it’s causing sleep and breathing issues now so I now want to try to get things under control and need something to tide me over until I can see my doctor again. I bought a bottle of Gaviscon Advance hoping for some relief, but before taking it read that it should be taken only is recommended by a doctor. Would it be harmful to take it without my doctor having recommended it?</t>
        </is>
      </c>
      <c r="D2648" t="n">
        <v>1</v>
      </c>
      <c r="E2648" t="n">
        <v>0</v>
      </c>
      <c r="F2648">
        <f>HYPERLINK("https://www.reddit.com/r/GERD/comments/d12ww2/gaviscon_advance_only_on_doctors_advice/")</f>
        <v/>
      </c>
      <c r="G2648" t="inlineStr">
        <is>
          <t>2019-09-07 15:48:50</t>
        </is>
      </c>
      <c r="H2648" t="inlineStr"/>
    </row>
    <row r="2649">
      <c r="A2649" t="inlineStr">
        <is>
          <t>d15i2j</t>
        </is>
      </c>
      <c r="B2649" t="inlineStr">
        <is>
          <t>Extreme chest, back, and shoulder pain</t>
        </is>
      </c>
      <c r="C2649" t="inlineStr">
        <is>
          <t>I'm a 20 year old (M) college student. I'm fairly active. I've been dealing with extreme chest pain for the past 3 years. Attacks happen randomly with no obvious triggers. Resting or not, the pain is tight and sharp. In 2016, I was diagnosed with Precordial Catch Syndrome (PCS). Recently with the attacks, I've been getting unbearable shoulder and back pain. I went to the ER a few weeks ago because of symptoms that are related to GERD. I've been doing a good bit of research on GERD and Angina. I'm by no means a doctor. I don't have access to a cardiologist where I'm at right now until I go back home. Is there any way to rule out either condition?</t>
        </is>
      </c>
      <c r="D2649" t="n">
        <v>5</v>
      </c>
      <c r="E2649" t="n">
        <v>8</v>
      </c>
      <c r="F2649">
        <f>HYPERLINK("https://www.reddit.com/r/GERD/comments/d15i2j/extreme_chest_back_and_shoulder_pain/")</f>
        <v/>
      </c>
      <c r="G2649" t="inlineStr">
        <is>
          <t>2019-09-07 19:46:55</t>
        </is>
      </c>
      <c r="H2649" t="inlineStr"/>
    </row>
    <row r="2650">
      <c r="A2650" t="inlineStr">
        <is>
          <t>d15m3e</t>
        </is>
      </c>
      <c r="B2650" t="inlineStr">
        <is>
          <t>For those trying to get in shape to help their GERD, any abdominal pain?</t>
        </is>
      </c>
      <c r="C2650" t="inlineStr">
        <is>
          <t>All, aside from reflux my worst symptom is pressure and sometimes spasming in my abdomen. My doc has felt for a hernia before and nothing, and others have said my symptoms aren’t consistent with a hernia.
But push-ups sometimes leave me feeling some aching or discomfort in my abdomen. Anyone get this? Unsure if I should press on or leave it alone. Building muscle feels important to getting in proper shape though. I noticed the GERD appeared after I’d put on weight (only about 15 lbs and I’m still within my recommenced range but sigh, I can’t think of any other apparent cause).</t>
        </is>
      </c>
      <c r="D2650" t="n">
        <v>1</v>
      </c>
      <c r="E2650" t="n">
        <v>0</v>
      </c>
      <c r="F2650">
        <f>HYPERLINK("https://www.reddit.com/r/GERD/comments/d15m3e/for_those_trying_to_get_in_shape_to_help_their/")</f>
        <v/>
      </c>
      <c r="G2650" t="inlineStr">
        <is>
          <t>2019-09-07 19:57:28</t>
        </is>
      </c>
      <c r="H2650" t="inlineStr"/>
    </row>
    <row r="2651">
      <c r="A2651" t="inlineStr">
        <is>
          <t>d15tpz</t>
        </is>
      </c>
      <c r="B2651" t="inlineStr">
        <is>
          <t>Help item to try for throat and anxiety.</t>
        </is>
      </c>
      <c r="C2651" t="inlineStr">
        <is>
          <t>I get Min-Tran on amazon for anxiety natural pill. Take few during the day and help with sleep.
A take spoon of Slippery Elm powder at night before bed.  Little warm water. It coat the throat at night and ok for the morning.</t>
        </is>
      </c>
      <c r="D2651" t="n">
        <v>2</v>
      </c>
      <c r="E2651" t="n">
        <v>0</v>
      </c>
      <c r="F2651">
        <f>HYPERLINK("https://www.reddit.com/r/GERD/comments/d15tpz/help_item_to_try_for_throat_and_anxiety/")</f>
        <v/>
      </c>
      <c r="G2651" t="inlineStr">
        <is>
          <t>2019-09-07 20:18:48</t>
        </is>
      </c>
      <c r="H2651" t="inlineStr"/>
    </row>
    <row r="2652">
      <c r="A2652" t="inlineStr">
        <is>
          <t>d180eg</t>
        </is>
      </c>
      <c r="B2652" t="inlineStr">
        <is>
          <t>I don’t know what to do anymore</t>
        </is>
      </c>
      <c r="C2652" t="inlineStr">
        <is>
          <t>I’m a 19 year old female with GERD: I’ve had it over 10 years now. Everything was good until this year, I was on Prevacid &amp;amp; it was doing the job, until it started giving me acid reflux. Doctors ignored that got me an endoscopy said it was good and didn’t care, so I switched doctors as it became worse &amp;amp; I began to get nausea a lot. She switched my meds and ordered me a HIDA scab, it was normal but the meds aren’t working , so she put me on another one on top which doesn’t help. I throw up blood, my reflux has never been so bad and painful before, my chest hurts, my stomach and esophagus burn and my throat is so sore. I can’t swallow my one pill. The doctors don’t seem to care. I don’t know what the hell is going on.</t>
        </is>
      </c>
      <c r="D2652" t="n">
        <v>1</v>
      </c>
      <c r="E2652" t="n">
        <v>0</v>
      </c>
      <c r="F2652">
        <f>HYPERLINK("https://www.reddit.com/r/GERD/comments/d180eg/i_dont_know_what_to_do_anymore/")</f>
        <v/>
      </c>
      <c r="G2652" t="inlineStr">
        <is>
          <t>2019-09-08 00:35:13</t>
        </is>
      </c>
      <c r="H2652" t="inlineStr"/>
    </row>
    <row r="2653">
      <c r="A2653" t="inlineStr">
        <is>
          <t>d19rfo</t>
        </is>
      </c>
      <c r="B2653" t="inlineStr">
        <is>
          <t>Too many doctors suck</t>
        </is>
      </c>
      <c r="C2653" t="inlineStr">
        <is>
          <t>Sorry, just ranting after a sleepless night. The more I go to the doctors and the more meds they give me, the worse I feel. So much of Western medicine fails to factor in diet, exercise, massage, chiropractic, acupuncture, meditation, etc. I will keep taking the stupid Protonix and the stupid Bethanechol (ugh, terrible drug), but I am starting to understand why people stop going to doctors. 
When this all started five months ago, it was a mild pain in my left chest and left arm. Now it feels like full-blown GERD and I'm wondering if it's getting worse because of something physical, or if it's getting worse because of all the doctor visits I've made and all the different meds I've tried. The GI doc I'm seeing is getting mad that I ask so many questions, like I'm just supposed to accept and embrace everything she tells me, no questions asked, even though I feel worse and worse. So many docs are on a power trip, it seems.
I honestly think I would have been better off going to a homeopathic doctor to start with. The traditional docs aren't going to do surgery until I'm on death's door, so why not try a different approach in the meantime?
Thanks for listening. :)</t>
        </is>
      </c>
      <c r="D2653" t="n">
        <v>1</v>
      </c>
      <c r="E2653" t="n">
        <v>0</v>
      </c>
      <c r="F2653">
        <f>HYPERLINK("https://www.reddit.com/r/GERD/comments/d19rfo/too_many_doctors_suck/")</f>
        <v/>
      </c>
      <c r="G2653" t="inlineStr">
        <is>
          <t>2019-09-08 04:26:54</t>
        </is>
      </c>
      <c r="H2653" t="inlineStr"/>
    </row>
    <row r="2654">
      <c r="A2654" t="inlineStr">
        <is>
          <t>d1aool</t>
        </is>
      </c>
      <c r="B2654" t="inlineStr">
        <is>
          <t>Episodes of Fatigue for days</t>
        </is>
      </c>
      <c r="C2654" t="inlineStr">
        <is>
          <t>Dear all,
Since 8 months now, I have started to feel my voice weaken and I get palpitations and shortness of breath with a change in bowel movement as well, I remain fatigued and have chest pain or awareness of my heart for a few days after, went to several doctors and they have no answer for me. Does anyone experience this? I checked my heart and its fine.</t>
        </is>
      </c>
      <c r="D2654" t="n">
        <v>4</v>
      </c>
      <c r="E2654" t="n">
        <v>3</v>
      </c>
      <c r="F2654">
        <f>HYPERLINK("https://www.reddit.com/r/GERD/comments/d1aool/episodes_of_fatigue_for_days/")</f>
        <v/>
      </c>
      <c r="G2654" t="inlineStr">
        <is>
          <t>2019-09-08 06:08:56</t>
        </is>
      </c>
      <c r="H2654" t="inlineStr"/>
    </row>
    <row r="2655">
      <c r="A2655" t="inlineStr">
        <is>
          <t>d1b0tt</t>
        </is>
      </c>
      <c r="B2655" t="inlineStr">
        <is>
          <t>Whose stopped taking PPIs?</t>
        </is>
      </c>
      <c r="C2655" t="inlineStr">
        <is>
          <t>It’s been a month since I’ve stopped taking PPIs (had but side effects) and withdrawals are real. Started getting bad ones 2 weeks ago so I’ve taken Ranitidine 2x a day now. I’ve [read](https://mentalhealthdaily.com/2018/04/30/omeprazole-withdrawal-symptoms/) that my body should be back to normal in 2 months so 1 more month! I still avoid food that triggers my GERD like tomatoes and full cream milk/dairy. I do have coffee from time to time and beer like once after I stopped Omeprazole. 
If you’ve stopped PPIs please comment below to share your story.</t>
        </is>
      </c>
      <c r="D2655" t="n">
        <v>5</v>
      </c>
      <c r="E2655" t="n">
        <v>13</v>
      </c>
      <c r="F2655">
        <f>HYPERLINK("https://www.reddit.com/r/GERD/comments/d1b0tt/whose_stopped_taking_ppis/")</f>
        <v/>
      </c>
      <c r="G2655" t="inlineStr">
        <is>
          <t>2019-09-08 06:40:56</t>
        </is>
      </c>
      <c r="H2655" t="inlineStr"/>
    </row>
    <row r="2656">
      <c r="A2656" t="inlineStr">
        <is>
          <t>d1b5h1</t>
        </is>
      </c>
      <c r="B2656" t="inlineStr">
        <is>
          <t>Chronic Cough Caused by Gerd, Post Nissen Fundoplication</t>
        </is>
      </c>
      <c r="C2656" t="inlineStr">
        <is>
          <t>Hello all,
My father has been battling severe GERD for the past year. It is/was accompanied by a severe cough which got progressively worse. He eventually got a Nissen fundoplication surgery. He is only a couple weeks out of surgery, but it seems like the symptoms are not abating. The cough is especially troubling.  
Does anyone have experience healing  this specific aspect of GERD? Thanks in anticipation.</t>
        </is>
      </c>
      <c r="D2656" t="n">
        <v>2</v>
      </c>
      <c r="E2656" t="n">
        <v>1</v>
      </c>
      <c r="F2656">
        <f>HYPERLINK("https://www.reddit.com/r/GERD/comments/d1b5h1/chronic_cough_caused_by_gerd_post_nissen/")</f>
        <v/>
      </c>
      <c r="G2656" t="inlineStr">
        <is>
          <t>2019-09-08 06:52:25</t>
        </is>
      </c>
      <c r="H2656" t="inlineStr"/>
    </row>
    <row r="2657">
      <c r="A2657" t="inlineStr">
        <is>
          <t>d1bicu</t>
        </is>
      </c>
      <c r="B2657" t="inlineStr">
        <is>
          <t>Anyone ever get left arm pain after eating?</t>
        </is>
      </c>
      <c r="C2657" t="inlineStr">
        <is>
          <t>Hello everyone. Along with having a hiatal hernia, I was diagnosed with Ineffective Esophageal Motility, which is causing major acid reflux, and now I have to hurry up and wait for more testing and a trial run of various medications. 
The thing that is making me think there is something bigger going on, such as nerve damage or something weird, is that shortly after I eat anything (even low-acid, soft foods or smoothies), I get a cramp-like pain in my left arm, down my left hand, and throughout my left pectoral region. It almost feels like muscle strain or arthritis. This is in addition to other, more classic symptoms of acid reflux and dysphagia. They have already ruled out all cardiac issues based on multiple tests.
Anyone ever get left-side arm pain from GERD? I'm hoping I'm not alone. Sorry for being so needy. LOL.</t>
        </is>
      </c>
      <c r="D2657" t="n">
        <v>16</v>
      </c>
      <c r="E2657" t="n">
        <v>16</v>
      </c>
      <c r="F2657">
        <f>HYPERLINK("https://www.reddit.com/r/GERD/comments/d1bicu/anyone_ever_get_left_arm_pain_after_eating/")</f>
        <v/>
      </c>
      <c r="G2657" t="inlineStr">
        <is>
          <t>2019-09-08 07:23:05</t>
        </is>
      </c>
      <c r="H2657" t="inlineStr"/>
    </row>
    <row r="2658">
      <c r="A2658" t="inlineStr">
        <is>
          <t>d1bxgl</t>
        </is>
      </c>
      <c r="B2658" t="inlineStr">
        <is>
          <t>Does this sound like I have GERD?</t>
        </is>
      </c>
      <c r="C2658" t="inlineStr">
        <is>
          <t>Male mid 30s, 6’1, 105kg, no medications, non smoker.
Hi, for about 2 years on and off I've experienced a burning pain in my upper right abdomen/lower right chest. I'd say it's about 2 inches right of my sternum, sometimes is present for about 2 inches along the area of my lower rib right of my sternum. Most of the time it's not noticeable, but occasionally it flares up for 3-4 days and really hurts, particularly if I press on it. After it was first noticeable, it disappeared after a few weeks for the best part of a year then reappeared. The closest I can describe is that it's like when you have a bad bruise and push on it hard, although there's nothing on my skin to suggest anything is wrong. It doesn't feel very deep below the surface.
I am not sure what specialist to see about this. I saw a gastroenterologist last year as I was having some digestive issues (cramping, pain and diarrhea after certain foods) and mentioned this in case it was related. Doc isn't sure but ran an ultrasound scan, CT scan and blood tests. He said there was nothing obvious on the u-s except fatty liver (which I was aware of from previous tests), nothing unusual in the blood test except elevated liver function. 
I asked if something like liver cysts or ulcers could be to blame and he didn't seem convinced. He also said there was no sign of gallbladder problems.
The last few weeks I have had a dry cough which won't shift. The last few week I've been taking Nexium to see if I can rule out acid issues. The cough has improved - either because of the Nexium or a coincidence - but the burning pain is still there.
When this first started up my GP told me it was likely costochondritis, but from everything I've read about this condition it suggests this isn't usually concentrated in one focussed area, and tends to affect upper ribs on both sides or in the centre of the rib cage. This pain is very focussed into a small area.
It seems to flare up slightly in the hours after eating but not majorly. It occasionally seems to flare up if I sit in the same upright position for a while, like on a train or bus.
I would love to hear any suggestions for what this could be and how I can better discuss it with the doctor. Are there any tests that could better narrow down what's happening in that area? Also, advice on whether I'm speaking to the right specialist?</t>
        </is>
      </c>
      <c r="D2658" t="n">
        <v>4</v>
      </c>
      <c r="E2658" t="n">
        <v>2</v>
      </c>
      <c r="F2658">
        <f>HYPERLINK("https://www.reddit.com/r/GERD/comments/d1bxgl/does_this_sound_like_i_have_gerd/")</f>
        <v/>
      </c>
      <c r="G2658" t="inlineStr">
        <is>
          <t>2019-09-08 07:56:50</t>
        </is>
      </c>
      <c r="H2658" t="inlineStr"/>
    </row>
    <row r="2659">
      <c r="A2659" t="inlineStr">
        <is>
          <t>d1cjir</t>
        </is>
      </c>
      <c r="B2659" t="inlineStr">
        <is>
          <t>My story - finally a diagnosis</t>
        </is>
      </c>
      <c r="C2659" t="inlineStr">
        <is>
          <t>This summer has been hell. 3 months ago out of the blue I started having recurrent chest pains and difficulties breathing. I went to the ER, where I got every heart test performed and was sent home with a ‘clinical diagnosis’ of Pericarditis and started on a prednisone (steroid) taper. Pericarditis is a swelling of the pericardium so as you can imagine I was pretty freaked by this. 
A week later at my follow up I found out that clinical diagnosis  means they didn’t seen anything on my scans inferring pericarditis but it matched my symptoms. The cardiologist told me to finish my prednisone prescription, but if it didn’t help it probably was something else and all the tests indicated a healthy heart.
Next I headed to a pulmonologist, where I had PFTs &amp;amp; a lung CT performed, and it turned out  my lungs were healthy as well. At this point I was dumbfounded and frustrated. I was so sure it had something to do with my heart or lungs. Heart burn never even crossed my mind because my symptoms came on  3-4 hours after eating (I always thought heart burn was immediate) and it wasn’t a burning sensation, it was pain.  
A couple more weeks of this every day passed and I 
developed a new symptom. I started having trouble swallowing. It felt like food was stuck in my chest for longer than it should after I swallowed. I went to a GI specialist who ordered a barium swallow, and prescribed my Pantaprozole 2x a day. I’ve been taking it for 2 weeks now and just started feeling relief a couple days ago.  The swallowing is starting to feel better, the chest pains feel better, and I’m crossing my fingers the breathing difficulties will too eventually.
More than anything, I’m just so happy to finally have an idea of what’s going on and on a path to feel better. 2 months of not knowing was driving me absolutely crazy.
Anyone else ever been down rabbit holes like this?</t>
        </is>
      </c>
      <c r="D2659" t="n">
        <v>6</v>
      </c>
      <c r="E2659" t="n">
        <v>8</v>
      </c>
      <c r="F2659">
        <f>HYPERLINK("https://www.reddit.com/r/GERD/comments/d1cjir/my_story_finally_a_diagnosis/")</f>
        <v/>
      </c>
      <c r="G2659" t="inlineStr">
        <is>
          <t>2019-09-08 08:44:49</t>
        </is>
      </c>
      <c r="H2659" t="inlineStr"/>
    </row>
    <row r="2660">
      <c r="A2660" t="inlineStr">
        <is>
          <t>d1e990</t>
        </is>
      </c>
      <c r="B2660" t="inlineStr">
        <is>
          <t>I am 18 with GERD please read</t>
        </is>
      </c>
      <c r="C2660" t="inlineStr">
        <is>
          <t>Hi. I have had reflux problems for about 6 months. When I was younger I used to eat absurd amounts of food and feel fine, but I think that those days have finally caught up with me. 
Sometimes after I eat I feel terribly uncomfortable in the stomach area and HAVE to work out and exercise just to make myself burp and get the gas out of my stomach. After I workout I start belching and I start regurgitating acid and I can feel and taste the acid up in my throat. It’s very acidic and it shoots up into my mouth almost violently.
It makes it hard to breathe for me because the acid goes through my esophagus and makes my esophagus swell up.
I was able to just brush it off until a couple days ago. I am having trouble breathing because my airways are swollen. I have tried Flonase, and a corticosteroid, but they don’t help much. Just 2 days ago I bought a bottle of Pepto Bismol and that has helped a lot.
I wanna go to the doctor but don’t wanna spend money on all the tests. I’m not scared of having a tube put down my throat. It’s more-so about the finances that I am concerned about.
What do you guys think?
Thanks in advance</t>
        </is>
      </c>
      <c r="D2660" t="n">
        <v>11</v>
      </c>
      <c r="E2660" t="n">
        <v>27</v>
      </c>
      <c r="F2660">
        <f>HYPERLINK("https://www.reddit.com/r/GERD/comments/d1e990/i_am_18_with_gerd_please_read/")</f>
        <v/>
      </c>
      <c r="G2660" t="inlineStr">
        <is>
          <t>2019-09-08 10:51:23</t>
        </is>
      </c>
      <c r="H2660" t="inlineStr"/>
    </row>
    <row r="2661">
      <c r="A2661" t="inlineStr">
        <is>
          <t>d1i7fa</t>
        </is>
      </c>
      <c r="B2661" t="inlineStr">
        <is>
          <t>Tips for drinking alcohol with GERD?</t>
        </is>
      </c>
      <c r="C2661" t="inlineStr">
        <is>
          <t>I know alcohol is really bad for GERD but I’m not willing to stop drinking. However alcohol makes mine so bad sometimes it’s paralysing pain. Does anyone have any tips of what to mix alcohol (spirits) with? I don’t drink beer. I figured (before I realised the pain I got was due to stomach acid) that orange juice, lime cordial etc are really bad choices. Are there any alkaline mixers? Can’t exactly mix with milk
Side note but does anyone get worse stomach acid when somewhere hot? I don’t know if this is the connection but without fail if I’m on holiday I have unbearably painful GERD every single night and I can’t figure out why that is</t>
        </is>
      </c>
      <c r="D2661" t="n">
        <v>0</v>
      </c>
      <c r="E2661" t="n">
        <v>13</v>
      </c>
      <c r="F2661">
        <f>HYPERLINK("https://www.reddit.com/r/GERD/comments/d1i7fa/tips_for_drinking_alcohol_with_gerd/")</f>
        <v/>
      </c>
      <c r="G2661" t="inlineStr">
        <is>
          <t>2019-09-08 15:46:02</t>
        </is>
      </c>
      <c r="H2661" t="inlineStr"/>
    </row>
    <row r="2662">
      <c r="A2662" t="inlineStr">
        <is>
          <t>d1knsf</t>
        </is>
      </c>
      <c r="B2662" t="inlineStr">
        <is>
          <t>Stretta experience in DFW / OKC area</t>
        </is>
      </c>
      <c r="C2662" t="inlineStr">
        <is>
          <t>Hello, does anyone have experience with Stretta in the DFW / OKC area? If so, who did you use? I’m in western Arkansas and those two places seem to be the closest major metro areas that would do the procedure but I’m willing to travel farther if I need to.</t>
        </is>
      </c>
      <c r="D2662" t="n">
        <v>4</v>
      </c>
      <c r="E2662" t="n">
        <v>0</v>
      </c>
      <c r="F2662">
        <f>HYPERLINK("https://www.reddit.com/r/GERD/comments/d1knsf/stretta_experience_in_dfw_okc_area/")</f>
        <v/>
      </c>
      <c r="G2662" t="inlineStr">
        <is>
          <t>2019-09-08 19:17:52</t>
        </is>
      </c>
      <c r="H2662" t="inlineStr"/>
    </row>
    <row r="2663">
      <c r="A2663" t="inlineStr">
        <is>
          <t>d1kp2h</t>
        </is>
      </c>
      <c r="B2663" t="inlineStr">
        <is>
          <t>Has anyone healed their GERD with little to no medication?</t>
        </is>
      </c>
      <c r="C2663" t="inlineStr">
        <is>
          <t>Hello! 
Yes I know GERD is not curable. But has anyone had success with treating it to a point where it’s almost unnoticeable? 
If so, what did you do?</t>
        </is>
      </c>
      <c r="D2663" t="n">
        <v>7</v>
      </c>
      <c r="E2663" t="n">
        <v>25</v>
      </c>
      <c r="F2663">
        <f>HYPERLINK("https://www.reddit.com/r/GERD/comments/d1kp2h/has_anyone_healed_their_gerd_with_little_to_no/")</f>
        <v/>
      </c>
      <c r="G2663" t="inlineStr">
        <is>
          <t>2019-09-08 19:21:06</t>
        </is>
      </c>
      <c r="H2663" t="inlineStr"/>
    </row>
    <row r="2664">
      <c r="A2664" t="inlineStr">
        <is>
          <t>d1m918</t>
        </is>
      </c>
      <c r="B2664" t="inlineStr">
        <is>
          <t>Waking up choking/coughing in the middle of the night. I'm terrified</t>
        </is>
      </c>
      <c r="C2664" t="inlineStr">
        <is>
          <t>31yr old male. 6'1, 220lbs. Diagnosed with acid reflux
This has happened a handful of times in the past 5 years but I figured I'd ask someone. I have acid reflux. I take (3) 75mg zantac a day and haven't had any issues for the past 3 years since starting that routine on direction of gastroenterologist. I moved to a new state and have no doctor right now. 
Last night I worked late and had a meal right before bed. I woke up gasping and coughing from what felt like acid creeping up in my throat. Very scary. The entire ordeal lasted about 5 seconds before I was normal with no lingering symptoms.
This has happened maybe 3 or 4 times in the past but not since I started taking zantac regularly. I suspect my late night meal had something to do with it. I will schedule an appointment with a gastroenterologist. But is this an emergency? I'm terrified of dying in my sleep because of this? Any feedback helps.</t>
        </is>
      </c>
      <c r="D2664" t="n">
        <v>16</v>
      </c>
      <c r="E2664" t="n">
        <v>10</v>
      </c>
      <c r="F2664">
        <f>HYPERLINK("https://www.reddit.com/r/GERD/comments/d1m918/waking_up_chokingcoughing_in_the_middle_of_the/")</f>
        <v/>
      </c>
      <c r="G2664" t="inlineStr">
        <is>
          <t>2019-09-08 21:50:41</t>
        </is>
      </c>
      <c r="H2664" t="inlineStr"/>
    </row>
    <row r="2665">
      <c r="A2665" t="inlineStr">
        <is>
          <t>d1pqdi</t>
        </is>
      </c>
      <c r="B2665" t="inlineStr">
        <is>
          <t>Why is the low FODMAP diet so different from the GERD diet?</t>
        </is>
      </c>
      <c r="C2665" t="inlineStr">
        <is>
          <t>I’m not really sure what’s wrong with me, but I’ve been suffering from weekly nausea for a little more than a year now. No heartburn, or very little heartburn. Significant bloating. Some doctors say GERD, some say IBS. Are those different from each other? I’d like to try to make some dietary changes, but I really haven’t seen any science behind the GERD diet recommendations, whereas the low FODMAP seems to at least have a scientific basis. My doctor has never heard of FODMAP, which concerns me a little. I will try to visit a specialist once I do some dietary experiments. Which diet would you suggest I follow?</t>
        </is>
      </c>
      <c r="D2665" t="n">
        <v>3</v>
      </c>
      <c r="E2665" t="n">
        <v>10</v>
      </c>
      <c r="F2665">
        <f>HYPERLINK("https://www.reddit.com/r/GERD/comments/d1pqdi/why_is_the_low_fodmap_diet_so_different_from_the/")</f>
        <v/>
      </c>
      <c r="G2665" t="inlineStr">
        <is>
          <t>2019-09-09 04:39:00</t>
        </is>
      </c>
      <c r="H2665" t="inlineStr"/>
    </row>
    <row r="2666">
      <c r="A2666" t="inlineStr">
        <is>
          <t>d1q9sx</t>
        </is>
      </c>
      <c r="B2666" t="inlineStr">
        <is>
          <t>Best way and time to take D-Limonene</t>
        </is>
      </c>
      <c r="C2666" t="inlineStr">
        <is>
          <t>Hello everyone!
I have purchased the 500mg D-Limonene for GERD caused by a hiatal hernia for my sister and I was wondering when would be the best time for her to take it? I know it is 1000mg every other day for 20 days so she would have to take two 500mg capsules but is it best to take them together or take one at lunch and one at dinner? Also, can she continue taking other natural remedies such as aloe vera, ginger tea, apple cider vinegar or will they make the D-Limonene less effective? Lastly, does she take the D-Limonene before food, after food, during food, etc?
Any help will be much appreciated! Thank you!</t>
        </is>
      </c>
      <c r="D2666" t="n">
        <v>5</v>
      </c>
      <c r="E2666" t="n">
        <v>4</v>
      </c>
      <c r="F2666">
        <f>HYPERLINK("https://www.reddit.com/r/GERD/comments/d1q9sx/best_way_and_time_to_take_dlimonene/")</f>
        <v/>
      </c>
      <c r="G2666" t="inlineStr">
        <is>
          <t>2019-09-09 05:31:41</t>
        </is>
      </c>
      <c r="H2666" t="inlineStr"/>
    </row>
    <row r="2667">
      <c r="A2667" t="inlineStr">
        <is>
          <t>d1r4n8</t>
        </is>
      </c>
      <c r="B2667" t="inlineStr">
        <is>
          <t>Trying Dr. Aviv's acid watcher diet. Experiencing loose stools and minimal reflux symptom improvement. Please help!</t>
        </is>
      </c>
      <c r="C2667" t="inlineStr">
        <is>
          <t>I have been dealing with GERD symptoms for about 4 years now (post nasal drip, congestion, excessive mucus, sore throat, etc.). I have seen many doctors and ruled out allergies. I had an EGD and it was confirmed that I have GERD. I even got an adenoidectomy unnecessarily before knowing that it was reflux. 
I read Dr. Aviv's Acid Watcher Diet and I found hope. I have since started the diet and I am following it exactly. It has been a bit over a week and since I started I have had loose stools one to two times a day and haven't seen much improvement in my mucus issue (the main thing that bothers me). I don't expect things to change overnight but I am most concerned about the diarrhea.
Is it normal? Should I stop the diet or is it just my bodies reaction to the change in my eating habits?
I am 24 years old and willing to do anything to stop feeling the way I have been feeling for so long. I appreciate any input you have.</t>
        </is>
      </c>
      <c r="D2667" t="n">
        <v>2</v>
      </c>
      <c r="E2667" t="n">
        <v>11</v>
      </c>
      <c r="F2667">
        <f>HYPERLINK("https://www.reddit.com/r/GERD/comments/d1r4n8/trying_dr_avivs_acid_watcher_diet_experiencing/")</f>
        <v/>
      </c>
      <c r="G2667" t="inlineStr">
        <is>
          <t>2019-09-09 06:47:35</t>
        </is>
      </c>
      <c r="H2667" t="inlineStr"/>
    </row>
    <row r="2668">
      <c r="A2668" t="inlineStr">
        <is>
          <t>d1suf8</t>
        </is>
      </c>
      <c r="B2668" t="inlineStr">
        <is>
          <t>Strange painless tugging/wiggling sensation in chest days after heartburn</t>
        </is>
      </c>
      <c r="C2668" t="inlineStr">
        <is>
          <t>I have noticed that when I have a night of bad heartburn, for the next several days I have this painless tugging sensation in the middle left side of my chest - like just to the left of the center. It just feels strange, it does not hurt at all. It seems to occur when I move in certain ways, especially my arms. It almost feels like something is like... poking through something? It is like a poking/tugging sensation, but kind of hard to describe. It could potentially be occurring as my heart is beating, I think. I tend to get anxiety-induced palpitations that seem they could be connected to this. Could it be scar tissue or something? It goes away after week or so. I do not have any trouble breathing or anything like that, just this weird tugging feeling. This has happened maybe 4-5 times over the past 4-5 years.</t>
        </is>
      </c>
      <c r="D2668" t="n">
        <v>2</v>
      </c>
      <c r="E2668" t="n">
        <v>3</v>
      </c>
      <c r="F2668">
        <f>HYPERLINK("https://www.reddit.com/r/GERD/comments/d1suf8/strange_painless_tuggingwiggling_sensation_in/")</f>
        <v/>
      </c>
      <c r="G2668" t="inlineStr">
        <is>
          <t>2019-09-09 09:01:21</t>
        </is>
      </c>
      <c r="H2668" t="inlineStr"/>
    </row>
    <row r="2669">
      <c r="A2669" t="inlineStr">
        <is>
          <t>d1tyqt</t>
        </is>
      </c>
      <c r="B2669" t="inlineStr">
        <is>
          <t>H Pylori bad breath</t>
        </is>
      </c>
      <c r="C2669" t="inlineStr">
        <is>
          <t xml:space="preserve">
I’ve had bad breath for months now and it won’t get better. My dentist says my teeth and gums are fine and healthy and I brush my teeth regularly at least twice and floss. Also I have diagnosed with H pylori and started taking an antibiotic Klacid 500mg (Clarithromycin) and Zurcal 40mg for the heartburn. The doctor prescribed me Klacid 500mg (Clarithromycin) for a week and then E-Mox 500 (Amoxicillin). I’m on my 5th day on the Klacid and I haven’t felt any better regarding the bad breath. 
It’s been driving me crazy. Can the H Pylori cause that constant bad breath? And if so how long will it take for it to go away with these antibiotics? Please if you have any information that can help me, I’d really appreciate it</t>
        </is>
      </c>
      <c r="D2669" t="n">
        <v>3</v>
      </c>
      <c r="E2669" t="n">
        <v>2</v>
      </c>
      <c r="F2669">
        <f>HYPERLINK("https://www.reddit.com/r/GERD/comments/d1tyqt/h_pylori_bad_breath/")</f>
        <v/>
      </c>
      <c r="G2669" t="inlineStr">
        <is>
          <t>2019-09-09 10:24:29</t>
        </is>
      </c>
      <c r="H2669" t="inlineStr"/>
    </row>
    <row r="2670">
      <c r="A2670" t="inlineStr">
        <is>
          <t>d1u0rc</t>
        </is>
      </c>
      <c r="B2670" t="inlineStr">
        <is>
          <t>Worried about narrowing in my esophagus on barium swallow</t>
        </is>
      </c>
      <c r="C2670" t="inlineStr">
        <is>
          <t>I am a 24 yo female and I have been experiencing stomach issues on and off for 3+ years now. I had an upper endoscopy in January of 2017, which showed Chronic Gastritis, but otherwise nothing of significance. My stomach went through a period where it felt better for awhile, but then back in May, I started experiencing burning in my throat, as well as a pressure sensation/like something was in my chest (almost felt like cotton). I took Zantac twice a day for over a month with no relief, so I saw a gastro again. They did a barium swallow study, and it revealed narrowing at the lower part of my esophagus (where it meets the stomach). Since may, my esophageal symptoms have gotten worse. I've been experiencing burning, reflux, and food often getting stuck on the way down. Even saliva sometimes feels like it is getting stuck. And I still have that terrible pressure/cotton feeling in my chest. 
My doctor is wanting to do another upper endoscopy, and I had one scheduled for a few weeks ago but I had to reschedule. Now I won't be able to have one done for another month. I am very worried because I am worried that the narrowing could be Barrett's or worse, cancer. I know that reflux is a big risk factor for cancer, and I have been suffering from constant symptoms for 3-4 months now with no relief. The reflux has probably been present for years without much relief, as well. I'm scared. I'm only 24. I don't drink, don't smoke, no drugs. I don't even like taking advil for a headache... I am a very anxious person, but idk why I would have such bad reflux that it would cause narrowing in my esophagus. On top of it, I am scared to have the actual procedure done because of the anesthesia. 
Has anyone else suffered from these symptoms?</t>
        </is>
      </c>
      <c r="D2670" t="n">
        <v>2</v>
      </c>
      <c r="E2670" t="n">
        <v>19</v>
      </c>
      <c r="F2670">
        <f>HYPERLINK("https://www.reddit.com/r/GERD/comments/d1u0rc/worried_about_narrowing_in_my_esophagus_on_barium/")</f>
        <v/>
      </c>
      <c r="G2670" t="inlineStr">
        <is>
          <t>2019-09-09 10:28:24</t>
        </is>
      </c>
      <c r="H2670" t="inlineStr"/>
    </row>
    <row r="2671">
      <c r="A2671" t="inlineStr">
        <is>
          <t>d1vj44</t>
        </is>
      </c>
      <c r="B2671" t="inlineStr">
        <is>
          <t>I think I failed my stomach test?</t>
        </is>
      </c>
      <c r="C2671" t="inlineStr">
        <is>
          <t>Anybody else have one of these? It’s a test where you eat a radioactive sandwich (mine was egg white and strawberry jam... served boiling hot 🤮🤮🤮) and they take photos of the radioactive sandwich going through your stomach. Now, my test took 4 hours in total; and at the end of the four hours... the food was JUST inside the beginning of intestines. Has anybody else have the same (or relatively similar) results? What was the treatment plan? I’ve heard my GI doctor talk about abnormal esophageal spasms, and I’ve heard him talk about poor stomach motility as well. 
Next month, I have to go for another esophageal test where I need to keep a tube (entering through my nose) down my throat to monitor my esophagus and it’s spasms. Is that considered a routine test? Is it considered a test that’s only given when more worrisome stuff is suspected? I’ve already passed the Endoscopy stage of testing, and I’m a bit nervous about what all these tests mean. 
Thanks for the info and taking the time to read my looooooong post 
Hope you have a great day!</t>
        </is>
      </c>
      <c r="D2671" t="n">
        <v>4</v>
      </c>
      <c r="E2671" t="n">
        <v>33</v>
      </c>
      <c r="F2671">
        <f>HYPERLINK("https://www.reddit.com/r/GERD/comments/d1vj44/i_think_i_failed_my_stomach_test/")</f>
        <v/>
      </c>
      <c r="G2671" t="inlineStr">
        <is>
          <t>2019-09-09 12:15:20</t>
        </is>
      </c>
      <c r="H2671" t="inlineStr"/>
    </row>
    <row r="2672">
      <c r="A2672" t="inlineStr">
        <is>
          <t>d1vky3</t>
        </is>
      </c>
      <c r="B2672" t="inlineStr">
        <is>
          <t>Added discomfort with activity</t>
        </is>
      </c>
      <c r="C2672" t="inlineStr">
        <is>
          <t>Hi all, hoping you can help out. Here's the scenario:  
Toward the end of June, I had this episode where my chest started burning as I was walking up a hill. I got it checked out, including an EKG, upper endoscopy, and a stress test. All came back fine, except for the endo showing some mild irritation. Any and all discomfort went away about a week after the first episode. Went a few months with no serious reflux symptoms, just the occasional gas and very mild heartburn. Thursday night, I got a very similar feeling walking up the hill as the episode in June. The pain went away, but now I'm noticing that once again, activity seems to be triggering whatever is going on. For example, I was at a friend's wedding, doing fine as we were getting ready and taking pictures and such. But as the reception progressed, I started to feel discomfort- I feel this burning right at the bottom of my sternum and pressure there and across the bottom of my ribcage. All the aforementioned areas are sore when pressed on. Costocondritis has been an issue for me in the past, as is GERD and health anxiety. I'm on Zantac as needed, used to be on Nexium/Prilosec.   
Does anyone else have an experience like this? I'm trying not to freak out, especially considering that I've had a pretty recent clean bill of health.</t>
        </is>
      </c>
      <c r="D2672" t="n">
        <v>4</v>
      </c>
      <c r="E2672" t="n">
        <v>1</v>
      </c>
      <c r="F2672">
        <f>HYPERLINK("https://www.reddit.com/r/GERD/comments/d1vky3/added_discomfort_with_activity/")</f>
        <v/>
      </c>
      <c r="G2672" t="inlineStr">
        <is>
          <t>2019-09-09 12:19:00</t>
        </is>
      </c>
      <c r="H2672" t="inlineStr"/>
    </row>
    <row r="2673">
      <c r="A2673" t="inlineStr">
        <is>
          <t>d1x9e5</t>
        </is>
      </c>
      <c r="B2673" t="inlineStr">
        <is>
          <t>Acid reflux and chest discomfort pain lpr</t>
        </is>
      </c>
      <c r="C2673" t="inlineStr">
        <is>
          <t>I have been having horrible acid reflux and lpr and I get a real discomfort sensation in the middle of chest it’s awful a tad bit painful too by my heart and whenever this happens I get heart palpitations it’s horrible feels like an air bubble just stuck in the middle of chest has anyone ever felt this ?</t>
        </is>
      </c>
      <c r="D2673" t="n">
        <v>3</v>
      </c>
      <c r="E2673" t="n">
        <v>4</v>
      </c>
      <c r="F2673">
        <f>HYPERLINK("https://www.reddit.com/r/GERD/comments/d1x9e5/acid_reflux_and_chest_discomfort_pain_lpr/")</f>
        <v/>
      </c>
      <c r="G2673" t="inlineStr">
        <is>
          <t>2019-09-09 14:17:26</t>
        </is>
      </c>
      <c r="H2673" t="inlineStr"/>
    </row>
    <row r="2674">
      <c r="A2674" t="inlineStr">
        <is>
          <t>d1x9jq</t>
        </is>
      </c>
      <c r="B2674" t="inlineStr">
        <is>
          <t>What can I add to rice and beans for flavor and avoid acid reflux?</t>
        </is>
      </c>
      <c r="C2674" t="inlineStr">
        <is>
          <t>So I do not like cooking. I put on instant brown rice and canned black beans. Then I put on salsa, hummus, and feta cheese. I noticed that I am getting acid reflux recently. How can I change up my quick and easy recipe?</t>
        </is>
      </c>
      <c r="D2674" t="n">
        <v>3</v>
      </c>
      <c r="E2674" t="n">
        <v>6</v>
      </c>
      <c r="F2674">
        <f>HYPERLINK("https://www.reddit.com/r/GERD/comments/d1x9jq/what_can_i_add_to_rice_and_beans_for_flavor_and/")</f>
        <v/>
      </c>
      <c r="G2674" t="inlineStr">
        <is>
          <t>2019-09-09 14:17:43</t>
        </is>
      </c>
      <c r="H2674" t="inlineStr"/>
    </row>
    <row r="2675">
      <c r="A2675" t="inlineStr">
        <is>
          <t>d1xan2</t>
        </is>
      </c>
      <c r="B2675" t="inlineStr">
        <is>
          <t>Natural Remedies?</t>
        </is>
      </c>
      <c r="C2675" t="inlineStr">
        <is>
          <t>I haven't been officially diagnosed but have had some stomach issues with bloating, indigestion feelings, nausea feeling after eating especially in the evening. Also pain in my right chest since yesterday, I'm making a doctor's appointment again, first appointment Dr recommended prescription Prilosec. I have not been taking it because I'd rather explore natural remedies first.
I so far use apple cider vinegar, activated charcoal, fennel seeds, ginger and if needed an antigas pill for immediate bloating relief.
Has anyone had helpful natural remedies to recommend?
I eat and feel fine early in the day but anytime after 5-6pm my stomach just doesn't cooperate.</t>
        </is>
      </c>
      <c r="D2675" t="n">
        <v>7</v>
      </c>
      <c r="E2675" t="n">
        <v>10</v>
      </c>
      <c r="F2675">
        <f>HYPERLINK("https://www.reddit.com/r/GERD/comments/d1xan2/natural_remedies/")</f>
        <v/>
      </c>
      <c r="G2675" t="inlineStr">
        <is>
          <t>2019-09-09 14:19:52</t>
        </is>
      </c>
      <c r="H2675" t="inlineStr"/>
    </row>
    <row r="2676">
      <c r="A2676" t="inlineStr">
        <is>
          <t>d1xu7w</t>
        </is>
      </c>
      <c r="B2676" t="inlineStr">
        <is>
          <t>Where to order a stool test online?</t>
        </is>
      </c>
      <c r="C2676" t="inlineStr">
        <is>
          <t>I'm want to order a stool culture test kit, the only one I could find is the one on Amazon that's $250. I'm not sure if that's more or less than what they charge at the clinics without insurance.</t>
        </is>
      </c>
      <c r="D2676" t="n">
        <v>2</v>
      </c>
      <c r="E2676" t="n">
        <v>1</v>
      </c>
      <c r="F2676">
        <f>HYPERLINK("https://www.reddit.com/r/GERD/comments/d1xu7w/where_to_order_a_stool_test_online/")</f>
        <v/>
      </c>
      <c r="G2676" t="inlineStr">
        <is>
          <t>2019-09-09 14:58:03</t>
        </is>
      </c>
      <c r="H2676" t="inlineStr"/>
    </row>
    <row r="2677">
      <c r="A2677" t="inlineStr">
        <is>
          <t>d1yaks</t>
        </is>
      </c>
      <c r="B2677" t="inlineStr">
        <is>
          <t>How did you cure your gerd? I need diet / lifestyle tips.</t>
        </is>
      </c>
      <c r="C2677" t="inlineStr">
        <is>
          <t>How did you cure your gerd? I need diet / lifestyle tips.</t>
        </is>
      </c>
      <c r="D2677" t="n">
        <v>3</v>
      </c>
      <c r="E2677" t="n">
        <v>13</v>
      </c>
      <c r="F2677">
        <f>HYPERLINK("https://www.reddit.com/r/GERD/comments/d1yaks/how_did_you_cure_your_gerd_i_need_diet_lifestyle/")</f>
        <v/>
      </c>
      <c r="G2677" t="inlineStr">
        <is>
          <t>2019-09-09 15:30:16</t>
        </is>
      </c>
      <c r="H2677" t="inlineStr"/>
    </row>
    <row r="2678">
      <c r="A2678" t="inlineStr">
        <is>
          <t>d1yonm</t>
        </is>
      </c>
      <c r="B2678" t="inlineStr">
        <is>
          <t>Feeling full all day after starting Zantac?</t>
        </is>
      </c>
      <c r="C2678" t="inlineStr">
        <is>
          <t>Anyone had this side effect? Today I ate one small thing and have felt bloated all day. Probably going to discontinue use until I see my doctor again. Any advice?</t>
        </is>
      </c>
      <c r="D2678" t="n">
        <v>7</v>
      </c>
      <c r="E2678" t="n">
        <v>10</v>
      </c>
      <c r="F2678">
        <f>HYPERLINK("https://www.reddit.com/r/GERD/comments/d1yonm/feeling_full_all_day_after_starting_zantac/")</f>
        <v/>
      </c>
      <c r="G2678" t="inlineStr">
        <is>
          <t>2019-09-09 15:59:28</t>
        </is>
      </c>
      <c r="H2678" t="inlineStr"/>
    </row>
    <row r="2679">
      <c r="A2679" t="inlineStr">
        <is>
          <t>d21krg</t>
        </is>
      </c>
      <c r="B2679" t="inlineStr">
        <is>
          <t>Low Acid BS</t>
        </is>
      </c>
      <c r="C2679" t="inlineStr">
        <is>
          <t>Be careful with self diagnosing. I thought I was smarter than the doctors as all over the internet there are "doctors" claiming that low stomach acid is the "real cause of GERD." I bombed myself with Betaine HCL w/Pepsin for a few months and developed a chronic cough, which even lead to pneumonia. I'm still hesitant with PPI's as they're effectiveness is very much up for debate so currently on a low acid diet as recommended by Dr. Jamie Koufman, a leading expert who invented terms such as LPR (airway reflux as she now prefers to call it). My cough is a lot better after a few days on the diet, it has been bad for months. Still struggling with GERD/LPR but seeing improvements.</t>
        </is>
      </c>
      <c r="D2679" t="n">
        <v>26</v>
      </c>
      <c r="E2679" t="n">
        <v>32</v>
      </c>
      <c r="F2679">
        <f>HYPERLINK("https://www.reddit.com/r/GERD/comments/d21krg/low_acid_bs/")</f>
        <v/>
      </c>
      <c r="G2679" t="inlineStr">
        <is>
          <t>2019-09-09 19:48:15</t>
        </is>
      </c>
      <c r="H2679" t="inlineStr"/>
    </row>
    <row r="2680">
      <c r="A2680" t="inlineStr">
        <is>
          <t>d238qz</t>
        </is>
      </c>
      <c r="B2680" t="inlineStr">
        <is>
          <t>Stomach tightness/reflux when bending over</t>
        </is>
      </c>
      <c r="C2680" t="inlineStr">
        <is>
          <t>If I bend over and am wearing a belt (or basically doing anything that puts pressure on the lower part of my stomach), I get pain in the area, and acid reflux and gas in my mouth. What exactly is going on? I also have great difficulty breathing and can feel my stomach tightness when breathing.</t>
        </is>
      </c>
      <c r="D2680" t="n">
        <v>3</v>
      </c>
      <c r="E2680" t="n">
        <v>3</v>
      </c>
      <c r="F2680">
        <f>HYPERLINK("https://www.reddit.com/r/GERD/comments/d238qz/stomach_tightnessreflux_when_bending_over/")</f>
        <v/>
      </c>
      <c r="G2680" t="inlineStr">
        <is>
          <t>2019-09-09 22:32:06</t>
        </is>
      </c>
      <c r="H2680" t="inlineStr"/>
    </row>
    <row r="2681">
      <c r="A2681" t="inlineStr">
        <is>
          <t>d23jb5</t>
        </is>
      </c>
      <c r="B2681" t="inlineStr">
        <is>
          <t>Instantly as soon as I eat I have to clear my throat constantly for a couple hours, even off one bite...</t>
        </is>
      </c>
      <c r="C2681" t="inlineStr">
        <is>
          <t>This symptom is starting to get annoying to me, post nasal drip &amp;amp; then clearing throat constantly along with lump in throat sensation periodically throughout the day smh. Me and my ent looked at my vocal cords via scope on a monitor and the swelling/ redness was less noticeable than prior (2 month diff), no PPI (do nothing for LPR), no antacids unless I get heartburn, want to take gaviscon advance Uk version which I have but I’m afraid to take it honestly, afraid of a reaction and it’s so thick and turns to gel.</t>
        </is>
      </c>
      <c r="D2681" t="n">
        <v>1</v>
      </c>
      <c r="E2681" t="n">
        <v>0</v>
      </c>
      <c r="F2681">
        <f>HYPERLINK("https://www.reddit.com/r/GERD/comments/d23jb5/instantly_as_soon_as_i_eat_i_have_to_clear_my/")</f>
        <v/>
      </c>
      <c r="G2681" t="inlineStr">
        <is>
          <t>2019-09-09 23:04:54</t>
        </is>
      </c>
      <c r="H2681" t="inlineStr"/>
    </row>
    <row r="2682">
      <c r="A2682" t="inlineStr">
        <is>
          <t>d24bq2</t>
        </is>
      </c>
      <c r="B2682" t="inlineStr">
        <is>
          <t>I Need To Take A PPI</t>
        </is>
      </c>
      <c r="C2682" t="inlineStr">
        <is>
          <t>My doctor said I have to take a PPI right away. Here's the problem most PPI's like Nexium give me muscle aches and make me feel week like I'm getting sick. With Nexium after 1 dose I feel really good and it works great. But after the second dose is when I get the muscle aches and weekness. Do these side effects go away? All PPI's I have a problem with so I don't know what to do.</t>
        </is>
      </c>
      <c r="D2682" t="n">
        <v>5</v>
      </c>
      <c r="E2682" t="n">
        <v>5</v>
      </c>
      <c r="F2682">
        <f>HYPERLINK("https://www.reddit.com/r/GERD/comments/d24bq2/i_need_to_take_a_ppi/")</f>
        <v/>
      </c>
      <c r="G2682" t="inlineStr">
        <is>
          <t>2019-09-10 00:41:22</t>
        </is>
      </c>
      <c r="H2682" t="inlineStr"/>
    </row>
    <row r="2683">
      <c r="A2683" t="inlineStr">
        <is>
          <t>d25yey</t>
        </is>
      </c>
      <c r="B2683" t="inlineStr">
        <is>
          <t>Could being hit in the stomach with a lacrosse ball cause hiatal hernia? (Ball construction: rubber coating around a cement core, 5oz, 60mph)</t>
        </is>
      </c>
      <c r="C2683" t="inlineStr">
        <is>
          <t>Hi everyone, my daily reflux symptoms appeared suddenly about 10 years ago.
I took over a dozen lacrosse balls to the stomach over the course of two years (10-11 years ago). The last year that I played lacrosse (stopped due to ankle injury) was the first year I experienced chronic reflux symptoms (which never entirely stopped).
Does it sound like a reasonable hypothesis that a cement cored, rubber coated lacrosse ball, weighing 5oz, traveling at 60mph impacting the stomach could cause hiatal hernia?</t>
        </is>
      </c>
      <c r="D2683" t="n">
        <v>4</v>
      </c>
      <c r="E2683" t="n">
        <v>14</v>
      </c>
      <c r="F2683">
        <f>HYPERLINK("https://www.reddit.com/r/GERD/comments/d25yey/could_being_hit_in_the_stomach_with_a_lacrosse/")</f>
        <v/>
      </c>
      <c r="G2683" t="inlineStr">
        <is>
          <t>2019-09-10 04:02:01</t>
        </is>
      </c>
      <c r="H2683" t="inlineStr"/>
    </row>
    <row r="2684">
      <c r="A2684" t="inlineStr">
        <is>
          <t>d27t3e</t>
        </is>
      </c>
      <c r="B2684" t="inlineStr">
        <is>
          <t>What to drink? Fellow Gerda😑</t>
        </is>
      </c>
      <c r="C2684" t="inlineStr">
        <is>
          <t>Well im in the same boat . I cannot naturally burp my wife has a good old laugh because i cannot burp at me but when I get Gerd bad i would I would actually vommit nothing but air and feel bloated.
 I can vommit 2-4 times air every bout 2 hours 3 times until i feel better i can feel the nauseas and movement of air in my chest.I stay away from oily foods but its tough because we all enjoy pizzas and burgers from time to time. i stay away from gas cooldrinks, i dont't drink coffee and i will have rooibos tea only as a warm drink. I drink juice mainly and now since drinking guava and orange juice ( gerd triggers) im going to stay away from the juice to. I consume alchohol maybe 1 - 2 beers on the weekend but it seems every drink besides water and rooibos tea is a trigger. 
I spoke to my Dr yesterday she said for now just stay away from all your triggers she gave me script for Omez 20g it hink still need to get these pills but i hate taking pills (can barely read dr handwriting)
Gaviscon satchets help and i would relax for 30mins and inwould be fine sometimes but sometimes it takes longer than usually until the gerd is gone.
So my question to you all what do you drink or any diets anyone can advise that helps from personal experience?</t>
        </is>
      </c>
      <c r="D2684" t="n">
        <v>1</v>
      </c>
      <c r="E2684" t="n">
        <v>0</v>
      </c>
      <c r="F2684">
        <f>HYPERLINK("https://www.reddit.com/r/GERD/comments/d27t3e/what_to_drink_fellow_gerda/")</f>
        <v/>
      </c>
      <c r="G2684" t="inlineStr">
        <is>
          <t>2019-09-10 06:51:19</t>
        </is>
      </c>
      <c r="H2684" t="inlineStr"/>
    </row>
    <row r="2685">
      <c r="A2685" t="inlineStr">
        <is>
          <t>d28i3n</t>
        </is>
      </c>
      <c r="B2685" t="inlineStr">
        <is>
          <t>Timing of symptoms</t>
        </is>
      </c>
      <c r="C2685" t="inlineStr">
        <is>
          <t>Has anyone else determined that 100% of the symptoms seem to be from however I ate the whole day prior? It seems like a several hour or a day delayed reaction for me. This morning was the first time I had a really bad time right from waking up and the drive to work. Feeling burpy and on verge of liquid burps but I took a tums. Then it hit me it’s also the first time right at bedtime I forgot the rules  and saw some fruit salad in the fridge and downed a little right before going to sleep. To me this has to be why my morning was so bad as I never did this before. Maybe after waking up the stomach starts to digest what it didn’t finish yet or the acid wakes up too strongly because of eating something so late?  Also honeydew is supposed to be a good fruit choice but I guess no matter what I eat if it is right at bedtime it’s really bad?</t>
        </is>
      </c>
      <c r="D2685" t="n">
        <v>1</v>
      </c>
      <c r="E2685" t="n">
        <v>1</v>
      </c>
      <c r="F2685">
        <f>HYPERLINK("https://www.reddit.com/r/GERD/comments/d28i3n/timing_of_symptoms/")</f>
        <v/>
      </c>
      <c r="G2685" t="inlineStr">
        <is>
          <t>2019-09-10 07:44:29</t>
        </is>
      </c>
      <c r="H2685" t="inlineStr"/>
    </row>
    <row r="2686">
      <c r="A2686" t="inlineStr">
        <is>
          <t>d2a7rd</t>
        </is>
      </c>
      <c r="B2686" t="inlineStr">
        <is>
          <t>Anyone made it to the other side with PPI rebound?</t>
        </is>
      </c>
      <c r="C2686" t="inlineStr">
        <is>
          <t>I started weaning myself off omeprazole a couple of weeks ago. Now I'm off it entirely. While I will say that there hasn't been a lot of actual pain, possibly thanks to losing a bit of weight and eating an extremely bland diet (dear god, save me from tasteless food), there's been a lot of sour stomach and a lot of what feels like LPR (mainly that feeling of constant postnasal drip, needing to clear throat and especially breathing issues when I'm exercising). 
Any success stories? Any ideas of how long I can expect to deal with the rebound before it gets better? Any tips for what to do/what not to do aside from taking H2 blockers and things like Gaviscon?</t>
        </is>
      </c>
      <c r="D2686" t="n">
        <v>1</v>
      </c>
      <c r="E2686" t="n">
        <v>1</v>
      </c>
      <c r="F2686">
        <f>HYPERLINK("https://www.reddit.com/r/GERD/comments/d2a7rd/anyone_made_it_to_the_other_side_with_ppi_rebound/")</f>
        <v/>
      </c>
      <c r="G2686" t="inlineStr">
        <is>
          <t>2019-09-10 09:37:26</t>
        </is>
      </c>
      <c r="H2686" t="inlineStr"/>
    </row>
    <row r="2687">
      <c r="A2687" t="inlineStr">
        <is>
          <t>d2b22u</t>
        </is>
      </c>
      <c r="B2687" t="inlineStr">
        <is>
          <t>Trying to see if there is a correlation between ADD/ADHD meds and GERD</t>
        </is>
      </c>
      <c r="C2687" t="inlineStr">
        <is>
          <t>Hello Everyone,
&amp;amp;#x200B;
I have a 34 year old friend who  has suffered from GERD for the last 25 years. He was prescribed methylphenidate since he was 5 years old.  He kept on taking them until He turned 28. He just recently had a  Nissen fundoplication  surgery  to  help remedy his GERD. I am wondering if anyone in this subbreddit experienced GERD syptoms and has taken ADHD meds for a period of time. 
&amp;amp;#x200B;
Thanks for reading. 
&amp;amp;#x200B;
TLDR:  Does anyone who have GERD take or have taken ADHD meds?</t>
        </is>
      </c>
      <c r="D2687" t="n">
        <v>2</v>
      </c>
      <c r="E2687" t="n">
        <v>3</v>
      </c>
      <c r="F2687">
        <f>HYPERLINK("https://www.reddit.com/r/GERD/comments/d2b22u/trying_to_see_if_there_is_a_correlation_between/")</f>
        <v/>
      </c>
      <c r="G2687" t="inlineStr">
        <is>
          <t>2019-09-10 10:30:30</t>
        </is>
      </c>
      <c r="H2687" t="inlineStr"/>
    </row>
    <row r="2688">
      <c r="A2688" t="inlineStr">
        <is>
          <t>d2bqz5</t>
        </is>
      </c>
      <c r="B2688" t="inlineStr">
        <is>
          <t>Anyone have a big difference in symptoms sitting VS standing?</t>
        </is>
      </c>
      <c r="C2688" t="inlineStr">
        <is>
          <t>I'm much better standing that sitting even with princess posture.</t>
        </is>
      </c>
      <c r="D2688" t="n">
        <v>16</v>
      </c>
      <c r="E2688" t="n">
        <v>16</v>
      </c>
      <c r="F2688">
        <f>HYPERLINK("https://www.reddit.com/r/GERD/comments/d2bqz5/anyone_have_a_big_difference_in_symptoms_sitting/")</f>
        <v/>
      </c>
      <c r="G2688" t="inlineStr">
        <is>
          <t>2019-09-10 11:15:32</t>
        </is>
      </c>
      <c r="H2688" t="inlineStr"/>
    </row>
    <row r="2689">
      <c r="A2689" t="inlineStr">
        <is>
          <t>d2e053</t>
        </is>
      </c>
      <c r="B2689" t="inlineStr">
        <is>
          <t>Think, weak voice from LPR. Is this a normal symptom?</t>
        </is>
      </c>
      <c r="C2689" t="inlineStr">
        <is>
          <t>Feels like everything in my throat in constantly swollen, however when people have laryngitis their voice usually sounds deeper but mine is strained, thin, and easily fatigued. It’s been on and off for months but now it’s starting to become everyday</t>
        </is>
      </c>
      <c r="D2689" t="n">
        <v>7</v>
      </c>
      <c r="E2689" t="n">
        <v>21</v>
      </c>
      <c r="F2689">
        <f>HYPERLINK("https://www.reddit.com/r/GERD/comments/d2e053/think_weak_voice_from_lpr_is_this_a_normal_symptom/")</f>
        <v/>
      </c>
      <c r="G2689" t="inlineStr">
        <is>
          <t>2019-09-10 13:35:22</t>
        </is>
      </c>
      <c r="H2689" t="inlineStr"/>
    </row>
    <row r="2690">
      <c r="A2690" t="inlineStr">
        <is>
          <t>d2gs7q</t>
        </is>
      </c>
      <c r="B2690" t="inlineStr">
        <is>
          <t>Switching ppi?</t>
        </is>
      </c>
      <c r="C2690" t="inlineStr">
        <is>
          <t>Has anyone not been happy with one ppi (protonix) and switched to another like Prilosec? Could one have better results than another? If I’m on 40mg protonix is the equivalent in Prilosec otc the 20?</t>
        </is>
      </c>
      <c r="D2690" t="n">
        <v>3</v>
      </c>
      <c r="E2690" t="n">
        <v>6</v>
      </c>
      <c r="F2690">
        <f>HYPERLINK("https://www.reddit.com/r/GERD/comments/d2gs7q/switching_ppi/")</f>
        <v/>
      </c>
      <c r="G2690" t="inlineStr">
        <is>
          <t>2019-09-10 16:38:16</t>
        </is>
      </c>
      <c r="H2690" t="inlineStr"/>
    </row>
    <row r="2691">
      <c r="A2691" t="inlineStr">
        <is>
          <t>d2hc3f</t>
        </is>
      </c>
      <c r="B2691" t="inlineStr">
        <is>
          <t>Help!! Advice. Two weeks and Protonix not helping. :(</t>
        </is>
      </c>
      <c r="C2691" t="inlineStr">
        <is>
          <t>Hey folks! Just looking for some advice. About a week and a half ago I got up and ate eggs for breakfast, and something was off because the minute I drank water I was burping and felt my food regurgitate. Thought it was just indigestion so I bought some Nexium, took some pepto as well to see if it helped to no avail. I then throughout the next week and a half have experienced a “lump in throat” sensation, gurgling, esophageal discomfort, constant belching, pressure and tightness and a pain sensation in the middle of my sternum. This all exacerbates after I eat. Water even comes back up, I have bad health anxiety so that doesn’t help. I am getting an endoscopy this coming Monday, but I’m wondering if anyone has any experience with this or advice? Thank you in advance for responding ;).</t>
        </is>
      </c>
      <c r="D2691" t="n">
        <v>4</v>
      </c>
      <c r="E2691" t="n">
        <v>8</v>
      </c>
      <c r="F2691">
        <f>HYPERLINK("https://www.reddit.com/r/GERD/comments/d2hc3f/help_advice_two_weeks_and_protonix_not_helping/")</f>
        <v/>
      </c>
      <c r="G2691" t="inlineStr">
        <is>
          <t>2019-09-10 17:17:54</t>
        </is>
      </c>
      <c r="H2691" t="inlineStr"/>
    </row>
    <row r="2692">
      <c r="A2692" t="inlineStr">
        <is>
          <t>d2ifka</t>
        </is>
      </c>
      <c r="B2692" t="inlineStr">
        <is>
          <t>Any LPR success stories?</t>
        </is>
      </c>
      <c r="C2692" t="inlineStr">
        <is>
          <t>Sorry I know this is the “GERD” feed but feel like this community might be able to help with a GERDs silent cousin (LPR). 
I’m wondering how long it took you to recover from LPR? I have been eating a low acid diet + 40mg pantoprazole for the past month and am dreaming about the days where I can drink a nice cold beer.
I feel like my symptoms are getting better even though I can feel a slight annoyance in the back of my throat (may be post nasal drip? Even though I don’t have congestion or inflamed sinuses that I can tell). I do hope to wean myself off of ppis soon and focus on lifestyle changes- just wondering how long I might have to stick to the no fun diet :)
Any advice would be greatly appreciated and thank you in advance!</t>
        </is>
      </c>
      <c r="D2692" t="n">
        <v>3</v>
      </c>
      <c r="E2692" t="n">
        <v>10</v>
      </c>
      <c r="F2692">
        <f>HYPERLINK("https://www.reddit.com/r/GERD/comments/d2ifka/any_lpr_success_stories/")</f>
        <v/>
      </c>
      <c r="G2692" t="inlineStr">
        <is>
          <t>2019-09-10 18:37:44</t>
        </is>
      </c>
      <c r="H2692" t="inlineStr"/>
    </row>
    <row r="2693">
      <c r="A2693" t="inlineStr">
        <is>
          <t>d2lrcd</t>
        </is>
      </c>
      <c r="B2693" t="inlineStr">
        <is>
          <t>Sugar &amp;amp; sweeteners a major trigger</t>
        </is>
      </c>
      <c r="C2693" t="inlineStr">
        <is>
          <t>Anyone else found this to be true for you? Sugar and sweeteners make me feel bloated and nauseous and cause a fire in my throat. Soda, honey, maple syrup ect. are horrible for my GERD. I just had a Gatorade earlier and sure enough that caused a flare up.</t>
        </is>
      </c>
      <c r="D2693" t="n">
        <v>3</v>
      </c>
      <c r="E2693" t="n">
        <v>4</v>
      </c>
      <c r="F2693">
        <f>HYPERLINK("https://www.reddit.com/r/GERD/comments/d2lrcd/sugar_sweeteners_a_major_trigger/")</f>
        <v/>
      </c>
      <c r="G2693" t="inlineStr">
        <is>
          <t>2019-09-10 23:20:10</t>
        </is>
      </c>
      <c r="H2693" t="inlineStr"/>
    </row>
    <row r="2694">
      <c r="A2694" t="inlineStr">
        <is>
          <t>d2mmvl</t>
        </is>
      </c>
      <c r="B2694" t="inlineStr">
        <is>
          <t>Extreme sensitivity to taste?</t>
        </is>
      </c>
      <c r="C2694" t="inlineStr">
        <is>
          <t>I’m wondering if anyone else has experienced a heightened sensitivity to taste since developing GERD? In my case everything tastes way too sweet on my first couple of bites. I used to drink a lot of alcohol and I’d have a lot of soda as the mixer and I worry that I damaged my mouth and tongue along with my throat from all that drinking. I rarely drink soda anymore but my mouth and tongue still feel very sensitive. I get that “this is too bitter/sweet” reaction from even eating meat or plain things. Sometimes it’s painful.</t>
        </is>
      </c>
      <c r="D2694" t="n">
        <v>1</v>
      </c>
      <c r="E2694" t="n">
        <v>1</v>
      </c>
      <c r="F2694">
        <f>HYPERLINK("https://www.reddit.com/r/GERD/comments/d2mmvl/extreme_sensitivity_to_taste/")</f>
        <v/>
      </c>
      <c r="G2694" t="inlineStr">
        <is>
          <t>2019-09-11 00:57:04</t>
        </is>
      </c>
      <c r="H2694" t="inlineStr"/>
    </row>
    <row r="2695">
      <c r="A2695" t="inlineStr">
        <is>
          <t>d2myej</t>
        </is>
      </c>
      <c r="B2695" t="inlineStr">
        <is>
          <t>Those with milder GERD, does taking Zantac before a trigger food help?</t>
        </is>
      </c>
      <c r="C2695" t="inlineStr">
        <is>
          <t>Please I just want to eat pizza. I’ve been sticking to a non-trigger foods diet but I need that sweet delicious pie inside my mouth. It’s been teasing me everyday, all my uni events serve pizza and i keep seeing ads for papa johns and dominos in my mail</t>
        </is>
      </c>
      <c r="D2695" t="n">
        <v>2</v>
      </c>
      <c r="E2695" t="n">
        <v>1</v>
      </c>
      <c r="F2695">
        <f>HYPERLINK("https://www.reddit.com/r/GERD/comments/d2myej/those_with_milder_gerd_does_taking_zantac_before/")</f>
        <v/>
      </c>
      <c r="G2695" t="inlineStr">
        <is>
          <t>2019-09-11 01:35:32</t>
        </is>
      </c>
      <c r="H2695" t="inlineStr"/>
    </row>
    <row r="2696">
      <c r="A2696" t="inlineStr">
        <is>
          <t>d2ntle</t>
        </is>
      </c>
      <c r="B2696" t="inlineStr">
        <is>
          <t>I had GERD symptoms ,but if stress lead to narrow throat feeling .is this anexity or GERD triggered by stress and give this feeling?</t>
        </is>
      </c>
      <c r="C2696" t="inlineStr">
        <is>
          <t>Share your experience please</t>
        </is>
      </c>
      <c r="D2696" t="n">
        <v>6</v>
      </c>
      <c r="E2696" t="n">
        <v>10</v>
      </c>
      <c r="F2696">
        <f>HYPERLINK("https://www.reddit.com/r/GERD/comments/d2ntle/i_had_gerd_symptoms_but_if_stress_lead_to_narrow/")</f>
        <v/>
      </c>
      <c r="G2696" t="inlineStr">
        <is>
          <t>2019-09-11 03:12:40</t>
        </is>
      </c>
      <c r="H2696" t="inlineStr"/>
    </row>
    <row r="2697">
      <c r="A2697" t="inlineStr">
        <is>
          <t>d2ores</t>
        </is>
      </c>
      <c r="B2697" t="inlineStr">
        <is>
          <t>GERD leads to higher risk of hearing loss???</t>
        </is>
      </c>
      <c r="C2697" t="inlineStr">
        <is>
          <t>This is literally giving me some anxiety since I just woke up this morning with clogged ears and I couldn’t hear anything at all except for my voice and breathing. I had to like shove my thumb and my fingers into my both or my ears so I could hear some audible noise.</t>
        </is>
      </c>
      <c r="D2697" t="n">
        <v>1</v>
      </c>
      <c r="E2697" t="n">
        <v>8</v>
      </c>
      <c r="F2697">
        <f>HYPERLINK("https://www.reddit.com/r/GERD/comments/d2ores/gerd_leads_to_higher_risk_of_hearing_loss/")</f>
        <v/>
      </c>
      <c r="G2697" t="inlineStr">
        <is>
          <t>2019-09-11 04:40:25</t>
        </is>
      </c>
      <c r="H2697" t="inlineStr"/>
    </row>
    <row r="2698">
      <c r="A2698" t="inlineStr">
        <is>
          <t>d2ppxf</t>
        </is>
      </c>
      <c r="B2698" t="inlineStr">
        <is>
          <t>Burning feeling when eating</t>
        </is>
      </c>
      <c r="C2698" t="inlineStr">
        <is>
          <t>Hi guys
I’ve had this feeling on and for years. Stressful periods usually trigger it. What will happen is when i’m eating and i swallow, as my food goes down i get this burning sensation in my abdomen that is sometimes front or back. I remember being told by a doctor that it is most likely acid but i wondered if it was a common thing?
It pretty much lasts a couple of seconds before dissipating but can be felt when i swallow food, particularly bulkier types thats bread, potatoes, chunks of meat.</t>
        </is>
      </c>
      <c r="D2698" t="n">
        <v>3</v>
      </c>
      <c r="E2698" t="n">
        <v>8</v>
      </c>
      <c r="F2698">
        <f>HYPERLINK("https://www.reddit.com/r/GERD/comments/d2ppxf/burning_feeling_when_eating/")</f>
        <v/>
      </c>
      <c r="G2698" t="inlineStr">
        <is>
          <t>2019-09-11 05:55:40</t>
        </is>
      </c>
      <c r="H2698" t="inlineStr"/>
    </row>
    <row r="2699">
      <c r="A2699" t="inlineStr">
        <is>
          <t>d2pv15</t>
        </is>
      </c>
      <c r="B2699" t="inlineStr">
        <is>
          <t>Weird bubbling feeling</t>
        </is>
      </c>
      <c r="C2699" t="inlineStr">
        <is>
          <t>Does anyone get a bubbling feeling sometimes when inhaling? It only happens every now and then when I'm sitting in my car.</t>
        </is>
      </c>
      <c r="D2699" t="n">
        <v>2</v>
      </c>
      <c r="E2699" t="n">
        <v>4</v>
      </c>
      <c r="F2699">
        <f>HYPERLINK("https://www.reddit.com/r/GERD/comments/d2pv15/weird_bubbling_feeling/")</f>
        <v/>
      </c>
      <c r="G2699" t="inlineStr">
        <is>
          <t>2019-09-11 06:05:45</t>
        </is>
      </c>
      <c r="H2699" t="inlineStr"/>
    </row>
    <row r="2700">
      <c r="A2700" t="inlineStr">
        <is>
          <t>d2qlkl</t>
        </is>
      </c>
      <c r="B2700" t="inlineStr">
        <is>
          <t>Do I have LPR or not?</t>
        </is>
      </c>
      <c r="C2700" t="inlineStr">
        <is>
          <t>I've had a sore throat every day for over a year (no coughing or phlegm), really just pain especially when swallowing saliva and talking. The pain is also mainly on my left side. This has become a big problem for me as I am a teacher. I hopped from ENT to ENT as none of them knew what was wrong with me until an ENT diagnosed me with acid reflux and put me on Omeprazole 40 MG for about three months. (Btw, I don't get any heartburn) I also began my strict acid reflux diet which I followed religiously. I stopped taking the medication after three months after I felt like like my throat was getting worse.
My sore throat is still definitely here and I'm trying to rule out LPR. I know LPR comes in different shapes and sizes, but I think the main reason why I feel I **don't** have LPR is because my throat hurts more and hurts less at random. I've tried keeping a food diary but I couldn't find any correlation between the food I was eating and whether it was a trigger. I feel like if I really had LPR, I'd be more aware of my triggers. 
I should also mention that I started taking Amitriptyline 40 MG/day to treat me throat, which has been successful in lessening the pain but only to a certain extent.
Any help would be very much appreciated!</t>
        </is>
      </c>
      <c r="D2700" t="n">
        <v>3</v>
      </c>
      <c r="E2700" t="n">
        <v>6</v>
      </c>
      <c r="F2700">
        <f>HYPERLINK("https://www.reddit.com/r/GERD/comments/d2qlkl/do_i_have_lpr_or_not/")</f>
        <v/>
      </c>
      <c r="G2700" t="inlineStr">
        <is>
          <t>2019-09-11 06:58:56</t>
        </is>
      </c>
      <c r="H2700" t="inlineStr"/>
    </row>
    <row r="2701">
      <c r="A2701" t="inlineStr">
        <is>
          <t>d2s1fp</t>
        </is>
      </c>
      <c r="B2701" t="inlineStr">
        <is>
          <t>An ode to chamomile tea</t>
        </is>
      </c>
      <c r="C2701" t="inlineStr">
        <is>
          <t>It is the one beverage I can enjoy right now besides water. Everything else is an acid reflux trigger. Fortunately, I'm learning to enjoy it. Living on the wild side!</t>
        </is>
      </c>
      <c r="D2701" t="n">
        <v>28</v>
      </c>
      <c r="E2701" t="n">
        <v>13</v>
      </c>
      <c r="F2701">
        <f>HYPERLINK("https://www.reddit.com/r/GERD/comments/d2s1fp/an_ode_to_chamomile_tea/")</f>
        <v/>
      </c>
      <c r="G2701" t="inlineStr">
        <is>
          <t>2019-09-11 08:36:48</t>
        </is>
      </c>
      <c r="H2701" t="inlineStr"/>
    </row>
    <row r="2702">
      <c r="A2702" t="inlineStr">
        <is>
          <t>d2tblt</t>
        </is>
      </c>
      <c r="B2702" t="inlineStr">
        <is>
          <t>Barrett's Esophagus &amp;amp; Healing</t>
        </is>
      </c>
      <c r="C2702" t="inlineStr">
        <is>
          <t>After my first upper endoscopy in April of 2019, I was told I have small segment BE and esophagitis, Grade B.  In July of 2019 I had a second opinion.  During the time between April and July I was taking PPI's and eating very well.  The second upper endoscopy showed no BE and full healing of esophagitis.  
I was told that it is highly unlikely that the BE was misdiagnosed and it was more likely that I healed from the medication and probably better diet. 
I have silent reflux and can't determine what my triggers are.  Since July I've slowly introduced food I was eliminating back into my diet.  Things have been good.  However, I do get a hoarseness in my voice and the last 3 weeks I thought I had a tonsil infection.  After visiting an ENT, he found no infection at all and just said he saw some mild redness at the very top of the esophagus.  He is attributing the pain I am feeling in my throat (felt like tonsillitis) to reflux.
Don't lose hope for those that have BE.  Try eating as well as possible.  I was eating a ton of broccoli and salmon during the time between the first upper endo and second.  I'm not sure if that helped the BE heal or not.</t>
        </is>
      </c>
      <c r="D2702" t="n">
        <v>3</v>
      </c>
      <c r="E2702" t="n">
        <v>16</v>
      </c>
      <c r="F2702">
        <f>HYPERLINK("https://www.reddit.com/r/GERD/comments/d2tblt/barretts_esophagus_healing/")</f>
        <v/>
      </c>
      <c r="G2702" t="inlineStr">
        <is>
          <t>2019-09-11 10:01:10</t>
        </is>
      </c>
      <c r="H2702" t="inlineStr"/>
    </row>
    <row r="2703">
      <c r="A2703" t="inlineStr">
        <is>
          <t>d2um3v</t>
        </is>
      </c>
      <c r="B2703" t="inlineStr">
        <is>
          <t>Anyone else have constant burping when waking up</t>
        </is>
      </c>
      <c r="C2703" t="inlineStr">
        <is>
          <t>Does anybody else suffer from frequent belching when waking up during the night or first thing in the morning. I probably burp about 10- 15 times each morning. It is distressing to me and makes me feel embarrassed when I sleep with my significant other. I guess I might be swallowing a lot of air at night. It’s very frustrating. Taking omeprazole has helped treat my GERD, but has not taken away the constant belching. During the day I have some belching associated with movement like bending over or getting in and out of the car, and also after eating.
I’m very annoyed with my body right now. These symptoms started exactly one year ago today. I wish there was an easy solution.</t>
        </is>
      </c>
      <c r="D2703" t="n">
        <v>4</v>
      </c>
      <c r="E2703" t="n">
        <v>3</v>
      </c>
      <c r="F2703">
        <f>HYPERLINK("https://www.reddit.com/r/GERD/comments/d2um3v/anyone_else_have_constant_burping_when_waking_up/")</f>
        <v/>
      </c>
      <c r="G2703" t="inlineStr">
        <is>
          <t>2019-09-11 11:27:02</t>
        </is>
      </c>
      <c r="H2703" t="inlineStr"/>
    </row>
    <row r="2704">
      <c r="A2704" t="inlineStr">
        <is>
          <t>d2v34g</t>
        </is>
      </c>
      <c r="B2704" t="inlineStr">
        <is>
          <t>GERD</t>
        </is>
      </c>
      <c r="C2704" t="inlineStr">
        <is>
          <t>So here's my story.  I was a smoker for 8 years, quit in 2012.  During that time I had had some bouts of bad acid reflux and Prilosec fixed it right up.  After quitting, my reflux went away and everything was hunky dory.  March 2019 comes around and I became ill with an upper respiratory infection and the doctor at urgent care prescribes me a 10 day regimen of doxycycline.  Although I noticed some irritation in my esophagus from it even though I followed the directions to a T, I finished the regimen just fine on March 15th.   On March 19th my parents and I went out to eat Indian food and everything was fine.  The next day, March 20th, I ate 2 protein bars that had whey in it.  In the past, whey had made me extremely bloated and I had failed to check the label beforehand (stupid).  3 hours later intense burning started.  12 doctors, 3 different PPIs and H2 blockers, and 6 months later, I still suffer from daily heartburn.  D-limonene seems to have helped, but the issue persists.  Currently I'm taking Nexium every other day and D-limonene, magnesium, and soon to try zinc carnosine.  I had an upper endoscopy in May that was normal and have an appointment at Mayo clinic to see REAL professionals because the GI's I saw just threw PPIs at you and told you to go away.  I seriously have no idea what brought it on...maybe it was silent reflux that finally came to the surface symptom wise?  Any thoughts?  I cannot imagining spending the rest of my life dealing w this :/.</t>
        </is>
      </c>
      <c r="D2704" t="n">
        <v>2</v>
      </c>
      <c r="E2704" t="n">
        <v>2</v>
      </c>
      <c r="F2704">
        <f>HYPERLINK("https://www.reddit.com/r/GERD/comments/d2v34g/gerd/")</f>
        <v/>
      </c>
      <c r="G2704" t="inlineStr">
        <is>
          <t>2019-09-11 11:58:33</t>
        </is>
      </c>
      <c r="H2704" t="inlineStr"/>
    </row>
    <row r="2705">
      <c r="A2705" t="inlineStr">
        <is>
          <t>d2vai4</t>
        </is>
      </c>
      <c r="B2705" t="inlineStr">
        <is>
          <t>Looking for some peace of mind. Would appreciate your input</t>
        </is>
      </c>
      <c r="C2705" t="inlineStr">
        <is>
          <t>Hello all. I am a college student that was 'diagnosed' with GERD by two doctors. Neither were gastroenterologists. I have been taking medication but still feel slight pain/tightness/soreness just below/under my left pectoral and on my left side near my ribs, under my armpit. Occasionally I feel something in my back as well. 
I am posting because I am not positive if these areas of pain are consistent with GERD and I will not be able to see a gastroenterologist for at least a month. I am particularly concerned about the recent vaping epidemic, especially since I regularly smoked 'black market' THC cartridges for 2 summers. I went to a doctor today that thought my areas of pain weren't entirely consistent with GERD but also did not know how to proceed regarding my concerns about vaping. If anyone has anything to say about my symptoms I would love to hear.</t>
        </is>
      </c>
      <c r="D2705" t="n">
        <v>3</v>
      </c>
      <c r="E2705" t="n">
        <v>6</v>
      </c>
      <c r="F2705">
        <f>HYPERLINK("https://www.reddit.com/r/GERD/comments/d2vai4/looking_for_some_peace_of_mind_would_appreciate/")</f>
        <v/>
      </c>
      <c r="G2705" t="inlineStr">
        <is>
          <t>2019-09-11 12:11:59</t>
        </is>
      </c>
      <c r="H2705" t="inlineStr"/>
    </row>
    <row r="2706">
      <c r="A2706" t="inlineStr">
        <is>
          <t>d2y4w0</t>
        </is>
      </c>
      <c r="B2706" t="inlineStr">
        <is>
          <t>French Fries while taking Ranitidine ?</t>
        </is>
      </c>
      <c r="C2706" t="inlineStr">
        <is>
          <t>Anybody still eat french fries while taking 150mg of Ranitidine? Im a little scared but i’m craving french fries and have been taking it for a while now</t>
        </is>
      </c>
      <c r="D2706" t="n">
        <v>2</v>
      </c>
      <c r="E2706" t="n">
        <v>11</v>
      </c>
      <c r="F2706">
        <f>HYPERLINK("https://www.reddit.com/r/GERD/comments/d2y4w0/french_fries_while_taking_ranitidine/")</f>
        <v/>
      </c>
      <c r="G2706" t="inlineStr">
        <is>
          <t>2019-09-11 15:23:35</t>
        </is>
      </c>
      <c r="H2706" t="inlineStr"/>
    </row>
    <row r="2707">
      <c r="A2707" t="inlineStr">
        <is>
          <t>d315gz</t>
        </is>
      </c>
      <c r="B2707" t="inlineStr">
        <is>
          <t>Stop Meds for BRAVO</t>
        </is>
      </c>
      <c r="C2707" t="inlineStr">
        <is>
          <t>Hey, everyone. 
I am set to stop ranitidine 2x per day this Friday as I am getting manometry and BRAVO on Monday. I haven’t stopped taking meds for more than a day for many years. How did you manage? Thanks!</t>
        </is>
      </c>
      <c r="D2707" t="n">
        <v>1</v>
      </c>
      <c r="E2707" t="n">
        <v>6</v>
      </c>
      <c r="F2707">
        <f>HYPERLINK("https://www.reddit.com/r/GERD/comments/d315gz/stop_meds_for_bravo/")</f>
        <v/>
      </c>
      <c r="G2707" t="inlineStr">
        <is>
          <t>2019-09-11 19:13:58</t>
        </is>
      </c>
      <c r="H2707" t="inlineStr"/>
    </row>
    <row r="2708">
      <c r="A2708" t="inlineStr">
        <is>
          <t>d33sa9</t>
        </is>
      </c>
      <c r="B2708" t="inlineStr">
        <is>
          <t>what is your favorite thing to give you comfort/distracts you when you're dealing with the pain and discomfort of gerd?</t>
        </is>
      </c>
      <c r="C2708" t="inlineStr">
        <is>
          <t>I end up watching a lot of stuff on YouTube, I was watching a lot of the king of random videos</t>
        </is>
      </c>
      <c r="D2708" t="n">
        <v>5</v>
      </c>
      <c r="E2708" t="n">
        <v>9</v>
      </c>
      <c r="F2708">
        <f>HYPERLINK("https://www.reddit.com/r/GERD/comments/d33sa9/what_is_your_favorite_thing_to_give_you/")</f>
        <v/>
      </c>
      <c r="G2708" t="inlineStr">
        <is>
          <t>2019-09-11 23:20:34</t>
        </is>
      </c>
      <c r="H2708" t="inlineStr"/>
    </row>
    <row r="2709">
      <c r="A2709" t="inlineStr">
        <is>
          <t>d33y8u</t>
        </is>
      </c>
      <c r="B2709" t="inlineStr">
        <is>
          <t>is there a permanent cure for gerd?</t>
        </is>
      </c>
      <c r="C2709" t="inlineStr">
        <is>
          <t>I've been taking ppis. controlling my diet and training regularly. my reflux has gone down considerably. but it feels like I can't ever risk even a little bit of junk food or caffine or alcohol for dear of screwing over my esophagus all over again. 
anyone here been completely and permanently cured of gerd?</t>
        </is>
      </c>
      <c r="D2709" t="n">
        <v>6</v>
      </c>
      <c r="E2709" t="n">
        <v>24</v>
      </c>
      <c r="F2709">
        <f>HYPERLINK("https://www.reddit.com/r/GERD/comments/d33y8u/is_there_a_permanent_cure_for_gerd/")</f>
        <v/>
      </c>
      <c r="G2709" t="inlineStr">
        <is>
          <t>2019-09-11 23:38:40</t>
        </is>
      </c>
      <c r="H2709" t="inlineStr"/>
    </row>
    <row r="2710">
      <c r="A2710" t="inlineStr">
        <is>
          <t>d36nr5</t>
        </is>
      </c>
      <c r="B2710" t="inlineStr">
        <is>
          <t>PPI refills :T</t>
        </is>
      </c>
      <c r="C2710" t="inlineStr">
        <is>
          <t>On Sept 9th, I filled my first prescription ever for Tecta (Pantoprozole Magnesium 40mg). I've been nervous about being on them as I've read horror stories about quitting, long-term issues, etc. We didn't do an endoscopy or anything to determine my condition - she believes a month of intense stress brought about a case of gastritis (I've been dizzy, very nauseous and not eating, partly due to the nausea and partly because I'm a raging emetophobe, and only having mild symptoms of GERD intermittently). She wants to look deeper into GERD if PPIs don't help the issue and get me eating properly again, after a month of starving myself. I've been taking them for four days now and already a lot of symptoms have lifted. Nausea only presents when I'm anxious and I've been slowly eating small meals again without many issues beyond painless but annoying reflux at night. Still dealing with mild chest pains once in a while but not as bad, as long-lasting or as frequent as before.
What I didn't realize until this morning was that she had wrote the prescription to last a *year.*
I originally only wanted to be on them for a month, and if symptoms improved by then, start weening off by taking a pill every other day for the next month. 
I've never really insisted I get treated a specific way before but I feel like it would be the best way to deal with this rather than being on pills to treat what might just be mild gastritis forever. It's possible she is just padding out the prescription but I've never really had this come up before. When my husband was on Pantaloc for suspected ulcers, he was not given any refills - just enough to last him a month for 2 doses daily at 40mgs. 
Does anyone have any advice for how I can approach this with my doctor? I don't want to seem demanding or like I'm trying to treat myself and ignore her advice, I'm just scared of long-term effects and don't want to be on PPIs for longer than I have to be.
Thanks!</t>
        </is>
      </c>
      <c r="D2710" t="n">
        <v>1</v>
      </c>
      <c r="E2710" t="n">
        <v>2</v>
      </c>
      <c r="F2710">
        <f>HYPERLINK("https://www.reddit.com/r/GERD/comments/d36nr5/ppi_refills_t/")</f>
        <v/>
      </c>
      <c r="G2710" t="inlineStr">
        <is>
          <t>2019-09-12 04:43:38</t>
        </is>
      </c>
      <c r="H2710" t="inlineStr"/>
    </row>
    <row r="2711">
      <c r="A2711" t="inlineStr">
        <is>
          <t>d36r9f</t>
        </is>
      </c>
      <c r="B2711" t="inlineStr">
        <is>
          <t>Can GERD cause painful breathing and a lump sensation in the throat?</t>
        </is>
      </c>
      <c r="C2711" t="inlineStr">
        <is>
          <t>So I have pretty bad GERD that's difficult to control even with PPIs. Around March I started to notice that deep breathing would cause my airways would ache. This was on-and-off until around July after which it has become constant and all day long. In addition to this I constantly have phlegm and have to clear my throat. I also feel as though I have some sort of lump in my throat just underneath my Adam's apple, but I've had my throat checked by with a nasendoscopy by an ENT which showed no abnormalities with my throat or larynx. I've also had a couple of chest X-Rays that have showed nothing in my lungs or trachea. Could all of this somehow be caused by GERD?</t>
        </is>
      </c>
      <c r="D2711" t="n">
        <v>8</v>
      </c>
      <c r="E2711" t="n">
        <v>10</v>
      </c>
      <c r="F2711">
        <f>HYPERLINK("https://www.reddit.com/r/GERD/comments/d36r9f/can_gerd_cause_painful_breathing_and_a_lump/")</f>
        <v/>
      </c>
      <c r="G2711" t="inlineStr">
        <is>
          <t>2019-09-12 04:52:46</t>
        </is>
      </c>
      <c r="H2711" t="inlineStr"/>
    </row>
    <row r="2712">
      <c r="A2712" t="inlineStr">
        <is>
          <t>d39kgz</t>
        </is>
      </c>
      <c r="B2712" t="inlineStr">
        <is>
          <t>Do trigger foods start a reset?</t>
        </is>
      </c>
      <c r="C2712" t="inlineStr">
        <is>
          <t>I’ve been following the acid watcher diet and peanut butter/other nut butters are listed as ok. Idk why I would think they’d be ok seeing as they are high in fat content but now I’m finally realizing after weeks that it’s a trigger.
When you eat trigger foods is it essentially like you’re starting all over again? I feel dumb I didn’t catch on earlier. Thanks!</t>
        </is>
      </c>
      <c r="D2712" t="n">
        <v>1</v>
      </c>
      <c r="E2712" t="n">
        <v>7</v>
      </c>
      <c r="F2712">
        <f>HYPERLINK("https://www.reddit.com/r/GERD/comments/d39kgz/do_trigger_foods_start_a_reset/")</f>
        <v/>
      </c>
      <c r="G2712" t="inlineStr">
        <is>
          <t>2019-09-12 08:30:12</t>
        </is>
      </c>
      <c r="H2712" t="inlineStr"/>
    </row>
    <row r="2713">
      <c r="A2713" t="inlineStr">
        <is>
          <t>d3asx0</t>
        </is>
      </c>
      <c r="B2713" t="inlineStr">
        <is>
          <t>Weird symptoms coming up</t>
        </is>
      </c>
      <c r="C2713" t="inlineStr">
        <is>
          <t>starting to get this bitter taste in my mouth after eating doritos, it's like the same taste when you accidentally let a pill become liquidized in your mouth, very awful tasting. 
Haven't been diagnosed with GERD, but I'm pretty sure I have it. My symptoms are very minor, aside from this new found taste... I did have very minor upper throat pain yesterday tho</t>
        </is>
      </c>
      <c r="D2713" t="n">
        <v>0</v>
      </c>
      <c r="E2713" t="n">
        <v>2</v>
      </c>
      <c r="F2713">
        <f>HYPERLINK("https://www.reddit.com/r/GERD/comments/d3asx0/weird_symptoms_coming_up/")</f>
        <v/>
      </c>
      <c r="G2713" t="inlineStr">
        <is>
          <t>2019-09-12 09:56:07</t>
        </is>
      </c>
      <c r="H2713" t="inlineStr"/>
    </row>
    <row r="2714">
      <c r="A2714" t="inlineStr">
        <is>
          <t>d3d1fz</t>
        </is>
      </c>
      <c r="B2714" t="inlineStr">
        <is>
          <t>Is this GERD?</t>
        </is>
      </c>
      <c r="C2714" t="inlineStr">
        <is>
          <t>Hey all,
I've had GERD since about 20. Hadn't done anything about it since about back then but I recently got an endoscopy done that found mild damage to the esophagus, along with ulcer. I'm on Omeprazole about 1.5 months now. 
Have been mostly avoiding trigger foods except pizza or sauce once or twice a week and a medium iced coffee. 
Had a stress test about 6 years back, recently had an EKG... fine. Have another one scheduled just in case. I went to the cardiologist because I got random, quick chest pains. But for the last 3 days I've also had some burning. Gets worse and better but almost feels gassy, upper stomach/lower chest. Sometimes in back, sometimes mild feeling in upper arms. GERD had mostly been pressure in the chest for me, sometimes with some pain, but never such burning for so long.
Have an appointment with the cardiologist and the gastro tomorrow.
Want to know... does this sound like GERD?</t>
        </is>
      </c>
      <c r="D2714" t="n">
        <v>6</v>
      </c>
      <c r="E2714" t="n">
        <v>20</v>
      </c>
      <c r="F2714">
        <f>HYPERLINK("https://www.reddit.com/r/GERD/comments/d3d1fz/is_this_gerd/")</f>
        <v/>
      </c>
      <c r="G2714" t="inlineStr">
        <is>
          <t>2019-09-12 12:30:32</t>
        </is>
      </c>
      <c r="H2714" t="inlineStr"/>
    </row>
    <row r="2715">
      <c r="A2715" t="inlineStr">
        <is>
          <t>d3efgw</t>
        </is>
      </c>
      <c r="B2715" t="inlineStr">
        <is>
          <t>Diaphragm spasms or problems?</t>
        </is>
      </c>
      <c r="C2715" t="inlineStr">
        <is>
          <t>So I've been dealing with GERD stuff for a few months now and tried various things with varying degrees of success. I had an EGD done and everything looked great.
One thing I have noticed is that since this started, I will have violent hiccups. Sometimes they come with burps. Sometimes they are random, but I can also make them happen. For example, if I swallow air (such as to make myself belch), I will *immediately* hiccup. If I cough, even fake cough, I will *immediately* hiccup. The cough isn't even done before tbf hiccup starts! Sometimes this leads to several minutes of intense hiccuping.
I'm wondering if something is wrong with my diaphragm, because this isn't normal.
Oddly, this morning I was getting up and I had to cough, so I coughed and hiccuped several times. Suddenly, the "mystery feeling" of pressure/discomfort in my abdomen just stopped! I can still feel the heartburn, but I feel sincerely way more normal all the sudden.
I'm wondering if maybe I "jarred" something back into place?
Like I said, they did EGD and didn't find a hernia or anything, but they can miss them sometimes. Also the EGD doesn't look at my diaphragm.
Or is it possible that esophageal/stomach irritation is making my vagus nerve extra sensitive and causing the hiccups?
My EGD showed no inflammation, no problems whatsoever. But clearly something isn't right here!</t>
        </is>
      </c>
      <c r="D2715" t="n">
        <v>5</v>
      </c>
      <c r="E2715" t="n">
        <v>0</v>
      </c>
      <c r="F2715">
        <f>HYPERLINK("https://www.reddit.com/r/GERD/comments/d3efgw/diaphragm_spasms_or_problems/")</f>
        <v/>
      </c>
      <c r="G2715" t="inlineStr">
        <is>
          <t>2019-09-12 14:05:39</t>
        </is>
      </c>
      <c r="H2715" t="inlineStr"/>
    </row>
    <row r="2716">
      <c r="A2716" t="inlineStr">
        <is>
          <t>d3ggrc</t>
        </is>
      </c>
      <c r="B2716" t="inlineStr">
        <is>
          <t>Rantidine killed my appetite?</t>
        </is>
      </c>
      <c r="C2716" t="inlineStr">
        <is>
          <t>Hey guys
I'm on my 3rd day of rantidine 150mg, twice a day.
Today I had absolutely no desire to eat, went from 7am to noon with only two bread rolls,
Then I had a small lasagna at 1pm and haven't eaten anything To all until 8:45ish.
Is this a side effect of the medication?
Feels really need going all day without food and not craving it at all.</t>
        </is>
      </c>
      <c r="D2716" t="n">
        <v>0</v>
      </c>
      <c r="E2716" t="n">
        <v>13</v>
      </c>
      <c r="F2716">
        <f>HYPERLINK("https://www.reddit.com/r/GERD/comments/d3ggrc/rantidine_killed_my_appetite/")</f>
        <v/>
      </c>
      <c r="G2716" t="inlineStr">
        <is>
          <t>2019-09-12 16:35:07</t>
        </is>
      </c>
      <c r="H2716" t="inlineStr"/>
    </row>
    <row r="2717">
      <c r="A2717" t="inlineStr">
        <is>
          <t>d3ihof</t>
        </is>
      </c>
      <c r="B2717" t="inlineStr">
        <is>
          <t>I've had GERD since a Teen (I'm 32), but it's getting to where I don't even want to eat.</t>
        </is>
      </c>
      <c r="C2717" t="inlineStr">
        <is>
          <t>I have seen doctor after doctor, and they all have told me it's just a product of my GERD. I puke all the time. If I don't follow the GERD diet strictly I puke. I've had weeks where I throw up for three days at a time. My heartburn keeps me from sleeping. I'm overweight, like a lot, and I don't understand why, considering I run everyday and basically eat nothing because eating hurts. Nothing about eating is fun. I constantly have to worry if my stomach is going to hurt. Everything about eating is unpleasant. Does anyone else experience this? The constant fear that you will throw up, or that eating will mess with your stomach to the point that eating isn't fun? It's awful.</t>
        </is>
      </c>
      <c r="D2717" t="n">
        <v>11</v>
      </c>
      <c r="E2717" t="n">
        <v>36</v>
      </c>
      <c r="F2717">
        <f>HYPERLINK("https://www.reddit.com/r/GERD/comments/d3ihof/ive_had_gerd_since_a_teen_im_32_but_its_getting/")</f>
        <v/>
      </c>
      <c r="G2717" t="inlineStr">
        <is>
          <t>2019-09-12 19:19:07</t>
        </is>
      </c>
      <c r="H2717" t="inlineStr"/>
    </row>
    <row r="2718">
      <c r="A2718" t="inlineStr">
        <is>
          <t>d3ihvw</t>
        </is>
      </c>
      <c r="B2718" t="inlineStr">
        <is>
          <t>If low stomach acid is the real cause of GERD why do acidic foods trigger it?</t>
        </is>
      </c>
      <c r="C2718" t="inlineStr">
        <is>
          <t>Things like tomato sauce and coffee are pretty major triggers for most people. How do the people advising more acid in the form of Betaine HCL or Apple Cider Vinegar as a cure explain this?</t>
        </is>
      </c>
      <c r="D2718" t="n">
        <v>2</v>
      </c>
      <c r="E2718" t="n">
        <v>5</v>
      </c>
      <c r="F2718">
        <f>HYPERLINK("https://www.reddit.com/r/GERD/comments/d3ihvw/if_low_stomach_acid_is_the_real_cause_of_gerd_why/")</f>
        <v/>
      </c>
      <c r="G2718" t="inlineStr">
        <is>
          <t>2019-09-12 19:19:40</t>
        </is>
      </c>
      <c r="H2718" t="inlineStr"/>
    </row>
    <row r="2719">
      <c r="A2719" t="inlineStr">
        <is>
          <t>d3jchn</t>
        </is>
      </c>
      <c r="B2719" t="inlineStr">
        <is>
          <t>At my absolute wit's end with LPR. Burp all day</t>
        </is>
      </c>
      <c r="C2719" t="inlineStr">
        <is>
          <t>When I was 19 I started coughing up mucus and clearing my throat regularly. I'm 22 now. My main symptom is a constant post-nasal drip that I have to swallow, and a lump in my throat around my uvula. My throat can sometimes dry out too, and be a bit sore. I have no voice hoarseness or acidic taste in my mouth or throat burning. I have no heartburn ever.
What I do have is burping, all day. I can wake up, get in my shower, and just start burping. I'll burp on the way to work, not having eaten anything. I'll eat some chicken, broccoli, and drink water for lunch. Burp for the next few hours. They aren't loud burps, often silent, it's more like my LES is just failing to function at the slightest bit of pressure, and some air gets released. 
I went to an ENT when I was 20, had him stick a camera down my nose and told me it's probably acid reflux. He gave me once daily Omeprazole (20mg). That did nothing. A year later, same symptoms, I decided to go to gastroenterologist and he gave me an endoscopy. It showed mild signs of gastritis and mild reactive changes from acid reflux. He gave me more PPIs that didn't help. I went to an allergist and had him test me for everything. I am only allergic to dust mites, as most people are. Still, I went on a slew of allergy medications just to be sure it wasn't allergies that cause my symptoms. Meds did nothing.
I'm normal weight (5'9", 145 pounds), exercise regularly. I never drink alcohol, coffee, or soda. My current diet is this: Chicken, salmon, watermelon, banana, broccoli, asparagus, and water. Nothing else enters my lips. I am aware of the common GERD triggers like tomatoes, fried foods, mint, chocolate, etc. and have done my best to avoid them for 2 years. I don't eat within 3 hours of sleeping.
**Things I have tried, and have given me partial help, but still leave me with daily postnasal drip:**
- Low acid diet (Jamie Koufman) reduced my symptoms by about 20%
- Gaviscon Advance (Liquid from UK) after every meal (the most effective thing I have ever used, pretty much the only medication that has ever worked for me)
- Low dose of Amitriptyline/Elavil, helped me for about 5 days then never worked again. 
- Being in a very high humidity environment?? For a couple weeks at the office, our A/C broke in my room and the humidity was very, very, high. High enough the mold soon would have grown. I was sweating bullets, but I noted that my throat felt fine.
**Things I have tried that have not helped at all:**
- Inclining the head of my bed 6 inches
- Chewing food thoroughly
- Ketogenic diet
- Fast tract diet
- Low fodmap diet
- Low fat diet
- High protein diet
- High fiber diet
- Low fiber diet
- Supplements, including melatonin, D-limonene, vitamin D, fish oil
- Chewing mastic gum
- Probiotics
- Netti pot sinus clears
- Flonase
- Atrivent
- Claritin
- Mucinex
- Zantac
- Apple cider vinegar
- Lots of other stuff I'm probably forgetting
Don't even know what anyone can say that I haven't looked up before. Do y'all think I would be a good candidate for Nissen? I feel like the thing that is wrong in my case is just extremely weak esophageal sphincter, which is so weak that none of the typical GERD solutions help at all. I am concerned if I go back to another doctor they're just going to prescribe more PPIs that do nothing for LPR</t>
        </is>
      </c>
      <c r="D2719" t="n">
        <v>11</v>
      </c>
      <c r="E2719" t="n">
        <v>15</v>
      </c>
      <c r="F2719">
        <f>HYPERLINK("https://www.reddit.com/r/GERD/comments/d3jchn/at_my_absolute_wits_end_with_lpr_burp_all_day/")</f>
        <v/>
      </c>
      <c r="G2719" t="inlineStr">
        <is>
          <t>2019-09-12 20:33:26</t>
        </is>
      </c>
      <c r="H2719" t="inlineStr"/>
    </row>
    <row r="2720">
      <c r="A2720" t="inlineStr">
        <is>
          <t>d3jh3w</t>
        </is>
      </c>
      <c r="B2720" t="inlineStr">
        <is>
          <t>Anyone had try skipping dinner?</t>
        </is>
      </c>
      <c r="C2720" t="inlineStr">
        <is>
          <t>Figure this should help a lot before bed.  Thinking about eating a big breakfast instead.  So has anyone tried this?</t>
        </is>
      </c>
      <c r="D2720" t="n">
        <v>6</v>
      </c>
      <c r="E2720" t="n">
        <v>8</v>
      </c>
      <c r="F2720">
        <f>HYPERLINK("https://www.reddit.com/r/GERD/comments/d3jh3w/anyone_had_try_skipping_dinner/")</f>
        <v/>
      </c>
      <c r="G2720" t="inlineStr">
        <is>
          <t>2019-09-12 20:45:00</t>
        </is>
      </c>
      <c r="H2720" t="inlineStr"/>
    </row>
    <row r="2721">
      <c r="A2721" t="inlineStr">
        <is>
          <t>d3mn6x</t>
        </is>
      </c>
      <c r="B2721" t="inlineStr">
        <is>
          <t>3 AM.... and I’m awake</t>
        </is>
      </c>
      <c r="C2721" t="inlineStr">
        <is>
          <t>So, lately my GERD has been coming for no reason at all.... (did it ever really have a reason to begin with?) It doesn’t matter if I eat for not, the acid/bile/and what not will still come up and cause me sudden and immediate grief. This is my fifth full blown attack this week, and I don’t know what is triggering them. It’s almost as if it’s become a nightly routine now; I have the breathing problems, constant cough, gurgling (if that’s what you can call it) in my throat, wheezing, and vomiting of bile and acid. 
The medications don’t really help much anymore... I throw them up as well. (along with the acid and bile) 
What does it mean when the attacks are so frequent, and severe? Does it mean that whatever is causing this, is getting worse? Has anyone else had their attacks become a nightly occurrence, regardless if they’ve eaten or not?
Also, it seems that the back of my throat, (and further down I assume) is now bright red, as if I have a throat infection... yet I have absolutely no symptoms of an infection, could my nightly GERD attacks and this bright red throat be connected? I don’t get to see my GI until November, and they don’t have any bookings for earlier than that... so talking to my GI about it is out of the question for right now...
GERD is painful, annoying, vicious, and without probable cause... I’m tired, and I’m tired of being in pain because my damn stomach can’t figure out what it wants to do and how to go about it’s own damn business....
Sorry for the rant, it’s way too early on the morning for me to be up</t>
        </is>
      </c>
      <c r="D2721" t="n">
        <v>2</v>
      </c>
      <c r="E2721" t="n">
        <v>29</v>
      </c>
      <c r="F2721">
        <f>HYPERLINK("https://www.reddit.com/r/GERD/comments/d3mn6x/3_am_and_im_awake/")</f>
        <v/>
      </c>
      <c r="G2721" t="inlineStr">
        <is>
          <t>2019-09-13 02:20:59</t>
        </is>
      </c>
      <c r="H2721" t="inlineStr"/>
    </row>
    <row r="2722">
      <c r="A2722" t="inlineStr">
        <is>
          <t>d3oapm</t>
        </is>
      </c>
      <c r="B2722" t="inlineStr">
        <is>
          <t>How to heal throat after a particularly bad reflux?</t>
        </is>
      </c>
      <c r="C2722" t="inlineStr">
        <is>
          <t>Is there anything I can eat to assist in healing? My throat is burnt as well as one of my tonsils, my mouth has ulcers, and even my ear hurts. I actually had heartburn this time which I never get. Usually it's just reflux. I'm drinking baking soda water to neutralize the acid. Is there anything I can take or eat to help heal the tissue?</t>
        </is>
      </c>
      <c r="D2722" t="n">
        <v>7</v>
      </c>
      <c r="E2722" t="n">
        <v>25</v>
      </c>
      <c r="F2722">
        <f>HYPERLINK("https://www.reddit.com/r/GERD/comments/d3oapm/how_to_heal_throat_after_a_particularly_bad_reflux/")</f>
        <v/>
      </c>
      <c r="G2722" t="inlineStr">
        <is>
          <t>2019-09-13 05:09:03</t>
        </is>
      </c>
      <c r="H2722" t="inlineStr"/>
    </row>
    <row r="2723">
      <c r="A2723" t="inlineStr">
        <is>
          <t>d3orcz</t>
        </is>
      </c>
      <c r="B2723" t="inlineStr">
        <is>
          <t>Food log app?</t>
        </is>
      </c>
      <c r="C2723" t="inlineStr">
        <is>
          <t>Has anyone discovered a good food log app that allows us to log everything and also rate the reflux we have after as a tool to learn what’s causing this and to engineer a meal plan specific for you and your own triggers?</t>
        </is>
      </c>
      <c r="D2723" t="n">
        <v>8</v>
      </c>
      <c r="E2723" t="n">
        <v>2</v>
      </c>
      <c r="F2723">
        <f>HYPERLINK("https://www.reddit.com/r/GERD/comments/d3orcz/food_log_app/")</f>
        <v/>
      </c>
      <c r="G2723" t="inlineStr">
        <is>
          <t>2019-09-13 05:48:04</t>
        </is>
      </c>
      <c r="H2723" t="inlineStr"/>
    </row>
    <row r="2724">
      <c r="A2724" t="inlineStr">
        <is>
          <t>d3ro1b</t>
        </is>
      </c>
      <c r="B2724" t="inlineStr">
        <is>
          <t>This shit is ruining my Fucking life help please any success with protonix?</t>
        </is>
      </c>
      <c r="C2724" t="inlineStr">
        <is>
          <t>So I’m not formally diagnosed but the doctors think it’s GERD 
My anxiety is through the roof though no matter what we do (me and my doctor team) anxiety reduction processes aren’t working like therapy meditation mindfulness etc were working on getting into an ssri 
I was given protonix haven’t started it yet any success stories ?
It doesn’t seem to matter what I eat I get a “can’t sallow” feeling that’s foamy or fuzzy and won’t “go down” 
I get chest pains that hurt and are fucking scary followed by severe belching 
No heartburn no acid feeling or burning 
It’s making me so anxious it’s destroying my life I can barely eat or sleep 
I’ll take any suggestion honestly 
I eat a Whole Foods vegan diet perfect Bloodwork and full vitamin panel 
I’ve had an ekg all normal 
I exercise I’m a healthy weight I don’t smoke I don’t drink 
But it won’t go away infact it seems to be getting worse
Tums sorta help</t>
        </is>
      </c>
      <c r="D2724" t="n">
        <v>6</v>
      </c>
      <c r="E2724" t="n">
        <v>23</v>
      </c>
      <c r="F2724">
        <f>HYPERLINK("https://www.reddit.com/r/GERD/comments/d3ro1b/this_shit_is_ruining_my_fucking_life_help_please/")</f>
        <v/>
      </c>
      <c r="G2724" t="inlineStr">
        <is>
          <t>2019-09-13 09:22:27</t>
        </is>
      </c>
      <c r="H2724" t="inlineStr"/>
    </row>
    <row r="2725">
      <c r="A2725" t="inlineStr">
        <is>
          <t>d3sfb4</t>
        </is>
      </c>
      <c r="B2725" t="inlineStr">
        <is>
          <t>Constant stomach pain</t>
        </is>
      </c>
      <c r="C2725" t="inlineStr">
        <is>
          <t>In August 2018 I had constant stomach pain for 5 days straight, first thing in the morning last thing at night I had stomach pain. It was in the centre/upper part of abdomen. I tried pepto bismol, ginger tea etc nothing worked.
Fast forward 8 months later to May 2019 the same thing happened again. Both times I had only one symptom. No vomiting, no diarrhea etc. On the 5th day I took Gaviscon and it started to go away, however I'm not sure if that's because of the Gaviscon or because it was going away anyway.
Yesterday I felt the same pain again, its less intense this time since I've taken Gaviscon again. On the last two occasions the pain was 7/10, this time it's 3/10. Last night I took Gaviscon before bed and it didn't seem to work. The pain was 7/10 and I was woken up many times by it.
I get heartburn frequently, maybe 2-4 times a week, and stomach nausea every couple of days. But this 5 day long pain is horrible in comparison. 
Has anyone went through anything similar? I believe it's probably GERD. Been to the doctor who just says it's acid related, but 5 day long constant pain sounds very unusual.</t>
        </is>
      </c>
      <c r="D2725" t="n">
        <v>3</v>
      </c>
      <c r="E2725" t="n">
        <v>5</v>
      </c>
      <c r="F2725">
        <f>HYPERLINK("https://www.reddit.com/r/GERD/comments/d3sfb4/constant_stomach_pain/")</f>
        <v/>
      </c>
      <c r="G2725" t="inlineStr">
        <is>
          <t>2019-09-13 10:15:14</t>
        </is>
      </c>
      <c r="H2725" t="inlineStr"/>
    </row>
    <row r="2726">
      <c r="A2726" t="inlineStr">
        <is>
          <t>d3t7xn</t>
        </is>
      </c>
      <c r="B2726" t="inlineStr">
        <is>
          <t>How long after eating so you feel symptoms?</t>
        </is>
      </c>
      <c r="C2726" t="inlineStr">
        <is>
          <t>I’m curious what everyone else experiences - my symptoms come on several hours (even 4-5) after eating.</t>
        </is>
      </c>
      <c r="D2726" t="n">
        <v>2</v>
      </c>
      <c r="E2726" t="n">
        <v>5</v>
      </c>
      <c r="F2726">
        <f>HYPERLINK("https://www.reddit.com/r/GERD/comments/d3t7xn/how_long_after_eating_so_you_feel_symptoms/")</f>
        <v/>
      </c>
      <c r="G2726" t="inlineStr">
        <is>
          <t>2019-09-13 11:12:08</t>
        </is>
      </c>
      <c r="H2726" t="inlineStr"/>
    </row>
    <row r="2727">
      <c r="A2727" t="inlineStr">
        <is>
          <t>d3ua2j</t>
        </is>
      </c>
      <c r="B2727" t="inlineStr">
        <is>
          <t>GERD back with a vengeance!</t>
        </is>
      </c>
      <c r="C2727" t="inlineStr">
        <is>
          <t>I had a bad 3 month episode of gerd last year but got it under control by not eating anything processed and limiting my coffee intake but work and life has become hectic lately and my diet hasnt been perfect! The other night I ate a huge meal of mostly veggies and quinoa (I'm vegetarian) and almost immediately after it felt like there was something stuck at the back of my throat so I looked and half the back of my tongue is raised and swollen and the next day I've had terrible gerd feeling like something is stuck in throat, stabbing stomach pains the whole list of symptoms but now with a swollen half of the back of my tongue, it's super uncomfortable and freaking me the EFF out! I went to the doctor and he says it looks like I scratched it but all I friggin ate was zucchini and chickpeas which wouldnt scratch my throat! Has anyone else dealt with a similar symptom! This has been going on for 2.5 days now! Please help before I admit myself to the hospital hahaha</t>
        </is>
      </c>
      <c r="D2727" t="n">
        <v>2</v>
      </c>
      <c r="E2727" t="n">
        <v>1</v>
      </c>
      <c r="F2727">
        <f>HYPERLINK("https://www.reddit.com/r/GERD/comments/d3ua2j/gerd_back_with_a_vengeance/")</f>
        <v/>
      </c>
      <c r="G2727" t="inlineStr">
        <is>
          <t>2019-09-13 12:28:57</t>
        </is>
      </c>
      <c r="H2727" t="inlineStr"/>
    </row>
    <row r="2728">
      <c r="A2728" t="inlineStr">
        <is>
          <t>d3va7c</t>
        </is>
      </c>
      <c r="B2728" t="inlineStr">
        <is>
          <t>Is it GERD?</t>
        </is>
      </c>
      <c r="C2728" t="inlineStr">
        <is>
          <t>I've seen several doctors over the years to try and figure out what's been going on with me since I was a teenager and even the gastroenterologist didn't have any info for me. An endoscopy and biopsy didn't turn anything up and the only thing I got from the ultrasound was the nurse saying I seem to have gal stones "for days" but I've never felt any pain from that. Symptom wise, it just seems like everything I eat causes stomach pain, heartburn, a bit of regurgitation (sometimes just liquid and sometimes more, but never so severe that I would call it throwing up), at least a few eventful occasions of bile getting into my nose, and just general discomfort with food all the time. Since I switched antidepressants, I really notice the symptoms and the issues with using the bathroom have gotten worse. I'm taking Zantac two or three times a day and that helps a little but I know I have to change how I eat; I definitely the tomato sensitivity and I'm fairly quickly losing the ability to ingest caffine, among other things. Like I said, this has been making me sick since I was young but I was able to ignore it (the symptoms were the same back then, I just didn't care). A few people have said everything I describe sounds like GERD. Can anybody here relate with these symptoms? Do I need more extensive testing? And what do I eat now if almost everything is trying to come back up? Thanks for any advice! I'm happy to live on nothing but rice and beans for the rest of my life if it means I could stop being so sick all the damn time.</t>
        </is>
      </c>
      <c r="D2728" t="n">
        <v>2</v>
      </c>
      <c r="E2728" t="n">
        <v>0</v>
      </c>
      <c r="F2728">
        <f>HYPERLINK("https://www.reddit.com/r/GERD/comments/d3va7c/is_it_gerd/")</f>
        <v/>
      </c>
      <c r="G2728" t="inlineStr">
        <is>
          <t>2019-09-13 13:41:20</t>
        </is>
      </c>
      <c r="H2728" t="inlineStr"/>
    </row>
    <row r="2729">
      <c r="A2729" t="inlineStr">
        <is>
          <t>d3vcqx</t>
        </is>
      </c>
      <c r="B2729" t="inlineStr">
        <is>
          <t>Some things I've found in my own GERD research to help...maybe they can help you.</t>
        </is>
      </c>
      <c r="C2729" t="inlineStr">
        <is>
          <t>DGL Licorice
[Orange Burps](https://orangeburps.com)
[Digestzymes](https://www.amazon.com/Designs-Digestzymes-Digestive-Enzymes-Capsules/dp/B001WU3VV2/ref=sr_1_1_sspa?gclid=Cj0KCQjw_OzrBRDmARIsAAIdQ_Jww6CNOA6Fu8qa4FWs2XwrLz7jAUWDqPm0p3BAbiZ5zfd7oihSnxMaAgWwEALw_wcB&amp;amp;hvadid=177786452818&amp;amp;hvdev=c&amp;amp;hvlocphy=9019546&amp;amp;hvnetw=g&amp;amp;hvpos=1t1&amp;amp;hvqmt=e&amp;amp;hvrand=8564838595064716309&amp;amp;hvtargid=kwd-36219760361&amp;amp;keywords=digestzymes+by+designs+for+health&amp;amp;qid=1568407570&amp;amp;sr=8-1-spons&amp;amp;psc=1&amp;amp;spLa=ZW5jcnlwdGVkUXVhbGlmaWVyPUExVVVEN1lIVzhQS0tZJmVuY3J5cHRlZElkPUEwNTU2NDE3MTFEMVQxVlk1WUlFMyZlbmNyeXB0ZWRBZElkPUEwMTM1MzI4MjRJWkFRMUFQTUJMSCZ3aWRnZXROYW1lPXNwX2F0ZiZhY3Rpb249Y2xpY2tSZWRpcmVjdCZkb05vdExvZ0NsaWNrPXRydWU=)
Nexium
Apple cider vinegar - it unfortunately burns my throat :/
Zinc Carnosine (starting soon)
Magnesium supplements</t>
        </is>
      </c>
      <c r="D2729" t="n">
        <v>1</v>
      </c>
      <c r="E2729" t="n">
        <v>17</v>
      </c>
      <c r="F2729">
        <f>HYPERLINK("https://www.reddit.com/r/GERD/comments/d3vcqx/some_things_ive_found_in_my_own_gerd_research_to/")</f>
        <v/>
      </c>
      <c r="G2729" t="inlineStr">
        <is>
          <t>2019-09-13 13:46:38</t>
        </is>
      </c>
      <c r="H2729" t="inlineStr"/>
    </row>
    <row r="2730">
      <c r="A2730" t="inlineStr">
        <is>
          <t>d3vhy8</t>
        </is>
      </c>
      <c r="B2730" t="inlineStr">
        <is>
          <t>All the symptoms but test results come up negative and diet/Omeprazole has no effect</t>
        </is>
      </c>
      <c r="C2730" t="inlineStr">
        <is>
          <t>About 7 months ago I started feeling short of breath. It happened almost overnight. I tried a new inhaler (asthma) to no success. Doctor suggests anxiety and puts me on Xanax with no success. Tried new allergy meds and no difference. Doctor suggests LPR. I go on 20 mg of Omeprazole, change my diet, and get an XRay of my esophagus. No hiatal hernia. No evidence of gastroesophageal reflux. Symptoms get worse and I start developing a raw throat feeling and a lump in my throat/swelling in my throat and under my jaw. Doctor ups me to 40 mg. 2 months of 40 mg and reflux-friendly diet and symptoms show no sign of improvement and my doctor has no clue what to do. I've been driving myself insane over this. Any help or direction would be appreciated!</t>
        </is>
      </c>
      <c r="D2730" t="n">
        <v>7</v>
      </c>
      <c r="E2730" t="n">
        <v>7</v>
      </c>
      <c r="F2730">
        <f>HYPERLINK("https://www.reddit.com/r/GERD/comments/d3vhy8/all_the_symptoms_but_test_results_come_up/")</f>
        <v/>
      </c>
      <c r="G2730" t="inlineStr">
        <is>
          <t>2019-09-13 13:57:24</t>
        </is>
      </c>
      <c r="H2730" t="inlineStr"/>
    </row>
    <row r="2731">
      <c r="A2731" t="inlineStr">
        <is>
          <t>d3vuou</t>
        </is>
      </c>
      <c r="B2731" t="inlineStr">
        <is>
          <t>GERD/LPR, difficulty losing weight/getting in shape and doctors are dismissive</t>
        </is>
      </c>
      <c r="C2731" t="inlineStr">
        <is>
          <t>Hi, everyone. Thought bullet-pointing might make this an easier read. Just wondering if anyone had a story similar to mind and if you've found any solutions.
* Around summer 2016, I began experiencing spasms in my abdomen just above my stomach. I thought it was heart rhythm related, but tests showed up negative. 
* I began to suffer from GERD very badly. My diet had been poor--I'd gained maybe 15 lbs, I'd been drinking coffee and alcohol and I'm sure my food choices weren't great either. All issues appeared to be upper digestive--reflux, burps, etc. I also noticed a correlation between those abdominal spasms and pressure on abdomen (climbing out of bed, bending over) and caffeine.
* Treating with Zantac and Gaviscon wasn't enough. I cycled through a number of doctors who were infuriatingly dismissive and blamed everything on anxiety. I am an anxious twit and I'll admit that, but I've had anxiety my whole life and these symptoms were new. One doctor even told me to go for walks in the sunlight and read *The Power of Positive Thinking.* Gee.
* One doctor put me on 20mg omeprazole daily and also thought I might have asthma so he gave me an inhaler. He felt for a hernia but apparently did not detect anything as he never brought it up again.
* A year and a half later and I'm worried about the amount of time I've been on omeprazole. I've noticed side effects, i.e. hair thinning/changing in texture/falling out and I'm worried about the stuff I can't see. I begin tapering it off. I realize the "asthma" might be an effect of LPR.
* Currently, I've been off omeprazole for over a week--maybe two by now. The rebound hasn't been *painful,* but it has been uncomfortable. Several days I've had water brash (excessive saliva). I feel extremely congested when I exercise, and I'm sure the movement puts my guts in disarray where GERD/LPR are concerned (though I know allergy season is bad so it's hard to separate what's allergies from what's LPR).
Here's the thing: I've totally changed my diet and am only eating clean now, and much less than I used to. I've been getting more daily exercise than I ever have in my life. But my abdomen is still "puffy," I can't seem to lose any weight and it's apparent when I wake up every morning that I've had reflux during the night despite sleeping elevated. 
What more can I do? Is this just omeprazole withdrawl? And if not, how can I get a doctor to actually figure out the *source* of the problem instead of just attempting to mask it or dismissing it all as anxiety? Is there anything specific I should demand (a test for H. pylori, etc.)? 
Sorry for the long post. But wanted to see if anyone else had successfully navigated this.</t>
        </is>
      </c>
      <c r="D2731" t="n">
        <v>5</v>
      </c>
      <c r="E2731" t="n">
        <v>3</v>
      </c>
      <c r="F2731">
        <f>HYPERLINK("https://www.reddit.com/r/GERD/comments/d3vuou/gerdlpr_difficulty_losing_weightgetting_in_shape/")</f>
        <v/>
      </c>
      <c r="G2731" t="inlineStr">
        <is>
          <t>2019-09-13 14:24:01</t>
        </is>
      </c>
      <c r="H2731" t="inlineStr"/>
    </row>
    <row r="2732">
      <c r="A2732" t="inlineStr">
        <is>
          <t>d3wbd8</t>
        </is>
      </c>
      <c r="B2732" t="inlineStr">
        <is>
          <t>Help! Gerd/ lpr/ hiatal hernia?</t>
        </is>
      </c>
      <c r="C2732" t="inlineStr">
        <is>
          <t>Hey folks! Just looking for some advice. About a week and a half ago I got up and ate eggs for breakfast, and something was off because the minute I drank water I was burping and felt my food regurgitate. Thought it was just indigestion so I bought some Nexium, took some pepto as well to see if it helped to no avail. I then throughout the next week and a half have experienced a “lump in throat” sensation, gurgling, no real heartburn, esophageal discomfort, constant belching, pressure and tightness and a pain sensation in the middle of my sternum. This all exacerbates after I eat. Water even comes back up, I have bad health anxiety so that doesn’t help. I am getting an endoscopy this coming Monday, but I’m wondering if anyone has any experience with this or advice? Thank you in advance for responding ;).</t>
        </is>
      </c>
      <c r="D2732" t="n">
        <v>4</v>
      </c>
      <c r="E2732" t="n">
        <v>4</v>
      </c>
      <c r="F2732">
        <f>HYPERLINK("https://www.reddit.com/r/GERD/comments/d3wbd8/help_gerd_lpr_hiatal_hernia/")</f>
        <v/>
      </c>
      <c r="G2732" t="inlineStr">
        <is>
          <t>2019-09-13 14:59:58</t>
        </is>
      </c>
      <c r="H2732" t="inlineStr"/>
    </row>
    <row r="2733">
      <c r="A2733" t="inlineStr">
        <is>
          <t>d3wgrr</t>
        </is>
      </c>
      <c r="B2733" t="inlineStr">
        <is>
          <t>Thoughts?</t>
        </is>
      </c>
      <c r="C2733" t="inlineStr">
        <is>
          <t>https://www.nbcnews.com/health/health-news/low-levels-contaminant-found-popular-heartburn-pills-n1054151</t>
        </is>
      </c>
      <c r="D2733" t="n">
        <v>1</v>
      </c>
      <c r="E2733" t="n">
        <v>0</v>
      </c>
      <c r="F2733">
        <f>HYPERLINK("https://www.reddit.com/r/GERD/comments/d3wgrr/thoughts/")</f>
        <v/>
      </c>
      <c r="G2733" t="inlineStr">
        <is>
          <t>2019-09-13 15:11:23</t>
        </is>
      </c>
      <c r="H2733" t="inlineStr"/>
    </row>
    <row r="2734">
      <c r="A2734" t="inlineStr">
        <is>
          <t>d3wmdl</t>
        </is>
      </c>
      <c r="B2734" t="inlineStr">
        <is>
          <t>Zantac, Ranitidine - Cancer</t>
        </is>
      </c>
      <c r="C2734" t="inlineStr">
        <is>
          <t>https://www.nbcnews.com/health/health-news/low-levels-contaminant-found-popular-heartburn-pills-n1054151
Thoughts?</t>
        </is>
      </c>
      <c r="D2734" t="n">
        <v>6</v>
      </c>
      <c r="E2734" t="n">
        <v>30</v>
      </c>
      <c r="F2734">
        <f>HYPERLINK("https://www.reddit.com/r/GERD/comments/d3wmdl/zantac_ranitidine_cancer/")</f>
        <v/>
      </c>
      <c r="G2734" t="inlineStr">
        <is>
          <t>2019-09-13 15:23:09</t>
        </is>
      </c>
      <c r="H2734" t="inlineStr"/>
    </row>
    <row r="2735">
      <c r="A2735" t="inlineStr">
        <is>
          <t>d3xiw8</t>
        </is>
      </c>
      <c r="B2735" t="inlineStr">
        <is>
          <t>Reflux pain or injury pain?</t>
        </is>
      </c>
      <c r="C2735" t="inlineStr">
        <is>
          <t>I have reflux  but I have also broken my sternum (healed now) torn ligaments in both shoulders, and have a rib popped out of place.  I get pain in my chest area but I can't tell if it is reflux or pain from those injuries that is radiating in my chest.  The pain gets worse if I twist my body, lean forward or backwards, or changes when I turn over lying down.  It is generally a fairly sharp pain.  Would reflux react immediately to movement changes?</t>
        </is>
      </c>
      <c r="D2735" t="n">
        <v>6</v>
      </c>
      <c r="E2735" t="n">
        <v>1</v>
      </c>
      <c r="F2735">
        <f>HYPERLINK("https://www.reddit.com/r/GERD/comments/d3xiw8/reflux_pain_or_injury_pain/")</f>
        <v/>
      </c>
      <c r="G2735" t="inlineStr">
        <is>
          <t>2019-09-13 16:34:56</t>
        </is>
      </c>
      <c r="H2735" t="inlineStr"/>
    </row>
    <row r="2736">
      <c r="A2736" t="inlineStr">
        <is>
          <t>d3ye1v</t>
        </is>
      </c>
      <c r="B2736" t="inlineStr">
        <is>
          <t>LPR - Throat soreness/pain spikes at night?</t>
        </is>
      </c>
      <c r="C2736" t="inlineStr">
        <is>
          <t>I'm trying to understand why my sore throat/slight pain increases in the late evening.  Don't understand why...</t>
        </is>
      </c>
      <c r="D2736" t="n">
        <v>3</v>
      </c>
      <c r="E2736" t="n">
        <v>5</v>
      </c>
      <c r="F2736">
        <f>HYPERLINK("https://www.reddit.com/r/GERD/comments/d3ye1v/lpr_throat_sorenesspain_spikes_at_night/")</f>
        <v/>
      </c>
      <c r="G2736" t="inlineStr">
        <is>
          <t>2019-09-13 17:49:49</t>
        </is>
      </c>
      <c r="H2736" t="inlineStr"/>
    </row>
    <row r="2737">
      <c r="A2737" t="inlineStr">
        <is>
          <t>d3yu2l</t>
        </is>
      </c>
      <c r="B2737" t="inlineStr">
        <is>
          <t>Omeprazole for LPR/GERD?</t>
        </is>
      </c>
      <c r="C2737" t="inlineStr">
        <is>
          <t>Anyone had success with Omeprazole for LPR? Idk if I have LPR or GERD. I told my ent about a one time incident that refluxed into my mouth and had sore throat, post nasal drip and globus from then on until my appointment. She did a quick scope and said it looked a little irritated, possibly from the reflux. Wrote me a prescription for 300mg ranitidine and sent me in my way. The prescription sheet had Extraesophageal Reflux written in it for reasoning of my prescription. That’s why I thought I had LPR. She never actually told me. I thought the ranitidine was making me worse but I was still eating and drinking very acidic things, not knowing it. 
Now my symptoms are a dry, scratchy throat. Sometimes sour taste in back of my mouth. Hawking phlegm up from bottom of my throat. Heartburn right where my neck and chest meet. And burps. I picked up some 20mg Omeprazole and  was going to start them in the morning. 
Just curious to see what you all think before I pull the trigger on them. Did they help any of you with a situation like mine? Should I take them?</t>
        </is>
      </c>
      <c r="D2737" t="n">
        <v>3</v>
      </c>
      <c r="E2737" t="n">
        <v>15</v>
      </c>
      <c r="F2737">
        <f>HYPERLINK("https://www.reddit.com/r/GERD/comments/d3yu2l/omeprazole_for_lprgerd/")</f>
        <v/>
      </c>
      <c r="G2737" t="inlineStr">
        <is>
          <t>2019-09-13 18:30:36</t>
        </is>
      </c>
      <c r="H2737" t="inlineStr"/>
    </row>
    <row r="2738">
      <c r="A2738" t="inlineStr">
        <is>
          <t>d404n3</t>
        </is>
      </c>
      <c r="B2738" t="inlineStr">
        <is>
          <t>Does Zantac cause low libido?</t>
        </is>
      </c>
      <c r="C2738" t="inlineStr">
        <is>
          <t>So I’m 19 and was prescribed a strong dosage of 300mg of Zantac and have been taking it every night. First couple days were good until the first week was done all the side effects hit at once. I felt terrible and worse but my sexual libido was completely gone. I tried having sex and it couldn’t even get up and it wasn’t like that before? I can’t even get hard on my own. I researched it and it says that it does cause ED but I’ve only been taking it for around 2 weeks could that have been the cause?</t>
        </is>
      </c>
      <c r="D2738" t="n">
        <v>5</v>
      </c>
      <c r="E2738" t="n">
        <v>10</v>
      </c>
      <c r="F2738">
        <f>HYPERLINK("https://www.reddit.com/r/GERD/comments/d404n3/does_zantac_cause_low_libido/")</f>
        <v/>
      </c>
      <c r="G2738" t="inlineStr">
        <is>
          <t>2019-09-13 20:36:54</t>
        </is>
      </c>
      <c r="H2738" t="inlineStr"/>
    </row>
    <row r="2739">
      <c r="A2739" t="inlineStr">
        <is>
          <t>d40kp5</t>
        </is>
      </c>
      <c r="B2739" t="inlineStr">
        <is>
          <t>Does anyone else wake up with really intense chest pains occasionally?</t>
        </is>
      </c>
      <c r="C2739" t="inlineStr">
        <is>
          <t>Hey guys,
Ive had GERD for a few years now and i usually take otc pentoprazole daily and it's mostly under control
But very occasionally if i over eat or have particularly greasy foods (which i obvs try to avoid) i wake up in the middle night with severe distress - my chest aches, it feels like im having a heart attack, and my stomach hurts too. I feel nauseous
Tonight is maybe only the third or fourth time this has ever happened, last time was in may. I saw my doc after the first time who assured me it wasn't a heart attack.
I know all the ways i should have avoided this, but does anybody have suggestions for relief now? Its 6am and i am in so much pain. I took the medication early, i also had a buscopan for my stomach ache. I don't usually drink milk but i had three sips of that in case it helps neutralise the acid.
Will vomiting help in the short term? Any suggestions?</t>
        </is>
      </c>
      <c r="D2739" t="n">
        <v>4</v>
      </c>
      <c r="E2739" t="n">
        <v>1</v>
      </c>
      <c r="F2739">
        <f>HYPERLINK("https://www.reddit.com/r/GERD/comments/d40kp5/does_anyone_else_wake_up_with_really_intense/")</f>
        <v/>
      </c>
      <c r="G2739" t="inlineStr">
        <is>
          <t>2019-09-13 21:23:54</t>
        </is>
      </c>
      <c r="H2739" t="inlineStr"/>
    </row>
    <row r="2740">
      <c r="A2740" t="inlineStr">
        <is>
          <t>d40p9q</t>
        </is>
      </c>
      <c r="B2740" t="inlineStr">
        <is>
          <t>Sholder pain</t>
        </is>
      </c>
      <c r="C2740" t="inlineStr">
        <is>
          <t>Anyone else get weird left sholder and back pain with their GERD (heart is fine)? Sometimes I even get some tingling in my arm and fingers.  Mentioned it to my PCP and she said the esophagus runs along the back of your body so it would make sense that it might impact those nerves. 
I also am more concious about sleeping on my left side now so maybe that pressure is causing the pain? I am also on sucrulfate and back pain is listed as a side effect so maybe that is a factor too?</t>
        </is>
      </c>
      <c r="D2740" t="n">
        <v>4</v>
      </c>
      <c r="E2740" t="n">
        <v>10</v>
      </c>
      <c r="F2740">
        <f>HYPERLINK("https://www.reddit.com/r/GERD/comments/d40p9q/sholder_pain/")</f>
        <v/>
      </c>
      <c r="G2740" t="inlineStr">
        <is>
          <t>2019-09-13 21:37:56</t>
        </is>
      </c>
      <c r="H2740" t="inlineStr"/>
    </row>
    <row r="2741">
      <c r="A2741" t="inlineStr">
        <is>
          <t>d40tpx</t>
        </is>
      </c>
      <c r="B2741" t="inlineStr">
        <is>
          <t>Hey guys, I have something to say.....</t>
        </is>
      </c>
      <c r="C2741" t="inlineStr">
        <is>
          <t>I know I’m posting regularly, and I’m probably getting to be a pain in everyone’s butt with my usual mantra of “does anyone else have X,Y,Z going on with them too?” Posts, but you guys... you guys have been a bigger help to me than you even know. So I just wanted to take a second to thank you all for every comment, upvote, and encouragement that you have brought my way. I may not say it often, but I appreciate each and every one of you. 
Now, on to the question of the evening: 
Ive noticed on and off for the past couple of days (I haven’t mentioned it in my earlier posts because I initially thought nothing of it) Just prior to a GERD attack, I have been getting abdominal pain like you wouldn’t believe! It feels like my entire stomach is in one giant cramp, and I was wondering if anyone else has this issue; and if it’s related to my GERD (or which has also been more frequent as of the last week). I would also like to mention (THIS IS GROSS) that my stool is black... like, dark mode black. Almost like someone someone dumped black paint into the loo after I’m done... is that related to the GERD? Does anyone else have this? I know that I’m mentioning a few things here, but I (literally) have nobody to ask until I see my specialist a few months from now. 
Thank you for everything</t>
        </is>
      </c>
      <c r="D2741" t="n">
        <v>8</v>
      </c>
      <c r="E2741" t="n">
        <v>23</v>
      </c>
      <c r="F2741">
        <f>HYPERLINK("https://www.reddit.com/r/GERD/comments/d40tpx/hey_guys_i_have_something_to_say/")</f>
        <v/>
      </c>
      <c r="G2741" t="inlineStr">
        <is>
          <t>2019-09-13 21:51:43</t>
        </is>
      </c>
      <c r="H2741" t="inlineStr"/>
    </row>
    <row r="2742">
      <c r="A2742" t="inlineStr">
        <is>
          <t>d45vay</t>
        </is>
      </c>
      <c r="B2742" t="inlineStr">
        <is>
          <t>Question on trigger foods</t>
        </is>
      </c>
      <c r="C2742" t="inlineStr">
        <is>
          <t>What exactly happens when someone with GERD or acid reflux eats a trigger food? Does it increase acid production? Does acid produced have a different chemical composition? Do all trigger foods relax the LES causing acid to leak out into esophagus (I heard this happens with alcohol)?</t>
        </is>
      </c>
      <c r="D2742" t="n">
        <v>4</v>
      </c>
      <c r="E2742" t="n">
        <v>4</v>
      </c>
      <c r="F2742">
        <f>HYPERLINK("https://www.reddit.com/r/GERD/comments/d45vay/question_on_trigger_foods/")</f>
        <v/>
      </c>
      <c r="G2742" t="inlineStr">
        <is>
          <t>2019-09-14 07:28:42</t>
        </is>
      </c>
      <c r="H2742" t="inlineStr"/>
    </row>
    <row r="2743">
      <c r="A2743" t="inlineStr">
        <is>
          <t>d45z35</t>
        </is>
      </c>
      <c r="B2743" t="inlineStr">
        <is>
          <t>Baking Soda Test</t>
        </is>
      </c>
      <c r="C2743" t="inlineStr">
        <is>
          <t>I just tried the baking soda test for low stomach acid. I took 1/4 teaspoon in water. I didn't burp at all which is an indicator of low stomach acid. I'll try a few more days but this is interesting. Has anyone else tried this experiment?</t>
        </is>
      </c>
      <c r="D2743" t="n">
        <v>2</v>
      </c>
      <c r="E2743" t="n">
        <v>4</v>
      </c>
      <c r="F2743">
        <f>HYPERLINK("https://www.reddit.com/r/GERD/comments/d45z35/baking_soda_test/")</f>
        <v/>
      </c>
      <c r="G2743" t="inlineStr">
        <is>
          <t>2019-09-14 07:37:20</t>
        </is>
      </c>
      <c r="H2743" t="inlineStr"/>
    </row>
    <row r="2744">
      <c r="A2744" t="inlineStr">
        <is>
          <t>d46w6p</t>
        </is>
      </c>
      <c r="B2744" t="inlineStr">
        <is>
          <t>Starbucks &amp;amp; GERD</t>
        </is>
      </c>
      <c r="C2744" t="inlineStr">
        <is>
          <t>So before GERD became my life, I was a coffeeholic. I would drink Americanos in college to keep me awake and lattes to keep me sharp for the workday ahead. However, that all changed after having a GERD attack one morning. 
Which brings me to my question, what drinks if any do you recommend from Starbucks?</t>
        </is>
      </c>
      <c r="D2744" t="n">
        <v>5</v>
      </c>
      <c r="E2744" t="n">
        <v>15</v>
      </c>
      <c r="F2744">
        <f>HYPERLINK("https://www.reddit.com/r/GERD/comments/d46w6p/starbucks_gerd/")</f>
        <v/>
      </c>
      <c r="G2744" t="inlineStr">
        <is>
          <t>2019-09-14 08:49:53</t>
        </is>
      </c>
      <c r="H2744" t="inlineStr"/>
    </row>
    <row r="2745">
      <c r="A2745" t="inlineStr">
        <is>
          <t>d493mn</t>
        </is>
      </c>
      <c r="B2745" t="inlineStr">
        <is>
          <t>Geographic Tongue and GERD</t>
        </is>
      </c>
      <c r="C2745" t="inlineStr">
        <is>
          <t>I have another does this happen to anyone else inquiry. 
Iv had geographic tongue on and off since I was a teenager. It's not causing any problems, just annoying. 
https://www.mayoclinic.org/diseases-conditions/geographic-tongue/symptoms-causes/syc-20354396
Now that im doing the GERD diet it seems like the geographic tongue episodes are becoming less frequent. Wondering if its related 🤔
Any similar experiences?</t>
        </is>
      </c>
      <c r="D2745" t="n">
        <v>6</v>
      </c>
      <c r="E2745" t="n">
        <v>10</v>
      </c>
      <c r="F2745">
        <f>HYPERLINK("https://www.reddit.com/r/GERD/comments/d493mn/geographic_tongue_and_gerd/")</f>
        <v/>
      </c>
      <c r="G2745" t="inlineStr">
        <is>
          <t>2019-09-14 11:36:19</t>
        </is>
      </c>
      <c r="H2745" t="inlineStr"/>
    </row>
    <row r="2746">
      <c r="A2746" t="inlineStr">
        <is>
          <t>d4afbf</t>
        </is>
      </c>
      <c r="B2746" t="inlineStr">
        <is>
          <t>Anyone been diagnosed with Hypochlorhydria?</t>
        </is>
      </c>
      <c r="C2746" t="inlineStr">
        <is>
          <t>I have all the textbook symptoms of GERD but I just had ab endoscopy and everything looks perfect. So now im wondering maybe I don't have enough stomach acid? Im also somewhat constipated.</t>
        </is>
      </c>
      <c r="D2746" t="n">
        <v>3</v>
      </c>
      <c r="E2746" t="n">
        <v>13</v>
      </c>
      <c r="F2746">
        <f>HYPERLINK("https://www.reddit.com/r/GERD/comments/d4afbf/anyone_been_diagnosed_with_hypochlorhydria/")</f>
        <v/>
      </c>
      <c r="G2746" t="inlineStr">
        <is>
          <t>2019-09-14 13:18:26</t>
        </is>
      </c>
      <c r="H2746" t="inlineStr"/>
    </row>
    <row r="2747">
      <c r="A2747" t="inlineStr">
        <is>
          <t>d4bdvg</t>
        </is>
      </c>
      <c r="B2747" t="inlineStr">
        <is>
          <t>*Updates*</t>
        </is>
      </c>
      <c r="C2747" t="inlineStr">
        <is>
          <t>For those of you who have been following along with my black stool post linked [here](https://www.reddit.com/r/GERD/comments/d40tpx/hey_guys_i_have_something_to_say/) 
I have some updates 
*Update 1*
I’ve gone to the hospital for my black stool, and so far it seems like they haven’t taken me anywhere close to seriously... my abdomen feels like a giant cramp and it’s lasted for over 12 hours... I feel like crap (no pun intended) 
*Update 2*
I’ve been seen by a nurse who dismissed my pain with generic Tylenol and sent me to wait in the hallway chairs. Maybe they’re overfilled and this is the second waiting room?
*Update 3* 
They sent me for X-rays to see if my bowels are blocked... and guess what? They found nothing... absolutely nothing. They’re telling me to go see my GP, who’s ignored the problem and told me to go to the emergency, and now the emergency is telling me to go see my GP... I’m frustrated, tired, and in pain... what else could happen?</t>
        </is>
      </c>
      <c r="D2747" t="n">
        <v>2</v>
      </c>
      <c r="E2747" t="n">
        <v>15</v>
      </c>
      <c r="F2747">
        <f>HYPERLINK("https://www.reddit.com/r/GERD/comments/d4bdvg/updates/")</f>
        <v/>
      </c>
      <c r="G2747" t="inlineStr">
        <is>
          <t>2019-09-14 14:34:09</t>
        </is>
      </c>
      <c r="H2747" t="inlineStr"/>
    </row>
    <row r="2748">
      <c r="A2748" t="inlineStr">
        <is>
          <t>d4bp61</t>
        </is>
      </c>
      <c r="B2748" t="inlineStr">
        <is>
          <t>Concerned about stool</t>
        </is>
      </c>
      <c r="C2748" t="inlineStr">
        <is>
          <t>I've been dealing with possibly Gastritis for about a month. I was prescribed with 20mg of Famotidine (Take twice daily. My stool color is always dark green color and sometimes they are loose and sometimes they are normal stool consistency. Should I be concerned? I've also been drinking smoothies as an afternoon snack that contains blueberry's, mango's, strawberries, spinach, almond milk, and probiotic yogurt. I've also been following a GERD diet as well. Sometimes I also feel like my stomach twitches as well as below the abdomen. Could it be vitamin deficiency or IBS? Any advice or opinion would be great.</t>
        </is>
      </c>
      <c r="D2748" t="n">
        <v>3</v>
      </c>
      <c r="E2748" t="n">
        <v>8</v>
      </c>
      <c r="F2748">
        <f>HYPERLINK("https://www.reddit.com/r/GERD/comments/d4bp61/concerned_about_stool/")</f>
        <v/>
      </c>
      <c r="G2748" t="inlineStr">
        <is>
          <t>2019-09-14 14:59:58</t>
        </is>
      </c>
      <c r="H2748" t="inlineStr"/>
    </row>
    <row r="2749">
      <c r="A2749" t="inlineStr">
        <is>
          <t>d4e1ui</t>
        </is>
      </c>
      <c r="B2749" t="inlineStr">
        <is>
          <t>Easy GERD diet?</t>
        </is>
      </c>
      <c r="C2749" t="inlineStr">
        <is>
          <t>Do you guys have any recs for getting this diet started? All I've been able to find are the generic recommendations. I'm happy to eat boring food if it's easy enough or low maintenence enough to make and it won't make me sick. (Had a diet coke and a piece of chocolate earlier and I have been living the regret for hours. :D I hate how it gets into my head and makes me so tired on top of hurting my stomach.) Thanks for any help!</t>
        </is>
      </c>
      <c r="D2749" t="n">
        <v>4</v>
      </c>
      <c r="E2749" t="n">
        <v>9</v>
      </c>
      <c r="F2749">
        <f>HYPERLINK("https://www.reddit.com/r/GERD/comments/d4e1ui/easy_gerd_diet/")</f>
        <v/>
      </c>
      <c r="G2749" t="inlineStr">
        <is>
          <t>2019-09-14 18:23:31</t>
        </is>
      </c>
      <c r="H2749" t="inlineStr"/>
    </row>
    <row r="2750">
      <c r="A2750" t="inlineStr">
        <is>
          <t>d4ed26</t>
        </is>
      </c>
      <c r="B2750" t="inlineStr">
        <is>
          <t>Coming off Ranatadine- bad withdrawl</t>
        </is>
      </c>
      <c r="C2750" t="inlineStr">
        <is>
          <t>Hi I'm looking for any tips to cope with the withdrawl effects of coming off Ranatadine. Ive only been taking solid doses for a couple of weeks and now I'm on dao enzyme instead which is taking care of all my symptoms. However as a withdrawl from Ranatadine I'm just so on edge/anxious/insomnia. Any tips to get through this and how long is it likely to last?</t>
        </is>
      </c>
      <c r="D2750" t="n">
        <v>2</v>
      </c>
      <c r="E2750" t="n">
        <v>0</v>
      </c>
      <c r="F2750">
        <f>HYPERLINK("https://www.reddit.com/r/GERD/comments/d4ed26/coming_off_ranatadine_bad_withdrawl/")</f>
        <v/>
      </c>
      <c r="G2750" t="inlineStr">
        <is>
          <t>2019-09-14 18:53:36</t>
        </is>
      </c>
      <c r="H2750" t="inlineStr"/>
    </row>
    <row r="2751">
      <c r="A2751" t="inlineStr">
        <is>
          <t>d4eihe</t>
        </is>
      </c>
      <c r="B2751" t="inlineStr">
        <is>
          <t>rapid heart rate with stomach issues</t>
        </is>
      </c>
      <c r="C2751" t="inlineStr">
        <is>
          <t>I''ve been dealing with tachycardia recently. I am almost certain there is a strong correlation between the state of my GI system and my heart. When I eat the wrong thing, my heart rate can reach up to 150 just by standing up and walking around leisurely. I can usually tank it back down to the 60s-70s just by sitting down and breathing. When I stand up, however it skyrockets. Walking around the house normally? 130bpm. It's becoming very annoying. My ECG was clear. My echocardiogram was also clear. Blood tests clear. I don't know what else to attribute this tachycardia to. My provider has prescribed be Atenolol, a beta-blocker in order to reduce my heart rate and blood pressure and take the edge off of anxiety. I am apprehensive to take it. Any words of wisdom are highly appreciated.</t>
        </is>
      </c>
      <c r="D2751" t="n">
        <v>10</v>
      </c>
      <c r="E2751" t="n">
        <v>24</v>
      </c>
      <c r="F2751">
        <f>HYPERLINK("https://www.reddit.com/r/GERD/comments/d4eihe/rapid_heart_rate_with_stomach_issues/")</f>
        <v/>
      </c>
      <c r="G2751" t="inlineStr">
        <is>
          <t>2019-09-14 19:08:09</t>
        </is>
      </c>
      <c r="H2751" t="inlineStr"/>
    </row>
    <row r="2752">
      <c r="A2752" t="inlineStr">
        <is>
          <t>d4f4vg</t>
        </is>
      </c>
      <c r="B2752" t="inlineStr">
        <is>
          <t>Anyone ever try OTC Enzyme pills?</t>
        </is>
      </c>
      <c r="C2752" t="inlineStr">
        <is>
          <t>I bought these chewables that have amylase/protease/lipase/lactase etc. in them and I am wondering if anyone has any experience and if they have worked for them. I'm fairly certain I have some kind of food intolerance and don't digest fats properly. Can't afford to go to the doctor so I'm trying this.</t>
        </is>
      </c>
      <c r="D2752" t="n">
        <v>3</v>
      </c>
      <c r="E2752" t="n">
        <v>2</v>
      </c>
      <c r="F2752">
        <f>HYPERLINK("https://www.reddit.com/r/GERD/comments/d4f4vg/anyone_ever_try_otc_enzyme_pills/")</f>
        <v/>
      </c>
      <c r="G2752" t="inlineStr">
        <is>
          <t>2019-09-14 20:08:41</t>
        </is>
      </c>
      <c r="H2752" t="inlineStr"/>
    </row>
    <row r="2753">
      <c r="A2753" t="inlineStr">
        <is>
          <t>d4h8zm</t>
        </is>
      </c>
      <c r="B2753" t="inlineStr">
        <is>
          <t>Venting about doctors not taking GERD seriously</t>
        </is>
      </c>
      <c r="C2753" t="inlineStr">
        <is>
          <t>I saw a GP with mild but constant symptoms in chest and throat. GP didn’t offer any kind of diagnosis (well except a totally wrong one of cardiac problems which resulted in a cardiologist giving me a lecture about how heartburn and heart disease are different things) but gave me PPIs. After trying two different ones for 2 weeks I feel 100x worse. It’s now chest, back, stomach and throat pain and nausea every single day from the moment of waking up. I’m down to eating a tiny list of about 5 foods in small amounts at a time. I’ll feel bloated from eating an apple or a couple of crackers. I haven’t had a solid bowel movement for weeks. I raised the bed, I took gaviscon, I took PPIs, I stopped eating and drinking practically everything (it’s infuriating reading other people being like “oh I just stopped drinking coffee and that solved it!”), I eat 4 hours before bed, I stopped doing any vigorous exercise, I chug pills and gaviscon all day, wtf more can I do?
I’m miserable but my GP just tells me to keep taking ranitidine and OTC diarrhoea meds and maybe have a stool test in a month’s time. She won’t let me see a specialist. In the UK you basically need a GP to allow you to see one. She looked at me like I was insane when I said I needed one and told me I was wrong about what tests I needed (barium x-ray is only for people who can’t swallow apparently... total BS). Pretty sure she’s decided I’m just anxious, she keeps asking me if I’m stressed and telling me to calm down - easy to say when you’re not the one who hasn’t slept or eaten anything that day.
A second doctor said it was GERD but she wasn’t able do anything for me since she’s not my GP. I’m seeing a third doctor on Tuesday but this is destroying me already... I can’t eat... I can’t lie down... I can’t sleep through the night... can’t exercise more than a slow walk... I can’t even take a normal shit any more thanks to the PPIs... and the doctor won’t take it seriously because it’s “just heartburn”. Fuck this.</t>
        </is>
      </c>
      <c r="D2753" t="n">
        <v>26</v>
      </c>
      <c r="E2753" t="n">
        <v>42</v>
      </c>
      <c r="F2753">
        <f>HYPERLINK("https://www.reddit.com/r/GERD/comments/d4h8zm/venting_about_doctors_not_taking_gerd_seriously/")</f>
        <v/>
      </c>
      <c r="G2753" t="inlineStr">
        <is>
          <t>2019-09-15 00:08:38</t>
        </is>
      </c>
      <c r="H2753" t="inlineStr"/>
    </row>
    <row r="2754">
      <c r="A2754" t="inlineStr">
        <is>
          <t>d4huz3</t>
        </is>
      </c>
      <c r="B2754" t="inlineStr">
        <is>
          <t>Tips for sugar and coffee withdrawal side effects</t>
        </is>
      </c>
      <c r="C2754" t="inlineStr">
        <is>
          <t xml:space="preserve">
Made the massive mistake of eating cheesecake and a vanilla latte and BOOM that instant sick feeling. Breakup binge regrets! Anyway I’m starting 16:8 intermittent fasting from this point on but also want to cut coffee and sugar as much as I can. I’ll start with sugar first as caffeine withdrawals are too risky at the moment with work. Does anyone have tips to curb the headaches associated with cutting sugar and coffee? I believe due to severe stress, potential insulin sensitivity and reaction to sugars and preservatives have caused my intense gerd.</t>
        </is>
      </c>
      <c r="D2754" t="n">
        <v>4</v>
      </c>
      <c r="E2754" t="n">
        <v>5</v>
      </c>
      <c r="F2754">
        <f>HYPERLINK("https://www.reddit.com/r/GERD/comments/d4huz3/tips_for_sugar_and_coffee_withdrawal_side_effects/")</f>
        <v/>
      </c>
      <c r="G2754" t="inlineStr">
        <is>
          <t>2019-09-15 01:28:45</t>
        </is>
      </c>
      <c r="H2754" t="inlineStr"/>
    </row>
    <row r="2755">
      <c r="A2755" t="inlineStr">
        <is>
          <t>d4nkfb</t>
        </is>
      </c>
      <c r="B2755" t="inlineStr">
        <is>
          <t>Weight loss pills and GERD</t>
        </is>
      </c>
      <c r="C2755" t="inlineStr">
        <is>
          <t>Hi! Has anyone taken weight loss pills (that contain stimulants such as caffeine) and then get acid reflux? I know that caffeine from tea and coffee can cause acid reflux but I’m not sure if that from weight loss pills can cause the same effect. Thank you.</t>
        </is>
      </c>
      <c r="D2755" t="n">
        <v>2</v>
      </c>
      <c r="E2755" t="n">
        <v>7</v>
      </c>
      <c r="F2755">
        <f>HYPERLINK("https://www.reddit.com/r/GERD/comments/d4nkfb/weight_loss_pills_and_gerd/")</f>
        <v/>
      </c>
      <c r="G2755" t="inlineStr">
        <is>
          <t>2019-09-15 10:29:54</t>
        </is>
      </c>
      <c r="H2755" t="inlineStr"/>
    </row>
    <row r="2756">
      <c r="A2756" t="inlineStr">
        <is>
          <t>d4p5t6</t>
        </is>
      </c>
      <c r="B2756" t="inlineStr">
        <is>
          <t>Doxycycline Hyclate and GERD</t>
        </is>
      </c>
      <c r="C2756" t="inlineStr">
        <is>
          <t>I have moderate gerd and control it with lifestyle choices (diet, activity limitations) so I can avoid taking ppis. I was recently prescribed intensive antibiotics for Lyme and I am having terrible bloating, reflux, excessive burping after eating crackers, and the feeling of my stomach not digesting, and overall nausea and loss of appetite. This is only day 2 of 21 days.
Has anyone found a way to continue taking antibiotics comfortably with gerd? I'd like to not lose weight or faint at work over the next 3 weeks.</t>
        </is>
      </c>
      <c r="D2756" t="n">
        <v>5</v>
      </c>
      <c r="E2756" t="n">
        <v>8</v>
      </c>
      <c r="F2756">
        <f>HYPERLINK("https://www.reddit.com/r/GERD/comments/d4p5t6/doxycycline_hyclate_and_gerd/")</f>
        <v/>
      </c>
      <c r="G2756" t="inlineStr">
        <is>
          <t>2019-09-15 12:25:10</t>
        </is>
      </c>
      <c r="H2756" t="inlineStr"/>
    </row>
    <row r="2757">
      <c r="A2757" t="inlineStr">
        <is>
          <t>d4s82f</t>
        </is>
      </c>
      <c r="B2757" t="inlineStr">
        <is>
          <t>[NYT] “Zantac Has Low Levels of a Cancer-Causing Chemical, the F.D.A. Says”</t>
        </is>
      </c>
      <c r="C2757" t="inlineStr">
        <is>
          <t>Not something to be too concerned about based on initial reports, but worth keeping an eye as the FDA continues to investigate and test different brands/medications in the class. 
https://www.nytimes.com/2019/09/13/health/zantac-cancer-ndma.html</t>
        </is>
      </c>
      <c r="D2757" t="n">
        <v>19</v>
      </c>
      <c r="E2757" t="n">
        <v>9</v>
      </c>
      <c r="F2757">
        <f>HYPERLINK("https://www.reddit.com/r/GERD/comments/d4s82f/nyt_zantac_has_low_levels_of_a_cancercausing/")</f>
        <v/>
      </c>
      <c r="G2757" t="inlineStr">
        <is>
          <t>2019-09-15 16:11:41</t>
        </is>
      </c>
      <c r="H2757" t="inlineStr"/>
    </row>
    <row r="2758">
      <c r="A2758" t="inlineStr">
        <is>
          <t>d4sqds</t>
        </is>
      </c>
      <c r="B2758" t="inlineStr">
        <is>
          <t>Does this sound like GERD?</t>
        </is>
      </c>
      <c r="C2758" t="inlineStr">
        <is>
          <t>Disclaimer: I have an appointment with my PCP this week, just trying to see what I can do in the meantime.
So about a week ago, I started getting some pain on my left side, sort of right under my ribs. It wouldn’t be constant, just every so often it would hurt, mostly when I was breathing. I’ve noticed that it would get slightly worse when I’ve had coffee. I still feel a burning pain in my mid-upper abdomen that’s sort of delayed but is exacerbated by 1. Drinking coffee 2. Wearing clothing that’s tighter around my waist and 3. Leaning over in any way. If i don’t do those things, i don’t feel anything. EXCEPT I’ve developed this chest tightness/pressure/congestion feeling. I feel like I’m developing bronchitis or something but when I cough, nothing comes up, and I don’t really have problems breathing. That part especially is extremely annoying/concerning.
Sorry if this isn’t something I’m supposed to pay here, but any advice would help. I have bad anxiety and originally thought I have lung cancer. After talking about it with my husband, he suggested maybe it was GERD.</t>
        </is>
      </c>
      <c r="D2758" t="n">
        <v>0</v>
      </c>
      <c r="E2758" t="n">
        <v>6</v>
      </c>
      <c r="F2758">
        <f>HYPERLINK("https://www.reddit.com/r/GERD/comments/d4sqds/does_this_sound_like_gerd/")</f>
        <v/>
      </c>
      <c r="G2758" t="inlineStr">
        <is>
          <t>2019-09-15 16:55:04</t>
        </is>
      </c>
      <c r="H2758" t="inlineStr"/>
    </row>
    <row r="2759">
      <c r="A2759" t="inlineStr">
        <is>
          <t>d4ttae</t>
        </is>
      </c>
      <c r="B2759" t="inlineStr">
        <is>
          <t>Stopped Zantac for Manometry and PH...</t>
        </is>
      </c>
      <c r="C2759" t="inlineStr">
        <is>
          <t>I stopped taking 150mg Zantac 2x per day on 9/12. Have manometry and BRAVO tomorrow. I have had minor problems, even after eating late last night and pizza with red sauce. I’m kinda confused at why I’m not presenting with symptoms. Anyone else run into something weird like this?</t>
        </is>
      </c>
      <c r="D2759" t="n">
        <v>2</v>
      </c>
      <c r="E2759" t="n">
        <v>14</v>
      </c>
      <c r="F2759">
        <f>HYPERLINK("https://www.reddit.com/r/GERD/comments/d4ttae/stopped_zantac_for_manometry_and_ph/")</f>
        <v/>
      </c>
      <c r="G2759" t="inlineStr">
        <is>
          <t>2019-09-15 18:29:35</t>
        </is>
      </c>
      <c r="H2759" t="inlineStr"/>
    </row>
    <row r="2760">
      <c r="A2760" t="inlineStr">
        <is>
          <t>d4uc3f</t>
        </is>
      </c>
      <c r="B2760" t="inlineStr">
        <is>
          <t>Should I see a Gastroenterologists or a Otolaryngologist (ENT)?</t>
        </is>
      </c>
      <c r="C2760" t="inlineStr">
        <is>
          <t>I've been diagnosed with GERD before but looking for a doctor to help me as much as possible without just prescribing me medicine or surgery.  I don't have reflux that much but I do have rough voice, nasal congestion (swelling) and tired all the time.  I've had a sleep study and didn't have sleep apnea.</t>
        </is>
      </c>
      <c r="D2760" t="n">
        <v>1</v>
      </c>
      <c r="E2760" t="n">
        <v>8</v>
      </c>
      <c r="F2760">
        <f>HYPERLINK("https://www.reddit.com/r/GERD/comments/d4uc3f/should_i_see_a_gastroenterologists_or_a/")</f>
        <v/>
      </c>
      <c r="G2760" t="inlineStr">
        <is>
          <t>2019-09-15 19:15:21</t>
        </is>
      </c>
      <c r="H2760" t="inlineStr"/>
    </row>
    <row r="2761">
      <c r="A2761" t="inlineStr">
        <is>
          <t>d4x8dw</t>
        </is>
      </c>
      <c r="B2761" t="inlineStr">
        <is>
          <t>Pain on the right side of my neck. Anyone else have this symptom?</t>
        </is>
      </c>
      <c r="C2761" t="inlineStr">
        <is>
          <t>Just one of the many symptoms I feel from the hiatal hernia and severe gerd/LPR. I visited an ENT who even asked me if I experience any neck pain. And this was before I did my reading on the internet about neck pain being one of the more rare symptoms resulting from gerd/LPR. Therefore, I doubt it’s psychosomatic. It gets especially bad after eating or talking for an extended period of time. Luckily, I’m having the Linx device implanted in December; hopefully that will be the end of this shit show. Any advice would be greatly appreciated.</t>
        </is>
      </c>
      <c r="D2761" t="n">
        <v>4</v>
      </c>
      <c r="E2761" t="n">
        <v>9</v>
      </c>
      <c r="F2761">
        <f>HYPERLINK("https://www.reddit.com/r/GERD/comments/d4x8dw/pain_on_the_right_side_of_my_neck_anyone_else/")</f>
        <v/>
      </c>
      <c r="G2761" t="inlineStr">
        <is>
          <t>2019-09-16 00:16:28</t>
        </is>
      </c>
      <c r="H2761" t="inlineStr"/>
    </row>
    <row r="2762">
      <c r="A2762" t="inlineStr">
        <is>
          <t>d50k4x</t>
        </is>
      </c>
      <c r="B2762" t="inlineStr">
        <is>
          <t>LPR saga--my second time being badly triggered</t>
        </is>
      </c>
      <c r="C2762" t="inlineStr">
        <is>
          <t>I've had various ENT issues my whole life. Lots of family history of chronic allergies, rhinitis, polyps, etc. One of the first things I remember happening to me was around the age of 13. I had weird episodes while eating where it would feel like something got caught in my throat, but I could still breathe so I wasn't truly choking, and I had to painfully force it down by drinking water. This still happens from time to time now--no clue why, could be a stricture? I also had multiple ear infections leading to tubes in high school, still have those, currently seeing an ENT for them but insurance refuses to cover balloon dilation to actually \*fix\* the Eustachian tube dysfunction so it's just more and more tubes.
In college I had a sinus infection that triggered my first LPR flare. I had a non-productive cough for weeks after I got better along with the globus sensation in the front of my throat, which I thought must have been something stuck in there for the longest time. I learned to press on the front of my throat when coughing, which seemed to constrict it and force more air to touch the sides of the throat, making the sensation better for a moment. Eventually I saw the nurse practitioner at school and she mentioned LPR as her husband had it too. Referred out to ENT who scoped me, confirmed the Dx, and prescribed 40mg omeprazole. It had been 3+ months of constant hacking at that point and it literally resolved in a day or two. I eventually weaned off the omeprazole a few months later.
Since then I've had mild symptoms. Mostly lots of mucus after eating. It's been several years since that first episode but this last month I had another sinus infection that seemed to badly trigger the reflux. My cough was productive this time, no globus sensation, but it was not responding to any cough medications or antibiotics so my doctor agreed with me that it was probably an LPR flare. Now I'm on 40mg pantoprazole, which has definitely eased things up, but not to the degree that omeprazole did years ago. 
Currently I'm still refluxing mucus and coughing, mostly after eating. It's gone from opaque and yellowish when I was sick/first recovering but now it's more clear/whitish, like thickened spit. Annoying as all hell, embarrassing in public, and it doesn't help that I take another medication (Trintellix) which causes nausea so having phlegm come up makes me feel worse. I'm waking up with a sore throat and enlarged tonsils many mornings. Sitting up in bed doesn't help as I can't sleep that way. I'm a stomach sleeper which must not be helping at all.
Hoping to head back to my primary care doc soon and ask for a referral to a GI specialist as my ENT is more focused on my ear issues and doesn't seem to believe in anything other than PPI treatment for LPR. 
Advice appreciated, otherwise this is nice to get off my chest.</t>
        </is>
      </c>
      <c r="D2762" t="n">
        <v>3</v>
      </c>
      <c r="E2762" t="n">
        <v>0</v>
      </c>
      <c r="F2762">
        <f>HYPERLINK("https://www.reddit.com/r/GERD/comments/d50k4x/lpr_sagamy_second_time_being_badly_triggered/")</f>
        <v/>
      </c>
      <c r="G2762" t="inlineStr">
        <is>
          <t>2019-09-16 06:19:14</t>
        </is>
      </c>
      <c r="H2762" t="inlineStr"/>
    </row>
    <row r="2763">
      <c r="A2763" t="inlineStr">
        <is>
          <t>d520k8</t>
        </is>
      </c>
      <c r="B2763" t="inlineStr">
        <is>
          <t>Dating with GERD</t>
        </is>
      </c>
      <c r="C2763" t="inlineStr">
        <is>
          <t>Recently(ish) back in the dating scene. First time since being diagnosed with BE. At first I just took the meds and ignored symptoms while I was out but I just can't do that anymore. Trying to take a more proactive role in my health with the lifestyle changes. 
Obviously this is pretty limiting with the whole no alcohol, no caffeine and having to be really selective with what I eat. Also explaining why by bed is at a permenant tilt...
Anyone have experience/ advise? How do you explain what you are going through without scaring them off or minimizing what you are going through. Especially with B.E, I am seriously at risk of being diagnosed with cancer basically anytime. 
The symptoms and my diagnosis played such a role in the ending of my last relationship I think I am a little gun shy. We argued about everything from me feeling sick and nauseous and needing to leave parties to me not feeling up to stay out and drink to the angle of the head of the bed. He never understood that these weren't things  I wanted, they are things I needed to feel normal and it's literally out of self preservation so I can fo what I can to reduce my cancer risk.</t>
        </is>
      </c>
      <c r="D2763" t="n">
        <v>12</v>
      </c>
      <c r="E2763" t="n">
        <v>12</v>
      </c>
      <c r="F2763">
        <f>HYPERLINK("https://www.reddit.com/r/GERD/comments/d520k8/dating_with_gerd/")</f>
        <v/>
      </c>
      <c r="G2763" t="inlineStr">
        <is>
          <t>2019-09-16 08:12:38</t>
        </is>
      </c>
      <c r="H2763" t="inlineStr"/>
    </row>
    <row r="2764">
      <c r="A2764" t="inlineStr">
        <is>
          <t>d52n0x</t>
        </is>
      </c>
      <c r="B2764" t="inlineStr">
        <is>
          <t>Shoutout to all the fluffy/scaly/feathered/hairy saviours out there! Doing their absolute best with what they’ve got to work with!</t>
        </is>
      </c>
      <c r="C2764" t="inlineStr">
        <is>
          <t>It’s days like today (when I’m in really bad pain and it doesn’t seem like it’ll stop) that I thank whatever powers above brought my cat and myself together. This little cat sticks by my side, and feels the compulsive need to groom me until one of us either falls asleep, or until one of us gets hungry (the hungry one usually being her). I don’t think I’d be able to survive this entire ordeal without her. 
In other news, 
*UPDATE* 
For those of you who followed me to the (wasted) hospital visit last week, I’m still having incredible stomach cramps (it feels like my stomach is having one giant charliehorse) and I’m still “expelling” black. I’m afraid to go back to another hospital, because they’ll most likely send me to my GP, who will send me to the hospital, and the hospital will send me back to my GP.... it’s a vicious cycle of disappointment and pain that doesn’t get fixed nor addressed... 
To look back on what I’m talking about, I’ve provided links to those posts:
Part 1:[Click Here](https://www.reddit.com/r/GERD/comments/d40tpx/hey_guys_i_have_something_to_say/?utm_source=share&amp;amp;utm_medium=ios_app&amp;amp;utm_name=iossmf)
Part 2: [Click Here] https://www.reddit.com/r/GERD/comments/d4bdvg/updates/?utm_source=share&amp;amp;utm_medium=ios_app&amp;amp;utm_name=iossmf</t>
        </is>
      </c>
      <c r="D2764" t="n">
        <v>1</v>
      </c>
      <c r="E2764" t="n">
        <v>0</v>
      </c>
      <c r="F2764">
        <f>HYPERLINK("https://www.reddit.com/r/GERD/comments/d52n0x/shoutout_to_all_the_fluffyscalyfeatheredhairy/")</f>
        <v/>
      </c>
      <c r="G2764" t="inlineStr">
        <is>
          <t>2019-09-16 08:56:59</t>
        </is>
      </c>
      <c r="H2764" t="inlineStr"/>
    </row>
    <row r="2765">
      <c r="A2765" t="inlineStr">
        <is>
          <t>d52sms</t>
        </is>
      </c>
      <c r="B2765" t="inlineStr">
        <is>
          <t>What to take for work with Acid Reflux</t>
        </is>
      </c>
      <c r="C2765" t="inlineStr">
        <is>
          <t>Usually, before I start work, I drink coffee to energize myself. Unfortunately, because of the energy drinks I got Acid Reflux. I try to work without caffeine, but it's honestly pretty hard. I want to know if there are alternatives to last throughout the day like caffeine without taking it and triggering my reflux.  
I'm not sure if tea works out, since it also has caffeine, but I'd like to know what you guys have in mind. I'm running out of ideas.</t>
        </is>
      </c>
      <c r="D2765" t="n">
        <v>4</v>
      </c>
      <c r="E2765" t="n">
        <v>4</v>
      </c>
      <c r="F2765">
        <f>HYPERLINK("https://www.reddit.com/r/GERD/comments/d52sms/what_to_take_for_work_with_acid_reflux/")</f>
        <v/>
      </c>
      <c r="G2765" t="inlineStr">
        <is>
          <t>2019-09-16 09:08:02</t>
        </is>
      </c>
      <c r="H2765" t="inlineStr"/>
    </row>
    <row r="2766">
      <c r="A2766" t="inlineStr">
        <is>
          <t>d539zl</t>
        </is>
      </c>
      <c r="B2766" t="inlineStr">
        <is>
          <t>Does omeprazole make you nauseous?</t>
        </is>
      </c>
      <c r="C2766" t="inlineStr">
        <is>
          <t>Yesterday evening I was feeling nauseous to the point where I was trying not to throw up. I didn't eat anything that could cause a flare up that I'm aware of. Then, I woke up in the middle of the night feeling nauseated again. I'm not sure if this is a flare up or if this is a side effect of omeprazole.</t>
        </is>
      </c>
      <c r="D2766" t="n">
        <v>2</v>
      </c>
      <c r="E2766" t="n">
        <v>6</v>
      </c>
      <c r="F2766">
        <f>HYPERLINK("https://www.reddit.com/r/GERD/comments/d539zl/does_omeprazole_make_you_nauseous/")</f>
        <v/>
      </c>
      <c r="G2766" t="inlineStr">
        <is>
          <t>2019-09-16 09:42:50</t>
        </is>
      </c>
      <c r="H2766" t="inlineStr"/>
    </row>
    <row r="2767">
      <c r="A2767" t="inlineStr">
        <is>
          <t>d53tmn</t>
        </is>
      </c>
      <c r="B2767" t="inlineStr">
        <is>
          <t>Endoscopy / Bravo test + stopping ppi</t>
        </is>
      </c>
      <c r="C2767" t="inlineStr">
        <is>
          <t>hi guys, I'm getting an endoscopy done next week, and a Bravo test.  They told me to stop all ppi meds a week before, then the test measures the acidity and reflux events from inside my stomach/esophagus. i'm confused because **won't hyperacidity from ppi withdrawal rebound skew the test?**  
Last time i tried to stop my ppi, i got bad acid rebound, chest pressure and pain that started 4/5 days after stopping. it was so bad i had to go back on it. 
thanks!</t>
        </is>
      </c>
      <c r="D2767" t="n">
        <v>3</v>
      </c>
      <c r="E2767" t="n">
        <v>7</v>
      </c>
      <c r="F2767">
        <f>HYPERLINK("https://www.reddit.com/r/GERD/comments/d53tmn/endoscopy_bravo_test_stopping_ppi/")</f>
        <v/>
      </c>
      <c r="G2767" t="inlineStr">
        <is>
          <t>2019-09-16 10:22:00</t>
        </is>
      </c>
      <c r="H2767" t="inlineStr"/>
    </row>
    <row r="2768">
      <c r="A2768" t="inlineStr">
        <is>
          <t>d54o2a</t>
        </is>
      </c>
      <c r="B2768" t="inlineStr">
        <is>
          <t>PPI AND Zantac</t>
        </is>
      </c>
      <c r="C2768" t="inlineStr">
        <is>
          <t>So I’m on a PPI (pantoprazole) and Zantac daily to help with my GERD and IBS. But I’m still having breakthrough. Not like it was (used to be all day of every day) but at least 3 times a week I’d say I experience breakthrough acid or heartburn. And still will occasionally throw up from the reflux. I’m honestly starting to lose hope. I’ve been in treatment since 10/2017 and on this medication regimen for over a year. I just want to not feel like shit all the time. I’m only 22 for fucks sake.</t>
        </is>
      </c>
      <c r="D2768" t="n">
        <v>3</v>
      </c>
      <c r="E2768" t="n">
        <v>7</v>
      </c>
      <c r="F2768">
        <f>HYPERLINK("https://www.reddit.com/r/GERD/comments/d54o2a/ppi_and_zantac/")</f>
        <v/>
      </c>
      <c r="G2768" t="inlineStr">
        <is>
          <t>2019-09-16 11:49:41</t>
        </is>
      </c>
      <c r="H2768" t="inlineStr"/>
    </row>
    <row r="2769">
      <c r="A2769" t="inlineStr">
        <is>
          <t>d54vcj</t>
        </is>
      </c>
      <c r="B2769" t="inlineStr">
        <is>
          <t>Do I Need Another Endoscopy?</t>
        </is>
      </c>
      <c r="C2769" t="inlineStr">
        <is>
          <t>I had an endoscopy 4.5 years ago for GERD symptoms and was told at the time I had the following:  Squamocolumnar junctional mucosa with acute and chronic inflammation; and mild chronic gastritis. No Barrett’s Esophagus.
Since then I have been on Pantoprazole off and on, and also Ranitidine off and on. My symptoms are not severe, but they are nagging and reoccurring without continuous Pantoprazole and strict diet (even with diet and PPIs the mild symptoms are not strictly controlled). I’m reluctant to stay on PPIs because I have both a family history of Alzheimer’s and a current diagnosis of osteoporosis.
Family doctor and gastro doctor both seem very casual about my symptoms, and I fear they dismiss me because I’m not completely compliant with meds (ie I don’t stay permanently on the Pantoprazole). I could ask for another endoscopy to see if my conditions have progressed, or I could just go ahead and stay on the PPI for life, or I could continue just as I am, with some mild symptoms and occasional PPI use...not sure what to do.
Please let me know if this isn’t appropriate to ask here, and I’ll delete. TIA</t>
        </is>
      </c>
      <c r="D2769" t="n">
        <v>3</v>
      </c>
      <c r="E2769" t="n">
        <v>3</v>
      </c>
      <c r="F2769">
        <f>HYPERLINK("https://www.reddit.com/r/GERD/comments/d54vcj/do_i_need_another_endoscopy/")</f>
        <v/>
      </c>
      <c r="G2769" t="inlineStr">
        <is>
          <t>2019-09-16 12:02:20</t>
        </is>
      </c>
      <c r="H2769" t="inlineStr"/>
    </row>
    <row r="2770">
      <c r="A2770" t="inlineStr">
        <is>
          <t>d56230</t>
        </is>
      </c>
      <c r="B2770" t="inlineStr">
        <is>
          <t>I have a question....</t>
        </is>
      </c>
      <c r="C2770" t="inlineStr">
        <is>
          <t>Does anybody else feel like their symptoms are “brushed off?” Almost as if the doctor doesn’t take your condition and symptoms seriously? I just got off of the phone with my GI Specialist’s office and they told me that if I’m in as much pain as I say I am, I should just “go back to the ER.” However, when I tried to tell them that my GP and the ER has been bouncing me back and forth between each other... the woman on the other end of phone just audibly shrugged and told me that I’d “just have to wait until November then” 
I feel like my faith in the medical system is fading, and that no doctor or nurse will ever take me seriously... I think this is what some call the “patient burnout.” I feel so alone in my symptoms and with my pain, it’s getting to the point where I’m both choking and crying when I have flair-ups... yet, apparently there’s nothing wrong with that. Apparently feeling like your GI tract is cramping so hard that you get dizzy, and throwing up meals  long after you’ve eaten them... is “normal.” I don’t understand what’s normal about that, nor do I get what they’re not finding. I’ve tried pushing for more testing, but it seems like they either don’t want to, or they just don’t see the point in it. 
It’s frustrating, and humiliating 
Sorry for the rant... it’s been a rough day</t>
        </is>
      </c>
      <c r="D2770" t="n">
        <v>39</v>
      </c>
      <c r="E2770" t="n">
        <v>25</v>
      </c>
      <c r="F2770">
        <f>HYPERLINK("https://www.reddit.com/r/GERD/comments/d56230/i_have_a_question/")</f>
        <v/>
      </c>
      <c r="G2770" t="inlineStr">
        <is>
          <t>2019-09-16 13:22:15</t>
        </is>
      </c>
      <c r="H2770" t="inlineStr"/>
    </row>
    <row r="2771">
      <c r="A2771" t="inlineStr">
        <is>
          <t>d562xk</t>
        </is>
      </c>
      <c r="B2771" t="inlineStr">
        <is>
          <t>I want to get rid of this shit pls help</t>
        </is>
      </c>
      <c r="C2771" t="inlineStr">
        <is>
          <t>1) this started after antibiotics
2) this ia fucking debilitating
3) does anything actually help reflux?</t>
        </is>
      </c>
      <c r="D2771" t="n">
        <v>3</v>
      </c>
      <c r="E2771" t="n">
        <v>17</v>
      </c>
      <c r="F2771">
        <f>HYPERLINK("https://www.reddit.com/r/GERD/comments/d562xk/i_want_to_get_rid_of_this_shit_pls_help/")</f>
        <v/>
      </c>
      <c r="G2771" t="inlineStr">
        <is>
          <t>2019-09-16 13:23:46</t>
        </is>
      </c>
      <c r="H2771" t="inlineStr"/>
    </row>
    <row r="2772">
      <c r="A2772" t="inlineStr">
        <is>
          <t>d56318</t>
        </is>
      </c>
      <c r="B2772" t="inlineStr">
        <is>
          <t>It's hard to accept it's not cardiac issues</t>
        </is>
      </c>
      <c r="C2772" t="inlineStr">
        <is>
          <t>In the past five months, I have been tested up and down and all around for cardiac issues and the cardiologist ruled out everything. (I'm still waiting to get officially diagnosed with GERD, but I have been diagnosed with ineffective esophageal motility, which can contribute to GERD-like symptoms.)
But even after all the testing, it's hard not to think it's something related to my heart or vascular system. It feels 100% like how angina symptoms are described -- left chest pain, left arm pain, etc. Except that it's pretty much constant, and not just after exercise or whatever.
Anyway, I know this is totally my health anxiety talking, but does anyone else struggle with this? Like, how can acid reflux feel so much like a heart attack? I guess I'm doomed if I actually have a heart attack! 
Thanks for listening :)</t>
        </is>
      </c>
      <c r="D2772" t="n">
        <v>1</v>
      </c>
      <c r="E2772" t="n">
        <v>0</v>
      </c>
      <c r="F2772">
        <f>HYPERLINK("https://www.reddit.com/r/GERD/comments/d56318/its_hard_to_accept_its_not_cardiac_issues/")</f>
        <v/>
      </c>
      <c r="G2772" t="inlineStr">
        <is>
          <t>2019-09-16 13:23:59</t>
        </is>
      </c>
      <c r="H2772" t="inlineStr"/>
    </row>
    <row r="2773">
      <c r="A2773" t="inlineStr">
        <is>
          <t>d566a2</t>
        </is>
      </c>
      <c r="B2773" t="inlineStr">
        <is>
          <t>GERD and Ear trouble. How did you fix it?</t>
        </is>
      </c>
      <c r="C2773" t="inlineStr">
        <is>
          <t>My acid reflux has progressed recently to move into my ears, giving me fullness and slightly muffing my hearing. I have an Upper GI Series tomorrow to hopefully get some answers. Has anyone dealt with and fixed this issue before?</t>
        </is>
      </c>
      <c r="D2773" t="n">
        <v>4</v>
      </c>
      <c r="E2773" t="n">
        <v>1</v>
      </c>
      <c r="F2773">
        <f>HYPERLINK("https://www.reddit.com/r/GERD/comments/d566a2/gerd_and_ear_trouble_how_did_you_fix_it/")</f>
        <v/>
      </c>
      <c r="G2773" t="inlineStr">
        <is>
          <t>2019-09-16 13:30:41</t>
        </is>
      </c>
      <c r="H2773" t="inlineStr"/>
    </row>
    <row r="2774">
      <c r="A2774" t="inlineStr">
        <is>
          <t>d57d26</t>
        </is>
      </c>
      <c r="B2774" t="inlineStr">
        <is>
          <t>Are these symptoms consistent with GERD/Acid Reflux?</t>
        </is>
      </c>
      <c r="C2774" t="inlineStr">
        <is>
          <t>Hi guys, I am wondering if these symptoms seem consistent with GERD: 
* clenching squeezing feeling right above the heart 
* lots of belching (especially when it feels difficult to breath) 
* feels like I can't take a deep breath (especially when it gets bad, can hold breath fine for about a minute but just feels like I can't breathe)
* Pressure in center of chest (like right between breasts and just underneath) 
* tight chest
* coughing a lot when wake up (usually with mucus) 
* slight burning in chest (least often symptom) 
* dripping sound in throat when laying down
All this is worse laying down. 14 day prilosec eased the symptoms but still a daily occurrence and still get bad flair ups (especially with coffee, chocolate and alcohol) but sometimes these flair ups come from seemingly nowhere. Tums typically help, but at times I can take 4 tums and it doesn't help at all. Symptoms are also pretty bad when hungry. 
Also, unrelated, but can you take more than 5 tums in a day, especially when you take at least 2 every day? 
Thanks for the help!</t>
        </is>
      </c>
      <c r="D2774" t="n">
        <v>4</v>
      </c>
      <c r="E2774" t="n">
        <v>5</v>
      </c>
      <c r="F2774">
        <f>HYPERLINK("https://www.reddit.com/r/GERD/comments/d57d26/are_these_symptoms_consistent_with_gerdacid_reflux/")</f>
        <v/>
      </c>
      <c r="G2774" t="inlineStr">
        <is>
          <t>2019-09-16 14:57:14</t>
        </is>
      </c>
      <c r="H2774" t="inlineStr"/>
    </row>
    <row r="2775">
      <c r="A2775" t="inlineStr">
        <is>
          <t>d57pks</t>
        </is>
      </c>
      <c r="B2775" t="inlineStr">
        <is>
          <t>Manometry</t>
        </is>
      </c>
      <c r="C2775" t="inlineStr">
        <is>
          <t>Just came to say I would never wish this exam/experience on my enemies. Hands down the most uncomfortable experience in my 24 years on this planet. That’s it, folks. Thanks for reading.</t>
        </is>
      </c>
      <c r="D2775" t="n">
        <v>3</v>
      </c>
      <c r="E2775" t="n">
        <v>6</v>
      </c>
      <c r="F2775">
        <f>HYPERLINK("https://www.reddit.com/r/GERD/comments/d57pks/manometry/")</f>
        <v/>
      </c>
      <c r="G2775" t="inlineStr">
        <is>
          <t>2019-09-16 15:23:02</t>
        </is>
      </c>
      <c r="H2775" t="inlineStr"/>
    </row>
    <row r="2776">
      <c r="A2776" t="inlineStr">
        <is>
          <t>d5ckr6</t>
        </is>
      </c>
      <c r="B2776" t="inlineStr">
        <is>
          <t>Diet change?</t>
        </is>
      </c>
      <c r="C2776" t="inlineStr">
        <is>
          <t>Hey everyone! I've noticed that over the past year that my symptoms have been happening more frequently. I try to avoid my most obvious triggers (tomatoes/tomato sauce). Just wanted to get some input on diet changes you guys have made that have had a positive impact on your GERD symptoms (besides avoiding your triggers).</t>
        </is>
      </c>
      <c r="D2776" t="n">
        <v>5</v>
      </c>
      <c r="E2776" t="n">
        <v>5</v>
      </c>
      <c r="F2776">
        <f>HYPERLINK("https://www.reddit.com/r/GERD/comments/d5ckr6/diet_change/")</f>
        <v/>
      </c>
      <c r="G2776" t="inlineStr">
        <is>
          <t>2019-09-16 22:33:31</t>
        </is>
      </c>
      <c r="H2776" t="inlineStr"/>
    </row>
    <row r="2777">
      <c r="A2777" t="inlineStr">
        <is>
          <t>d5fi56</t>
        </is>
      </c>
      <c r="B2777" t="inlineStr">
        <is>
          <t>Weird question but</t>
        </is>
      </c>
      <c r="C2777" t="inlineStr">
        <is>
          <t>Do any o you find yourself urinating more? Is that a symptom?</t>
        </is>
      </c>
      <c r="D2777" t="n">
        <v>3</v>
      </c>
      <c r="E2777" t="n">
        <v>15</v>
      </c>
      <c r="F2777">
        <f>HYPERLINK("https://www.reddit.com/r/GERD/comments/d5fi56/weird_question_but/")</f>
        <v/>
      </c>
      <c r="G2777" t="inlineStr">
        <is>
          <t>2019-09-17 04:18:22</t>
        </is>
      </c>
      <c r="H2777" t="inlineStr"/>
    </row>
    <row r="2778">
      <c r="A2778" t="inlineStr">
        <is>
          <t>d5iwzj</t>
        </is>
      </c>
      <c r="B2778" t="inlineStr">
        <is>
          <t>Does anyone ever get mild dull pain in the upper right quadrant of your body when your GERD is acting up?</t>
        </is>
      </c>
      <c r="C2778" t="inlineStr">
        <is>
          <t>It's always a mild dull pain and it comes on with my other gerd symptoms are acting up. Woke up today with it, along with burping. I put too much honey on some peanut butter last night. and I think that's the culprit.</t>
        </is>
      </c>
      <c r="D2778" t="n">
        <v>7</v>
      </c>
      <c r="E2778" t="n">
        <v>18</v>
      </c>
      <c r="F2778">
        <f>HYPERLINK("https://www.reddit.com/r/GERD/comments/d5iwzj/does_anyone_ever_get_mild_dull_pain_in_the_upper/")</f>
        <v/>
      </c>
      <c r="G2778" t="inlineStr">
        <is>
          <t>2019-09-17 08:51:46</t>
        </is>
      </c>
      <c r="H2778" t="inlineStr"/>
    </row>
    <row r="2779">
      <c r="A2779" t="inlineStr">
        <is>
          <t>d5k147</t>
        </is>
      </c>
      <c r="B2779" t="inlineStr">
        <is>
          <t>Heartburn caused by Prilosec?</t>
        </is>
      </c>
      <c r="C2779" t="inlineStr">
        <is>
          <t>Quick question, has anyone had heartburn after starting Prilosec?
I just started taking it and every day I have heartburn. I actually did not have heartburn before seeing my doctor. I had excessive bloating, gassiness that was making me nauseous at times.
I felt more problems when I was anxious along with it.</t>
        </is>
      </c>
      <c r="D2779" t="n">
        <v>5</v>
      </c>
      <c r="E2779" t="n">
        <v>6</v>
      </c>
      <c r="F2779">
        <f>HYPERLINK("https://www.reddit.com/r/GERD/comments/d5k147/heartburn_caused_by_prilosec/")</f>
        <v/>
      </c>
      <c r="G2779" t="inlineStr">
        <is>
          <t>2019-09-17 10:14:52</t>
        </is>
      </c>
      <c r="H2779" t="inlineStr"/>
    </row>
    <row r="2780">
      <c r="A2780" t="inlineStr">
        <is>
          <t>d5l2da</t>
        </is>
      </c>
      <c r="B2780" t="inlineStr">
        <is>
          <t>LINX procedure recovery - Struggling with horrible side effects...still early</t>
        </is>
      </c>
      <c r="C2780" t="inlineStr">
        <is>
          <t>Hi all.  I recently had the LINX procedure performed along with a hiatal hernia repair earlier this month, roughly 7 days ago.  While it has helped tremendously in regards to reflux (burps, nasty food taste/regurgitation), I have been really struggling with the side effects as of late.  When initially researching the recovery process prior to opting for the surgery, I read that dysphagia was to be expected, but oftentimes people would not emphasize it and it seemed downplayed in regards to how severe it would be.  However, in my own personal experience, the dysphagia has been really bad, coupled with a few other issues that have also been absolutely horrible.  Here is what I have been dealing with so far.
&amp;amp;#x200B;
* ***Neck/Shoulder Pain***: For the first couple of days post-op, I had experienced terrible pain in my shoulders and the back of my neck.  It was so bad that I couldn't sleep without prescribed opiates (and consequently, anti-nausea medicine to deal with the side effects of the opiates).  The pain rendered me useless, as I couldn't muster strength to do basic work around the house, let alone work productively.  I had to take additional time off work, which I didn't anticipate as most of the information out there suggested that I'd only have to deal with dysphagia as just somewhat of a manageable inconvenience.  After some recent researching on my end, it appears that this pain is a common side-effect from the CO2 gas that they use to inflate your belly during the laparoscopic procedure.  It irritates phrenial nerves in your upper body, which results in pain.  It was supposed to subside a couple of days after the procedure but still mildly exists.
* ***Chest Pain/Pressure and Dysphagia:*** Eating has become a brutal challenge in every regard.  The information out there suggests that you are encouraged to return to eating as you normally would, the very next day after the surgery.  This I felt was very misleading.  I can't even remotely eat small bites of any proteins (like chicken, meat, etc.) without tremendous pressure and pain in my chest.  It hurts so bad.  I have tried to eat smaller bites, but it is just unmanageable.  Even eating softer foods, like noodles and bread, has also been a nightmare.  I basically have to nibble the smallest bites I can get, chew, swallow, deal with the pain and pray the pain will be bearable, and just get it down.  If I accidentally eat too fast, I am left dealing with the next side effects...
* ***Hiccups and Retching*****:** If I eat too fast, I experience relentless hiccups coupled with chest pain and pressure.  The hiccups also come with pain in my shoulders every time I bounce.  It is a nightmare.  Additionally, I realize that food is stuck and I need to clear it, so I try to force myself to vomit it out.  What comes out is gooey partially digested food along with massive globs of white, stringy saliva.  It's pretty disgusting.  Takes roughly 15-20 minutes of being in the restroom bracing the toilet-bowl to account for maybe 3-4 bites of hastily eaten food.  I am just not sure this is normal as I would've expected to see it mentioned online.
I seemed to have typed up a storm, but I guess I'm primarily just venting and looking for assurances that this might get better in the coming week(s)?  I've read that dysphagia can exist from Week 3 to Week 8, which is really scary.  Is this going to be my life for the next two months?  And will it really get better after?  My post-op appointment with my doctor is next week.  I hope to run some of these questions by him as well.  Hoping this hell will end sooner than later.</t>
        </is>
      </c>
      <c r="D2780" t="n">
        <v>8</v>
      </c>
      <c r="E2780" t="n">
        <v>21</v>
      </c>
      <c r="F2780">
        <f>HYPERLINK("https://www.reddit.com/r/GERD/comments/d5l2da/linx_procedure_recovery_struggling_with_horrible/")</f>
        <v/>
      </c>
      <c r="G2780" t="inlineStr">
        <is>
          <t>2019-09-17 11:29:22</t>
        </is>
      </c>
      <c r="H2780" t="inlineStr"/>
    </row>
    <row r="2781">
      <c r="A2781" t="inlineStr">
        <is>
          <t>d5lvxd</t>
        </is>
      </c>
      <c r="B2781" t="inlineStr">
        <is>
          <t>LPR &amp;amp; Throat Pain</t>
        </is>
      </c>
      <c r="C2781" t="inlineStr">
        <is>
          <t>What type of throat pain is associated with LPR?  Reason I'm asking is I saw an ENT and he did a scope and found nothing.  My throat has this thickness and pain to it when swallowing.  It's not like a traditional viral/bacterial sore throat.  It's a bit different but still somewhat painful.</t>
        </is>
      </c>
      <c r="D2781" t="n">
        <v>6</v>
      </c>
      <c r="E2781" t="n">
        <v>11</v>
      </c>
      <c r="F2781">
        <f>HYPERLINK("https://www.reddit.com/r/GERD/comments/d5lvxd/lpr_throat_pain/")</f>
        <v/>
      </c>
      <c r="G2781" t="inlineStr">
        <is>
          <t>2019-09-17 12:28:24</t>
        </is>
      </c>
      <c r="H2781" t="inlineStr"/>
    </row>
    <row r="2782">
      <c r="A2782" t="inlineStr">
        <is>
          <t>d5mlye</t>
        </is>
      </c>
      <c r="B2782" t="inlineStr">
        <is>
          <t>PSA on B12 Deficiency</t>
        </is>
      </c>
      <c r="C2782" t="inlineStr">
        <is>
          <t>I'm new to this subreddit but definitely not new to GERD. I've been on various PPIs and H2 receptor blockers for the last decade or so. Something I've never been told until recently (actually by an ENT helping me treat oral thrush and hearing issues exacerbated by reflux) is that PPIs and H2 receptor blockers usually leave users with a B12 deficiency, since our stomach acid isn't acidic enough to get this vitamin from our diets.
B12 deficiency causes a whole host of life-altering symptoms, from fatigue to feeling out of breath more often to unhealthier nails/hair/skin to depression/mood swings/anxiety to muscle weakness...etc. B12 is responsible for the body's ability to make red blood cells to carry oxygen to all the parts of the body, so without it, we suffer immensely. I was on B12 supplements 4-5 years ago, but then my diet went to crap while in school the last three years, and while I haven't yet gotten my B12 levels tested, my almost immediate reaction to B12 supplements has shown me just how badly I needed them.
Taking an oral pill is much less likely to be absorbed than a sublingual tablet or liquid B12. And the most bioavailable form is methylcobalamin and adenosylcobalamin. Those are the two forms your body uses directly. Cheaper supplements will just be cobalamin, but some people's bodies lack the ability to change this substance into its bioavailable forms. I'm currently on a liquid B12 sublingual tincture (so I can choose my dose everyday) that is 80% methylcobalamin and 20% adenosylcobalmin, and within just the last 5 days, the tinnitus I was suffering from has quieted exponentially, my energy is higher (i.e. I actually have some), and my mood is damn near close to cheerful most days. 
I AM NOT A DOCTOR or expert...I just learned a lot about nutrition a few years ago from my naturopath and do a \*lot\* of internet reading in present day lol. Obviously if you don't have a B12 deficiency, you won't notice a difference, and if you're also deficient in folate, you'll need to supplement this as well, since B12 and folate work together in many body processes. BUT if anyone else is like me and has been on acid reducers for years with no clue about the dangers of B12 deficiency associated with them, I just wanted to share :)</t>
        </is>
      </c>
      <c r="D2782" t="n">
        <v>7</v>
      </c>
      <c r="E2782" t="n">
        <v>17</v>
      </c>
      <c r="F2782">
        <f>HYPERLINK("https://www.reddit.com/r/GERD/comments/d5mlye/psa_on_b12_deficiency/")</f>
        <v/>
      </c>
      <c r="G2782" t="inlineStr">
        <is>
          <t>2019-09-17 13:20:38</t>
        </is>
      </c>
      <c r="H2782" t="inlineStr"/>
    </row>
    <row r="2783">
      <c r="A2783" t="inlineStr">
        <is>
          <t>d5nds5</t>
        </is>
      </c>
      <c r="B2783" t="inlineStr">
        <is>
          <t>Projecting voice with LPR issues</t>
        </is>
      </c>
      <c r="C2783" t="inlineStr">
        <is>
          <t>Especially when public speaking, it comes out squished, high pitches, and thin which is wrecking my confidence. If I talk softly it sounds ok but the minute I try and speak loud with emphasis, I feel the muscles tightening and pinching.
It all started after a bacterial throat infection. Is this due to damage to the area?</t>
        </is>
      </c>
      <c r="D2783" t="n">
        <v>2</v>
      </c>
      <c r="E2783" t="n">
        <v>6</v>
      </c>
      <c r="F2783">
        <f>HYPERLINK("https://www.reddit.com/r/GERD/comments/d5nds5/projecting_voice_with_lpr_issues/")</f>
        <v/>
      </c>
      <c r="G2783" t="inlineStr">
        <is>
          <t>2019-09-17 14:17:24</t>
        </is>
      </c>
      <c r="H2783" t="inlineStr"/>
    </row>
    <row r="2784">
      <c r="A2784" t="inlineStr">
        <is>
          <t>d5otwy</t>
        </is>
      </c>
      <c r="B2784" t="inlineStr">
        <is>
          <t>Muscle Cell Infusion Shown to Strengthen Sphincters in Animals</t>
        </is>
      </c>
      <c r="C2784" t="inlineStr">
        <is>
          <t>[https://www.sciencedaily.com/releases/2009/12/091204145709.htm](https://www.sciencedaily.com/releases/2009/12/091204145709.htm)</t>
        </is>
      </c>
      <c r="D2784" t="n">
        <v>6</v>
      </c>
      <c r="E2784" t="n">
        <v>5</v>
      </c>
      <c r="F2784">
        <f>HYPERLINK("https://www.reddit.com/r/GERD/comments/d5otwy/muscle_cell_infusion_shown_to_strengthen/")</f>
        <v/>
      </c>
      <c r="G2784" t="inlineStr">
        <is>
          <t>2019-09-17 16:06:27</t>
        </is>
      </c>
      <c r="H2784" t="inlineStr"/>
    </row>
    <row r="2785">
      <c r="A2785" t="inlineStr">
        <is>
          <t>d5plul</t>
        </is>
      </c>
      <c r="B2785" t="inlineStr">
        <is>
          <t>Only have post nasal drip?</t>
        </is>
      </c>
      <c r="C2785" t="inlineStr">
        <is>
          <t>So I have been eating a low acid diet for the past 40 days and taking 40mg pantoprazole daily. I only have had post nasal drip for the past two weeks and don’t have any other lpr symptoms (use to have a hoarse voice, food stuck). 
Is anyone else going through something similar? If so, does sticking to the diet for multiple months help?
Thanks!</t>
        </is>
      </c>
      <c r="D2785" t="n">
        <v>6</v>
      </c>
      <c r="E2785" t="n">
        <v>6</v>
      </c>
      <c r="F2785">
        <f>HYPERLINK("https://www.reddit.com/r/GERD/comments/d5plul/only_have_post_nasal_drip/")</f>
        <v/>
      </c>
      <c r="G2785" t="inlineStr">
        <is>
          <t>2019-09-17 17:09:20</t>
        </is>
      </c>
      <c r="H2785" t="inlineStr"/>
    </row>
    <row r="2786">
      <c r="A2786" t="inlineStr">
        <is>
          <t>d5spxk</t>
        </is>
      </c>
      <c r="B2786" t="inlineStr">
        <is>
          <t>Nexium Not working</t>
        </is>
      </c>
      <c r="C2786" t="inlineStr">
        <is>
          <t>Hey guys. I've been taking nexium for about 2-3 weeks (2 a day) 1 in the morning one around evening, to heal mild esophagitis. Mind you, my doctor didn't even recommend I take anything... which is weird, wouldn't I need this to heal my throat? Anyway, I didn't really have heartburn to begin with, it's definitely silent reflux, effects my voice, swallowing is definitely off, used to be horrible but got better I guess sorta with nexium. Anyway, I'm taking 2 nexiums a day, and slipping in a few 150 mg zantacs here and there. It's really not working? Do I switch brands or ? 
&amp;amp;#x200B;
And also I should mention. I've been trying to take probiotics for the last few days, in yogurt form. Best kind you can buy from whole foods.  1. I'm getting burnt throat, and a weird stomach.  2. gas/cramps, and not like my regular heartburn. Idk if that has anything to do with it, but thought i'd mention.</t>
        </is>
      </c>
      <c r="D2786" t="n">
        <v>4</v>
      </c>
      <c r="E2786" t="n">
        <v>7</v>
      </c>
      <c r="F2786">
        <f>HYPERLINK("https://www.reddit.com/r/GERD/comments/d5spxk/nexium_not_working/")</f>
        <v/>
      </c>
      <c r="G2786" t="inlineStr">
        <is>
          <t>2019-09-17 21:39:49</t>
        </is>
      </c>
      <c r="H2786" t="inlineStr"/>
    </row>
    <row r="2787">
      <c r="A2787" t="inlineStr">
        <is>
          <t>d5vbgw</t>
        </is>
      </c>
      <c r="B2787" t="inlineStr">
        <is>
          <t>Heart palpitations on PPIs?</t>
        </is>
      </c>
      <c r="C2787" t="inlineStr">
        <is>
          <t>Has anyone else started getting heart palpitations after starting PPIs? Been on 2 months, GI prescribed 3, but I've had 3 or so episodes of racing, irregular heartbeat since starting and I am considering stopping the meds. Anyone else have experience with this?</t>
        </is>
      </c>
      <c r="D2787" t="n">
        <v>5</v>
      </c>
      <c r="E2787" t="n">
        <v>19</v>
      </c>
      <c r="F2787">
        <f>HYPERLINK("https://www.reddit.com/r/GERD/comments/d5vbgw/heart_palpitations_on_ppis/")</f>
        <v/>
      </c>
      <c r="G2787" t="inlineStr">
        <is>
          <t>2019-09-18 02:37:58</t>
        </is>
      </c>
      <c r="H2787" t="inlineStr"/>
    </row>
    <row r="2788">
      <c r="A2788" t="inlineStr">
        <is>
          <t>d5xtw5</t>
        </is>
      </c>
      <c r="B2788" t="inlineStr">
        <is>
          <t>Zantac found to have potential carcinogens... Alternatives?</t>
        </is>
      </c>
      <c r="C2788" t="inlineStr">
        <is>
          <t>Last week is was reported that Zantac and other generic versions may include the carcinogen "N-nitrosodimethylamine (NDMA)". 
Most OTC ranitidine products don't list active ingredients so trying to figure out which would be safer to take. Any recommendation are appreciated.</t>
        </is>
      </c>
      <c r="D2788" t="n">
        <v>0</v>
      </c>
      <c r="E2788" t="n">
        <v>10</v>
      </c>
      <c r="F2788">
        <f>HYPERLINK("https://www.reddit.com/r/GERD/comments/d5xtw5/zantac_found_to_have_potential_carcinogens/")</f>
        <v/>
      </c>
      <c r="G2788" t="inlineStr">
        <is>
          <t>2019-09-18 06:31:09</t>
        </is>
      </c>
      <c r="H2788" t="inlineStr"/>
    </row>
    <row r="2789">
      <c r="A2789" t="inlineStr">
        <is>
          <t>d5ydqk</t>
        </is>
      </c>
      <c r="B2789" t="inlineStr">
        <is>
          <t>Relief until 10/10 GI doc appointment?</t>
        </is>
      </c>
      <c r="C2789" t="inlineStr">
        <is>
          <t>As the title states, I have an appointment with a GI doctor on October 10th - earliest I could get in. I discovered this subreddit in the midst of a belching attack late last night and was hoping that I could request some tips on easing my symptoms until that appointment. I fully understand that asking strangers for advice on the internet is no substitute for a physician, however I am feeling desperate as these constant symptoms are affecting my daily life and mental health pretty severely, so I am looking for any ideas on how to get some relief in the meantime. 
I have a long history with IBS that started after I recovered from an eating disorder - see post history for the long, gory version. In May, out of nowhere I began having persistent nausea, for which my primary care physician recommended that I take a 6-week course of Prilosec to address. This helped, however when I stopped taking it, in addition to the nausea I began having issues with constant belching that was worse at night and kept me from sleeping. My PCP again recommended that I take Prilosec for another 8-weeks, which helped again, but issues came back worse when I stopped taking it.
I'm now having daily symptoms that appear to be synonymous with GERD: belching (occasionally accompanied by small bits of food and/or acid), lump in my throat, chest pain, difficulty breathing, sore throat. I also have moderate to severe bloating in my upper stomach. Last night, I was up for three hours because I could not stop belching, small ones that did not relieve the pressure. 
Steps I am currently taking:
* Prilosec 1x per day (20 mg dose) at the recommendation of my PCP
* Take Beano, Gas-X, &amp;amp; Tums as needed
* Current treatment of belching attacks consists of moving around, taking Brioschi, and sipping ginger tea - this helps somewhat but still takes 2-3 hours for things to resolve back to a semi-comfortable state
* Exercise 5-7 days/week
* I am a notoriously fast eater, so I have really been working on taking 15-20 minutes to eat a meal instead of shoving food into my facehole
* Eating smaller meals/snacks throughout the day 
Medication-wise, I also take anxiety meds (Buspirone), Align, birth control, multi-vitamin, and melatonin. 
Thanks for reading.</t>
        </is>
      </c>
      <c r="D2789" t="n">
        <v>6</v>
      </c>
      <c r="E2789" t="n">
        <v>5</v>
      </c>
      <c r="F2789">
        <f>HYPERLINK("https://www.reddit.com/r/GERD/comments/d5ydqk/relief_until_1010_gi_doc_appointment/")</f>
        <v/>
      </c>
      <c r="G2789" t="inlineStr">
        <is>
          <t>2019-09-18 07:13:17</t>
        </is>
      </c>
      <c r="H2789" t="inlineStr"/>
    </row>
    <row r="2790">
      <c r="A2790" t="inlineStr">
        <is>
          <t>d5z99t</t>
        </is>
      </c>
      <c r="B2790" t="inlineStr">
        <is>
          <t>My weird adventure with dehydration</t>
        </is>
      </c>
      <c r="C2790" t="inlineStr">
        <is>
          <t>This is for other high intake caffeine consumers. 
Preface: if you consume the same amount of caffeine for long enough, it stops being a strong diuretic. 
This is where my adventure begins.  A few weeks ago, I started cutting back on caffeine.  I got my caffeine fix from energy drinks and Diet Mointain Dew. Suddenly, my GERD symptoms went nuts, and in my mind the only thing that changed was less caffeine.  That went on for about a week, then I stumbled across the information about caffeine not being such a strong diuretic after a while. 
So, the real change to my body was that I was really drinking over a liter less water per day.
With that realization, I  began drinking a lot more water until I had to urinate too frequently and then backed off. Tada! GERD symptoms went away.
That's my weird adventure with dehydration. 
TL:DR; my body adapted to my caffeine consumption so my caffeinated drinks were hydrating me. I needed to increase my wager intake after cutting back on them.</t>
        </is>
      </c>
      <c r="D2790" t="n">
        <v>8</v>
      </c>
      <c r="E2790" t="n">
        <v>1</v>
      </c>
      <c r="F2790">
        <f>HYPERLINK("https://www.reddit.com/r/GERD/comments/d5z99t/my_weird_adventure_with_dehydration/")</f>
        <v/>
      </c>
      <c r="G2790" t="inlineStr">
        <is>
          <t>2019-09-18 08:17:19</t>
        </is>
      </c>
      <c r="H2790" t="inlineStr"/>
    </row>
    <row r="2791">
      <c r="A2791" t="inlineStr">
        <is>
          <t>d608eb</t>
        </is>
      </c>
      <c r="B2791" t="inlineStr">
        <is>
          <t>I internally cry myself to sleep every night because of non-stop reflux.</t>
        </is>
      </c>
      <c r="C2791" t="inlineStr">
        <is>
          <t>\-Heartburn is very rare for me. I only get it if my diet is poor that day/I eat a trigger food.
\-I reflux **EVERYTHING**. Even in the morning, I get up, I drink a glass of water, and I immediately reflux it - I have to swallow 3+ times before it settles in my stomach.
\-I don't remember a time period in the past 15 years where I didn't feel nauseous. I don't actually throw up though.
\-I basically have the feeling of post-nasal drip 24/7.
\-My throat often feels like something is stuck there.
\-I burp so god damn much.
\-I forget to eat because eating makes me feel nauseous so I often naturally avoid eating food.
\-Something as simple as jumping or turning around means I can literally feel the contents of my stomach coming up.
\-I haven't had a good night's sleep in over 15 years because I'm always feeling nauseous. My bed is propped up 9 inches and I sleep on my left side.
\-I don't smoke, I don't drink alcohol, I don't drink coffee, I have a very healthy diet, I almost never eat sweets/chocolate, I avoid spicy/acidic/fatty/greasy foods, I work out often and look pretty fit.
\-PPIs/other acid medication has done absolutely nothing because *I don't feel like I have any acid coming up*, just whatever is in my stomach which is usually not an abundance of acid unless I eat trigger foods, so whenever a doctor suggests acid reducing medication I want to punch them out. How would reducing the amount of acid in my stomach prevent me from refluxing water in the morning?
&amp;amp;#x200B;
Next week, after waiting nearly ten months, I will finally see a GI specialist. I am terrified that after waiting for 9 months this person is going to make me try more PPIs/suggest other stupid things and make me wait 6-12+ more months before anything useful is suggested.
&amp;amp;#x200B;
I don't know what to do anymore.</t>
        </is>
      </c>
      <c r="D2791" t="n">
        <v>32</v>
      </c>
      <c r="E2791" t="n">
        <v>57</v>
      </c>
      <c r="F2791">
        <f>HYPERLINK("https://www.reddit.com/r/GERD/comments/d608eb/i_internally_cry_myself_to_sleep_every_night/")</f>
        <v/>
      </c>
      <c r="G2791" t="inlineStr">
        <is>
          <t>2019-09-18 09:26:20</t>
        </is>
      </c>
      <c r="H2791" t="inlineStr"/>
    </row>
    <row r="2792">
      <c r="A2792" t="inlineStr">
        <is>
          <t>d61dxs</t>
        </is>
      </c>
      <c r="B2792" t="inlineStr">
        <is>
          <t>Constipation</t>
        </is>
      </c>
      <c r="C2792" t="inlineStr">
        <is>
          <t>I’m on 40mg of Prilosec for 2 weeks, possibly a month. I haven’t pooped in 3 days. When I do, it’s small pebbles. I saw this is a side effect? Anyone deal with this? Even coffee isn’t helping.😬</t>
        </is>
      </c>
      <c r="D2792" t="n">
        <v>3</v>
      </c>
      <c r="E2792" t="n">
        <v>9</v>
      </c>
      <c r="F2792">
        <f>HYPERLINK("https://www.reddit.com/r/GERD/comments/d61dxs/constipation/")</f>
        <v/>
      </c>
      <c r="G2792" t="inlineStr">
        <is>
          <t>2019-09-18 10:47:23</t>
        </is>
      </c>
      <c r="H2792" t="inlineStr"/>
    </row>
    <row r="2793">
      <c r="A2793" t="inlineStr">
        <is>
          <t>d63oib</t>
        </is>
      </c>
      <c r="B2793" t="inlineStr">
        <is>
          <t>Heartburn, burning chest and stomach, heart palpitations.</t>
        </is>
      </c>
      <c r="C2793" t="inlineStr">
        <is>
          <t xml:space="preserve"> 
Hi all, im new to reddit and im not sure where to turn for help or input.
I  have been on rabeprazole for 14 years..then been off of it for a year  because my acid reflux went away. 3 years ago i started to bulk and  workout and since doing that my acid reflux came back, so i went back on  rabeprazole but was only taking 10mg day and was doing the job great.
3  weeks ago out of the blue i had a panic attack where i went to the  ER. Since that panic attack happened i have been having serious  daily heart palpitations with shortness of breath, very bad heartburn,  light headed, and waking up every 2 hours at night sometimes sweaty. my  doctor diagnosed it as heartburn and put me on prevacid 30mg twice a  day. heartburn got better for only 5 days and now for the past 4 days i  have very bad burning in my chest and stomach, its not in the center of my chest its  everywhere and on the top of stomach feels like its swollen. i think  the medicine isn't working...i also took baking soda/water, pepto, and  nothing is stopping this burning sensation. its so bad that its making  it hard to breath and making my heart palpitations worse. how can nothing stop this heartburn? is this even heartburn/gerd? has anyone had  something like this happen to them? im going crazy and i have lost 13lbs in the last 3 weeks.
Ps.  I have had this localized pain in my lower right stomach for the past 2  months when i bend over. but now its more persistent. the doctor said  it could be muscle but im not sure if its related to the problems im  having.</t>
        </is>
      </c>
      <c r="D2793" t="n">
        <v>3</v>
      </c>
      <c r="E2793" t="n">
        <v>6</v>
      </c>
      <c r="F2793">
        <f>HYPERLINK("https://www.reddit.com/r/GERD/comments/d63oib/heartburn_burning_chest_and_stomach_heart/")</f>
        <v/>
      </c>
      <c r="G2793" t="inlineStr">
        <is>
          <t>2019-09-18 13:32:05</t>
        </is>
      </c>
      <c r="H2793" t="inlineStr"/>
    </row>
    <row r="2794">
      <c r="A2794" t="inlineStr">
        <is>
          <t>d63sk9</t>
        </is>
      </c>
      <c r="B2794" t="inlineStr">
        <is>
          <t>cant swallow at all</t>
        </is>
      </c>
      <c r="C2794" t="inlineStr">
        <is>
          <t>Haven't eaten in over a month and liquids are a struggle some days cant do them at all. I've seen an ENT with a scope (saw nothing wrong) and seen a GI with a endoscope. All the GI saw was some inflammation on the lining of my esophagus, that's it. He's just assuming it's GERD but I am not convinced. I've been suffering so long with this and it's been hell getting a diagnosis. Do any of you with GERD have or have had this? Please help me I'm at my wits end.</t>
        </is>
      </c>
      <c r="D2794" t="n">
        <v>3</v>
      </c>
      <c r="E2794" t="n">
        <v>21</v>
      </c>
      <c r="F2794">
        <f>HYPERLINK("https://www.reddit.com/r/GERD/comments/d63sk9/cant_swallow_at_all/")</f>
        <v/>
      </c>
      <c r="G2794" t="inlineStr">
        <is>
          <t>2019-09-18 13:43:34</t>
        </is>
      </c>
      <c r="H2794" t="inlineStr"/>
    </row>
    <row r="2795">
      <c r="A2795" t="inlineStr">
        <is>
          <t>d64of9</t>
        </is>
      </c>
      <c r="B2795" t="inlineStr">
        <is>
          <t>Another question...</t>
        </is>
      </c>
      <c r="C2795" t="inlineStr">
        <is>
          <t>Hello helpful strangers, 
So, since my last rant post... I’ve been getting some weird stuff happening. Such as:
• Feeling nauseous after eating
• Dizzy, as if I have a fever
• Lack of appetite 
• Fullness after eating just a little
• Stomach cramps
• Worsening reflux, now happening even when I’m standing and sitting
• Still regurgitating meals a very long time after I’ve eaten them 
At first I thought that I was getting the flu. But then I thought about it, and it can’t be the flu... this has gone on far too long, it’s been months in the making and the flu just doesn’t last that long. I still have black stool, I still have all the same symptoms as before... except within the past little bit; new ones have cropped up too.
SOS? HELP? Anybody else suffering with this stuff?</t>
        </is>
      </c>
      <c r="D2795" t="n">
        <v>2</v>
      </c>
      <c r="E2795" t="n">
        <v>8</v>
      </c>
      <c r="F2795">
        <f>HYPERLINK("https://www.reddit.com/r/GERD/comments/d64of9/another_question/")</f>
        <v/>
      </c>
      <c r="G2795" t="inlineStr">
        <is>
          <t>2019-09-18 15:25:43</t>
        </is>
      </c>
      <c r="H2795" t="inlineStr"/>
    </row>
    <row r="2796">
      <c r="A2796" t="inlineStr">
        <is>
          <t>d65dqr</t>
        </is>
      </c>
      <c r="B2796" t="inlineStr">
        <is>
          <t>How I have managed to drastically decrease all my acid reflux related issues</t>
        </is>
      </c>
      <c r="C2796" t="inlineStr">
        <is>
          <t>I used the word decreased rather than cured because I rarely have any acid reflux or stomach issues anymore like I used to. 
The method that I have used works for me and I am not a medical professional, so take my advice with a grain of salt, try at your own risk please. 
Where to start, I have had acid reflux, Gerd, heartburn whatever you want to call it for about 5 years now, but over the past 2 years its gotten severally worse. I went from having acid reflux once every couple weeks to having it everyday 24/7 non stop. I woke up with the taste of acid in my mouth and i went to sleep with it too. My stomach felt tender, i got bloated, constipated you name it! I had it all!
I tried everything with my doctor and nothing worked, antiacids, PPI, eating better, I was literally willing to try everything and i was feeling like shit because no matter what i did nothing worked, i even tried being vegan, vegetarian, fasting, i fucking tried it all!! During the crap ton of doctor visits, I also had your typical exams, upper GI, stomach ultra sound, MRI etc
What i was noticing after years of dealing with this BS disease was that antiacids wouldnt do shit for me, I would actually feel worse, but the weird thing was that coffee actually made my stomach feel better, it didnt make sense, I thought acidic food and stomach acid dont go together! So i started doing research.
I found that the main thing with people that suffer with acid reflux is not that they have too much acid but not ENOUGH, I also found that stress and anxiety causes our stomach to not produce enough acid because when we are under stress our body is in fight or flight mode and it uses our energy on other things so stomach production is slowed down, and let me TELL YOU, I have a shit ton of stress and anxiety on a daily basis. 
Now for the good part, How I managed to decrease all my symptoms to where I can actually live again!
So after the crap ton of research that I did, I found that sometimes that best thing to do is ADD MORE acid to our stomach to give it that extra push it needs to digest food, I know acid reflux plus more acid, you're crazy but hear me out!
Like I said earlier I noticed that during the times I had alot of stress and anxiety I would have alot of stomach issues, I i came to the understanding that what i read must be true, so I looked for a solution, and I found it!
Beatine HCI!!
You can buy them in capsule form, I buy ones off Amazon called Pure Encapsulations - Betaine HCl/Pepsin, make sure they have pepsin!
Okay so in order to see if you actually have low stomach acid like i do there is a test with must do with this pills. Before you have a meal take a pill, if you feel fine, increase to two pills, if you feel a burning in your stomach, STOP! You more than likely do not have low stomach acid and you have another issue, for me 3-4 pills before every meal has done miracles! I can eat even spicy food and I feel nothing, I feel normal! You can actually look up the betaine HCI test on google and get more info on how to properly test yourself for low stomach acid. 
Again, take my advice with a grain of salt, I AM NOT A DOCTOR, try at your own risk, 
If I can help at least one other person, thats all that matters!
&amp;amp;#x200B;
TLDR: Acid reflux for years, tried everything, figured out I actually had low acid rather than too much, started taking Beatine HCI to add more acid to my stomach and got rid of pretty much all my symptoms</t>
        </is>
      </c>
      <c r="D2796" t="n">
        <v>4</v>
      </c>
      <c r="E2796" t="n">
        <v>48</v>
      </c>
      <c r="F2796">
        <f>HYPERLINK("https://www.reddit.com/r/GERD/comments/d65dqr/how_i_have_managed_to_drastically_decrease_all_my/")</f>
        <v/>
      </c>
      <c r="G2796" t="inlineStr">
        <is>
          <t>2019-09-18 16:20:51</t>
        </is>
      </c>
      <c r="H2796" t="inlineStr"/>
    </row>
    <row r="2797">
      <c r="A2797" t="inlineStr">
        <is>
          <t>d65f0k</t>
        </is>
      </c>
      <c r="B2797" t="inlineStr">
        <is>
          <t>Does anyone else have a burning stomach as the main symptom?</t>
        </is>
      </c>
      <c r="C2797" t="inlineStr">
        <is>
          <t>Hi I've been dealing with a lot of pain the last 5 months and still don't have any answers so I want to break everything down for you all to see if anyone else can get an idea of what is going on with me.
I (23F) started a new desk job in February. April I started getting really bad lower back pain so I was prescribed pain medication and muscle relaxers my PCP thought it was from sitting at a desk for my new job. While taking the medicine I started to have a burning stomach pain above my belly button. I went back to my PCP who tested me for H Pylori and when the test came back negative she prescribed me Omeprazole and Sucralfate. The Sucralfate seemed to help a bit by coating my stomach but the Omeprazole did not help at all, but she told me to give it 8 or so weeks to work. I did the whole thing along with changing my diet and I still had the burning pain no different than when I was not taking the medication. When I reported back with this she had me start taking Zantac before bed so I was on Omperazole in the morning and Zantac at night, still no change. She referred me to a GI doctor but I couldn't see him for a couple of months and was told to keep taking the medication till I saw him. Finally I just had my endoscopy/colonscopy a couple of weeks ago where they said everything looked fine and they took some biopsies for H Pylori and Celiac Disease. Well they just called back with my lab results and both came back negative
I'm happy that they haven't found anything serious but I'm also just really wanting an answer to what's going on. Also for my medical background I had my gallbladder removed when I was 16 and I also had pancreatitis caused from the gallstones backing bile up into my pancreas and I did have an issue a couple of years ago with a "lump in my throat" feeling where I saw an ENT and it was from acid coming up to my throat but this burning pain is new to me and while I do get occasional heart burn it's not what's causing me the most pain, it's my stomach burning. The pain is like a gnawing feeling in upper abdomen and when it's particularly bad I feel it in my lower stomach aswell. On this sub it seems like stomach burning isn't the main symptom so I want to know if this is really acute GERD or something else causing my issues? I stopped taking the acid blockers and still feel the same. It's strange to me that they made no difference in my stomach pain. Any feedback is greatly appreciated!</t>
        </is>
      </c>
      <c r="D2797" t="n">
        <v>4</v>
      </c>
      <c r="E2797" t="n">
        <v>13</v>
      </c>
      <c r="F2797">
        <f>HYPERLINK("https://www.reddit.com/r/GERD/comments/d65f0k/does_anyone_else_have_a_burning_stomach_as_the/")</f>
        <v/>
      </c>
      <c r="G2797" t="inlineStr">
        <is>
          <t>2019-09-18 16:23:28</t>
        </is>
      </c>
      <c r="H2797" t="inlineStr"/>
    </row>
    <row r="2798">
      <c r="A2798" t="inlineStr">
        <is>
          <t>d66jr5</t>
        </is>
      </c>
      <c r="B2798" t="inlineStr">
        <is>
          <t>Lose weight and get away from GLUTEN (wheat, barley, rye) as well as dairy</t>
        </is>
      </c>
      <c r="C2798" t="inlineStr">
        <is>
          <t>I used to do bulks and cuts as a weight lifter / body-builder and I noticed my reflux was WAY WORSE when I had even just some chubby areas around my waist. When I'd cut and not eat as much food to slim down to see my abs, I noticed the reflux pretty much wasn't there unless I ate something late at night. The only thing that seems to help at night is drinking water mixed with apple cider vinegar. That neutralizes the acid, while still allowing you to digest your food unlike PPIs.   
But I rarely ever have it now that I've gotten away from dairy and ESPECIALLY gluten. It's been hard changing my diet, but knowing how bad reflux was, especially at night trying to sleep, I am willing to go gluten free for the rest of my life.   
BTW, not all dairy is bad, I seem to only have the most problems when I drink straight cow's milk. I end up with burps that smell like sulfur (rotten eggs) and even diarrhea that smells similar. There are many cow's milk alternatives now, almond milk, walnut milk, coconut milk and even goat's milk (which doesn't have as much lactose in it). Also, the protein in milk (casein) mimics the gluten protein in wheat, so if you have a wheat allergy or Celiac, it's best to stay away from casein products too.</t>
        </is>
      </c>
      <c r="D2798" t="n">
        <v>4</v>
      </c>
      <c r="E2798" t="n">
        <v>13</v>
      </c>
      <c r="F2798">
        <f>HYPERLINK("https://www.reddit.com/r/GERD/comments/d66jr5/lose_weight_and_get_away_from_gluten_wheat_barley/")</f>
        <v/>
      </c>
      <c r="G2798" t="inlineStr">
        <is>
          <t>2019-09-18 17:54:38</t>
        </is>
      </c>
      <c r="H2798" t="inlineStr"/>
    </row>
    <row r="2799">
      <c r="A2799" t="inlineStr">
        <is>
          <t>d66vij</t>
        </is>
      </c>
      <c r="B2799" t="inlineStr">
        <is>
          <t>I need some guidance.</t>
        </is>
      </c>
      <c r="C2799" t="inlineStr">
        <is>
          <t>I have GERd and omepraloze.  I had a endoscopy done in April with only signs of a small high hernia. Complete cardio workup done prior as well as I feared heart issues. Currently I am belching a lot, feeling dizzy and almost like my heart skips and take extra beats. Anyone else have crazy symptoms with GERD or could it be something else?  Thanks</t>
        </is>
      </c>
      <c r="D2799" t="n">
        <v>4</v>
      </c>
      <c r="E2799" t="n">
        <v>14</v>
      </c>
      <c r="F2799">
        <f>HYPERLINK("https://www.reddit.com/r/GERD/comments/d66vij/i_need_some_guidance/")</f>
        <v/>
      </c>
      <c r="G2799" t="inlineStr">
        <is>
          <t>2019-09-18 18:21:52</t>
        </is>
      </c>
      <c r="H2799" t="inlineStr"/>
    </row>
    <row r="2800">
      <c r="A2800" t="inlineStr">
        <is>
          <t>d67dx7</t>
        </is>
      </c>
      <c r="B2800" t="inlineStr">
        <is>
          <t>GERD symptoms or cancer</t>
        </is>
      </c>
      <c r="C2800" t="inlineStr">
        <is>
          <t>Hi I am 21 year old male who has been suffering with acid reflux for a few years, I think the thing that scares me is I might have throat cancer, only because when I eat I feel like some food left over is stuck in my throat, It usually goes down, and I’m not choking. I could be that I eat to fast but just wanted an opinion</t>
        </is>
      </c>
      <c r="D2800" t="n">
        <v>0</v>
      </c>
      <c r="E2800" t="n">
        <v>3</v>
      </c>
      <c r="F2800">
        <f>HYPERLINK("https://www.reddit.com/r/GERD/comments/d67dx7/gerd_symptoms_or_cancer/")</f>
        <v/>
      </c>
      <c r="G2800" t="inlineStr">
        <is>
          <t>2019-09-18 19:04:05</t>
        </is>
      </c>
      <c r="H2800" t="inlineStr"/>
    </row>
    <row r="2801">
      <c r="A2801" t="inlineStr">
        <is>
          <t>d68bfx</t>
        </is>
      </c>
      <c r="B2801" t="inlineStr">
        <is>
          <t>Is this GERD</t>
        </is>
      </c>
      <c r="C2801" t="inlineStr">
        <is>
          <t>So I have mild chronic gastritis and I’m starting to think that GERD is actually to blame for the milf Nasea I always feel. I sometimes (every few days) wake up with a slight sour taste in my mouth but nothing serious. But what is most annoying is throughout the day I always have this sort of lump at the top of my throat and feel as if my esophagus is tight. It doesn’t hurt but it isn’t a pleasant feeling and i can’t get rid of it. It gets worse after eating. Is this GERD or is a psychological problem? And is there anyway to fix it because atancids don’t help. Its been so long and I forgot what it feels like normally. Any insight or advice would be deeply appreciated.</t>
        </is>
      </c>
      <c r="D2801" t="n">
        <v>2</v>
      </c>
      <c r="E2801" t="n">
        <v>2</v>
      </c>
      <c r="F2801">
        <f>HYPERLINK("https://www.reddit.com/r/GERD/comments/d68bfx/is_this_gerd/")</f>
        <v/>
      </c>
      <c r="G2801" t="inlineStr">
        <is>
          <t>2019-09-18 20:26:02</t>
        </is>
      </c>
      <c r="H2801" t="inlineStr"/>
    </row>
    <row r="2802">
      <c r="A2802" t="inlineStr">
        <is>
          <t>d68mwy</t>
        </is>
      </c>
      <c r="B2802" t="inlineStr">
        <is>
          <t>LPR throat pain for a whole year</t>
        </is>
      </c>
      <c r="C2802" t="inlineStr">
        <is>
          <t>So I’m pretty sure I have LPR because I have all the symptoms i have been to 3 ents and in the last visit she saw inflammation in my throat this has been going on for a year and I have so much anxiety because of it I was put on antidepressants for my anxiety and I don’t want to take the PPI I have throat pain every day it’s so debilitating 😩😩😩 does anyone have this problem too it feels like I’m being stabbed in my throat every day</t>
        </is>
      </c>
      <c r="D2802" t="n">
        <v>2</v>
      </c>
      <c r="E2802" t="n">
        <v>2</v>
      </c>
      <c r="F2802">
        <f>HYPERLINK("https://www.reddit.com/r/GERD/comments/d68mwy/lpr_throat_pain_for_a_whole_year/")</f>
        <v/>
      </c>
      <c r="G2802" t="inlineStr">
        <is>
          <t>2019-09-18 20:55:14</t>
        </is>
      </c>
      <c r="H2802" t="inlineStr"/>
    </row>
    <row r="2803">
      <c r="A2803" t="inlineStr">
        <is>
          <t>d69cla</t>
        </is>
      </c>
      <c r="B2803" t="inlineStr">
        <is>
          <t>F*** GERD/LPR! Let's share your successful experience to get rid of GERD/LPR!</t>
        </is>
      </c>
      <c r="C2803" t="inlineStr">
        <is>
          <t>Something positive!</t>
        </is>
      </c>
      <c r="D2803" t="n">
        <v>12</v>
      </c>
      <c r="E2803" t="n">
        <v>22</v>
      </c>
      <c r="F2803">
        <f>HYPERLINK("https://www.reddit.com/r/GERD/comments/d69cla/f_gerdlpr_lets_share_your_successful_experience/")</f>
        <v/>
      </c>
      <c r="G2803" t="inlineStr">
        <is>
          <t>2019-09-18 22:07:37</t>
        </is>
      </c>
      <c r="H2803" t="inlineStr"/>
    </row>
    <row r="2804">
      <c r="A2804" t="inlineStr">
        <is>
          <t>d69htd</t>
        </is>
      </c>
      <c r="B2804" t="inlineStr">
        <is>
          <t>can a gerd flare up make you feel feverish/sick/flu like?</t>
        </is>
      </c>
      <c r="C2804" t="inlineStr">
        <is>
          <t>I thought I was getting a cold because I started to get a scratchy throat, but I've been burping for two days, my stomach is rumbly and gassy. Last night I had a lot of spicy salsa because taco tuesday :(. Today I was out in the middle of the day running around and felt so feverish and sick on top of the throat pain. I started sneezing a lot too. I went home and thought for sure it was the onset of a cold. I took some Advil and it took the edge off of it. Now it just feels like I've been gurgling acid and that sick feeling is gone...I have gerd but I'm not sure if this sick flu-y feeling is part of it??</t>
        </is>
      </c>
      <c r="D2804" t="n">
        <v>5</v>
      </c>
      <c r="E2804" t="n">
        <v>3</v>
      </c>
      <c r="F2804">
        <f>HYPERLINK("https://www.reddit.com/r/GERD/comments/d69htd/can_a_gerd_flare_up_make_you_feel_feverishsickflu/")</f>
        <v/>
      </c>
      <c r="G2804" t="inlineStr">
        <is>
          <t>2019-09-18 22:22:36</t>
        </is>
      </c>
      <c r="H2804" t="inlineStr"/>
    </row>
    <row r="2805">
      <c r="A2805" t="inlineStr">
        <is>
          <t>d69kfn</t>
        </is>
      </c>
      <c r="B2805" t="inlineStr">
        <is>
          <t>What happens if you already have GERD, and then you get pregnant?</t>
        </is>
      </c>
      <c r="C2805" t="inlineStr">
        <is>
          <t>I know many people get heartburn or reflux when pregnant. I can't even wear high waisted pants, how will I ever survive a baby putting pressure on my stomach?</t>
        </is>
      </c>
      <c r="D2805" t="n">
        <v>1</v>
      </c>
      <c r="E2805" t="n">
        <v>5</v>
      </c>
      <c r="F2805">
        <f>HYPERLINK("https://www.reddit.com/r/GERD/comments/d69kfn/what_happens_if_you_already_have_gerd_and_then/")</f>
        <v/>
      </c>
      <c r="G2805" t="inlineStr">
        <is>
          <t>2019-09-18 22:30:28</t>
        </is>
      </c>
      <c r="H2805" t="inlineStr"/>
    </row>
    <row r="2806">
      <c r="A2806" t="inlineStr">
        <is>
          <t>d6ao2n</t>
        </is>
      </c>
      <c r="B2806" t="inlineStr">
        <is>
          <t>Heatburn 3 weeks post op</t>
        </is>
      </c>
      <c r="C2806" t="inlineStr">
        <is>
          <t>[https://www.reddit.com/r/GERD/comments/cwsj5r/surgery\_day\_laproscopic\_nissen\_fundoplication/?utm\_source=share&amp;amp;utm\_medium=web2x](https://www.reddit.com/r/GERD/comments/cwsj5r/surgery_day_laproscopic_nissen_fundoplication/?utm_source=share&amp;amp;utm_medium=web2x)
So just over 2 weeks LNF post op, I was feeling pretty good. Could eat more, seemed the mucus was getting less. I was actually starting to live my life rather than thinking constantly about my symptoms and looking stuff up on the internet.  
On Tuesday morning after breakfast though, my lips start to burn, I taste acid, and I get heartburn. I have had heartburn most of the time since. Heartburn was fairly well controlled prior to the operation, my main symptoms were LPR / burning mouth/tongue and nasty tasting and even gritty regurgitation, and belching. At least at the moment, there is no bad taste, but there is definitely a burning in my mouth. I even feel it in on my teeth.
Obviously I am scared something has come undone, slipped or whatever. PPIs / Zantac/ antacid don't stop the heratburn.
I know it *possible* that this is pseudo heartburn caused by irritation, maybe some retained food (I've read it can ferment into lactic acid), could be healing pains (although it's not at wrap site, but mid chest). My mouth mucus has also increased and and gotten hotter.
I'm having barium swallow tomorrow. Praying that this goes away or that it's something obvious that can be fixed without an open surgery.</t>
        </is>
      </c>
      <c r="D2806" t="n">
        <v>1</v>
      </c>
      <c r="E2806" t="n">
        <v>0</v>
      </c>
      <c r="F2806">
        <f>HYPERLINK("https://www.reddit.com/r/GERD/comments/d6ao2n/heatburn_3_weeks_post_op/")</f>
        <v/>
      </c>
      <c r="G2806" t="inlineStr">
        <is>
          <t>2019-09-19 00:34:32</t>
        </is>
      </c>
      <c r="H2806" t="inlineStr"/>
    </row>
    <row r="2807">
      <c r="A2807" t="inlineStr">
        <is>
          <t>d6aoab</t>
        </is>
      </c>
      <c r="B2807" t="inlineStr">
        <is>
          <t>Heartburn 3 weeks post LNF</t>
        </is>
      </c>
      <c r="C2807" t="inlineStr">
        <is>
          <t>[https://www.reddit.com/r/GERD/comments/cwsj5r/surgery\_day\_laproscopic\_nissen\_fundoplication/?utm\_source=share&amp;amp;utm\_medium=web2x](https://www.reddit.com/r/GERD/comments/cwsj5r/surgery_day_laproscopic_nissen_fundoplication/?utm_source=share&amp;amp;utm_medium=web2x)
So just over 2 weeks LNF post op, I was feeling pretty good. Could eat more, seemed the mucus was getting less. I was actually starting to live my life rather than thinking constantly about my symptoms and looking stuff up on the internet.
On Tuesday morning after breakfast though, my lips start to burn, I taste acid, and I get heartburn. I have had heartburn most of the time since. Heartburn was fairly well controlled prior to the operation, my main symptoms were LPR / burning mouth/tongue and nasty tasting and even gritty regurgitation, and belching. At least at the moment, there is no bad taste, but there is definitely a burning in my mouth. I even feel it in on my teeth.
Obviously I am scared something has come undone, slipped or whatever. PPIs / Zantac/ antacid don't stop the heratburn.
I know it *possible* that this is pseudo heartburn caused by irritation, maybe some retained food (I've read it can ferment into lactic acid), could be healing pains (although it's not at wrap site, but mid chest). My mouth mucus has also increased and and gotten hotter.
I'm having barium swallow tomorrow. Praying that this goes away or that it's something obvious that can be fixed without an open surgery.</t>
        </is>
      </c>
      <c r="D2807" t="n">
        <v>1</v>
      </c>
      <c r="E2807" t="n">
        <v>3</v>
      </c>
      <c r="F2807">
        <f>HYPERLINK("https://www.reddit.com/r/GERD/comments/d6aoab/heartburn_3_weeks_post_lnf/")</f>
        <v/>
      </c>
      <c r="G2807" t="inlineStr">
        <is>
          <t>2019-09-19 00:35:11</t>
        </is>
      </c>
      <c r="H2807" t="inlineStr"/>
    </row>
    <row r="2808">
      <c r="A2808" t="inlineStr">
        <is>
          <t>d6b2uz</t>
        </is>
      </c>
      <c r="B2808" t="inlineStr">
        <is>
          <t>GERD due to antibiotics</t>
        </is>
      </c>
      <c r="C2808" t="inlineStr">
        <is>
          <t>How do I restore my gut flora and how long will it take</t>
        </is>
      </c>
      <c r="D2808" t="n">
        <v>2</v>
      </c>
      <c r="E2808" t="n">
        <v>9</v>
      </c>
      <c r="F2808">
        <f>HYPERLINK("https://www.reddit.com/r/GERD/comments/d6b2uz/gerd_due_to_antibiotics/")</f>
        <v/>
      </c>
      <c r="G2808" t="inlineStr">
        <is>
          <t>2019-09-19 01:26:26</t>
        </is>
      </c>
      <c r="H2808" t="inlineStr"/>
    </row>
    <row r="2809">
      <c r="A2809" t="inlineStr">
        <is>
          <t>d6bqev</t>
        </is>
      </c>
      <c r="B2809" t="inlineStr">
        <is>
          <t>Anyone on here have problems with long flights, and methods for coping?</t>
        </is>
      </c>
      <c r="C2809" t="inlineStr">
        <is>
          <t>I flew from eastern Australia to Europe a few weeks ago and started feeling really nauseous and feverish about 5 hr into the first flight, then threw up and instantly felt weak but much better, and had the same thing happen three times during the trip. I also threw up on Monday after flying to the UK on Saturday night and feeling nauseous and tired all day Sunday and getting a bad headache Monday afternoon.
Does anyone on here have problems with flights and what do you do to help reduce the symptoms? I'm flying back to Australia in 6 hr.
I already asked about medications for this in a pharmacy here and they said they can't give anything without a prescription.</t>
        </is>
      </c>
      <c r="D2809" t="n">
        <v>1</v>
      </c>
      <c r="E2809" t="n">
        <v>1</v>
      </c>
      <c r="F2809">
        <f>HYPERLINK("https://www.reddit.com/r/GERD/comments/d6bqev/anyone_on_here_have_problems_with_long_flights/")</f>
        <v/>
      </c>
      <c r="G2809" t="inlineStr">
        <is>
          <t>2019-09-19 02:47:33</t>
        </is>
      </c>
      <c r="H2809" t="inlineStr"/>
    </row>
    <row r="2810">
      <c r="A2810" t="inlineStr">
        <is>
          <t>d6c3zy</t>
        </is>
      </c>
      <c r="B2810" t="inlineStr">
        <is>
          <t>Desperate for help!</t>
        </is>
      </c>
      <c r="C2810" t="inlineStr">
        <is>
          <t>Hi everyone.
My sister was diagnosed with a small sliding hiatal hernia earlier this year and was put on a PPI. After finding out the long term effects of taking PPIs (and experiencing terrible hair loss, insomnia, migraines, iron deficiency, etc) she decided to wean off them. She is currently taking aloe vera every morning and D-Limonene every second day (today is day 11 of the 20 days).
After coming off the PPI she has been suffering from acid rebound so we have been giving her every natural remedy you can think of, hence the last resort: D-Limonene.
Recently, aside from the usual terrible burning she experiences after everything she eats, she has been experiencing terrible back pain and nausea and when she lies down at night she says she feels a strange feeling in her chest like her stomach is pushing against her esophageal sphincter which goes by the morning but she is always in pain and she is not sleeping.
I have been giving her ginger tea for the nausea/burning as well as Valoid (I'm not sure who has this in their country), chamomile tea and Somnil (again I don't know who has this in their country) for the insomnia/burning and Gaviscon/Ulsanic for the burning/acid reflux but nothing seems to help.
I'm not sure what to do she wants to vomit all the time, she is not sleeping and she cries all the time.
I was thinking of a chiropractor but the ones here don't deal with hiatal hernias so I thought of taking her for a back massage at a Thai place but I don't know if that's a good idea.
I am taking her to another Gastroenterologist but the soonest appointment I could get is end October!
Does anyone have any suggestions? Could it be the D-Limonene that has given her such terrible nausea recently? I am desperate! Thank you so much for any help anyone can offer.</t>
        </is>
      </c>
      <c r="D2810" t="n">
        <v>6</v>
      </c>
      <c r="E2810" t="n">
        <v>10</v>
      </c>
      <c r="F2810">
        <f>HYPERLINK("https://www.reddit.com/r/GERD/comments/d6c3zy/desperate_for_help/")</f>
        <v/>
      </c>
      <c r="G2810" t="inlineStr">
        <is>
          <t>2019-09-19 03:29:54</t>
        </is>
      </c>
      <c r="H2810" t="inlineStr"/>
    </row>
    <row r="2811">
      <c r="A2811" t="inlineStr">
        <is>
          <t>d6d3eh</t>
        </is>
      </c>
      <c r="B2811" t="inlineStr">
        <is>
          <t>https://6abc.com/health/zantac-maker-pulls-drug-over-concerns-of-cancer-causing-chemical/5550155/</t>
        </is>
      </c>
      <c r="C2811" t="inlineStr">
        <is>
          <t>Ranitidine pulled from market over cancer concerns</t>
        </is>
      </c>
      <c r="D2811" t="n">
        <v>0</v>
      </c>
      <c r="E2811" t="n">
        <v>2</v>
      </c>
      <c r="F2811">
        <f>HYPERLINK("https://www.reddit.com/r/GERD/comments/d6d3eh/https6abccomhealthzantacmakerpullsdrugoverconcerns/")</f>
        <v/>
      </c>
      <c r="G2811" t="inlineStr">
        <is>
          <t>2019-09-19 05:07:44</t>
        </is>
      </c>
      <c r="H2811" t="inlineStr"/>
    </row>
    <row r="2812">
      <c r="A2812" t="inlineStr">
        <is>
          <t>d6dldm</t>
        </is>
      </c>
      <c r="B2812" t="inlineStr">
        <is>
          <t>Test results out!</t>
        </is>
      </c>
      <c r="C2812" t="inlineStr">
        <is>
          <t>Hi guys!
I just got my biopsy results back. I got diagnosed with chronic mild gastritis and Squamou-Columnar Muscosa with chronic inflammation. Any idea with what is Squamou-Columnar Muscosa? 😅 Could it be inflammation in the esophagus? I was diagnosed with GERD too before my biopsy results came back.
I'll feel discomfort in my epigastric area after meal, nausea and feeling as if something is stuck in my throat (like the food is not going down) after meal. Will have burning sensation in my upper left abdomen with gurgling pain too. Occasionally I'll feel as if food is sticking in my throat or esophagus and is not going down, GI doctor rule it all down to GERD even tho I didn't experience heartburn but I do get acid coming back up to my throat if I lay down too soon after meal.
My main concern that brought me to see a specialist is because of food stuck. It all started when I swallowed a cabbage without chewing. Next day, I starve myself as I'm afraid to eat. 2 days later, cracker got stuck at I don't know where after I swallowed. Able to talk but feel abit hard to breathe. I think it was stuck near my upper esophagus sphincter and it kinda of affecting my breathing. Went to ER, did a scope through my nose to my throat, nothing is stuck there because eventually it went down after crying and drinking lots of water while waiting to be seen. And it snowball into now. 
Slowly adding back bread into my diet. Able to swallow it without problem. But sometimes out of nowhere, food will feel as if it was caught somewhere in my throat. Don't know if it was due to anxiety but I'll keep thinking about chewing it well and etc, eating doesn't seems relaxing to me anymore. I miss eating normally HAHA. Like without negative thoughts before having food.
Anyone ever experience this kinda of issues before with GERD and gastritis?
Thanks a lot!</t>
        </is>
      </c>
      <c r="D2812" t="n">
        <v>5</v>
      </c>
      <c r="E2812" t="n">
        <v>8</v>
      </c>
      <c r="F2812">
        <f>HYPERLINK("https://www.reddit.com/r/GERD/comments/d6dldm/test_results_out/")</f>
        <v/>
      </c>
      <c r="G2812" t="inlineStr">
        <is>
          <t>2019-09-19 05:51:14</t>
        </is>
      </c>
      <c r="H2812" t="inlineStr"/>
    </row>
    <row r="2813">
      <c r="A2813" t="inlineStr">
        <is>
          <t>d6g1td</t>
        </is>
      </c>
      <c r="B2813" t="inlineStr">
        <is>
          <t>[Master Thread] Zantac/Ranitidine Distribution Stop / Cancer Concerns Discussion</t>
        </is>
      </c>
      <c r="C2813" t="inlineStr">
        <is>
          <t>There have been several posts the past week regarding a chemical called "NDMA" found in the generic versions of Zantac/Ranitidine. Links are listed below for your education and convenience. 
The FDA statement is as follows:
&amp;gt; Patients should be able to trust that their medicines are as safe as they can be and that the benefits of taking them outweigh any risk to their health. Although NDMA may cause harm in large amounts, the levels the FDA is finding in ranitidine from preliminary tests barely exceed amounts you might expect to find in common foods.
United States Food and Drug Administration (FDA) Statement:
[Zantac \(ranitidine\): Safety Information - NDMA Found in Samples of Some Ranitidine Medicines](https://www.fda.gov/safety/medwatch-safety-alerts-human-medical-products/zantac-ranitidine-safety-information-ndma-found-samples-some-ranitidine-medicines)
CBS New Story
[Novartis halts distribution of generic Zantac after FDA raises cancer concerns
](https://www.cbsnews.com/news/novartis-halts-distribution-of-zantac-after-fda-raises-cancer-concerns/)
New York Times
[Zantac Has Low Levels of a Cancer-Causing Chemical, the F.D.A. Says
The chemical, NDMA, is the same one found in the blood pressure drug valsartan, which led to widespread recalls last year.](https://www.nytimes.com/2019/09/13/health/zantac-cancer-ndma.html)
Bloomberg News
[Carcinogen Scare Sets Off Global Race to Contain Tainted Zantac](https://www.bloomberg.com/news/articles/2019-09-18/sandoz-halts-distribution-of-zantac-after-carcinogen-concerns)
As always, when changing medications please consult with your medical professionals before making changes or adjustments.
Please keep all discussions surrounding this topic to this master thread. Thank you.</t>
        </is>
      </c>
      <c r="D2813" t="n">
        <v>24</v>
      </c>
      <c r="E2813" t="n">
        <v>90</v>
      </c>
      <c r="F2813">
        <f>HYPERLINK("https://www.reddit.com/r/GERD/comments/d6g1td/master_thread_zantacranitidine_distribution_stop/")</f>
        <v/>
      </c>
      <c r="G2813" t="inlineStr">
        <is>
          <t>2019-09-19 08:56:53</t>
        </is>
      </c>
      <c r="H2813" t="inlineStr"/>
    </row>
    <row r="2814">
      <c r="A2814" t="inlineStr">
        <is>
          <t>d6g98a</t>
        </is>
      </c>
      <c r="B2814" t="inlineStr">
        <is>
          <t>Refluxgate / Gerrit Sonnabend for LPR?</t>
        </is>
      </c>
      <c r="C2814" t="inlineStr">
        <is>
          <t>Hey all, I’ve been dealing with LPR for about five months or so now. I luckily only waited maybe two months before deciding to get it checked on.
Been on PPIs, now about to have to go get scoped at a GI, etc. I’m over it and I’m tired of putting my body at risk on 80mg day or PPIs. (For instance, at only 31 years old I just got C Diff, what the hell).
I keep getting routed back to a site called Refluxgate. Most of the things on the site seem to be legitimate, and he’s asking for at least around $100 for information on how to clear up LPR outside of the normal things that also don’t seem to be working.
Has anyone used this site? His info/protocol?  I don’t mind paying if it’s worth it, but at this point I feel so helpless about this LPR, it’s affecting my life day by day, hour by hour, minute by minute.</t>
        </is>
      </c>
      <c r="D2814" t="n">
        <v>2</v>
      </c>
      <c r="E2814" t="n">
        <v>4</v>
      </c>
      <c r="F2814">
        <f>HYPERLINK("https://www.reddit.com/r/GERD/comments/d6g98a/refluxgate_gerrit_sonnabend_for_lpr/")</f>
        <v/>
      </c>
      <c r="G2814" t="inlineStr">
        <is>
          <t>2019-09-19 09:11:35</t>
        </is>
      </c>
      <c r="H2814" t="inlineStr"/>
    </row>
    <row r="2815">
      <c r="A2815" t="inlineStr">
        <is>
          <t>d6hd9i</t>
        </is>
      </c>
      <c r="B2815" t="inlineStr">
        <is>
          <t>Sushi Interaction - TMI kinda</t>
        </is>
      </c>
      <c r="C2815" t="inlineStr">
        <is>
          <t>I had Chinese food today at one of my fave places. Recently I started eating sushi after finding out I am, NOT, deathly allergic to it (certain food allergies run in the family). And the last few times I had it I was fine. But this time, I'm cramping, naseous, and have had diharrea twice. Could this be a GERD trigger and food i should avoid? Anyone else experience this? My gerd was diagnosed pretty recent.</t>
        </is>
      </c>
      <c r="D2815" t="n">
        <v>4</v>
      </c>
      <c r="E2815" t="n">
        <v>6</v>
      </c>
      <c r="F2815">
        <f>HYPERLINK("https://www.reddit.com/r/GERD/comments/d6hd9i/sushi_interaction_tmi_kinda/")</f>
        <v/>
      </c>
      <c r="G2815" t="inlineStr">
        <is>
          <t>2019-09-19 10:31:13</t>
        </is>
      </c>
      <c r="H2815" t="inlineStr"/>
    </row>
    <row r="2816">
      <c r="A2816" t="inlineStr">
        <is>
          <t>d6j0yh</t>
        </is>
      </c>
      <c r="B2816" t="inlineStr">
        <is>
          <t>Eat lots of cucumber, banana and take probiotic pills</t>
        </is>
      </c>
      <c r="C2816" t="inlineStr">
        <is>
          <t>Just try this guys worked for a lot of people</t>
        </is>
      </c>
      <c r="D2816" t="n">
        <v>2</v>
      </c>
      <c r="E2816" t="n">
        <v>3</v>
      </c>
      <c r="F2816">
        <f>HYPERLINK("https://www.reddit.com/r/GERD/comments/d6j0yh/eat_lots_of_cucumber_banana_and_take_probiotic/")</f>
        <v/>
      </c>
      <c r="G2816" t="inlineStr">
        <is>
          <t>2019-09-19 12:31:21</t>
        </is>
      </c>
      <c r="H2816" t="inlineStr"/>
    </row>
    <row r="2817">
      <c r="A2817" t="inlineStr">
        <is>
          <t>d6l6d8</t>
        </is>
      </c>
      <c r="B2817" t="inlineStr">
        <is>
          <t>Can GERD cause swollen lingual tonsils, tender lymph nodes, or throat cysts?</t>
        </is>
      </c>
      <c r="C2817" t="inlineStr">
        <is>
          <t>I’ve been through the ringer in regards to throat issues since April — constant swollen palatine tonsils, tender lymph nodes, what appears to be pus looking bubbles in my throat (perhaps cysts? They haven’t even told me what they were), and my most recent observation: enlarged taste buds and what appears to be a swollen lingual tonsil in the way back of my throat/base of my tongue. 
I have so far done a sinus CT scan (came back fine), a lymph node needle biopsy (no malignancy), and have been on multiple rounds of antibiotics. Nothing seems to be working.
While the doctors/nurses I’ve seen have all been extremely kind people, it seems like they’re very dismissive about my situation despite me being in a lot of pain. Once the biopsy came back in the clear, they deemed my issues as GERD and tonsillitis, and sort of shooed me away until I finally was able to book a specialist/ENT appointment for next month.
I know no one can diagnose me over the internet, but I just wanted to know if these symptoms were even *possible* with GERD. I have a lot of health anxiety and am fed up with feeling unheard, but unfortunately I am financially dependent on my mother and she works in that doctor’s office, meaning I can’t even receive a second opinion somewhere else because she’d be embarrassed.</t>
        </is>
      </c>
      <c r="D2817" t="n">
        <v>6</v>
      </c>
      <c r="E2817" t="n">
        <v>6</v>
      </c>
      <c r="F2817">
        <f>HYPERLINK("https://www.reddit.com/r/GERD/comments/d6l6d8/can_gerd_cause_swollen_lingual_tonsils_tender/")</f>
        <v/>
      </c>
      <c r="G2817" t="inlineStr">
        <is>
          <t>2019-09-19 15:09:09</t>
        </is>
      </c>
      <c r="H2817" t="inlineStr"/>
    </row>
    <row r="2818">
      <c r="A2818" t="inlineStr">
        <is>
          <t>d6n2ax</t>
        </is>
      </c>
      <c r="B2818" t="inlineStr">
        <is>
          <t>Traditional medicinal's throat coat tea is wonderful</t>
        </is>
      </c>
      <c r="C2818" t="inlineStr">
        <is>
          <t>That's all really. Helps me tremendously, replaced all caffeine containing drinks with this and it is a godsend when things get a little rough.
If you end up using it.. Steep covered for five minutes and really give the bag a good squeeze.</t>
        </is>
      </c>
      <c r="D2818" t="n">
        <v>21</v>
      </c>
      <c r="E2818" t="n">
        <v>8</v>
      </c>
      <c r="F2818">
        <f>HYPERLINK("https://www.reddit.com/r/GERD/comments/d6n2ax/traditional_medicinals_throat_coat_tea_is/")</f>
        <v/>
      </c>
      <c r="G2818" t="inlineStr">
        <is>
          <t>2019-09-19 17:37:53</t>
        </is>
      </c>
      <c r="H2818" t="inlineStr"/>
    </row>
    <row r="2819">
      <c r="A2819" t="inlineStr">
        <is>
          <t>d6npp3</t>
        </is>
      </c>
      <c r="B2819" t="inlineStr">
        <is>
          <t>How to get rid of cough after meal?</t>
        </is>
      </c>
      <c r="C2819" t="inlineStr">
        <is>
          <t>so sick of it, I had my PPI 40g for 7 days, symptomps persists. 
Please tell me how to deal with cough, earache and sore throat. thanks.</t>
        </is>
      </c>
      <c r="D2819" t="n">
        <v>6</v>
      </c>
      <c r="E2819" t="n">
        <v>11</v>
      </c>
      <c r="F2819">
        <f>HYPERLINK("https://www.reddit.com/r/GERD/comments/d6npp3/how_to_get_rid_of_cough_after_meal/")</f>
        <v/>
      </c>
      <c r="G2819" t="inlineStr">
        <is>
          <t>2019-09-19 18:31:15</t>
        </is>
      </c>
      <c r="H2819" t="inlineStr"/>
    </row>
    <row r="2820">
      <c r="A2820" t="inlineStr">
        <is>
          <t>d6sgwj</t>
        </is>
      </c>
      <c r="B2820" t="inlineStr">
        <is>
          <t>Brain fog and feeling depressed after eating</t>
        </is>
      </c>
      <c r="C2820" t="inlineStr">
        <is>
          <t>Hey guys, I’m curious if any of you experience brain fog or depression shortly after eating or drinking certain things? I’ve experienced this quite a few times and I’ve wondered if it’s related to my digestive problems (IBS and GERD). It typically occurs after eating or drinking major triggers such as alcohol, coffee, high fiber meals and fatty meals.
I made the regrettable decision to buy a bottle of whiskey tonight and I only took a couple of sips before the brain fog and depressed feelings kicked in, and I’m already experiencing some heartburn.</t>
        </is>
      </c>
      <c r="D2820" t="n">
        <v>3</v>
      </c>
      <c r="E2820" t="n">
        <v>3</v>
      </c>
      <c r="F2820">
        <f>HYPERLINK("https://www.reddit.com/r/GERD/comments/d6sgwj/brain_fog_and_feeling_depressed_after_eating/")</f>
        <v/>
      </c>
      <c r="G2820" t="inlineStr">
        <is>
          <t>2019-09-20 02:37:27</t>
        </is>
      </c>
      <c r="H2820" t="inlineStr"/>
    </row>
    <row r="2821">
      <c r="A2821" t="inlineStr">
        <is>
          <t>d6w8z0</t>
        </is>
      </c>
      <c r="B2821" t="inlineStr">
        <is>
          <t>New symptom</t>
        </is>
      </c>
      <c r="C2821" t="inlineStr">
        <is>
          <t>After diagnosis my symptoms were small...now I’m choking on my food cause it won’t go down as well as acid coming up from my stomach. I’m on 20 mg omeprazol and 75 Zantac. I may need to have my meds upped 😢</t>
        </is>
      </c>
      <c r="D2821" t="n">
        <v>2</v>
      </c>
      <c r="E2821" t="n">
        <v>7</v>
      </c>
      <c r="F2821">
        <f>HYPERLINK("https://www.reddit.com/r/GERD/comments/d6w8z0/new_symptom/")</f>
        <v/>
      </c>
      <c r="G2821" t="inlineStr">
        <is>
          <t>2019-09-20 08:08:05</t>
        </is>
      </c>
      <c r="H2821" t="inlineStr"/>
    </row>
    <row r="2822">
      <c r="A2822" t="inlineStr">
        <is>
          <t>d6wdm5</t>
        </is>
      </c>
      <c r="B2822" t="inlineStr">
        <is>
          <t>Food Feels Stuck In Middle Of Throat HELP!</t>
        </is>
      </c>
      <c r="C2822" t="inlineStr">
        <is>
          <t>I am going crazy, I went to urgent care last week because I thought I had tonsillitis or strep the left side of my lymph nodes were painful I don’t have either but they said take Motrin it will help with the inflammation because it looked red back there. And my lungs were clear.  Well that cleared up and then I got really bad gas pains it was shooting everywhere from my back to my shoulder that last a day. And now I have this feeling in my throat for days it started with terrible gas pain that subsided,  and now this sensation in my throat is not a sensation it’s actually real and it feels even worse when I swallow and eat. It feels like a clogged sink. When I eat I can feel bits of food sitting on my throat ready to come out of my mouth. Note this is all day  except when I sleep I wake up in euphoria because for one hour then goes back to that feeling and I feel like water makes it worse? But a soft drink helps. I also have been accumulating loads of spit, when I burp there’s relief of it gone and seconds I swallow it comes back it’s like the back of my throat. Some times it even feels better when I eat but as soon as I give the last swallow I it passes through and then I swallow again and it’s like I allowed some of the food to come up like the food is just sitting there ready to come up. Like right now just ate sometime small and the soft drink helped a bit but now I just feel like food is sitting in chest now and not throat but this will be Temporary I know it will move back up. 
I’m not experiencing heartburn. But it does feel like I have a bruised chest as if someone punched me there and it’s the aftermath of the punch.  It’s been 10 days where all of this  since all has happened.  
How did nexium work? 
Ranatidine? Did I spell that right?
Should I try baking soda ? 
Is my esophagus just fucked now lol so where no remedies will help? 
I heard coconut oil pulling helps? 
But I think those remedies help for the sensation of the feeling and I don’t think it’s a feeling I believe I have a clogged sink in my body and it won’t go down as if my esophagus is trying to digest and do what my stomach should which isn’t good. 
Help!! I want unsolicited advice good or bad hurt my feelings yell at me to go to doctor even though I have no insurance is this self treatable? I just feel like it’s impacted my life and it’s only been 10 days Ive also become a bitch and irritable.</t>
        </is>
      </c>
      <c r="D2822" t="n">
        <v>4</v>
      </c>
      <c r="E2822" t="n">
        <v>4</v>
      </c>
      <c r="F2822">
        <f>HYPERLINK("https://www.reddit.com/r/GERD/comments/d6wdm5/food_feels_stuck_in_middle_of_throat_help/")</f>
        <v/>
      </c>
      <c r="G2822" t="inlineStr">
        <is>
          <t>2019-09-20 08:17:05</t>
        </is>
      </c>
      <c r="H2822" t="inlineStr"/>
    </row>
    <row r="2823">
      <c r="A2823" t="inlineStr">
        <is>
          <t>d6wfxg</t>
        </is>
      </c>
      <c r="B2823" t="inlineStr">
        <is>
          <t>Describe your throat pain with LPR</t>
        </is>
      </c>
      <c r="C2823" t="inlineStr">
        <is>
          <t>I feel like my throat irritation as it relates to LPR is drastically different than your typical sore throat when you're sick.  This is more of a pain/thickness and somewhat of a muscle type pain.  It feels sore, but almost as if the pain is coming from the muscles in the throat that help you swallow.</t>
        </is>
      </c>
      <c r="D2823" t="n">
        <v>15</v>
      </c>
      <c r="E2823" t="n">
        <v>8</v>
      </c>
      <c r="F2823">
        <f>HYPERLINK("https://www.reddit.com/r/GERD/comments/d6wfxg/describe_your_throat_pain_with_lpr/")</f>
        <v/>
      </c>
      <c r="G2823" t="inlineStr">
        <is>
          <t>2019-09-20 08:21:48</t>
        </is>
      </c>
      <c r="H2823" t="inlineStr"/>
    </row>
    <row r="2824">
      <c r="A2824" t="inlineStr">
        <is>
          <t>d6wtkl</t>
        </is>
      </c>
      <c r="B2824" t="inlineStr">
        <is>
          <t>Red bumps on throat (LPR), do you have it?</t>
        </is>
      </c>
      <c r="C2824" t="inlineStr">
        <is>
          <t>I guess that's the definition of "sore throat", because I have red bumps of various sizes on my throat for at least 6 weeks that just won't heal, as if I tried to swallow a chip and it ruptured my throat. Also having "lump in the throat" feeling, especially on the right side. It's as if I "sprayed" acid on my throat wall and it randomly burnt some points on it. I was diagnosed with mild reflux before but not having heartburns unless I ate something extremely spicy. I had drastically increased my alcohol intake before I started having lump symptoms. Apparently something went wrong and I have this throat neck and ear issues. Do you have those symptoms, do they ever heal? I want to use my voice again.</t>
        </is>
      </c>
      <c r="D2824" t="n">
        <v>5</v>
      </c>
      <c r="E2824" t="n">
        <v>6</v>
      </c>
      <c r="F2824">
        <f>HYPERLINK("https://www.reddit.com/r/GERD/comments/d6wtkl/red_bumps_on_throat_lpr_do_you_have_it/")</f>
        <v/>
      </c>
      <c r="G2824" t="inlineStr">
        <is>
          <t>2019-09-20 08:49:08</t>
        </is>
      </c>
      <c r="H2824" t="inlineStr"/>
    </row>
    <row r="2825">
      <c r="A2825" t="inlineStr">
        <is>
          <t>d6xzuq</t>
        </is>
      </c>
      <c r="B2825" t="inlineStr">
        <is>
          <t>just came across this - anyone ever heard of it?: https://www.iqoro.com/en/causes-of-dysphagia/hiatal-hernia/?gclid=EAIaIQobChMIoNvL8fHf5AIViLTtCh2K7QVgEAAYAiAAEgKBS_D_BwE#treating%20hiatus%20hernia</t>
        </is>
      </c>
      <c r="C2825" t="inlineStr">
        <is>
          <t>So monday i have my first meeting with a gastro - i've been dieting / eating well for the past 2 months (lost weight woohoo - not that i needed it) but today i got thinking whether i coudl have a hiatal hernia -
never had any issues with my stomach - never had any heartburn or anything 
untilabout 5 months - when i ate a stupidly spicy soup - since then my life has been a nightmare 
could that spicy soup (plus a stressful period: work and relationship issues) have caused the hernia?  
really hoping to get at least some concrete answer from the Gastro on Monday
but just came across the above link and wondered if anyone had ever heard of it?</t>
        </is>
      </c>
      <c r="D2825" t="n">
        <v>5</v>
      </c>
      <c r="E2825" t="n">
        <v>6</v>
      </c>
      <c r="F2825">
        <f>HYPERLINK("https://www.reddit.com/r/GERD/comments/d6xzuq/just_came_across_this_anyone_ever_heard_of_it/")</f>
        <v/>
      </c>
      <c r="G2825" t="inlineStr">
        <is>
          <t>2019-09-20 10:13:19</t>
        </is>
      </c>
      <c r="H2825" t="inlineStr"/>
    </row>
    <row r="2826">
      <c r="A2826" t="inlineStr">
        <is>
          <t>d6z1er</t>
        </is>
      </c>
      <c r="B2826" t="inlineStr">
        <is>
          <t>Insurance company no longer covers PPI's since they "are available OTC".</t>
        </is>
      </c>
      <c r="C2826" t="inlineStr">
        <is>
          <t>Of course I am prescribed Omeprozole sodium bicarb 40mg/1100mg, which of course is not OTC. I have already tried the appeal process and was promptly denied as well. Anyone else been here or dealt with this? I've been taking a PPI for almost 20 years.</t>
        </is>
      </c>
      <c r="D2826" t="n">
        <v>8</v>
      </c>
      <c r="E2826" t="n">
        <v>24</v>
      </c>
      <c r="F2826">
        <f>HYPERLINK("https://www.reddit.com/r/GERD/comments/d6z1er/insurance_company_no_longer_covers_ppis_since/")</f>
        <v/>
      </c>
      <c r="G2826" t="inlineStr">
        <is>
          <t>2019-09-20 11:28:22</t>
        </is>
      </c>
      <c r="H2826" t="inlineStr"/>
    </row>
    <row r="2827">
      <c r="A2827" t="inlineStr">
        <is>
          <t>d6zh7o</t>
        </is>
      </c>
      <c r="B2827" t="inlineStr">
        <is>
          <t>Nissen fundoplication with weak motility</t>
        </is>
      </c>
      <c r="C2827" t="inlineStr">
        <is>
          <t>I got my manometry results today and they are disappointing. My pre-op appointment is on Monday but I'm curious if anyone else has had a similar experience. I'm scheduled for a Nissen fundoplication on the Tuesday after next. My manometry results were:
&amp;gt; ineffective esophageal motility with weak peristalsis. 35% failed swallows, remaining swallows weak. LES pressure low.
It's strange to me as I have never noticed an issue with swallowing. I can eat anything, take large bites, swallow large pills, etc. Nothing ever gets stuck. I do regurgitate but that happens a bit after a meal. I am pretty sure that's coming from the stomach or the pocket of stomach that is herniated. I don't ever feel like things are stuck in my esophagus.
I know some people in this situation get a partial wrap but studies show that it only helps with dysphagia in the short term. At 1 year post-op Nissen and Toupet patients have similar incidence of dysphagia while Toupet patients are more likely to have recurrent heartburn. I really don't want to do the surgery if I can't get a full wrap. Obviously I will never be able to consider the LINX. Has anyone here gone forward with a Nissen with manometry results like mine?</t>
        </is>
      </c>
      <c r="D2827" t="n">
        <v>2</v>
      </c>
      <c r="E2827" t="n">
        <v>5</v>
      </c>
      <c r="F2827">
        <f>HYPERLINK("https://www.reddit.com/r/GERD/comments/d6zh7o/nissen_fundoplication_with_weak_motility/")</f>
        <v/>
      </c>
      <c r="G2827" t="inlineStr">
        <is>
          <t>2019-09-20 12:00:39</t>
        </is>
      </c>
      <c r="H2827" t="inlineStr"/>
    </row>
    <row r="2828">
      <c r="A2828" t="inlineStr">
        <is>
          <t>d72oxg</t>
        </is>
      </c>
      <c r="B2828" t="inlineStr">
        <is>
          <t>Cold tongue</t>
        </is>
      </c>
      <c r="C2828" t="inlineStr">
        <is>
          <t>Im 23 and started having really bad acid reflux a month ago. And whenever it happens my tongue gets really cold. Like certain patches. It doesn’t feel physically colder but Its like having an icecube on my tongue for like 20 hours. 
Has anyone else experienced this?</t>
        </is>
      </c>
      <c r="D2828" t="n">
        <v>5</v>
      </c>
      <c r="E2828" t="n">
        <v>3</v>
      </c>
      <c r="F2828">
        <f>HYPERLINK("https://www.reddit.com/r/GERD/comments/d72oxg/cold_tongue/")</f>
        <v/>
      </c>
      <c r="G2828" t="inlineStr">
        <is>
          <t>2019-09-20 16:11:17</t>
        </is>
      </c>
      <c r="H2828" t="inlineStr"/>
    </row>
    <row r="2829">
      <c r="A2829" t="inlineStr">
        <is>
          <t>d745gj</t>
        </is>
      </c>
      <c r="B2829" t="inlineStr">
        <is>
          <t>Tama Galactica reflux reboot</t>
        </is>
      </c>
      <c r="C2829" t="inlineStr">
        <is>
          <t>Probably like most here, I am actively trying to find a cause and cure my reflux. I have been on nexium for about 6 years and finally decided enough was enough. I am day 4 off the pills and am feeling about 60% of what i would consider an acceptable amount of reflux. Anyways enough about me. I was wondering if anyone had purchased the ebook described below. I found her YouTube channel and I feel like she might just be some girl on the internet trying to take money from desperate people trying to get healthy and I really dont want to support someone who has life changing information but only will share it for a price.
If you purchased it please tell us if you had any success and was it worth the cost?
http://refluxreboot.com/ebook#more
YouTube video
https://youtu.be/psfIxsPjHNc</t>
        </is>
      </c>
      <c r="D2829" t="n">
        <v>2</v>
      </c>
      <c r="E2829" t="n">
        <v>6</v>
      </c>
      <c r="F2829">
        <f>HYPERLINK("https://www.reddit.com/r/GERD/comments/d745gj/tama_galactica_reflux_reboot/")</f>
        <v/>
      </c>
      <c r="G2829" t="inlineStr">
        <is>
          <t>2019-09-20 18:22:06</t>
        </is>
      </c>
      <c r="H2829" t="inlineStr"/>
    </row>
    <row r="2830">
      <c r="A2830" t="inlineStr">
        <is>
          <t>d74jb8</t>
        </is>
      </c>
      <c r="B2830" t="inlineStr">
        <is>
          <t>Has anyone had a case like mine who returned to normal lifestyle after surgery?</t>
        </is>
      </c>
      <c r="C2830" t="inlineStr">
        <is>
          <t xml:space="preserve"> I am just trying to find success stories of people who had SEVERE GI issues who got much better after surgery. I don't want to get a surgery and end up worse than before because I can no longer burp all the air out. What scares me is my inability to use the restroom no matter what diet/fiber/water intake. I've seen some great success stories but those people usually only have reflux and small issues like a hernia. I would probably be looking at a toupet due to my IEM. 
&amp;amp;#x200B;
&amp;amp;#x200B;
My Case:
Severe GERD (I currently weigh 105 pounds and I am a adult male. I eat a good amount of food I just do not seem to digest it well at all. I have had reflux and constipation almost my entire life since I was a young kid)
Hiatal Hernia
Esaphageal Motility Disorder (70% ineffective) 
Esaphagitis, Gastritis, Duodenitis, Severe Constipation/Entire GI motility issues</t>
        </is>
      </c>
      <c r="D2830" t="n">
        <v>7</v>
      </c>
      <c r="E2830" t="n">
        <v>8</v>
      </c>
      <c r="F2830">
        <f>HYPERLINK("https://www.reddit.com/r/GERD/comments/d74jb8/has_anyone_had_a_case_like_mine_who_returned_to/")</f>
        <v/>
      </c>
      <c r="G2830" t="inlineStr">
        <is>
          <t>2019-09-20 18:59:08</t>
        </is>
      </c>
      <c r="H2830" t="inlineStr"/>
    </row>
    <row r="2831">
      <c r="A2831" t="inlineStr">
        <is>
          <t>d75fso</t>
        </is>
      </c>
      <c r="B2831" t="inlineStr">
        <is>
          <t>Does anyone know what potentially happened here?</t>
        </is>
      </c>
      <c r="C2831" t="inlineStr">
        <is>
          <t>Long story short, I’ve been having really bad reflux for about a year now. A few months ago, my doctor prescribed me protonix 40 mg twice a day PLUS an h2 blocker before bed. Amazingly, taking all of this did nothing. My reflux remained bad. Then, last week, I said screw it. After 2 months of no symptom relief for the medication, I decided to cut down to 40 mg protonix a day, and to still take the h2 blocker. Then..
For the first time in over a year, no symptoms. Gone completely. Every single little thing that I had- trouble breathing, chest pain, trouble speaking, gone. I felt like a new person and thought this hell was over.
But that was almost two weeks ago. And I can now start feeling the symptoms come back again. Am I crazy? How does this happen?????</t>
        </is>
      </c>
      <c r="D2831" t="n">
        <v>7</v>
      </c>
      <c r="E2831" t="n">
        <v>4</v>
      </c>
      <c r="F2831">
        <f>HYPERLINK("https://www.reddit.com/r/GERD/comments/d75fso/does_anyone_know_what_potentially_happened_here/")</f>
        <v/>
      </c>
      <c r="G2831" t="inlineStr">
        <is>
          <t>2019-09-20 20:28:15</t>
        </is>
      </c>
      <c r="H2831" t="inlineStr"/>
    </row>
    <row r="2832">
      <c r="A2832" t="inlineStr">
        <is>
          <t>d75ym9</t>
        </is>
      </c>
      <c r="B2832" t="inlineStr">
        <is>
          <t>Can anyone offer some help?</t>
        </is>
      </c>
      <c r="C2832" t="inlineStr">
        <is>
          <t>I've never posted on reddit before, but I am desperate and hoping that someone can help! I was diagnosed with GERD when I was in elementary school, but I haven't been on medication since I was about 12 (now 26). Symptoms have stayed present my whole life, but I learned to manage them without meds, or at least ignore them. About a year ago I started having stomach pain every morning and anytime that I was hungry- it feels like a burning/gnawing feeling and it tends to subside when I eat. A few weeks ago I started to get severely bloated and nauseous after eating, and it lasts for several hours. One night the pain got so bad I went to the ER, and they insisted on doing multiple pelvic exams and a CT scan- nothing was found. ER sent me home saying that I was probably just constipated, even though I have been experiencing regular bowel movements. 
Followed up with a GI and had an endoscopy which showed an irregular z line (doing 3 biopsies from my esophagus) and mild irritation within my stomach. No sign of ulcers or hernia. GI also testing for Celiac. I haven't gotten the results yet, but I'm wondering if anyone else has experienced similar symptoms and what they were eventually diagnosed with?</t>
        </is>
      </c>
      <c r="D2832" t="n">
        <v>3</v>
      </c>
      <c r="E2832" t="n">
        <v>6</v>
      </c>
      <c r="F2832">
        <f>HYPERLINK("https://www.reddit.com/r/GERD/comments/d75ym9/can_anyone_offer_some_help/")</f>
        <v/>
      </c>
      <c r="G2832" t="inlineStr">
        <is>
          <t>2019-09-20 21:22:46</t>
        </is>
      </c>
      <c r="H2832" t="inlineStr"/>
    </row>
    <row r="2833">
      <c r="A2833" t="inlineStr">
        <is>
          <t>d774ci</t>
        </is>
      </c>
      <c r="B2833" t="inlineStr">
        <is>
          <t>GERD GI Help please!</t>
        </is>
      </c>
      <c r="C2833" t="inlineStr">
        <is>
          <t>It all started in late july, i went to work and had to ask my manager to leave within an hour due to nausea, abdominal pain, and acid reflux/ heartburn. 
Other symptoms i experiences were constipation, easily bloated and then very hungry. Dehydration was also another issue due to the fact that i could not consume any food or drinks because of nausea and bloatedness.
I visited an urgent care, and 2 different primary care physicians who took blood and urine samples and could not diagnose me with any issues.
The urgent care prescribed me omeprazole(20mg) for 10 days because they thought it was a common issue. That didn’t help because the symptoms lasted longer. 
My PCP said to stay on the medication the urgent care gave me and follow up with a ct scan/ ultrasound which wasn’t for 2 weeks later due to busy schedules
Fast forward 3 or 4 days
- i had to leave work again and visit the emergency room at midnight due to constant abdominal pain, nausea, bloatedness, they took an immediate ultrasound and results did not show anything.
- they prescribed me zofran for nausea and pantoprazole 40mg to replace the 20mg omeprazole.
-the insurance denied the pantoprazole due to the 10day wait time between the medication i got earlier that week. (omeprazole)
-the zofran worked amazingly quick that helped eliminate nausea so i could resume eating low fiber easy to digest meals.
I was told to visit a GI specialist and he said i needed to have a scope procedure done
He prescribed me
- pantoprazole (which was accepted) and that has been working up until 3 days ago 
^ been on it for 33 days out of 60days
-dicylomine for abdominal pain which worked and i stopped a couple days ago and the symptoms returned
Here we are today, Sept 20th
- I woke up with a sore throat a day ago, i drank hot water with honey
- i had a medium-raw boiled egg which was easy to swallow.
-gargled salt and warm water
- took my regular medications besides zofran which i ran out of 3 days ago.
- i went to work at 2:55pm, clocked in and felt dizzy right away. 
-I grabbed some napkins from the break room and was immediately nauseas and needed to sit down. I sat at my desk and began to work. 
-I ate fruit snacks which then irritated my stomach lining/intestines
- i got up at 4pm to use the bathroom and that’s when everything went downhill.
-my stomach started to severely hurt with abdominal pain.
-i used the restroom and was there for almost an hour.
-i texted my sister to come pick me up to take me to the ER because my brain was not functioning which eliminated my ability to drive myself
- i told the floor lead manager and he said i should probably grab my stuff and go.
- my sister came and took me to the ER, i explained my situation and they injected 3 different medications
1- famotidine (PEPCID) 20mg
2- ketorolac (TORADOL) 30mg
3- ondansetron (ZOFRAN) 4mg
4. IV fluid sodium
I was then taken to an x ray room which showed no severe results of anything.
I was told to wait for my scope procedure since my issues were not life threatening. I was then prescribed
1. omeprazole (20mg) &amp;amp; to cut pantoprazole (40mg) for 42 days.
2. dicyclomine (20mg) &amp;amp; to cut dicyclomine (10mg)
3. docusate 100mg capsule for constipation
Now I have to wait another 2 weeks for the scope procedure. My issue is that since both offices are closed on the weekends and i can’t call, should i continue pantoprazole by the GI specialist or switch back to omeprazole?
What foods should I avoid? and what should I eat?
I already avoid fast food, dairy,beef, acidic foods, and high calorie meals.
Any experts or past experiences know what could be the issue?  Anything would be much helpful.
Also, I was told that sitting prolonged hours at work squeezes the intestines together making it harder to recover. I work 5 hours a day at a computer for 25hrs a week and it seems to affect me greatly with abdominal pain and nausea. Sorry this is a long post.</t>
        </is>
      </c>
      <c r="D2833" t="n">
        <v>5</v>
      </c>
      <c r="E2833" t="n">
        <v>9</v>
      </c>
      <c r="F2833">
        <f>HYPERLINK("https://www.reddit.com/r/GERD/comments/d774ci/gerd_gi_help_please/")</f>
        <v/>
      </c>
      <c r="G2833" t="inlineStr">
        <is>
          <t>2019-09-20 23:37:34</t>
        </is>
      </c>
      <c r="H2833" t="inlineStr"/>
    </row>
    <row r="2834">
      <c r="A2834" t="inlineStr">
        <is>
          <t>d78o83</t>
        </is>
      </c>
      <c r="B2834" t="inlineStr">
        <is>
          <t>Does anyone on this subreddit actually experience ANY improvement when prescribed a bunch of different acid medication?</t>
        </is>
      </c>
      <c r="C2834" t="inlineStr">
        <is>
          <t>Spoiler: TL;DR at the bottom; not dismissing anyone’s conditions and/or treatment.
I’m one of the few people who’s reflux was caused by a lack of acid. My doctor thought that it would be a good idea to simply whip out his pen and slip book and write me up for 40mg daily of Pantoprazole Magnesium without any testing.
After a long argument with him, I ended up trying it only to realize that it just made my symptoms worse (what I eventually found out to be fatigue and brain fog caused by a lack of magnesium and vitamin D because of the lack of acid when I changed doctors). His solution? He doubled my dose. It changed nothing. He then switch me entirely to Zantac which also didn’t work. 
It was when I ended up walking away with a prescription for Zantac, a double dose of the same PPI that made me realize that there might be a chance that this guy is either full of crap or is making a sweet commission off of prescribing these like candy. 
After changing doctors, seeing a GI specialist, a neurologist and even a naturopath, my reflux is now under control with a mix of enzymes, magnesium and betaine HCL.
Long story short, I see that there are a lot of people on this subreddit who seem to be taking this salad of PPIs, H2 blockers, and some even mixing the other OTC antacids with no luck. Are there any success stories from people who have tried that? People who have reflux due to a surplus of acid perhaps?
TL;DR - I refused to mix them feeling like my previous doctor was a quack trying to make a buck off of pharmaceutical commissions, but wonder if anyone has actually had success as an excess of acid could very well be the cause for some.</t>
        </is>
      </c>
      <c r="D2834" t="n">
        <v>6</v>
      </c>
      <c r="E2834" t="n">
        <v>32</v>
      </c>
      <c r="F2834">
        <f>HYPERLINK("https://www.reddit.com/r/GERD/comments/d78o83/does_anyone_on_this_subreddit_actually_experience/")</f>
        <v/>
      </c>
      <c r="G2834" t="inlineStr">
        <is>
          <t>2019-09-21 03:10:09</t>
        </is>
      </c>
      <c r="H2834" t="inlineStr"/>
    </row>
    <row r="2835">
      <c r="A2835" t="inlineStr">
        <is>
          <t>d79hmb</t>
        </is>
      </c>
      <c r="B2835" t="inlineStr">
        <is>
          <t>GERD x Acid Reflux x Bloated Stomach</t>
        </is>
      </c>
      <c r="C2835" t="inlineStr">
        <is>
          <t>Whats the different in any of these? Is it just me or I can't seems to google the different &amp;amp; I kinda have all 3 symptom sometimes</t>
        </is>
      </c>
      <c r="D2835" t="n">
        <v>4</v>
      </c>
      <c r="E2835" t="n">
        <v>1</v>
      </c>
      <c r="F2835">
        <f>HYPERLINK("https://www.reddit.com/r/GERD/comments/d79hmb/gerd_x_acid_reflux_x_bloated_stomach/")</f>
        <v/>
      </c>
      <c r="G2835" t="inlineStr">
        <is>
          <t>2019-09-21 04:47:17</t>
        </is>
      </c>
      <c r="H2835" t="inlineStr"/>
    </row>
    <row r="2836">
      <c r="A2836" t="inlineStr">
        <is>
          <t>d7anxd</t>
        </is>
      </c>
      <c r="B2836" t="inlineStr">
        <is>
          <t>Listen to this podcast</t>
        </is>
      </c>
      <c r="C2836" t="inlineStr">
        <is>
          <t>It is annoyingly casual at times, and she is really annoying, but the guy talks SO MUCH SENSE. Well, I think so. Not enough acid. Explains Pepsin, HCL and the rest. Fascinating (but ignore the banter)
[http://media.blubrry.com/kickitnaturally/kickitinthenuts.com/wp-content/uploads/2019/08/KickIt300.mp3](http://media.blubrry.com/kickitnaturally/kickitinthenuts.com/wp-content/uploads/2019/08/KickIt300.mp3)</t>
        </is>
      </c>
      <c r="D2836" t="n">
        <v>0</v>
      </c>
      <c r="E2836" t="n">
        <v>1</v>
      </c>
      <c r="F2836">
        <f>HYPERLINK("https://www.reddit.com/r/GERD/comments/d7anxd/listen_to_this_podcast/")</f>
        <v/>
      </c>
      <c r="G2836" t="inlineStr">
        <is>
          <t>2019-09-21 06:44:37</t>
        </is>
      </c>
      <c r="H2836" t="inlineStr"/>
    </row>
    <row r="2837">
      <c r="A2837" t="inlineStr">
        <is>
          <t>d7axco</t>
        </is>
      </c>
      <c r="B2837" t="inlineStr">
        <is>
          <t>I'm new to this and not liking it one bit</t>
        </is>
      </c>
      <c r="C2837" t="inlineStr">
        <is>
          <t>So I think I have what Google tells me is GERD (and not death like it also suggested). I've been having this burning in my throat the last few days, sometimes if I burp. It's on and off so wasn't sure if it was reflux or I was getting a sore throat. Seems more like reflux to me though. Then today I've gotten this bubbling feeling in my chest a few times. Particularly when laying down. It's making my health anxiety crazy! I'm already anxious about blood results so I wonder did that start the GERD or what. I don't have much experience with this so just wondering if anybody has similar symptoms. I'm freaking I'm about to have a heart attack or something. HA sucks.</t>
        </is>
      </c>
      <c r="D2837" t="n">
        <v>2</v>
      </c>
      <c r="E2837" t="n">
        <v>8</v>
      </c>
      <c r="F2837">
        <f>HYPERLINK("https://www.reddit.com/r/GERD/comments/d7axco/im_new_to_this_and_not_liking_it_one_bit/")</f>
        <v/>
      </c>
      <c r="G2837" t="inlineStr">
        <is>
          <t>2019-09-21 07:07:29</t>
        </is>
      </c>
      <c r="H2837" t="inlineStr"/>
    </row>
    <row r="2838">
      <c r="A2838" t="inlineStr">
        <is>
          <t>d7azzb</t>
        </is>
      </c>
      <c r="B2838" t="inlineStr">
        <is>
          <t>Does Anyone Here Suffer From Extreme Fatigue Because of GERD?</t>
        </is>
      </c>
      <c r="C2838" t="inlineStr">
        <is>
          <t>I was wondering if anybody here gets this symptom at all. I have an official diagnosis for GERD because they found out that I have grade A reflux esophagitis and mild chronic gastritis from a gastroscopy. My symptoms aren't common for GERD at all. I don't really have any chest pains or heartburn. My worst symptoms are the fatigue, constipation, hormone issues, and also some LPR. I might have other ones too that I'm not really noticing too much because of the other ones. My fatigue makes it so that I can barely work for an hour everyday, and making any effort at all is "painful". Also it makes my thinking really sluggish. 
I've already gotten a pretty huge array of tests and I've made a lot of diet changes but I haven't gotten any results really. I'm currently on a course of PPIs() for 6 weeks and I'm on the 3rd week. I'm feel like I shouldn't really continue taking them since nothing's really changing. It's notable that my symptoms improved around day 3-4, and after that they went back. **So, does anybody suffer from extreme fatigue because of GERD? And what did you do about it?**</t>
        </is>
      </c>
      <c r="D2838" t="n">
        <v>2</v>
      </c>
      <c r="E2838" t="n">
        <v>12</v>
      </c>
      <c r="F2838">
        <f>HYPERLINK("https://www.reddit.com/r/GERD/comments/d7azzb/does_anyone_here_suffer_from_extreme_fatigue/")</f>
        <v/>
      </c>
      <c r="G2838" t="inlineStr">
        <is>
          <t>2019-09-21 07:13:48</t>
        </is>
      </c>
      <c r="H2838" t="inlineStr"/>
    </row>
    <row r="2839">
      <c r="A2839" t="inlineStr">
        <is>
          <t>d7bh6c</t>
        </is>
      </c>
      <c r="B2839" t="inlineStr">
        <is>
          <t>My solution for bloating/constipation with GERD</t>
        </is>
      </c>
      <c r="C2839" t="inlineStr">
        <is>
          <t>I suffered with severe bloating and constipation for a long time before I discovered the simple cure that fixed both problems for me. It sounds crazy simple, but man it is powerful. 
CHEW YOUR FOOD UNTIL IT IS LIQUID. 
I learned that from a YouTube video I found online and thought, "what the hell, may as well try it", and man it has worked wonders for my digestion.
I wanted to share this as I am sure that it can help somebody out there suffering.
I also have nearly completed cured myself of GERD over the last 6 months or so. Thought I would share a bit about what I did to make it happen.
1) Quit my Ranitidine pills and stopped taking all antacids.
2) Quit alcohol, caffeine, nicotine, and weed.
3) Adopted a fully vegan diet with heavy juicing.
4) Initially did a couple distilled water enemas to cleanse out my digestive tract.
5) Took Spirulina/Chlorella pills, trace minerals, multi-vitamins, vitamin D3, vitamin C.
6) Adopted a regular workout routine with weights and cardio.</t>
        </is>
      </c>
      <c r="D2839" t="n">
        <v>22</v>
      </c>
      <c r="E2839" t="n">
        <v>20</v>
      </c>
      <c r="F2839">
        <f>HYPERLINK("https://www.reddit.com/r/GERD/comments/d7bh6c/my_solution_for_bloatingconstipation_with_gerd/")</f>
        <v/>
      </c>
      <c r="G2839" t="inlineStr">
        <is>
          <t>2019-09-21 07:53:37</t>
        </is>
      </c>
      <c r="H2839" t="inlineStr"/>
    </row>
    <row r="2840">
      <c r="A2840" t="inlineStr">
        <is>
          <t>d7dku5</t>
        </is>
      </c>
      <c r="B2840" t="inlineStr">
        <is>
          <t>My first endoscopy at 16</t>
        </is>
      </c>
      <c r="C2840" t="inlineStr">
        <is>
          <t>Today i had my first endoscopy and had it without sedation. It. Was. Horrible. The staff were really nice but the camera was not. A word of advice to anyone who needs an endoscopy, only refuse sedatives if you are able to endure large amounts of pain and gags. Its a traumatizing experience for most so i would reccomend the sedative to anyone who has any anxiety.</t>
        </is>
      </c>
      <c r="D2840" t="n">
        <v>15</v>
      </c>
      <c r="E2840" t="n">
        <v>23</v>
      </c>
      <c r="F2840">
        <f>HYPERLINK("https://www.reddit.com/r/GERD/comments/d7dku5/my_first_endoscopy_at_16/")</f>
        <v/>
      </c>
      <c r="G2840" t="inlineStr">
        <is>
          <t>2019-09-21 10:38:34</t>
        </is>
      </c>
      <c r="H2840" t="inlineStr"/>
    </row>
    <row r="2841">
      <c r="A2841" t="inlineStr">
        <is>
          <t>d7gyc0</t>
        </is>
      </c>
      <c r="B2841" t="inlineStr">
        <is>
          <t>Cold sensation in my chest</t>
        </is>
      </c>
      <c r="C2841" t="inlineStr">
        <is>
          <t>Hello all. Does anyone ever feel like their chest is cold? Like not on the surface but below the skin? It feels like it's cold inside my chest. Could this be related to GERD?</t>
        </is>
      </c>
      <c r="D2841" t="n">
        <v>3</v>
      </c>
      <c r="E2841" t="n">
        <v>2</v>
      </c>
      <c r="F2841">
        <f>HYPERLINK("https://www.reddit.com/r/GERD/comments/d7gyc0/cold_sensation_in_my_chest/")</f>
        <v/>
      </c>
      <c r="G2841" t="inlineStr">
        <is>
          <t>2019-09-21 14:53:42</t>
        </is>
      </c>
      <c r="H2841" t="inlineStr"/>
    </row>
    <row r="2842">
      <c r="A2842" t="inlineStr">
        <is>
          <t>d7h54f</t>
        </is>
      </c>
      <c r="B2842" t="inlineStr">
        <is>
          <t>Feel full easily</t>
        </is>
      </c>
      <c r="C2842" t="inlineStr">
        <is>
          <t>I have acid reflux, and I barely eat anything and feel full easily. I then feel full for hours afterward. Does anyone else experience this? Or know why that happens?</t>
        </is>
      </c>
      <c r="D2842" t="n">
        <v>1</v>
      </c>
      <c r="E2842" t="n">
        <v>4</v>
      </c>
      <c r="F2842">
        <f>HYPERLINK("https://www.reddit.com/r/GERD/comments/d7h54f/feel_full_easily/")</f>
        <v/>
      </c>
      <c r="G2842" t="inlineStr">
        <is>
          <t>2019-09-21 15:06:37</t>
        </is>
      </c>
      <c r="H2842" t="inlineStr"/>
    </row>
    <row r="2843">
      <c r="A2843" t="inlineStr">
        <is>
          <t>d7k3da</t>
        </is>
      </c>
      <c r="B2843" t="inlineStr">
        <is>
          <t>Odd Burning Pain(?) In Stomach</t>
        </is>
      </c>
      <c r="C2843" t="inlineStr">
        <is>
          <t>Hello my fellow GERD sufferers,
Recently (as in, the last couple days) I've noticed a really weird feeling in my upper stomach/diaphragm area after eating. It feels almost like a gnawing, like when you're really hungry after not eating for a long time. I'm at college, and I haven't been eating very much for extended periods of time in between meals and I thought it was caused by that...until I realized it happens **after** I eat not before. So when I'm done eating, my brain is so confused because my stomach is gnawing but I feel *physically* full (like stomach popping out full). However, I try not to overeat due to GERD/IBS issues.
The feeling isn't accompanied with anything else, either. I've had heartburn/GERD before and it was was distinctly painful, radiating to my back and with a globus sensation. **This** has no other symptoms other than an incessant gnawing in my stomach after eating.
Anyone have anything similar?</t>
        </is>
      </c>
      <c r="D2843" t="n">
        <v>2</v>
      </c>
      <c r="E2843" t="n">
        <v>4</v>
      </c>
      <c r="F2843">
        <f>HYPERLINK("https://www.reddit.com/r/GERD/comments/d7k3da/odd_burning_pain_in_stomach/")</f>
        <v/>
      </c>
      <c r="G2843" t="inlineStr">
        <is>
          <t>2019-09-21 18:49:48</t>
        </is>
      </c>
      <c r="H2843" t="inlineStr"/>
    </row>
    <row r="2844">
      <c r="A2844" t="inlineStr">
        <is>
          <t>d7lhdr</t>
        </is>
      </c>
      <c r="B2844" t="inlineStr">
        <is>
          <t>Broccoli.</t>
        </is>
      </c>
      <c r="C2844" t="inlineStr">
        <is>
          <t>I just had some stir fry with some broccoli an hour ago and I’m regurgitating pretty bad right now. That damn Omeprazole did this to me because a few months ago it had no effect to me. I’m glad I got off it.</t>
        </is>
      </c>
      <c r="D2844" t="n">
        <v>1</v>
      </c>
      <c r="E2844" t="n">
        <v>0</v>
      </c>
      <c r="F2844">
        <f>HYPERLINK("https://www.reddit.com/r/GERD/comments/d7lhdr/broccoli/")</f>
        <v/>
      </c>
      <c r="G2844" t="inlineStr">
        <is>
          <t>2019-09-21 21:04:02</t>
        </is>
      </c>
      <c r="H2844" t="inlineStr"/>
    </row>
    <row r="2845">
      <c r="A2845" t="inlineStr">
        <is>
          <t>d7mn1t</t>
        </is>
      </c>
      <c r="B2845" t="inlineStr">
        <is>
          <t>My current situation with GERD</t>
        </is>
      </c>
      <c r="C2845" t="inlineStr">
        <is>
          <t>About a month ago I woke up with a sudden shortness of breath.  It definitely freaked me out as it happened out of the blue when I woke up on a Monday morning.  I figured it was allergies or something and ignored for most of the week.  I didn't feel like I wasn't getting good oxygen, since I'd breathe normally and be fine, but I always had an urge to take a deep breath to fill my lungs, if that makes sense?  Later in the week I had a slight pressure in the back of my throat, right where the base of my neck would be.  I don't normally go to the doctor, but it concerned me enough to actually get me to the ER.
They were 100% certain I had a pulmonary embolism or a heart attack.  They did blood tests and said my blood work came back great, then took me back for a CTA scan to check for cancer, pulmonary embolism, lung disease, CPOD, etc,.  Basically all of the bad stuff.  My CTA scan came back clean.  Despite the shortness of breath they also said my oxygen levels were all very good.
When I was there they asked if I had any heartburn to which I said yes.  For the past year I've had pretty bad heartburn, some coughing episodes, and occasionally some acid backup in to my throat.  That's when they said I had GERD and instructed me to see a GI doctor.
After doing some searching it seems more-so like I have LPR reflux, as the two main issues I have are the feeling of mucus building up at the base of my throat, and the feeling of pressure there like it's swollen.  I don't really have trouble swallowing food at all.  After I eat I do feel some pressure in my esophagus, but don't ever feel like I'm actually going to choke on my food or that it's actually getting stuck in there.  I've been on antacids since I went to the ER and haven't had any reflux backup since I've been using them, so that's positive.  I have burped maybe once a week and have gotten the feeling undigested food was backing up into my throat, but again, no actual acid or heartburn at all since taking the antacids.
I have an appointment with a GI doctor in the middle of October, so I'll finally be able to get in there and see what's going on.  I thought I may have a hiatal hernia too, but from what I've researched they usually catch those on CT scans and they didn't bring that up after they did my chest scan.
I also don't think I've had or have any ulcers, as I've never had any abdominal pain since I've been having heartburn or the current GERD bout.  From what I've read it takes about 6-8 weeks for the esophagus to heal, so we'll see what happens.  It doesn't feel like it's been getting any better since starting up a month ago, but it also hasn't been getting any worse. I've changed up my diet a bit and have cut out soda, spicy food, and high fat foods.
I know that was a long read, but I just wanted to get some of this off my chest.</t>
        </is>
      </c>
      <c r="D2845" t="n">
        <v>4</v>
      </c>
      <c r="E2845" t="n">
        <v>4</v>
      </c>
      <c r="F2845">
        <f>HYPERLINK("https://www.reddit.com/r/GERD/comments/d7mn1t/my_current_situation_with_gerd/")</f>
        <v/>
      </c>
      <c r="G2845" t="inlineStr">
        <is>
          <t>2019-09-21 23:10:46</t>
        </is>
      </c>
      <c r="H2845" t="inlineStr"/>
    </row>
    <row r="2846">
      <c r="A2846" t="inlineStr">
        <is>
          <t>d7q2nt</t>
        </is>
      </c>
      <c r="B2846" t="inlineStr">
        <is>
          <t>Is bloating common with PPIs?</t>
        </is>
      </c>
      <c r="C2846" t="inlineStr">
        <is>
          <t>Hello there. I've been taking Protonix for about 2.5 weeks now, and I think it's messing up my gut. Does anyone else get really bad bloating with various PPIs? If so, have you found that one is better than another? 
I don't want to just stop the Protonix because I think it's helping with the acid reflux (it's hard to tell because I'm dealing with multiple issues, including ineffective esophageal motility, but it seems to be working much better than Zantac), but it's also giving me a lot of side effects, including bloating, stomach issues, joint pain, and sore throat. 
Seems like PPIs are a double-edged sword -- treats the reflux, but gives you a bunch of other symptoms!</t>
        </is>
      </c>
      <c r="D2846" t="n">
        <v>3</v>
      </c>
      <c r="E2846" t="n">
        <v>7</v>
      </c>
      <c r="F2846">
        <f>HYPERLINK("https://www.reddit.com/r/GERD/comments/d7q2nt/is_bloating_common_with_ppis/")</f>
        <v/>
      </c>
      <c r="G2846" t="inlineStr">
        <is>
          <t>2019-09-22 05:58:18</t>
        </is>
      </c>
      <c r="H2846" t="inlineStr"/>
    </row>
    <row r="2847">
      <c r="A2847" t="inlineStr">
        <is>
          <t>d7r6za</t>
        </is>
      </c>
      <c r="B2847" t="inlineStr">
        <is>
          <t>Sick...and choking</t>
        </is>
      </c>
      <c r="C2847" t="inlineStr">
        <is>
          <t>So last night was one of my worst flair ups ever. I was woken up by it at around 2am choking and feeling like my chest and stomach were on fire (I honestly thought I was having another heart attack) and then I was up until 5:30am. After it subsided (enough that I could lay down without nagging fear), I felt like I couldn’t get enough air in. Like when you’re nose is stuffed, and you feel like you can’t breathe... but I felt that in my throat. Fast forward to now, I have a moderate fever (enough of one to make me hide under 4 blankets) and I still have that feeling of not enough air. Does anyone else have that “not enough air” feeling? Does yours last long after your attacks as well? I guess I should mention that I also am still having the wheezing/gurgling in my throat... it’s gross, and I believe that the bitter taste from whatever acid/bile is lingering in my mouth is what’s making me nauseous... 
Have a better day than I am!</t>
        </is>
      </c>
      <c r="D2847" t="n">
        <v>1</v>
      </c>
      <c r="E2847" t="n">
        <v>17</v>
      </c>
      <c r="F2847">
        <f>HYPERLINK("https://www.reddit.com/r/GERD/comments/d7r6za/sickand_choking/")</f>
        <v/>
      </c>
      <c r="G2847" t="inlineStr">
        <is>
          <t>2019-09-22 07:33:23</t>
        </is>
      </c>
      <c r="H2847" t="inlineStr"/>
    </row>
    <row r="2848">
      <c r="A2848" t="inlineStr">
        <is>
          <t>d7rhf1</t>
        </is>
      </c>
      <c r="B2848" t="inlineStr">
        <is>
          <t>Mattress wedge causing hip/back pain?</t>
        </is>
      </c>
      <c r="C2848" t="inlineStr">
        <is>
          <t>I bought a bed wedge which seems to be working well for my "silent" reflux. However, since getting it, both my boyfriend and I have been having hip pain - mine is bad enough to wake me up.  Has anyone experienced this or does anyone have an idea of why this would be happening?</t>
        </is>
      </c>
      <c r="D2848" t="n">
        <v>5</v>
      </c>
      <c r="E2848" t="n">
        <v>15</v>
      </c>
      <c r="F2848">
        <f>HYPERLINK("https://www.reddit.com/r/GERD/comments/d7rhf1/mattress_wedge_causing_hipback_pain/")</f>
        <v/>
      </c>
      <c r="G2848" t="inlineStr">
        <is>
          <t>2019-09-22 07:55:46</t>
        </is>
      </c>
      <c r="H2848" t="inlineStr"/>
    </row>
    <row r="2849">
      <c r="A2849" t="inlineStr">
        <is>
          <t>d7szoy</t>
        </is>
      </c>
      <c r="B2849" t="inlineStr">
        <is>
          <t>Stopped all modern medicines and started ayurvedic treatment.</t>
        </is>
      </c>
      <c r="C2849" t="inlineStr">
        <is>
          <t>After being on PPIs and antacids for more than 18 months, I still have a sore red throat. Today was the first day without PPI and ate only ayurvedic medicines and specific diet. I feel not much difference, things didn't go worse without PPI neither did they got any better. I got a blister kind of thing inside my upper lip today, will discontinue if things go further bad. I had to try this because I was really hopeless and GERD was getting on my nerves. You can ask any questions regarding the ayurvedic treatment.</t>
        </is>
      </c>
      <c r="D2849" t="n">
        <v>1</v>
      </c>
      <c r="E2849" t="n">
        <v>5</v>
      </c>
      <c r="F2849">
        <f>HYPERLINK("https://www.reddit.com/r/GERD/comments/d7szoy/stopped_all_modern_medicines_and_started/")</f>
        <v/>
      </c>
      <c r="G2849" t="inlineStr">
        <is>
          <t>2019-09-22 09:45:07</t>
        </is>
      </c>
      <c r="H2849" t="inlineStr"/>
    </row>
    <row r="2850">
      <c r="A2850" t="inlineStr">
        <is>
          <t>d7t89j</t>
        </is>
      </c>
      <c r="B2850" t="inlineStr">
        <is>
          <t>Stopping medication before surgery?</t>
        </is>
      </c>
      <c r="C2850" t="inlineStr">
        <is>
          <t>Today i stopped on my own accord because im afraid it will mess things up before my surgery on Saturday (doc didn’t say anything bc I didn’t really ask) but it’s becoming pretty unbearable hour by hour. So, for those who had the surgery, should i just continue taking it or bear this?</t>
        </is>
      </c>
      <c r="D2850" t="n">
        <v>1</v>
      </c>
      <c r="E2850" t="n">
        <v>4</v>
      </c>
      <c r="F2850">
        <f>HYPERLINK("https://www.reddit.com/r/GERD/comments/d7t89j/stopping_medication_before_surgery/")</f>
        <v/>
      </c>
      <c r="G2850" t="inlineStr">
        <is>
          <t>2019-09-22 10:02:34</t>
        </is>
      </c>
      <c r="H2850" t="inlineStr"/>
    </row>
    <row r="2851">
      <c r="A2851" t="inlineStr">
        <is>
          <t>d7vz6v</t>
        </is>
      </c>
      <c r="B2851" t="inlineStr">
        <is>
          <t>air issue</t>
        </is>
      </c>
      <c r="C2851" t="inlineStr">
        <is>
          <t>does anyone get an air issue? fills up in your mouth? makes swallowing harder as you swallow air too? can feel built up in the mouth or throat?</t>
        </is>
      </c>
      <c r="D2851" t="n">
        <v>6</v>
      </c>
      <c r="E2851" t="n">
        <v>14</v>
      </c>
      <c r="F2851">
        <f>HYPERLINK("https://www.reddit.com/r/GERD/comments/d7vz6v/air_issue/")</f>
        <v/>
      </c>
      <c r="G2851" t="inlineStr">
        <is>
          <t>2019-09-22 13:23:31</t>
        </is>
      </c>
      <c r="H2851" t="inlineStr"/>
    </row>
    <row r="2852">
      <c r="A2852" t="inlineStr">
        <is>
          <t>d7zywl</t>
        </is>
      </c>
      <c r="B2852" t="inlineStr">
        <is>
          <t>Gaining weight after surgery</t>
        </is>
      </c>
      <c r="C2852" t="inlineStr">
        <is>
          <t>Has anyone underweight GERD sufferers that got Nissen Fundoplication or LINX surgery able to gain weight post surgery?</t>
        </is>
      </c>
      <c r="D2852" t="n">
        <v>1</v>
      </c>
      <c r="E2852" t="n">
        <v>1</v>
      </c>
      <c r="F2852">
        <f>HYPERLINK("https://www.reddit.com/r/GERD/comments/d7zywl/gaining_weight_after_surgery/")</f>
        <v/>
      </c>
      <c r="G2852" t="inlineStr">
        <is>
          <t>2019-09-22 18:54:17</t>
        </is>
      </c>
      <c r="H2852" t="inlineStr"/>
    </row>
    <row r="2853">
      <c r="A2853" t="inlineStr">
        <is>
          <t>d807fp</t>
        </is>
      </c>
      <c r="B2853" t="inlineStr">
        <is>
          <t>Sleep Solutions-Any Advice?</t>
        </is>
      </c>
      <c r="C2853" t="inlineStr">
        <is>
          <t>Hi Everyone,
Does anyone have any experience with either adjustable beds or recliners? I'm unable to sleep well at night and I need some relief... I'm trying to combat my GERD using a number of different strategies and I've decided that I need to be sleeping nearly upright. The problem is that I often sleep on either my back or my side... usually my side. I have been using a wedge pillow but it's somewhat uncomfortable and I slide down half the time, resulting in that wonderful throat full of acid many of you are probably familiar with.   
I've slept in a recliner before and it was pretty comfortable...I'm open to it as a permanent solution but I also think an adjustable bed could be equally as good. I also suffer from sleep apnea so hopefully whatever solution I go with will help with that as well... I'm not sure what exactly I should be looking for in terms of brand or anything like that. My budget is on the higher end as I'm hoping this is a long-term investment.
&amp;amp;#x200B;
Thanks so much for reading my post and I really appreciate any suggestions that you all might have!</t>
        </is>
      </c>
      <c r="D2853" t="n">
        <v>1</v>
      </c>
      <c r="E2853" t="n">
        <v>2</v>
      </c>
      <c r="F2853">
        <f>HYPERLINK("https://www.reddit.com/r/GERD/comments/d807fp/sleep_solutionsany_advice/")</f>
        <v/>
      </c>
      <c r="G2853" t="inlineStr">
        <is>
          <t>2019-09-22 19:14:43</t>
        </is>
      </c>
      <c r="H2853" t="inlineStr"/>
    </row>
    <row r="2854">
      <c r="A2854" t="inlineStr">
        <is>
          <t>d848c3</t>
        </is>
      </c>
      <c r="B2854" t="inlineStr">
        <is>
          <t>Will abdominal exercises (to build muscle) increase reflux?</t>
        </is>
      </c>
      <c r="C2854" t="inlineStr">
        <is>
          <t>Hi,
Long-time suffering of GERD, but having a daily pill of PPI to remove its effect (more or less successfully), I would like to start to work on my abs to lose some fat on my belly. However, most abs exercises seem to rely on crunching, and I'm afraid of it increasing the reflux. Anyone here doing crunches?
Cheers</t>
        </is>
      </c>
      <c r="D2854" t="n">
        <v>1</v>
      </c>
      <c r="E2854" t="n">
        <v>8</v>
      </c>
      <c r="F2854">
        <f>HYPERLINK("https://www.reddit.com/r/GERD/comments/d848c3/will_abdominal_exercises_to_build_muscle_increase/")</f>
        <v/>
      </c>
      <c r="G2854" t="inlineStr">
        <is>
          <t>2019-09-23 02:39:38</t>
        </is>
      </c>
      <c r="H2854" t="inlineStr"/>
    </row>
    <row r="2855">
      <c r="A2855" t="inlineStr">
        <is>
          <t>d85fo4</t>
        </is>
      </c>
      <c r="B2855" t="inlineStr">
        <is>
          <t>To those with Hiatus Hernias, does fasting make your symptoms worse?</t>
        </is>
      </c>
      <c r="C2855" t="inlineStr">
        <is>
          <t>Been experimenting a little lately and it sure seems like if I fast my symptoms end up a lot worse.</t>
        </is>
      </c>
      <c r="D2855" t="n">
        <v>8</v>
      </c>
      <c r="E2855" t="n">
        <v>20</v>
      </c>
      <c r="F2855">
        <f>HYPERLINK("https://www.reddit.com/r/GERD/comments/d85fo4/to_those_with_hiatus_hernias_does_fasting_make/")</f>
        <v/>
      </c>
      <c r="G2855" t="inlineStr">
        <is>
          <t>2019-09-23 04:50:47</t>
        </is>
      </c>
      <c r="H2855" t="inlineStr"/>
    </row>
    <row r="2856">
      <c r="A2856" t="inlineStr">
        <is>
          <t>d8675c</t>
        </is>
      </c>
      <c r="B2856" t="inlineStr">
        <is>
          <t>Palpitations / chest-fluttering when taking a deep breath</t>
        </is>
      </c>
      <c r="C2856" t="inlineStr">
        <is>
          <t>Anyone else get this? When yawning or just trying to get a nice breathful of air? 
Not sure if it's gastritis-related or GERD-related. Maybe it's both. Hoping it's not neither lol. It's really freaking me out.</t>
        </is>
      </c>
      <c r="D2856" t="n">
        <v>7</v>
      </c>
      <c r="E2856" t="n">
        <v>19</v>
      </c>
      <c r="F2856">
        <f>HYPERLINK("https://www.reddit.com/r/GERD/comments/d8675c/palpitations_chestfluttering_when_taking_a_deep/")</f>
        <v/>
      </c>
      <c r="G2856" t="inlineStr">
        <is>
          <t>2019-09-23 05:59:34</t>
        </is>
      </c>
      <c r="H2856" t="inlineStr"/>
    </row>
    <row r="2857">
      <c r="A2857" t="inlineStr">
        <is>
          <t>d869ar</t>
        </is>
      </c>
      <c r="B2857" t="inlineStr">
        <is>
          <t>Burning feeling at back of throat but no acid ..</t>
        </is>
      </c>
      <c r="C2857" t="inlineStr">
        <is>
          <t>So i used to suffer from GERD when i was over weight. I lived on Zantac because when i would lie down after a large meal i would get the acid creeping up my throat. I have woke up in the night literally choking on acid that felt like glass. Super scary. 
So i noticed as soon as i started losing weight i would get zero gerd/heartburn. Now months later i get this mild burny feeling in the back of my throat towards roof of mouth. It's strange because there is no acid and it feel completely different. It comes through out the day and not always after a meal. I have no other symptoms. I also do not smoke or drink alcohol. 
So i'm curious, does anyone know what this may be ?
Thanks.</t>
        </is>
      </c>
      <c r="D2857" t="n">
        <v>2</v>
      </c>
      <c r="E2857" t="n">
        <v>4</v>
      </c>
      <c r="F2857">
        <f>HYPERLINK("https://www.reddit.com/r/GERD/comments/d869ar/burning_feeling_at_back_of_throat_but_no_acid/")</f>
        <v/>
      </c>
      <c r="G2857" t="inlineStr">
        <is>
          <t>2019-09-23 06:04:39</t>
        </is>
      </c>
      <c r="H2857" t="inlineStr"/>
    </row>
    <row r="2858">
      <c r="A2858" t="inlineStr">
        <is>
          <t>d87aul</t>
        </is>
      </c>
      <c r="B2858" t="inlineStr">
        <is>
          <t>Anyone tried stomach vacuum exercises for GERD?</t>
        </is>
      </c>
      <c r="C2858" t="inlineStr">
        <is>
          <t>[I am talking about these](https://www.youtube.com/watch?v=gDx1xfSobG4).
Would anyone know if this exercise is good, bad or it doesn't affect GERD at all?
Thanks</t>
        </is>
      </c>
      <c r="D2858" t="n">
        <v>2</v>
      </c>
      <c r="E2858" t="n">
        <v>2</v>
      </c>
      <c r="F2858">
        <f>HYPERLINK("https://www.reddit.com/r/GERD/comments/d87aul/anyone_tried_stomach_vacuum_exercises_for_gerd/")</f>
        <v/>
      </c>
      <c r="G2858" t="inlineStr">
        <is>
          <t>2019-09-23 07:31:03</t>
        </is>
      </c>
      <c r="H2858" t="inlineStr"/>
    </row>
    <row r="2859">
      <c r="A2859" t="inlineStr">
        <is>
          <t>d892a1</t>
        </is>
      </c>
      <c r="B2859" t="inlineStr">
        <is>
          <t>ACID RELFUX help need information coughing after eating</t>
        </is>
      </c>
      <c r="C2859" t="inlineStr">
        <is>
          <t>I have been diagnosed with acid reflux few weeks back.  I only cough after I eat and prescribed omerprazole and another steroid medication. 
I most likely got acid reflux from poor diet eating then sleeping and laying down 
I had this cough for months 
When it goes away will I be 100% cured ????
I only have cough no heartburn 
Will I have acid reflux for life ??
When it goes away do I still take the medication?</t>
        </is>
      </c>
      <c r="D2859" t="n">
        <v>3</v>
      </c>
      <c r="E2859" t="n">
        <v>1</v>
      </c>
      <c r="F2859">
        <f>HYPERLINK("https://www.reddit.com/r/GERD/comments/d892a1/acid_relfux_help_need_information_coughing_after/")</f>
        <v/>
      </c>
      <c r="G2859" t="inlineStr">
        <is>
          <t>2019-09-23 09:41:23</t>
        </is>
      </c>
      <c r="H2859" t="inlineStr"/>
    </row>
    <row r="2860">
      <c r="A2860" t="inlineStr">
        <is>
          <t>d89dzg</t>
        </is>
      </c>
      <c r="B2860" t="inlineStr">
        <is>
          <t>Cruel irony</t>
        </is>
      </c>
      <c r="C2860" t="inlineStr">
        <is>
          <t>Being a recovered bulimic with GERD can really feel like some cruel ironic joke of fate sometimes.</t>
        </is>
      </c>
      <c r="D2860" t="n">
        <v>7</v>
      </c>
      <c r="E2860" t="n">
        <v>14</v>
      </c>
      <c r="F2860">
        <f>HYPERLINK("https://www.reddit.com/r/GERD/comments/d89dzg/cruel_irony/")</f>
        <v/>
      </c>
      <c r="G2860" t="inlineStr">
        <is>
          <t>2019-09-23 10:04:11</t>
        </is>
      </c>
      <c r="H2860" t="inlineStr"/>
    </row>
    <row r="2861">
      <c r="A2861" t="inlineStr">
        <is>
          <t>d89iy6</t>
        </is>
      </c>
      <c r="B2861" t="inlineStr">
        <is>
          <t>Has anyone had rewrap of a lap fundoplication?</t>
        </is>
      </c>
      <c r="C2861" t="inlineStr">
        <is>
          <t>Long time lurker first time poster. 
TLDR- had an endoscope last week and my GI thinks I may need to have my 7 year old fundoplication redone due to it loosening and being a rather small one. Looking for advice, experiences and recommendations.  
Background
I had a lap fundoplication done in 2012 when I was 17 for GERD and a hietal hernia. It was done by a pediatric GI surgeon in a childrens hospital. After I had to have it ballooned twice due to food getting stuck, nausea, and weight loss. From 2012 to present I've weight has ranged from 105# to 120# at 5'5" so I've always been tiny. 
After the two balloonings my GERD has been well managed with diet and lite medication, untill about 6 months ago. I had to find a new GI since I'd moved. The doctor was great and ordered the endoscope. As the TLDR says he thinks I've grown out of my lap fundoplication. He said when this happends he usually suggests that his patients lose weight, but he also pointed out I have no weight to lose. He also said I'm probably going to have a hard time finding a surgeon in the area who will be able to do it, small town Louisiana. 
I guess I'm posting this looking for advice and other peoples experience. Anyone have recomendations for GI surgeons in Houston, Tampa, Orlando, New Orleans, etc?</t>
        </is>
      </c>
      <c r="D2861" t="n">
        <v>2</v>
      </c>
      <c r="E2861" t="n">
        <v>7</v>
      </c>
      <c r="F2861">
        <f>HYPERLINK("https://www.reddit.com/r/GERD/comments/d89iy6/has_anyone_had_rewrap_of_a_lap_fundoplication/")</f>
        <v/>
      </c>
      <c r="G2861" t="inlineStr">
        <is>
          <t>2019-09-23 10:13:06</t>
        </is>
      </c>
      <c r="H2861" t="inlineStr"/>
    </row>
    <row r="2862">
      <c r="A2862" t="inlineStr">
        <is>
          <t>d8a9h1</t>
        </is>
      </c>
      <c r="B2862" t="inlineStr">
        <is>
          <t>Anyone else have day long acid reflux or difficulty swallowing food?</t>
        </is>
      </c>
      <c r="C2862" t="inlineStr">
        <is>
          <t>Depending on what I’m eating, especially dry items like bread, can take a couple of attempts to get everything down. I get acid reflux really bad when I’m stressed and I had a nice car accident last year and lost my pet last month so I have acid reflux basically the second I wake up at least half the week.</t>
        </is>
      </c>
      <c r="D2862" t="n">
        <v>5</v>
      </c>
      <c r="E2862" t="n">
        <v>6</v>
      </c>
      <c r="F2862">
        <f>HYPERLINK("https://www.reddit.com/r/GERD/comments/d8a9h1/anyone_else_have_day_long_acid_reflux_or/")</f>
        <v/>
      </c>
      <c r="G2862" t="inlineStr">
        <is>
          <t>2019-09-23 11:03:06</t>
        </is>
      </c>
      <c r="H2862" t="inlineStr"/>
    </row>
    <row r="2863">
      <c r="A2863" t="inlineStr">
        <is>
          <t>d8ciur</t>
        </is>
      </c>
      <c r="B2863" t="inlineStr">
        <is>
          <t>Finally found something that’s working</t>
        </is>
      </c>
      <c r="C2863" t="inlineStr">
        <is>
          <t>It’s been a hell of a year. Major chest pain 24/7, inflamed all the way to my nostrils. 80 mg protonix + H2 did nothing, doctor wanted to start trying some other medications that were even stronger. Well, I don’t think that’ll be necessary. I’m on the 3rd day of my acid reflux diet and I think this might be it. It’s a combination of the Acid Watcher diet by Dr. Jonathan Aviv AND a low fat diet. I’ve been eating pretty much spinach, other green vegetables, chicken and sweet potato for the past three days. Snacks include almonds and buckwheat rice cakes. I am STARVING and tired BUT my stomach feels incredible. I really hope I don’t have to eat for the rest of my life like this, but even if I do, it is way better than the pain that I was going through. It is an extremely strict type of diet, and I hope to slowly introduce more foods as I get better, but I want to let you guys know. I thought I was on good diets before. I would go to restaurants and only have scrambled eggs, home fries, butter, etc. I thought there’s no way something so light could be the reason I’m feeling so shitty, especially since I was on some really hard PPIs! But- PPIs do NOT work for everyone. Actually, what I learned is that a lot of people don’t feel relief from them. I personally am one of those. The diet though- that really made a difference. I really do urge anyone out there suffering to really try 100% with the Acid Watcher diet- NO CHEATS. It had worked wonders for me</t>
        </is>
      </c>
      <c r="D2863" t="n">
        <v>1</v>
      </c>
      <c r="E2863" t="n">
        <v>0</v>
      </c>
      <c r="F2863">
        <f>HYPERLINK("https://www.reddit.com/r/GERD/comments/d8ciur/finally_found_something_thats_working/")</f>
        <v/>
      </c>
      <c r="G2863" t="inlineStr">
        <is>
          <t>2019-09-23 13:37:56</t>
        </is>
      </c>
      <c r="H2863" t="inlineStr"/>
    </row>
    <row r="2864">
      <c r="A2864" t="inlineStr">
        <is>
          <t>d8dc9m</t>
        </is>
      </c>
      <c r="B2864" t="inlineStr">
        <is>
          <t>feeling hopeless/panic attacks</t>
        </is>
      </c>
      <c r="C2864" t="inlineStr">
        <is>
          <t>Does anyone else experience panic or anxiety attacks due to chest pain? I have been dealing with the pain of acid reflux for so long and in such intensity that sometimes when I start to feel tightness or burning, I begin to panic, sometimes even have full on anxiety attacks complete with crying and hyperventilating. I have had GERD attacks last for days, and with such crippling pain that I cant get off the floor or eat/drink anything for 48+hrs. I'm on a PPI my doctor called tecta, and I take it on time every morning before I eat anything. I take a handful of tums on a daily basis, as well as tylenol sometimes when everything else does no good. I'm starting to feel really hopeless, like I'm just broken and cant be fixed. It doesn't seem to matter what I eat, I could eat potatoes and carrots and get heartburn. I get heartburn first thing in the morning. I get heartburn when I drink water. It all just feels so useless... and looking up solutions online is awful because I search for things like "how to strengthen your LES" hoping I can heal myself, and I get no real results. I guess I'm just looking for hope, for helpful advice, solidarity... anything... I feel alone and like nobody takes my pain seriously because they cant see it. :(</t>
        </is>
      </c>
      <c r="D2864" t="n">
        <v>19</v>
      </c>
      <c r="E2864" t="n">
        <v>7</v>
      </c>
      <c r="F2864">
        <f>HYPERLINK("https://www.reddit.com/r/GERD/comments/d8dc9m/feeling_hopelesspanic_attacks/")</f>
        <v/>
      </c>
      <c r="G2864" t="inlineStr">
        <is>
          <t>2019-09-23 14:37:04</t>
        </is>
      </c>
      <c r="H2864" t="inlineStr"/>
    </row>
    <row r="2865">
      <c r="A2865" t="inlineStr">
        <is>
          <t>d8ew1e</t>
        </is>
      </c>
      <c r="B2865" t="inlineStr">
        <is>
          <t>PPI making reflux worse?</t>
        </is>
      </c>
      <c r="C2865" t="inlineStr">
        <is>
          <t>Long story short, a few weeks ago I ended up drinking too much alcohol on an empty stomach and since then I’ve been extremely nauseous, no appetite, and lots of burping. The doc assumed it was gastritis and put me on Nexium 40 mg. I’ve taken it for about a week now and noticed that it’s not making me feel better and actually giving me reflux symptoms (burning stomach and sore throat). 
I did a barium swallow this morning and the only thing they found was “significant reflux of acid up into the esophagus”.  This was super confusing because I didn’t have any reflux symptoms before starting the Nexium and was also getting reflux symptoms by just taking anacids (gaviscon, tums). I’ve also been eating an extremely bland diet for the past week and a half. 
Has anyone experienced this or can give any advise on what to do?</t>
        </is>
      </c>
      <c r="D2865" t="n">
        <v>3</v>
      </c>
      <c r="E2865" t="n">
        <v>5</v>
      </c>
      <c r="F2865">
        <f>HYPERLINK("https://www.reddit.com/r/GERD/comments/d8ew1e/ppi_making_reflux_worse/")</f>
        <v/>
      </c>
      <c r="G2865" t="inlineStr">
        <is>
          <t>2019-09-23 16:35:47</t>
        </is>
      </c>
      <c r="H2865" t="inlineStr"/>
    </row>
    <row r="2866">
      <c r="A2866" t="inlineStr">
        <is>
          <t>d8g454</t>
        </is>
      </c>
      <c r="B2866" t="inlineStr">
        <is>
          <t>Would a topical Nsaid cause digestive issues?</t>
        </is>
      </c>
      <c r="C2866" t="inlineStr">
        <is>
          <t>Normal Nsaids in a pill form mess me up pretty bad and takes days for me for recover. Would a topical gel Ibuprofen cause minor if any stomach related issues? Couldn't really find much info when I googled around. Wanted hear y'alls opinions.</t>
        </is>
      </c>
      <c r="D2866" t="n">
        <v>1</v>
      </c>
      <c r="E2866" t="n">
        <v>3</v>
      </c>
      <c r="F2866">
        <f>HYPERLINK("https://www.reddit.com/r/GERD/comments/d8g454/would_a_topical_nsaid_cause_digestive_issues/")</f>
        <v/>
      </c>
      <c r="G2866" t="inlineStr">
        <is>
          <t>2019-09-23 18:17:40</t>
        </is>
      </c>
      <c r="H2866" t="inlineStr"/>
    </row>
    <row r="2867">
      <c r="A2867" t="inlineStr">
        <is>
          <t>d8hch2</t>
        </is>
      </c>
      <c r="B2867" t="inlineStr">
        <is>
          <t>I hope I can find something to help</t>
        </is>
      </c>
      <c r="C2867" t="inlineStr">
        <is>
          <t>Hi. I have only now stumbled onto this sub because of desperation. I have been diagnosed with severe GERD since I was 8. I am now 32. For the last 24 years, I have been to doctors great and small, and never felt relief. Most of the time, they have suggested weight loss or diet change, and sometimes they diagnose me with a Proton Pump Inhibitor. While the PPIs have never seemed to do anything but cause weight gain, I am proud to say that I took their advice on losing weight! I changed my diet, started exercising more, lost about 60 lbs, and am now hovering around 195-205 lbs (88.5-93 kg) and 6'2" (187 cm). I am not overweight anymore. I have cut out most sugars, all alcohol, I have never been a coffee or soda-drinker, cut most carbs, do not drink citrus juices, and do not eat for 3 hours before or after sleeping.
So why am I still suffering?! Even more than when I was a reckless young'n!? I wake up nauseous every morning, suffer all day most days, and I absolutely HAVE to take 4 extra strength TUMS every night before bed just to be able to sleep. To top that off, I have acidic and watery stool at least  twice a week that will literally handicap me. For the last 4 days, all I have eaten or drank has been a spring green/romaine salad (no dressing or toppings), a baked potato (little butter, no other toppings), a bowl of homemade low sodium vegetable soup with few noodles, and water throughout the day. I am still suffering. How? Even when I fast for days just drinking water, I still cannot get relief. Is this just my life? I truly do not understand where all this acid comes from?!</t>
        </is>
      </c>
      <c r="D2867" t="n">
        <v>2</v>
      </c>
      <c r="E2867" t="n">
        <v>10</v>
      </c>
      <c r="F2867">
        <f>HYPERLINK("https://www.reddit.com/r/GERD/comments/d8hch2/i_hope_i_can_find_something_to_help/")</f>
        <v/>
      </c>
      <c r="G2867" t="inlineStr">
        <is>
          <t>2019-09-23 20:04:19</t>
        </is>
      </c>
      <c r="H2867" t="inlineStr"/>
    </row>
    <row r="2868">
      <c r="A2868" t="inlineStr">
        <is>
          <t>d8ifhc</t>
        </is>
      </c>
      <c r="B2868" t="inlineStr">
        <is>
          <t>My Dad is diagnosed with Acid Reflux, should I be worried?</t>
        </is>
      </c>
      <c r="C2868" t="inlineStr">
        <is>
          <t>My Dad called my phone today and told me that he went to a doctor because he's been feeling heavy heart burn, nausea, and other common symptoms associated with Acid Reflux and he's been prescribed Nexium. He also told me he has a slightly elevated white blood cell count. All of this kind of worries me so I'm wondering from others experience. Is medication for Acid Reflux generally safe? How long does it take for Acid Reflux to be treated?</t>
        </is>
      </c>
      <c r="D2868" t="n">
        <v>1</v>
      </c>
      <c r="E2868" t="n">
        <v>13</v>
      </c>
      <c r="F2868">
        <f>HYPERLINK("https://www.reddit.com/r/GERD/comments/d8ifhc/my_dad_is_diagnosed_with_acid_reflux_should_i_be/")</f>
        <v/>
      </c>
      <c r="G2868" t="inlineStr">
        <is>
          <t>2019-09-23 21:51:06</t>
        </is>
      </c>
      <c r="H2868" t="inlineStr"/>
    </row>
    <row r="2869">
      <c r="A2869" t="inlineStr">
        <is>
          <t>d8igt7</t>
        </is>
      </c>
      <c r="B2869" t="inlineStr">
        <is>
          <t>Does GERD cause small sharp chest pops</t>
        </is>
      </c>
      <c r="C2869" t="inlineStr">
        <is>
          <t>Basically I have been experiencing this weird popping or gas release in my chest. It's very quick and it's lightly painful. I have no clue if this is GERD related. I was diagnosed with GERD like a month ago. I am very worried and I was just looking to see if anyone else has something like this so I know it's GERD. It can't be a heart problem as I have had ECG and blood test and it came back fine.</t>
        </is>
      </c>
      <c r="D2869" t="n">
        <v>1</v>
      </c>
      <c r="E2869" t="n">
        <v>12</v>
      </c>
      <c r="F2869">
        <f>HYPERLINK("https://www.reddit.com/r/GERD/comments/d8igt7/does_gerd_cause_small_sharp_chest_pops/")</f>
        <v/>
      </c>
      <c r="G2869" t="inlineStr">
        <is>
          <t>2019-09-23 21:55:01</t>
        </is>
      </c>
      <c r="H2869" t="inlineStr"/>
    </row>
    <row r="2870">
      <c r="A2870" t="inlineStr">
        <is>
          <t>d8j3kb</t>
        </is>
      </c>
      <c r="B2870" t="inlineStr">
        <is>
          <t>Meal/snack ideas?</t>
        </is>
      </c>
      <c r="C2870" t="inlineStr">
        <is>
          <t>I was wondering if anyone could give me some ideas for meals and snacks for someone with gerd. I was recently diagnosed with gerd.</t>
        </is>
      </c>
      <c r="D2870" t="n">
        <v>3</v>
      </c>
      <c r="E2870" t="n">
        <v>2</v>
      </c>
      <c r="F2870">
        <f>HYPERLINK("https://www.reddit.com/r/GERD/comments/d8j3kb/mealsnack_ideas/")</f>
        <v/>
      </c>
      <c r="G2870" t="inlineStr">
        <is>
          <t>2019-09-23 23:06:08</t>
        </is>
      </c>
      <c r="H2870" t="inlineStr"/>
    </row>
    <row r="2871">
      <c r="A2871" t="inlineStr">
        <is>
          <t>d8khbo</t>
        </is>
      </c>
      <c r="B2871" t="inlineStr">
        <is>
          <t>Not sure if this is GERD related or not...feel hot after eating?</t>
        </is>
      </c>
      <c r="C2871" t="inlineStr">
        <is>
          <t>After eating or drinking certain food or drink I feel hot, especially my face. It’s typically worse after consuming sugary stuff, including soda (even if it’s cold). Sugar/sweeteners also happen to be one of my worst triggers for GERD. I’ve been tested for diabetes because apparently a hot face after eating can be a symptom, but the result was negative.
Does anyone else experience this? Sometimes it’s so bad that if I go out in the sun after eating a trigger the sun and heat will feel extremely overwhelming and I desperately need shade. I also get quite itchy sometimes during one of these flare ups.</t>
        </is>
      </c>
      <c r="D2871" t="n">
        <v>1</v>
      </c>
      <c r="E2871" t="n">
        <v>1</v>
      </c>
      <c r="F2871">
        <f>HYPERLINK("https://www.reddit.com/r/GERD/comments/d8khbo/not_sure_if_this_is_gerd_related_or_notfeel_hot/")</f>
        <v/>
      </c>
      <c r="G2871" t="inlineStr">
        <is>
          <t>2019-09-24 01:58:28</t>
        </is>
      </c>
      <c r="H2871" t="inlineStr"/>
    </row>
    <row r="2872">
      <c r="A2872" t="inlineStr">
        <is>
          <t>d8mohi</t>
        </is>
      </c>
      <c r="B2872" t="inlineStr">
        <is>
          <t>I feel like LPR attack everyday..</t>
        </is>
      </c>
      <c r="C2872" t="inlineStr">
        <is>
          <t>It triggers me to cough and recently chest pain, and can feel the temperature behind my throat is rising.I am so anxious and worried, 2 weeks time to see the ENT specialist...</t>
        </is>
      </c>
      <c r="D2872" t="n">
        <v>1</v>
      </c>
      <c r="E2872" t="n">
        <v>9</v>
      </c>
      <c r="F2872">
        <f>HYPERLINK("https://www.reddit.com/r/GERD/comments/d8mohi/i_feel_like_lpr_attack_everyday/")</f>
        <v/>
      </c>
      <c r="G2872" t="inlineStr">
        <is>
          <t>2019-09-24 05:45:49</t>
        </is>
      </c>
      <c r="H2872" t="inlineStr"/>
    </row>
    <row r="2873">
      <c r="A2873" t="inlineStr">
        <is>
          <t>d8pgr5</t>
        </is>
      </c>
      <c r="B2873" t="inlineStr">
        <is>
          <t>My GP will no longer prescribe the medication I need despite my Gastroenterologist saying I should remain on it.</t>
        </is>
      </c>
      <c r="C2873" t="inlineStr">
        <is>
          <t>Went to pick up my prescription which is 20mg omeprazole and 300mg Ranitidine to be told it has been refused.
I was so confused. I asked why and she said that the doctor (general practitioner) said because I only have a hernia and that there was no inflammation during my endoscopy that I do not need to be on anything other than Gaviscon.
This was my Gastroenterologist who said to stay on this medication Indefinitely. 
Is there anything I can do? Should I try and speak to this GP over the phone?</t>
        </is>
      </c>
      <c r="D2873" t="n">
        <v>8</v>
      </c>
      <c r="E2873" t="n">
        <v>19</v>
      </c>
      <c r="F2873">
        <f>HYPERLINK("https://www.reddit.com/r/GERD/comments/d8pgr5/my_gp_will_no_longer_prescribe_the_medication_i/")</f>
        <v/>
      </c>
      <c r="G2873" t="inlineStr">
        <is>
          <t>2019-09-24 09:19:49</t>
        </is>
      </c>
      <c r="H2873" t="inlineStr"/>
    </row>
    <row r="2874">
      <c r="A2874" t="inlineStr">
        <is>
          <t>d8pguy</t>
        </is>
      </c>
      <c r="B2874" t="inlineStr">
        <is>
          <t>I had a really bad GERD today and my nose became stuffy. Is the stuffy nose from GERD?</t>
        </is>
      </c>
      <c r="C2874" t="inlineStr">
        <is>
          <t>I drank decaf coffee and ate peanuts. Big mistake.</t>
        </is>
      </c>
      <c r="D2874" t="n">
        <v>3</v>
      </c>
      <c r="E2874" t="n">
        <v>4</v>
      </c>
      <c r="F2874">
        <f>HYPERLINK("https://www.reddit.com/r/GERD/comments/d8pguy/i_had_a_really_bad_gerd_today_and_my_nose_became/")</f>
        <v/>
      </c>
      <c r="G2874" t="inlineStr">
        <is>
          <t>2019-09-24 09:20:04</t>
        </is>
      </c>
      <c r="H2874" t="inlineStr"/>
    </row>
    <row r="2875">
      <c r="A2875" t="inlineStr">
        <is>
          <t>d8r64m</t>
        </is>
      </c>
      <c r="B2875" t="inlineStr">
        <is>
          <t>New to PPIs...</t>
        </is>
      </c>
      <c r="C2875" t="inlineStr">
        <is>
          <t>I got prescribed PPIs yesterday due to having gastritis.</t>
        </is>
      </c>
      <c r="D2875" t="n">
        <v>1</v>
      </c>
      <c r="E2875" t="n">
        <v>0</v>
      </c>
      <c r="F2875">
        <f>HYPERLINK("https://www.reddit.com/r/GERD/comments/d8r64m/new_to_ppis/")</f>
        <v/>
      </c>
      <c r="G2875" t="inlineStr">
        <is>
          <t>2019-09-24 11:22:45</t>
        </is>
      </c>
      <c r="H2875" t="inlineStr"/>
    </row>
    <row r="2876">
      <c r="A2876" t="inlineStr">
        <is>
          <t>d8r8dv</t>
        </is>
      </c>
      <c r="B2876" t="inlineStr">
        <is>
          <t>PPI side effects</t>
        </is>
      </c>
      <c r="C2876" t="inlineStr">
        <is>
          <t>I got prescribed a PPI (Nexium) yesterday for gastritis along with a GI cocktail that make me feel like I was choking (probably due to the lidocaine). This morning I woke up with a scratchy, really thick mucky throat. Is this due to the cocktail or the PPI (the doctor told me to take one before bed)?</t>
        </is>
      </c>
      <c r="D2876" t="n">
        <v>1</v>
      </c>
      <c r="E2876" t="n">
        <v>17</v>
      </c>
      <c r="F2876">
        <f>HYPERLINK("https://www.reddit.com/r/GERD/comments/d8r8dv/ppi_side_effects/")</f>
        <v/>
      </c>
      <c r="G2876" t="inlineStr">
        <is>
          <t>2019-09-24 11:27:17</t>
        </is>
      </c>
      <c r="H2876" t="inlineStr"/>
    </row>
    <row r="2877">
      <c r="A2877" t="inlineStr">
        <is>
          <t>d8ra91</t>
        </is>
      </c>
      <c r="B2877" t="inlineStr">
        <is>
          <t>GERD - Pain when swallowing?</t>
        </is>
      </c>
      <c r="C2877" t="inlineStr">
        <is>
          <t>Hi,
I was wondering if anyone had slight pain/discomfort in the upper part of the throat when swallowing? I don't have any trouble swallowing the food down, just the pain, like a sore throat and my voice is a bit hoarsey today.
My doctor suspects GERD and has put me on PPI's (protonix) which have helped the pain (not completely) from the acid reflux but begs the question why I am having new symptoms. Could the acid still be making the GERD worse, even though the heart burn symptoms have reduced? I'm not sure what to think anymore, I go from having one good day to a bad day. 
I did a barium swallow last week and am waiting for the results. I will be scheduled for a scope soon, but thats not going to be for another few months. I guess the barium swallow will give an indication if there is anything funky going on in my esophagus. 
Thanks,</t>
        </is>
      </c>
      <c r="D2877" t="n">
        <v>2</v>
      </c>
      <c r="E2877" t="n">
        <v>2</v>
      </c>
      <c r="F2877">
        <f>HYPERLINK("https://www.reddit.com/r/GERD/comments/d8ra91/gerd_pain_when_swallowing/")</f>
        <v/>
      </c>
      <c r="G2877" t="inlineStr">
        <is>
          <t>2019-09-24 11:31:21</t>
        </is>
      </c>
      <c r="H2877" t="inlineStr"/>
    </row>
    <row r="2878">
      <c r="A2878" t="inlineStr">
        <is>
          <t>d8rz2l</t>
        </is>
      </c>
      <c r="B2878" t="inlineStr">
        <is>
          <t>Diagnosed recently. Looking for advice.</t>
        </is>
      </c>
      <c r="C2878" t="inlineStr">
        <is>
          <t>So back in June, I woke up to some moderate chest pain in the upper left region of my chest. My initial, not awake reaction was... heart attack? But I thought the pain was far too mild based on what I had heard people describe them as. So I went out and got some antacids after figuring from some quick Google searching that it could be heartburn.
The next few days, it continued and more symptoms appeared, including nausea, inability to eat much food (loss of appetite?), and some very bad dizziness. I went to Urgent Care, but all they could really tell me was that my EKG was normal. After another couple days, I ended up going to the ER because I got anxious that it could be heart related, but they cleared me of that. X-Ray and blood work were perfectly normal, and they told me it was GERD. They prescribed me Pantoprazole, which I have been taking once a day ever since. It has been mostly quiet since then, but I've had a couple flare ups the past week (nowhere near as bad as the first time), but I can't help but wonder if the medicine isn't working anymore? Has anyone used Pantoprazole and had good results?
Can diet interfere with the Pantoprazole treatment? I've tried my best to avoid tomatoes, only occasionally indulging because I can't see myself never eating anything with tomatoes in it again, and I've eaten less spicy food than I usually do, but again, can't see myself stopping eating spicy food completely. Other than that, I don't know much about what foods could be big triggers. My diet stays mostly the same from week to week. The only other thing I could imagine would help is losing weight, which is difficult when I work 9 hours a day and don't have a lot of energy when I get home.
I have been taking antacids when I feel the occasional burning sensation or something doesn't feel quite right.
Does anyone have any suggestions? I'll probably schedule an appointment with my doctor soon and try to see a gastroenterologist to get some professional advice, but since that could take a while (last appointment I had to wait 2 months to see him), I'd like some short term wisdom from people who may have experienced what I have.
Any advice is appreciated.</t>
        </is>
      </c>
      <c r="D2878" t="n">
        <v>2</v>
      </c>
      <c r="E2878" t="n">
        <v>10</v>
      </c>
      <c r="F2878">
        <f>HYPERLINK("https://www.reddit.com/r/GERD/comments/d8rz2l/diagnosed_recently_looking_for_advice/")</f>
        <v/>
      </c>
      <c r="G2878" t="inlineStr">
        <is>
          <t>2019-09-24 12:20:33</t>
        </is>
      </c>
      <c r="H2878" t="inlineStr"/>
    </row>
    <row r="2879">
      <c r="A2879" t="inlineStr">
        <is>
          <t>d8s9yk</t>
        </is>
      </c>
      <c r="B2879" t="inlineStr">
        <is>
          <t>☹️ My symptoms since last thursday</t>
        </is>
      </c>
      <c r="C2879" t="inlineStr">
        <is>
          <t>I’ve been experiencing a burning sensation in my stomach and also in the center of my upper abdomen. Im not sure why it has not gone away i was doing very good for almost 2 years without  any acid reflux. Also afterni finish eating i feel so bloated and my stomach fees really heavy i start to get pressure in my head. Has anyone experienced pressure in their head related to Acid reflux?</t>
        </is>
      </c>
      <c r="D2879" t="n">
        <v>5</v>
      </c>
      <c r="E2879" t="n">
        <v>3</v>
      </c>
      <c r="F2879">
        <f>HYPERLINK("https://www.reddit.com/r/GERD/comments/d8s9yk/my_symptoms_since_last_thursday/")</f>
        <v/>
      </c>
      <c r="G2879" t="inlineStr">
        <is>
          <t>2019-09-24 12:42:09</t>
        </is>
      </c>
      <c r="H2879" t="inlineStr"/>
    </row>
    <row r="2880">
      <c r="A2880" t="inlineStr">
        <is>
          <t>d8sw5k</t>
        </is>
      </c>
      <c r="B2880" t="inlineStr">
        <is>
          <t>28 M W/ Barrett's Esophagus and a new baby. first time posting. looking for advice</t>
        </is>
      </c>
      <c r="C2880" t="inlineStr">
        <is>
          <t>Hey guys. First time posting here. As my title says i have barrett's. I was diagnosed in march and have completely changed my life. I am down 40lbs and feel great. This being said i have a new born baby and I cant shake the thought in the back of my head that one day i will ger cancer and not be able to see my son grow up to be a successful man. in addition to this i have injuries from the military that require me to be on pain meds pretty often. Because of the barrett's i cant take NSIDs, so they prescribed me oxy which works but i dont want to be on this for ever. so can anyone put my mind at ease about that cancer demon hanging over my head? Also any advice on non opiod pain remedies? Thanks!</t>
        </is>
      </c>
      <c r="D2880" t="n">
        <v>14</v>
      </c>
      <c r="E2880" t="n">
        <v>28</v>
      </c>
      <c r="F2880">
        <f>HYPERLINK("https://www.reddit.com/r/GERD/comments/d8sw5k/28_m_w_barretts_esophagus_and_a_new_baby_first/")</f>
        <v/>
      </c>
      <c r="G2880" t="inlineStr">
        <is>
          <t>2019-09-24 13:25:53</t>
        </is>
      </c>
      <c r="H2880" t="inlineStr"/>
    </row>
    <row r="2881">
      <c r="A2881" t="inlineStr">
        <is>
          <t>d8uzc9</t>
        </is>
      </c>
      <c r="B2881" t="inlineStr">
        <is>
          <t>Attention to those undiagnosed with throat/chest/asthma symptoms, get off the forums and get an Endoscopy. I found out that I had EoE not GERD/LPR</t>
        </is>
      </c>
      <c r="C2881" t="inlineStr">
        <is>
          <t>I was thoroughly convinced I had major LPR - symptoms were weak voice, sore throat, fatigue, trouble breathing, anxiety, etc. I finally had enough of pointless ENT visits so I visited a gastroenterologist who gave me an endoscopy and immediately noticed I had an inflamed esophagus (eosinophilic esophagitis to be exact). The inflammation and presence of white blood cells was due to food allergies - gluten, dairy, egg, nuts fish, and/or soy.
I cut all of that out while I am waiting for my official test results and I feel amazing. No more difficulty breathing or talking, no more achy and sore throat, no more racing heartbeat - it’s honesty amazing. I feel like I was before all this shit started. 
I’m still waiting to get prescribed medication to ease the swelling but it looks like a meat veggie and fruit diet is what I’m heading towards. My biggest mistake was spending hours on these forums trying to self diagnose and guess my way through treatment. Hope this helps someone because this shit was on the verge of ruining my job and optimism</t>
        </is>
      </c>
      <c r="D2881" t="n">
        <v>28</v>
      </c>
      <c r="E2881" t="n">
        <v>55</v>
      </c>
      <c r="F2881">
        <f>HYPERLINK("https://www.reddit.com/r/GERD/comments/d8uzc9/attention_to_those_undiagnosed_with/")</f>
        <v/>
      </c>
      <c r="G2881" t="inlineStr">
        <is>
          <t>2019-09-24 16:04:35</t>
        </is>
      </c>
      <c r="H2881" t="inlineStr"/>
    </row>
    <row r="2882">
      <c r="A2882" t="inlineStr">
        <is>
          <t>d8v4cb</t>
        </is>
      </c>
      <c r="B2882" t="inlineStr">
        <is>
          <t>Caffeine Substitutes?</t>
        </is>
      </c>
      <c r="C2882" t="inlineStr">
        <is>
          <t>So I'm looking for some coffee substitutes since it almost always triggers reflux for me, as well as any carbonated energy drink (no brainer). I've heard of green tea, but was wondering if anyone has had any luck with anything else out there? I've also seen talks of cold brew coffee but would like to hear some opinions. Thanks!</t>
        </is>
      </c>
      <c r="D2882" t="n">
        <v>1</v>
      </c>
      <c r="E2882" t="n">
        <v>21</v>
      </c>
      <c r="F2882">
        <f>HYPERLINK("https://www.reddit.com/r/GERD/comments/d8v4cb/caffeine_substitutes/")</f>
        <v/>
      </c>
      <c r="G2882" t="inlineStr">
        <is>
          <t>2019-09-24 16:15:45</t>
        </is>
      </c>
      <c r="H2882" t="inlineStr"/>
    </row>
    <row r="2883">
      <c r="A2883" t="inlineStr">
        <is>
          <t>d8w1kd</t>
        </is>
      </c>
      <c r="B2883" t="inlineStr">
        <is>
          <t>I really need some advice on my recent health</t>
        </is>
      </c>
      <c r="C2883" t="inlineStr">
        <is>
          <t>I have had LPR for a long time, which has mostly presented with post nasal drip and a lot of swallowing, and general irritation of my sinuses and throat (causing some bumps). In the last couple months, I noticed I would wake up with a sore throat much more often, where this was pretty rare otherwise. One week ago, I suddenly felt shortness of breath/breaths felt shallow/unsatisfying and a sore throat. The breathing difficulty really put me into a state of anxiety about my health and gave me two panic attacks.
I started taking PPIs, elevating my bed, eating better foods, and not eating before bed. However, now I notice that although my breathing is getting better, my lungs feel like they're slightly inflamed (slight burning sensation when I breathe in). Is this something I should be worried about?</t>
        </is>
      </c>
      <c r="D2883" t="n">
        <v>1</v>
      </c>
      <c r="E2883" t="n">
        <v>1</v>
      </c>
      <c r="F2883">
        <f>HYPERLINK("https://www.reddit.com/r/GERD/comments/d8w1kd/i_really_need_some_advice_on_my_recent_health/")</f>
        <v/>
      </c>
      <c r="G2883" t="inlineStr">
        <is>
          <t>2019-09-24 17:43:03</t>
        </is>
      </c>
      <c r="H2883" t="inlineStr"/>
    </row>
    <row r="2884">
      <c r="A2884" t="inlineStr">
        <is>
          <t>d8weh8</t>
        </is>
      </c>
      <c r="B2884" t="inlineStr">
        <is>
          <t>Nexium and male fertility.</t>
        </is>
      </c>
      <c r="C2884" t="inlineStr">
        <is>
          <t>Been a 10 year plus nexium user 10-20mg a day that keeps my GERD symptoms completely at bay. 34 years old and my wife and i have been trying for a baby for around 5 months (i know not long enough to stress), regardless we are considering just getting a check up to make sure everything is ok.
Stupidly i decided to try Dr Google first and came across a few l links to studies that showed a link between ppi use and low sperm count due to zinc and B12 malabsortion.
Any other long term ppi users have trouble conceiving or am i just an idiot for using Dr Google?</t>
        </is>
      </c>
      <c r="D2884" t="n">
        <v>1</v>
      </c>
      <c r="E2884" t="n">
        <v>4</v>
      </c>
      <c r="F2884">
        <f>HYPERLINK("https://www.reddit.com/r/GERD/comments/d8weh8/nexium_and_male_fertility/")</f>
        <v/>
      </c>
      <c r="G2884" t="inlineStr">
        <is>
          <t>2019-09-24 18:19:13</t>
        </is>
      </c>
      <c r="H2884" t="inlineStr"/>
    </row>
    <row r="2885">
      <c r="A2885" t="inlineStr">
        <is>
          <t>d8wzwz</t>
        </is>
      </c>
      <c r="B2885" t="inlineStr">
        <is>
          <t>I can have coffee but not broccoli and tomatoes.</t>
        </is>
      </c>
      <c r="C2885" t="inlineStr">
        <is>
          <t>I don’t under my body and this illness.</t>
        </is>
      </c>
      <c r="D2885" t="n">
        <v>1</v>
      </c>
      <c r="E2885" t="n">
        <v>4</v>
      </c>
      <c r="F2885">
        <f>HYPERLINK("https://www.reddit.com/r/GERD/comments/d8wzwz/i_can_have_coffee_but_not_broccoli_and_tomatoes/")</f>
        <v/>
      </c>
      <c r="G2885" t="inlineStr">
        <is>
          <t>2019-09-24 19:16:45</t>
        </is>
      </c>
      <c r="H2885" t="inlineStr"/>
    </row>
    <row r="2886">
      <c r="A2886" t="inlineStr">
        <is>
          <t>d8xa9d</t>
        </is>
      </c>
      <c r="B2886" t="inlineStr">
        <is>
          <t>Nausea/ nausea between ribs?</t>
        </is>
      </c>
      <c r="C2886" t="inlineStr">
        <is>
          <t>I have a nausea problem. It comes and goes. For several days or weeks I deal with nausea and then it goes away again for awhile until it eventually comes back. 
I feel sick whether I eat or don’t eat. I actually often have the urge to eat because for some reason it feels like if I eat I’ll feel better...but I don’t. If anything I feel worse. 
I’ve thrown up before, but most of the time I just stay feeling unbearably nauseous. It’s like some special kind of nausea which is hard to explain...it feels worse than normal nausea and just stays there all day no matter what I do. 
I also have this sick feeling between my ribs. I feel nauseous there which I know sounds crazy but I do.
I also do regurgitate some acid or super tiny pieces of food at times. 
Does anyone have any idea what this is? A relative of mine feels like I have GERD but I don’t know if this fits it or not. Especially the weird rib nausea that I can’t find anything about anywhere...
I know I need to go to a health care professional but I honestly don’t have the money at the moment. I would love nothing more than to go and get diagnosed. I’ve been dealing with this for so long and I’m miserable. It’s so hard to deal with. 
I just want to know some suggestions of what this might be, or if someone could please explain the nausea feeling between the ribs...I feel like I’m the only one experiencing that. What can I do for the nausea? It doesn’t go away. It just stays until I finally feel better. 
I really appreciate it.
Thanks!!</t>
        </is>
      </c>
      <c r="D2886" t="n">
        <v>3</v>
      </c>
      <c r="E2886" t="n">
        <v>5</v>
      </c>
      <c r="F2886">
        <f>HYPERLINK("https://www.reddit.com/r/GERD/comments/d8xa9d/nausea_nausea_between_ribs/")</f>
        <v/>
      </c>
      <c r="G2886" t="inlineStr">
        <is>
          <t>2019-09-24 19:46:40</t>
        </is>
      </c>
      <c r="H2886" t="inlineStr"/>
    </row>
    <row r="2887">
      <c r="A2887" t="inlineStr">
        <is>
          <t>d8xocz</t>
        </is>
      </c>
      <c r="B2887" t="inlineStr">
        <is>
          <t>Acid reflux, what should I do?</t>
        </is>
      </c>
      <c r="C2887" t="inlineStr">
        <is>
          <t>11years ago I had been dealing with acid reflux daily, didn't even really know what it was.  But I would drink milk often because it made it feel better.  I then started taking Prilosec.(omeprazole). 
 My Dr assured me it has 0 side effects, take it for the rest of my life, np.  It did clear everything up.  Never had another symptom unless I forgot my pills. Every day for 10years.  One day I mentioned this to my Dr, new Dr, and they said STOP TAKING THAT IMMEDIATELY.  Might already have kidney damage...if not I will eventually.
So they recommend I take Zantac.  It's harmless they say. 
 Take it all the time, no side effects.  Needless to say I don't trust them and haven't taken anything for 6months now.  But it's kinda torture every day.  If I eat really really clean, I am sorta okay, still not symptom free.  But I'm often on the go, I love spicy food, it's very hard to eat clean.  
I've tried apple cider vinegar, despite being fkn gross, it didn't seem to help.  Milk helps temporarily.  
Advice?</t>
        </is>
      </c>
      <c r="D2887" t="n">
        <v>4</v>
      </c>
      <c r="E2887" t="n">
        <v>8</v>
      </c>
      <c r="F2887">
        <f>HYPERLINK("https://www.reddit.com/r/GERD/comments/d8xocz/acid_reflux_what_should_i_do/")</f>
        <v/>
      </c>
      <c r="G2887" t="inlineStr">
        <is>
          <t>2019-09-24 20:23:36</t>
        </is>
      </c>
      <c r="H2887" t="inlineStr"/>
    </row>
    <row r="2888">
      <c r="A2888" t="inlineStr">
        <is>
          <t>d921e1</t>
        </is>
      </c>
      <c r="B2888" t="inlineStr">
        <is>
          <t>Is it GERD or something else?</t>
        </is>
      </c>
      <c r="C2888" t="inlineStr">
        <is>
          <t>Can you help me? I have been told I have GERD, but I don´t have the ¨normal¨ symptoms from what I read. I have no issues with my esophogus, it´s all in my stomach. It started with an attack a few months ago and has subsided with change in diet and some different PPI´s, but it´s still there all the time, especially at night and in the morning are the roughest. It´s a constant feeling of rotten gut. I have trouble sleeping on my sides. I have to sleep upright and on my back. I have pain towards the upper part of the abdomen by the diaphram. I try massage with my hands to aid in digestion. I have to wait for another 2 months for my ¨full coverage¨ health care to kick in, but I am worried I am waiting all this time is doing damage to my body. Does anybody out there have the same symptoms? What was your diagnosis? I´m waiting for an endoscopy, then surgery for my gallstones since we don´t know if it´s triggering the GERD of if it´s two separate issues. 
Thank you for any ideas you have!</t>
        </is>
      </c>
      <c r="D2888" t="n">
        <v>2</v>
      </c>
      <c r="E2888" t="n">
        <v>2</v>
      </c>
      <c r="F2888">
        <f>HYPERLINK("https://www.reddit.com/r/GERD/comments/d921e1/is_it_gerd_or_something_else/")</f>
        <v/>
      </c>
      <c r="G2888" t="inlineStr">
        <is>
          <t>2019-09-25 04:38:27</t>
        </is>
      </c>
      <c r="H2888" t="inlineStr"/>
    </row>
    <row r="2889">
      <c r="A2889" t="inlineStr">
        <is>
          <t>d92fz8</t>
        </is>
      </c>
      <c r="B2889" t="inlineStr">
        <is>
          <t>Does anyone else get bad breath because of gerd?</t>
        </is>
      </c>
      <c r="C2889" t="inlineStr">
        <is>
          <t>Asking for a friend.... this friend brushes their teeth and tongue (though doesn’t floss daily) and uses special bad breath mouth wash and has been to a dentist who confirmed their teeth are fine.
But they still get bad breath even after all of the that. 
The breath feels like it’s actually coming from the back of the throat though, not the teeth or tongue. It seems to get worse during any kind of activity where they start breath deeper.
This person also suffers from gerd. The breath often smells like, onions?
Anyway, does anyone have advice for bad gerd breath? How do you know it’s gerd causing the bad breath?
So</t>
        </is>
      </c>
      <c r="D2889" t="n">
        <v>6</v>
      </c>
      <c r="E2889" t="n">
        <v>26</v>
      </c>
      <c r="F2889">
        <f>HYPERLINK("https://www.reddit.com/r/GERD/comments/d92fz8/does_anyone_else_get_bad_breath_because_of_gerd/")</f>
        <v/>
      </c>
      <c r="G2889" t="inlineStr">
        <is>
          <t>2019-09-25 05:16:31</t>
        </is>
      </c>
      <c r="H2889" t="inlineStr"/>
    </row>
    <row r="2890">
      <c r="A2890" t="inlineStr">
        <is>
          <t>d92t3z</t>
        </is>
      </c>
      <c r="B2890" t="inlineStr">
        <is>
          <t>Any GERD friendly alternatives to advil/ibuprofen?</t>
        </is>
      </c>
      <c r="C2890" t="inlineStr">
        <is>
          <t>I normally don't use advil except for during "that time of the month." It wrecks my stomach and gives me heartburn for over half the day. Anyone know of any alternatives?</t>
        </is>
      </c>
      <c r="D2890" t="n">
        <v>2</v>
      </c>
      <c r="E2890" t="n">
        <v>4</v>
      </c>
      <c r="F2890">
        <f>HYPERLINK("https://www.reddit.com/r/GERD/comments/d92t3z/any_gerd_friendly_alternatives_to_advilibuprofen/")</f>
        <v/>
      </c>
      <c r="G2890" t="inlineStr">
        <is>
          <t>2019-09-25 05:49:04</t>
        </is>
      </c>
      <c r="H2890" t="inlineStr"/>
    </row>
    <row r="2891">
      <c r="A2891" t="inlineStr">
        <is>
          <t>d92vsy</t>
        </is>
      </c>
      <c r="B2891" t="inlineStr">
        <is>
          <t>Any Nissen people here with a "lump?"</t>
        </is>
      </c>
      <c r="C2891" t="inlineStr">
        <is>
          <t>I had Nissen Fundoplication almost three months ago. I would say that everything has gone well save for one night of pretty bad pain about 10 days ago. That said, I have a lump at the base of my sternum that seems to be consistent with where I think the surgery took place. I lost some weight after the surgery but still carry 185 pounds on a 5-10 frame, so I have plenty of fat to kind of hide things. The lump sort of seems to come and go. I can see it at night when I lay down, but standing usually not. That said, my brother noticed it while I was wearing a fairly loose t-shirt.
I just want to make sure this is common, so thanks for any comments.</t>
        </is>
      </c>
      <c r="D2891" t="n">
        <v>1</v>
      </c>
      <c r="E2891" t="n">
        <v>2</v>
      </c>
      <c r="F2891">
        <f>HYPERLINK("https://www.reddit.com/r/GERD/comments/d92vsy/any_nissen_people_here_with_a_lump/")</f>
        <v/>
      </c>
      <c r="G2891" t="inlineStr">
        <is>
          <t>2019-09-25 05:55:15</t>
        </is>
      </c>
      <c r="H2891" t="inlineStr"/>
    </row>
    <row r="2892">
      <c r="A2892" t="inlineStr">
        <is>
          <t>d94dz3</t>
        </is>
      </c>
      <c r="B2892" t="inlineStr">
        <is>
          <t>Ever since I had GERD, I've been crying everyday</t>
        </is>
      </c>
      <c r="C2892" t="inlineStr">
        <is>
          <t>Cry in my bathroom, cry in my bed. No more energy to do anything because I cant have coffee. No more comfort food because I can only eat a little. Cannot even have 8 hours sleep, because I belch worst at midnight. Family and doctors think that PPI and gaviscon can magically fixed GERD. I'm having suicidal thoughts. Talked to call suicide hotline, no one answers. I'm fucking constipated and can barely gas. I even have UTI.</t>
        </is>
      </c>
      <c r="D2892" t="n">
        <v>7</v>
      </c>
      <c r="E2892" t="n">
        <v>12</v>
      </c>
      <c r="F2892">
        <f>HYPERLINK("https://www.reddit.com/r/GERD/comments/d94dz3/ever_since_i_had_gerd_ive_been_crying_everyday/")</f>
        <v/>
      </c>
      <c r="G2892" t="inlineStr">
        <is>
          <t>2019-09-25 07:53:51</t>
        </is>
      </c>
      <c r="H2892" t="inlineStr"/>
    </row>
    <row r="2893">
      <c r="A2893" t="inlineStr">
        <is>
          <t>d94sqm</t>
        </is>
      </c>
      <c r="B2893" t="inlineStr">
        <is>
          <t>I GOT IT! I GOT AN APPOINTMENT!</t>
        </is>
      </c>
      <c r="C2893" t="inlineStr">
        <is>
          <t>I PUT MYSELF ON THE CANCELLATION LIST AND THEY GOT ME AN APPOINTMENT FOR TOMORROW AFTERNOON! OMG! IM SO HAPPY! AHHHHHH! I’m so happy</t>
        </is>
      </c>
      <c r="D2893" t="n">
        <v>29</v>
      </c>
      <c r="E2893" t="n">
        <v>25</v>
      </c>
      <c r="F2893">
        <f>HYPERLINK("https://www.reddit.com/r/GERD/comments/d94sqm/i_got_it_i_got_an_appointment/")</f>
        <v/>
      </c>
      <c r="G2893" t="inlineStr">
        <is>
          <t>2019-09-25 08:23:10</t>
        </is>
      </c>
      <c r="H2893" t="inlineStr"/>
    </row>
    <row r="2894">
      <c r="A2894" t="inlineStr">
        <is>
          <t>d94wfp</t>
        </is>
      </c>
      <c r="B2894" t="inlineStr">
        <is>
          <t>Does eating the same thing over and over - even if its good for you - trigger reflux?</t>
        </is>
      </c>
      <c r="C2894" t="inlineStr">
        <is>
          <t>So I've been dealing with reflux on and off for the past year.
I've lost weight, becoming super fit, play sports and go to the gym regularly. I've also stopped drinking (before the reflux started too), don't 'smoke (occasionally do weed - legal here in Canada), don't eat any fat or fried food, don't have caffeine (switched to decaf coffee, and have it semi-daily), don't eat late at night, and eat mostly bland healthy food.
However, while I occasionally get heartburn, and I usually get chest pain. And it's so irregular compared to what I eat. There seems to be no trigger point. I started eating organic oatmeal (plain with some honey) and for the first 4-5 days, I was feeling great. Then I eat it one day, and bang! Reflux. Then I stopped it and start eating it again days later and I'm fine. Same thing with peanut butter, or nuts in general, and even bananas.
So, does eating the same food over and over trigger reflux? Or could I be stressing out and that's causing the trigger?</t>
        </is>
      </c>
      <c r="D2894" t="n">
        <v>1</v>
      </c>
      <c r="E2894" t="n">
        <v>11</v>
      </c>
      <c r="F2894">
        <f>HYPERLINK("https://www.reddit.com/r/GERD/comments/d94wfp/does_eating_the_same_thing_over_and_over_even_if/")</f>
        <v/>
      </c>
      <c r="G2894" t="inlineStr">
        <is>
          <t>2019-09-25 08:30:44</t>
        </is>
      </c>
      <c r="H2894" t="inlineStr"/>
    </row>
    <row r="2895">
      <c r="A2895" t="inlineStr">
        <is>
          <t>d95fzs</t>
        </is>
      </c>
      <c r="B2895" t="inlineStr">
        <is>
          <t>Is honey before bed a good choice ?</t>
        </is>
      </c>
      <c r="C2895" t="inlineStr">
        <is>
          <t>I found out that honey helps with acid reflux but dont know if honey before bed can make my tumtum less acidic or just make me burp and another reflux within an hour. What's the best time to have honey ?</t>
        </is>
      </c>
      <c r="D2895" t="n">
        <v>1</v>
      </c>
      <c r="E2895" t="n">
        <v>2</v>
      </c>
      <c r="F2895">
        <f>HYPERLINK("https://www.reddit.com/r/GERD/comments/d95fzs/is_honey_before_bed_a_good_choice/")</f>
        <v/>
      </c>
      <c r="G2895" t="inlineStr">
        <is>
          <t>2019-09-25 09:09:53</t>
        </is>
      </c>
      <c r="H2895" t="inlineStr"/>
    </row>
    <row r="2896">
      <c r="A2896" t="inlineStr">
        <is>
          <t>d98i92</t>
        </is>
      </c>
      <c r="B2896" t="inlineStr">
        <is>
          <t>I've seen a drastic improvement in my symptoms while taking Melatonin</t>
        </is>
      </c>
      <c r="C2896" t="inlineStr">
        <is>
          <t>Started taking 3 mg every night after reading about anti aging benefits for sun damaged skin. Been on it about 3 weeks. I've noticed my post nasal drip and constant cough/throat clearing has almost completely disappeared.  I have had these issues for years and haven't seen this kind of reduction in them ever. The only thing I could attribute this to was the melatonin, as it's the only change I have made recently.  I did a search on google and find that it does indeed have some known benefits for acid reflux. I hope that it continues to work for me. You may consider trying it a couple weeks and see if you notice any improvements in yourself. 
 [https://www.pharmacytoday.org/article/S1042-0991(16)30687-9/fulltext](https://www.pharmacytoday.org/article/S1042-0991(16)30687-9/fulltext)</t>
        </is>
      </c>
      <c r="D2896" t="n">
        <v>1</v>
      </c>
      <c r="E2896" t="n">
        <v>8</v>
      </c>
      <c r="F2896">
        <f>HYPERLINK("https://www.reddit.com/r/GERD/comments/d98i92/ive_seen_a_drastic_improvement_in_my_symptoms/")</f>
        <v/>
      </c>
      <c r="G2896" t="inlineStr">
        <is>
          <t>2019-09-25 12:47:51</t>
        </is>
      </c>
      <c r="H2896" t="inlineStr"/>
    </row>
    <row r="2897">
      <c r="A2897" t="inlineStr">
        <is>
          <t>d99dsf</t>
        </is>
      </c>
      <c r="B2897" t="inlineStr">
        <is>
          <t>Getting an endoscopy tomorrow. Weeping in terror.</t>
        </is>
      </c>
      <c r="C2897" t="inlineStr">
        <is>
          <t>Suffer with extreme anxiety. Utterly, unabashedly terrified about tomorrow. how did you guys get on?</t>
        </is>
      </c>
      <c r="D2897" t="n">
        <v>4</v>
      </c>
      <c r="E2897" t="n">
        <v>17</v>
      </c>
      <c r="F2897">
        <f>HYPERLINK("https://www.reddit.com/r/GERD/comments/d99dsf/getting_an_endoscopy_tomorrow_weeping_in_terror/")</f>
        <v/>
      </c>
      <c r="G2897" t="inlineStr">
        <is>
          <t>2019-09-25 13:49:09</t>
        </is>
      </c>
      <c r="H2897" t="inlineStr"/>
    </row>
    <row r="2898">
      <c r="A2898" t="inlineStr">
        <is>
          <t>d9c2ac</t>
        </is>
      </c>
      <c r="B2898" t="inlineStr">
        <is>
          <t>Shortness of Breath due to GERD?</t>
        </is>
      </c>
      <c r="C2898" t="inlineStr">
        <is>
          <t>Hey everyone,
I’ve suffered from GERD for about 10 years now, have had numerous endoscopies, and tried all different kinds of medicines. Lately (in the past month) I’ve noticed I have constant shortness of breath (feeling like I can’t get a deep breath and yawning constantly). I’ve also noticed the area around my ribs/ chest sometimes pops when I take a deep breath. Has anyone else experienced this or am I going crazy?</t>
        </is>
      </c>
      <c r="D2898" t="n">
        <v>13</v>
      </c>
      <c r="E2898" t="n">
        <v>25</v>
      </c>
      <c r="F2898">
        <f>HYPERLINK("https://www.reddit.com/r/GERD/comments/d9c2ac/shortness_of_breath_due_to_gerd/")</f>
        <v/>
      </c>
      <c r="G2898" t="inlineStr">
        <is>
          <t>2019-09-25 17:31:36</t>
        </is>
      </c>
      <c r="H2898" t="inlineStr"/>
    </row>
    <row r="2899">
      <c r="A2899" t="inlineStr">
        <is>
          <t>d9db67</t>
        </is>
      </c>
      <c r="B2899" t="inlineStr">
        <is>
          <t>Sharp pains?</t>
        </is>
      </c>
      <c r="C2899" t="inlineStr">
        <is>
          <t>DAE get sharp pains shooting through the roof of their mouths during/after an attack? I’m currently in the midst of an attack and I’ve found that I have shooting pains through the roof my mouth... does anyone else have this?</t>
        </is>
      </c>
      <c r="D2899" t="n">
        <v>6</v>
      </c>
      <c r="E2899" t="n">
        <v>2</v>
      </c>
      <c r="F2899">
        <f>HYPERLINK("https://www.reddit.com/r/GERD/comments/d9db67/sharp_pains/")</f>
        <v/>
      </c>
      <c r="G2899" t="inlineStr">
        <is>
          <t>2019-09-25 19:18:03</t>
        </is>
      </c>
      <c r="H2899" t="inlineStr"/>
    </row>
    <row r="2900">
      <c r="A2900" t="inlineStr">
        <is>
          <t>d9dxyd</t>
        </is>
      </c>
      <c r="B2900" t="inlineStr">
        <is>
          <t>Has anyone found relief from an elimination diet?</t>
        </is>
      </c>
      <c r="C2900" t="inlineStr">
        <is>
          <t>Considering this to heal my gut and understand what triggers GERD. But they scare me.</t>
        </is>
      </c>
      <c r="D2900" t="n">
        <v>5</v>
      </c>
      <c r="E2900" t="n">
        <v>3</v>
      </c>
      <c r="F2900">
        <f>HYPERLINK("https://www.reddit.com/r/GERD/comments/d9dxyd/has_anyone_found_relief_from_an_elimination_diet/")</f>
        <v/>
      </c>
      <c r="G2900" t="inlineStr">
        <is>
          <t>2019-09-25 20:14:23</t>
        </is>
      </c>
      <c r="H2900" t="inlineStr"/>
    </row>
    <row r="2901">
      <c r="A2901" t="inlineStr">
        <is>
          <t>d9ekcn</t>
        </is>
      </c>
      <c r="B2901" t="inlineStr">
        <is>
          <t>Has intermittent fasting helped with reflux?</t>
        </is>
      </c>
      <c r="C2901" t="inlineStr">
        <is>
          <t>Has intermittent fasting helped with reflux? I’m reassessing my situation (considering keto), and considering it as an option. Like a 16-8 session. Anyone gone through this? Has it helped?</t>
        </is>
      </c>
      <c r="D2901" t="n">
        <v>3</v>
      </c>
      <c r="E2901" t="n">
        <v>10</v>
      </c>
      <c r="F2901">
        <f>HYPERLINK("https://www.reddit.com/r/GERD/comments/d9ekcn/has_intermittent_fasting_helped_with_reflux/")</f>
        <v/>
      </c>
      <c r="G2901" t="inlineStr">
        <is>
          <t>2019-09-25 21:13:56</t>
        </is>
      </c>
      <c r="H2901" t="inlineStr"/>
    </row>
    <row r="2902">
      <c r="A2902" t="inlineStr">
        <is>
          <t>d9flfv</t>
        </is>
      </c>
      <c r="B2902" t="inlineStr">
        <is>
          <t>Hungry a lot?</t>
        </is>
      </c>
      <c r="C2902" t="inlineStr">
        <is>
          <t>Do you guys feel hungry a lot too? I have both IBS and GERD and I always have symptoms after eating. One of those symptoms is hunger, even if I just ate a big meal. I don’t get that “I’m full” signal anymore. Sometimes the hunger is intense and makes me feel weak and shaky. I avoid major triggers like soda and coffee, but even when I’m eating as safely as possible I can’t fully satisfy my hunger.</t>
        </is>
      </c>
      <c r="D2902" t="n">
        <v>7</v>
      </c>
      <c r="E2902" t="n">
        <v>4</v>
      </c>
      <c r="F2902">
        <f>HYPERLINK("https://www.reddit.com/r/GERD/comments/d9flfv/hungry_a_lot/")</f>
        <v/>
      </c>
      <c r="G2902" t="inlineStr">
        <is>
          <t>2019-09-25 23:04:32</t>
        </is>
      </c>
      <c r="H2902" t="inlineStr"/>
    </row>
    <row r="2903">
      <c r="A2903" t="inlineStr">
        <is>
          <t>d9ga2m</t>
        </is>
      </c>
      <c r="B2903" t="inlineStr">
        <is>
          <t>I hate that i'm the only one around going through this</t>
        </is>
      </c>
      <c r="C2903" t="inlineStr">
        <is>
          <t>That's it. im just 20 years old and trying to live with this for years even though ive got diagnosed last year and ive never spend a day without freaking out because of the fear to get barretts since the day i got diagnosed. i hate it, i hate not being able to enjoy a nightout with my friends without taking a ppi, i hate living on a pill and im just 20 years old, i hate it even more than an average sufferer because i hardly can spend a few days without getting high or drunk. even the days i take a ppi i hate it because i start regurgitating starting from the first sip of my drink. what a fucking life right. you think in your 20s you are gonna enjoy your life more than ever, its the best time of your life. you're young, healthy all that type of sht. right ?? fucking wrong. cant even order food without thinking its gonna cause heartburn, make me regurgitate until i give up and vomit. i fucking hate that there isnt any certain way to fix it unless i gamble and get the surgery and even if i make that decision right now it can still be too late, i fucking hate asking people if they ever experienced heartburn and regurgitation just so i can think that "everyone has this issue, its just im exagarreting it" but no. there are actually people who are 40 and never experienced this in their lifetime. i only get one life and im spending the best parts of it trying to enjoy my life without destroying my esophagus, which seems impossible with the lifeatyle ive got.</t>
        </is>
      </c>
      <c r="D2903" t="n">
        <v>6</v>
      </c>
      <c r="E2903" t="n">
        <v>17</v>
      </c>
      <c r="F2903">
        <f>HYPERLINK("https://www.reddit.com/r/GERD/comments/d9ga2m/i_hate_that_im_the_only_one_around_going_through/")</f>
        <v/>
      </c>
      <c r="G2903" t="inlineStr">
        <is>
          <t>2019-09-26 00:24:46</t>
        </is>
      </c>
      <c r="H2903" t="inlineStr"/>
    </row>
    <row r="2904">
      <c r="A2904" t="inlineStr">
        <is>
          <t>d9gq4r</t>
        </is>
      </c>
      <c r="B2904" t="inlineStr">
        <is>
          <t>Are PPIs really dangerous</t>
        </is>
      </c>
      <c r="C2904" t="inlineStr">
        <is>
          <t>Hello everyone,
I am 26 years old and  I have reflux problems for quite some time. The only medication that I found to be really effective are PPIs, for now I take one 20mg in the morning and one 20mg in the afternoon since last October so almost a year.
I have tried stopping them but after maximum one week, the symptoms come back with a punch. 
I have seen several doctors here in France and they all told me that PPIs aren't dangerous and that acid reflux has to be treated of It could  cause Barrett's and cancer afterwards. But then you see these studies about PPI causing kidney failure, ... etc.
I mostly believe my doctors of course but I would like to get people's advice mainly those that have taken PPI for a long time. 
So what do you think is GERD about taking chances ? constant pain and oesophagus cancer vs kidney failure and hip fractures ?</t>
        </is>
      </c>
      <c r="D2904" t="n">
        <v>9</v>
      </c>
      <c r="E2904" t="n">
        <v>42</v>
      </c>
      <c r="F2904">
        <f>HYPERLINK("https://www.reddit.com/r/GERD/comments/d9gq4r/are_ppis_really_dangerous/")</f>
        <v/>
      </c>
      <c r="G2904" t="inlineStr">
        <is>
          <t>2019-09-26 01:22:31</t>
        </is>
      </c>
      <c r="H2904" t="inlineStr"/>
    </row>
    <row r="2905">
      <c r="A2905" t="inlineStr">
        <is>
          <t>d9grm4</t>
        </is>
      </c>
      <c r="B2905" t="inlineStr">
        <is>
          <t>Extremely dry mouth and throat?</t>
        </is>
      </c>
      <c r="C2905" t="inlineStr">
        <is>
          <t>Hey guys I have a bit of constant symptoms of gerd and LPR that I can relate to but one I never see brought up or even on google is a constant dry mouth and throat. It's the worst when I wake up in the morning and its extremely annoying especially since its constant. It affects my swallowing and makes my saliva super thick and stringy so I usually have to hack up a bunch of clear saliva because it feels like it gets caught in my throat. Can anybody relate here or do I have another serious problem I need to get checked out?</t>
        </is>
      </c>
      <c r="D2905" t="n">
        <v>4</v>
      </c>
      <c r="E2905" t="n">
        <v>9</v>
      </c>
      <c r="F2905">
        <f>HYPERLINK("https://www.reddit.com/r/GERD/comments/d9grm4/extremely_dry_mouth_and_throat/")</f>
        <v/>
      </c>
      <c r="G2905" t="inlineStr">
        <is>
          <t>2019-09-26 01:28:23</t>
        </is>
      </c>
      <c r="H2905" t="inlineStr"/>
    </row>
    <row r="2906">
      <c r="A2906" t="inlineStr">
        <is>
          <t>d9j1z4</t>
        </is>
      </c>
      <c r="B2906" t="inlineStr">
        <is>
          <t>What do you take at bedtime to prevent reflux?</t>
        </is>
      </c>
      <c r="C2906" t="inlineStr">
        <is>
          <t>Hello. I'm still going through a personal hell with doctors trying to get answers about my condition. So far I know that I have severe acid reflux, which worsens throughout the day (not sure if it's officially GERD, LPR, or whatever), and that I have severe ineffective esophageal motility (90% failed swallows on a manometry). I have more tests coming up (barium swallow, esophagram, etc), but like everyone else, I have to wait awhile.
In the meantime, the doctor is having me take Protonix twice daily (20mg before breakfast, 20mg before dinner), and Bethanechol 3X a day (50mg). 
Due to the bad reflux at night, he is also having me take Zantac before bed. However, I freaking hate Zantac. It gives me serious bloating, constipation, etc. and I'm already having enough side effects with the Protonix. 
I'm also propping up my head with an adjustable bed, not eating hours before bed (and I'm even going to try intermittent fasting at night). Are there any over the counter teas, herbs, or medications that help you at night with reflux, besides popping another pill? I am desperate for more natural remedies that work. I feel like the more meds I take, the worse I'm getting.</t>
        </is>
      </c>
      <c r="D2906" t="n">
        <v>5</v>
      </c>
      <c r="E2906" t="n">
        <v>12</v>
      </c>
      <c r="F2906">
        <f>HYPERLINK("https://www.reddit.com/r/GERD/comments/d9j1z4/what_do_you_take_at_bedtime_to_prevent_reflux/")</f>
        <v/>
      </c>
      <c r="G2906" t="inlineStr">
        <is>
          <t>2019-09-26 05:37:54</t>
        </is>
      </c>
      <c r="H2906" t="inlineStr"/>
    </row>
    <row r="2907">
      <c r="A2907" t="inlineStr">
        <is>
          <t>d9j3yq</t>
        </is>
      </c>
      <c r="B2907" t="inlineStr">
        <is>
          <t>Ranitidine recall in Canada - Be careful fellow Canadians</t>
        </is>
      </c>
      <c r="C2907" t="inlineStr">
        <is>
          <t>Products like Zantac are being recalled for possible carcinogenic levels of NDMA, check out the link and stay safe. 
https://www.cbc.ca/news/health/ranitidine-recall-1.5297434</t>
        </is>
      </c>
      <c r="D2907" t="n">
        <v>1</v>
      </c>
      <c r="E2907" t="n">
        <v>4</v>
      </c>
      <c r="F2907">
        <f>HYPERLINK("https://www.reddit.com/r/GERD/comments/d9j3yq/ranitidine_recall_in_canada_be_careful_fellow/")</f>
        <v/>
      </c>
      <c r="G2907" t="inlineStr">
        <is>
          <t>2019-09-26 05:42:43</t>
        </is>
      </c>
      <c r="H2907" t="inlineStr"/>
    </row>
    <row r="2908">
      <c r="A2908" t="inlineStr">
        <is>
          <t>d9jbh5</t>
        </is>
      </c>
      <c r="B2908" t="inlineStr">
        <is>
          <t>How old are you when you start having GERD?</t>
        </is>
      </c>
      <c r="C2908" t="inlineStr">
        <is>
          <t>Mine is at 24 years old</t>
        </is>
      </c>
      <c r="D2908" t="n">
        <v>3</v>
      </c>
      <c r="E2908" t="n">
        <v>15</v>
      </c>
      <c r="F2908">
        <f>HYPERLINK("https://www.reddit.com/r/GERD/comments/d9jbh5/how_old_are_you_when_you_start_having_gerd/")</f>
        <v/>
      </c>
      <c r="G2908" t="inlineStr">
        <is>
          <t>2019-09-26 06:00:46</t>
        </is>
      </c>
      <c r="H2908" t="inlineStr"/>
    </row>
    <row r="2909">
      <c r="A2909" t="inlineStr">
        <is>
          <t>d9joep</t>
        </is>
      </c>
      <c r="B2909" t="inlineStr">
        <is>
          <t>Curious about doctor opinions</t>
        </is>
      </c>
      <c r="C2909" t="inlineStr">
        <is>
          <t>Hey everybody, 
So I have my 2nd appointment with my GI in October and im curious about what some doctors think about dyspnea being a symptom of GERD or silent reflux.
My GI believes that silent reflux is not a symptom for GERD or silent reflux.
Would like to hear what others have heard.</t>
        </is>
      </c>
      <c r="D2909" t="n">
        <v>3</v>
      </c>
      <c r="E2909" t="n">
        <v>2</v>
      </c>
      <c r="F2909">
        <f>HYPERLINK("https://www.reddit.com/r/GERD/comments/d9joep/curious_about_doctor_opinions/")</f>
        <v/>
      </c>
      <c r="G2909" t="inlineStr">
        <is>
          <t>2019-09-26 06:30:56</t>
        </is>
      </c>
      <c r="H2909" t="inlineStr"/>
    </row>
    <row r="2910">
      <c r="A2910" t="inlineStr">
        <is>
          <t>d9l4jd</t>
        </is>
      </c>
      <c r="B2910" t="inlineStr">
        <is>
          <t>Does your whole abdomen cramp after eating?</t>
        </is>
      </c>
      <c r="C2910" t="inlineStr">
        <is>
          <t>Does it hurt your back too? Do you vomit when you cramp?</t>
        </is>
      </c>
      <c r="D2910" t="n">
        <v>8</v>
      </c>
      <c r="E2910" t="n">
        <v>12</v>
      </c>
      <c r="F2910">
        <f>HYPERLINK("https://www.reddit.com/r/GERD/comments/d9l4jd/does_your_whole_abdomen_cramp_after_eating/")</f>
        <v/>
      </c>
      <c r="G2910" t="inlineStr">
        <is>
          <t>2019-09-26 08:24:34</t>
        </is>
      </c>
      <c r="H2910" t="inlineStr"/>
    </row>
    <row r="2911">
      <c r="A2911" t="inlineStr">
        <is>
          <t>d9p0mm</t>
        </is>
      </c>
      <c r="B2911" t="inlineStr">
        <is>
          <t>What can I do? Nausea</t>
        </is>
      </c>
      <c r="C2911" t="inlineStr">
        <is>
          <t>Hi!
So I’ve basically had reflux since I was a kid, I just didnt know what it was. The doctors just kept sending me to a psychologist, because they thought I had an eating dissorder..
Anyway, usually I feel okay for a while, and then it is bad for some weeks-months, and then okay again, etc.
I am now in my twenties, and about two years ago it got me baad. I could barely eat, and I only managed to eat dry bread and fruit. After some months I switched doctors, and she instantly put me on meds, Nexium/Somac. They did help for a good while, but only in periods, and now I am almost back to when it was really bad.
My biggest symptom is nausea, and it hits me bad just 5-20 minutes into a meal. I can calm it down with Gaviscon, or sometimes apples, rice, etc. But I am really struggeling to get enough nutrients, and to not lose to much weight.
I cant eat normal dinners now, I mostly eat rice with sour cream, with some dry beans or dry chicken. So I am loosing too much weight already..
I can actually still eat some chocolate, it makes me a bit nauseous as well, but I just love eating it. I have however been eating it like every day for a good while, feeling sorry for myself. But now I have been off it for a while, trying to give my body a rest to see if it helps.
I have done a lot of tests, but they show nothing.
Any tips of what might help? At this point everything is reaally appreciated!</t>
        </is>
      </c>
      <c r="D2911" t="n">
        <v>6</v>
      </c>
      <c r="E2911" t="n">
        <v>11</v>
      </c>
      <c r="F2911">
        <f>HYPERLINK("https://www.reddit.com/r/GERD/comments/d9p0mm/what_can_i_do_nausea/")</f>
        <v/>
      </c>
      <c r="G2911" t="inlineStr">
        <is>
          <t>2019-09-26 13:03:15</t>
        </is>
      </c>
      <c r="H2911" t="inlineStr"/>
    </row>
    <row r="2912">
      <c r="A2912" t="inlineStr">
        <is>
          <t>d9q1zz</t>
        </is>
      </c>
      <c r="B2912" t="inlineStr">
        <is>
          <t>What are peoples' thoughts on taking cannabis oil to calm down reflux or stop it?</t>
        </is>
      </c>
      <c r="C2912" t="inlineStr">
        <is>
          <t>Would taking cannabis oil help stop it? Any record of this working?</t>
        </is>
      </c>
      <c r="D2912" t="n">
        <v>2</v>
      </c>
      <c r="E2912" t="n">
        <v>14</v>
      </c>
      <c r="F2912">
        <f>HYPERLINK("https://www.reddit.com/r/GERD/comments/d9q1zz/what_are_peoples_thoughts_on_taking_cannabis_oil/")</f>
        <v/>
      </c>
      <c r="G2912" t="inlineStr">
        <is>
          <t>2019-09-26 14:14:18</t>
        </is>
      </c>
      <c r="H2912" t="inlineStr"/>
    </row>
    <row r="2913">
      <c r="A2913" t="inlineStr">
        <is>
          <t>d9qb65</t>
        </is>
      </c>
      <c r="B2913" t="inlineStr">
        <is>
          <t>This is Hell</t>
        </is>
      </c>
      <c r="C2913" t="inlineStr">
        <is>
          <t>I recently had an endoscopy and was found to have a hiatle hernia. I was having reflux so the Gastroenterologist put me on Pantoprazole. Now I have reflux, I feel full, anxiety through the roof, cheeks flushing, heart racing, regurgitation and did I mention ANXIETY. I also have a pain in my right side below my breast bone. So now I get to do a CT scan. My endoscopy results just showed the hernia. My biopsies came back clear. The medicine is not working. AT ALL. He’s putting me on Famotidine in addition to the Pantoprazole. FFS. It’s a nightmare. I didn’t see him in person again until October 10th. It took 6 weeks to get into him in the first place. So far I’m out of pocket 1300 dollars and don’t feel one bit better. 
Did I mention the anxiety?</t>
        </is>
      </c>
      <c r="D2913" t="n">
        <v>14</v>
      </c>
      <c r="E2913" t="n">
        <v>31</v>
      </c>
      <c r="F2913">
        <f>HYPERLINK("https://www.reddit.com/r/GERD/comments/d9qb65/this_is_hell/")</f>
        <v/>
      </c>
      <c r="G2913" t="inlineStr">
        <is>
          <t>2019-09-26 14:32:20</t>
        </is>
      </c>
      <c r="H2913" t="inlineStr"/>
    </row>
    <row r="2914">
      <c r="A2914" t="inlineStr">
        <is>
          <t>d9qn3k</t>
        </is>
      </c>
      <c r="B2914" t="inlineStr">
        <is>
          <t>Some Generic Zantac Recalls</t>
        </is>
      </c>
      <c r="C2914" t="inlineStr">
        <is>
          <t>I'm only posting to share knowledge. I suffer with this, too. Read the entire article, please.
https://www.latimes.com/business/story/2019-09-26/generic-zantac-is-recalled-from-u-s-pharmacies-after-carcinogen-is-found-in-pills</t>
        </is>
      </c>
      <c r="D2914" t="n">
        <v>5</v>
      </c>
      <c r="E2914" t="n">
        <v>4</v>
      </c>
      <c r="F2914">
        <f>HYPERLINK("https://www.reddit.com/r/GERD/comments/d9qn3k/some_generic_zantac_recalls/")</f>
        <v/>
      </c>
      <c r="G2914" t="inlineStr">
        <is>
          <t>2019-09-26 14:55:57</t>
        </is>
      </c>
      <c r="H2914" t="inlineStr"/>
    </row>
    <row r="2915">
      <c r="A2915" t="inlineStr">
        <is>
          <t>d9qr6c</t>
        </is>
      </c>
      <c r="B2915" t="inlineStr">
        <is>
          <t>Does your throat get dry for a couple hours after eating acidic foods?</t>
        </is>
      </c>
      <c r="C2915" t="inlineStr">
        <is>
          <t>This is silent reflux right?</t>
        </is>
      </c>
      <c r="D2915" t="n">
        <v>2</v>
      </c>
      <c r="E2915" t="n">
        <v>0</v>
      </c>
      <c r="F2915">
        <f>HYPERLINK("https://www.reddit.com/r/GERD/comments/d9qr6c/does_your_throat_get_dry_for_a_couple_hours_after/")</f>
        <v/>
      </c>
      <c r="G2915" t="inlineStr">
        <is>
          <t>2019-09-26 15:04:01</t>
        </is>
      </c>
      <c r="H2915" t="inlineStr"/>
    </row>
    <row r="2916">
      <c r="A2916" t="inlineStr">
        <is>
          <t>d9r8m2</t>
        </is>
      </c>
      <c r="B2916" t="inlineStr">
        <is>
          <t>Omeprazole w/ Celexa</t>
        </is>
      </c>
      <c r="C2916" t="inlineStr">
        <is>
          <t>So my doctor prescribed me Omeprazole and ive been taking Celexa. Has anyone had bad interactions? Because I googled the interactions and apparently it can cause a prolonged QT interval in the heart which can cause fainting or death. I talked with my doc and pharmacist they assured me I'd be fine but I got a bit of anxiety and death vs. dealing with GERD seems like pretty high stakes.</t>
        </is>
      </c>
      <c r="D2916" t="n">
        <v>2</v>
      </c>
      <c r="E2916" t="n">
        <v>6</v>
      </c>
      <c r="F2916">
        <f>HYPERLINK("https://www.reddit.com/r/GERD/comments/d9r8m2/omeprazole_w_celexa/")</f>
        <v/>
      </c>
      <c r="G2916" t="inlineStr">
        <is>
          <t>2019-09-26 15:39:15</t>
        </is>
      </c>
      <c r="H2916" t="inlineStr"/>
    </row>
    <row r="2917">
      <c r="A2917" t="inlineStr">
        <is>
          <t>d9rc1a</t>
        </is>
      </c>
      <c r="B2917" t="inlineStr">
        <is>
          <t>Teeth erosion-normal reflux symptom or indicative of severe GERD?</t>
        </is>
      </c>
      <c r="C2917" t="inlineStr">
        <is>
          <t>I have had some erosion on my teeth since I was young and I know I get some reflux but my symptoms usually don't bother me too much.  Does wearing away of the enamel mean I have a really severe case of GERD or is this a fairly common occurrence with GERD?</t>
        </is>
      </c>
      <c r="D2917" t="n">
        <v>5</v>
      </c>
      <c r="E2917" t="n">
        <v>16</v>
      </c>
      <c r="F2917">
        <f>HYPERLINK("https://www.reddit.com/r/GERD/comments/d9rc1a/teeth_erosionnormal_reflux_symptom_or_indicative/")</f>
        <v/>
      </c>
      <c r="G2917" t="inlineStr">
        <is>
          <t>2019-09-26 15:46:06</t>
        </is>
      </c>
      <c r="H2917" t="inlineStr"/>
    </row>
    <row r="2918">
      <c r="A2918" t="inlineStr">
        <is>
          <t>d9rd00</t>
        </is>
      </c>
      <c r="B2918" t="inlineStr">
        <is>
          <t>Any luck switching from omeprazole to another ppi?</t>
        </is>
      </c>
      <c r="C2918" t="inlineStr">
        <is>
          <t>Has anyone had better results switching PPIs? I've been on omeprazole for a month... I'm having fewer symptoms, but the acid in my throat is now MORE constant than it was before I started meds.
My doctor said if the omeprazole didn't work, the next step would be an endoscopy. But with my insurance it will take months for that to happen.
I'm hoping I could maybe get better relief in the meantime if I switched to lansoprazole or another PPI.</t>
        </is>
      </c>
      <c r="D2918" t="n">
        <v>5</v>
      </c>
      <c r="E2918" t="n">
        <v>14</v>
      </c>
      <c r="F2918">
        <f>HYPERLINK("https://www.reddit.com/r/GERD/comments/d9rd00/any_luck_switching_from_omeprazole_to_another_ppi/")</f>
        <v/>
      </c>
      <c r="G2918" t="inlineStr">
        <is>
          <t>2019-09-26 15:48:02</t>
        </is>
      </c>
      <c r="H2918" t="inlineStr"/>
    </row>
    <row r="2919">
      <c r="A2919" t="inlineStr">
        <is>
          <t>d9t7r4</t>
        </is>
      </c>
      <c r="B2919" t="inlineStr">
        <is>
          <t>Stairmaster and Hiatal Hernia?</t>
        </is>
      </c>
      <c r="C2919" t="inlineStr">
        <is>
          <t>Hello fellow redditors ( &amp;amp; GERD sufferers )!
Long story short I suffered from dysphagia and lost about 25 pounds. Had an endoscopy, I have a hiatal hernia and take dexilant daily. 
I've recently been able to eat more and I've been wanting to work out. We have a gym at work and I've been starting slow on the treadmill. I REALLY want to use the stairmaster. I lost quite a bit of weight which has made me a little insecure. I want a booty. 
Does anyone have experience with this? I've tried checking online and all  I could find was that some abdominal excercises can aggravate and squatting(which I need to do) can make it worse. 
Any advice would be appreciated!</t>
        </is>
      </c>
      <c r="D2919" t="n">
        <v>2</v>
      </c>
      <c r="E2919" t="n">
        <v>3</v>
      </c>
      <c r="F2919">
        <f>HYPERLINK("https://www.reddit.com/r/GERD/comments/d9t7r4/stairmaster_and_hiatal_hernia/")</f>
        <v/>
      </c>
      <c r="G2919" t="inlineStr">
        <is>
          <t>2019-09-26 18:16:53</t>
        </is>
      </c>
      <c r="H2919" t="inlineStr"/>
    </row>
    <row r="2920">
      <c r="A2920" t="inlineStr">
        <is>
          <t>d9tygy</t>
        </is>
      </c>
      <c r="B2920" t="inlineStr">
        <is>
          <t>I dont know what it is anymore</t>
        </is>
      </c>
      <c r="C2920" t="inlineStr">
        <is>
          <t>Hi.  I have been through a variety of symptoms through the years. Some seem like IBS some seem like GERD or Acid reflux i just dont know anymore what it is.  most evenings I have what feels like acid reflux.  which is basically nausea  and that feeling in the deep throat.  I dont really have dihearia nor constipation but I do have lower abdominal pain after i go #2 or if there's gas. Most times when I have not gone for a while I start to feel nausea until i do go #2.   Keeps repeating day in and day out.   Been to endoscopy and colonascopy about 1-2 years ago.  Doc says its IBS and GERD  but i donno what to make of it. Does anyone else have anything similar to this? 
&amp;amp;#x200B;
Thanks.</t>
        </is>
      </c>
      <c r="D2920" t="n">
        <v>2</v>
      </c>
      <c r="E2920" t="n">
        <v>7</v>
      </c>
      <c r="F2920">
        <f>HYPERLINK("https://www.reddit.com/r/GERD/comments/d9tygy/i_dont_know_what_it_is_anymore/")</f>
        <v/>
      </c>
      <c r="G2920" t="inlineStr">
        <is>
          <t>2019-09-26 19:21:06</t>
        </is>
      </c>
      <c r="H2920" t="inlineStr"/>
    </row>
    <row r="2921">
      <c r="A2921" t="inlineStr">
        <is>
          <t>d9viqr</t>
        </is>
      </c>
      <c r="B2921" t="inlineStr">
        <is>
          <t>Health Anxiety and GERD/LPR</t>
        </is>
      </c>
      <c r="C2921" t="inlineStr">
        <is>
          <t>NOTE: This is quite long. Maybe you shouldn’t read it all. I understand if you don’t. Really. 
Hi all. 
I’m new to this board, though I have been lurking a long time. I’m sure most of you out there can relate. I scroll through the posts trying to find symptoms that match mine. I search keywords like “breathing,” “chest tightness,” “coughing.” Is it GERD? Is it LPR? Do I have a hiatal hernia? 
Is it something more…SINISTER??
In case you’re wondering, I was diagnosed with GERD a few years ago and did nothing about it. A new spate of symptoms sent me to a new gastro for a second endoscopy, and I am going back this Tuesday for results. 
His immediate feedback was that my esophagus looked normal, but with a little patterning that COULD be EoE, though he wasn’t very concerned and would be more definitive on Tuesday. More on all that in a minute.
I’d like to first talk/vent a little about my decades long struggle with health anxiety. Looking through these posts, there seems to be a comorbidity between HA and GERD/LPR. 
(Quick HA test: does the word “comorbidity” kind of freak you out like it does me?)
The other day I decided to tally up all of the diseases I’ve had in my life. I think the number was about 39, with most being fatal.
I started this journey of HA in my early 20s, around the time college students take basic psychology. I found it so interesting, I took abnormal psychology as an elective, and shortly after I began suffering from most of the major mental illnesses. 
When I say “suffering” I mean just that. Grim certainly. Electricity running through my veins. Obsessively reading the horrible bullet-point symptoms and checking myself to confirm a diagnosis. I couldn’t sleep. When I did, I had horrible dreams. When I awoke, I had a moment of calm until the memory of my incipient illness took hold and began filling me up like a rising tide of black water and I was submerged again. 
I went to see psychiatrists. Psychologists. Prozac was all the rage at that time and I took that. And Klonopin. And Trazadone. And then Paxil. Then Wellbutrin. Lexapro. Xanax. 
I was diagnosed with depression and anxiety, with a side order of OCD.
In the end, only time took away the fear. Realizing I had likely aged out of the psychotic illnesses I most feared, I got on with my life. I moved to NYC and started as a copywriter in advertising. Years passed with only the occasional ripple of fear. 
Then: “We’re baaaack.” 
Mid-forties were a helluva time. I was now a creative director. Running pieces of business. Dealing with teams. Feeling the pressure from all sides. I began to have night sweats. Not the kind of night sweats where you wake up in a sheen of dewy perspiration. Oh no. Buckets. Pools of sweat that gathered in the folds of my sheets and woke me with an icy shiver. 
Why was I sweating so much? What was the CAUSE?
I became convinced over the next few years that I had organ failure and just about every kind of cancer you can name. 
As all HA folks will know, once you become convinced you have a disease, you begin manifesting the symptoms like a pro. By the time you get through a dozen or so diseases, you can command any symptom instantly to fit those horrible bullet lists on WebMD. We’re like tragic impressionists. Body conjurors of death and despair. 
So I got tested. And tested. 
I’ve had 4 chest X-rays, a sonogram of a lump in my throat, a colonoscopy, two endoscopies, two trips to a dermatologist, innumerable doctors listening to my lungs, 3-4 breathing tests, 2-3 EKGs, a few of those tests where they run a lubed sensor over your heart so they can see it beating, multiple blood tests and urine tests, a calcium score heart test…Doctors have had their hands and instruments on just about every part of my body.
Nothing. All clear. 
Well, not exactly. I was told I had fatty liver and that I should probably lose a little weight. And my breathing problems were attributed to asthma. But the pulmonologist declared it too mild to even mark in my chart. He gave me an inhaler for that — twice a day — though it doesn’t seem to be doing too much. Or maybe it does a little. Who knows, right?
As for the GERD, I’m on PPIs, twice a day (esomeprazole). I’m just now getting into diet changes, but still trying to figure out that confusing world. I take a daily dose of 20 billion probiotic, a teaspoon of Manuka honey, GasX (occasionally) and am waiting for Amazon to bring me Gaviscon Advance. I bought a wedge pillow but don’t like it so my bed is jacked up on a slight slant
My symptoms are SOB, cough, weird feeling in my throat, bad breath in the morning, tiredness in the morning, a lot of burping (and not being able to burp), throat clearing, hoarseness, occasional difficulty swallowing food (need water to get it down), very occasional heartburn, chest tightness, swallowed food coming right back up into my throat, some periodontal procedures, and occasional weird noises coming from my throat.
My cough is kind of related to my chest tightness and SOB (breathing in is the hard part). I feel like there’s something in my lungs I need to clear, so I clear my throat and cough cough cough. Sometimes in the morning, I feel a little something come up, or maybe a rattle somewhere deep down, but my cough is almost always unproductive. All that SOB and coughing freaks me out. So I get a rush of anxiety, which tightens my breathing more, which makes me more anxious—and the Ferris Wheel of awful goes round and round.
All that coughing and clearing also leaves me pretty hoarse. It’s a quite a trip trying to present campaigns to clients with a voice like Vito Corleone in “The Godfather.”
But the point is that my symptoms feed my health anxiety. I’ve recently become obsessed that I have some intractable pulmonary condition that is just beginning to blossom, but is as of yet undetectable by modern medicine. I’ve been to five GPs and two different pulmonologists multiple times over the past 3 years. They’ve taken x-rays, listened to my lungs and given me breathing tests. They say I’m good. Fine. At worst a little exercise-induced asthma. I’ve asked specifically about the diseases I most fear. “No way,” they said.
Still, I test myself. I hold my breath for as long as I can (1:30). I run up 60 subway steps and then time how long it takes to resume a normal breathing rate (two city blocks of walking). I swim underwater from one side of the pool to the other. Testing, testing, testing. 
So here I am in this netherworld of GERD/LPR, with my frowzy halo of awful symptoms and health anxiety that jolts me like licking a 9-volt battery. I’m stuck wondering which symptoms are manifested by GERD/LPR and which are caused/exacerbated by my health anxiety.
It’s an awful feeling, but I keep pushing through. Nights and mornings are usually the worst. It’s when I’m at my most vulnerable. Testosterone is low and anxiety is high. I shake it off like cobwebs by the time I get to work…usually. 
Anyway, I’ll end by thanking anybody who managed to get this far (hey there!), and I’ll also thank everybody for the discussion and information I have followed and gleaned on this message board. You all rock.
If anybody with GERD/LPR and Health Anxiety would like to share their thoughts/stories, I’d love to read ‘em. 
Oh, and if anybody thinks I might have an actual deadly illness after reading my story, please keep it to yourself.</t>
        </is>
      </c>
      <c r="D2921" t="n">
        <v>4</v>
      </c>
      <c r="E2921" t="n">
        <v>20</v>
      </c>
      <c r="F2921">
        <f>HYPERLINK("https://www.reddit.com/r/GERD/comments/d9viqr/health_anxiety_and_gerdlpr/")</f>
        <v/>
      </c>
      <c r="G2921" t="inlineStr">
        <is>
          <t>2019-09-26 21:48:56</t>
        </is>
      </c>
      <c r="H2921" t="inlineStr"/>
    </row>
    <row r="2922">
      <c r="A2922" t="inlineStr">
        <is>
          <t>d9vkay</t>
        </is>
      </c>
      <c r="B2922" t="inlineStr">
        <is>
          <t>Lose weight and get away from GLUTEN (wheat, barley, rye) as well as dairy</t>
        </is>
      </c>
      <c r="C2922" t="inlineStr">
        <is>
          <t># Before I start, This is what worked for ME, don't get butthurt over me giving advice on what might help others. 
# I used to do bulks and cuts as a weight lifter / body-builder and I noticed my reflux was WAY WORSE when I had even just slight chubbiness around my waist. When I'd cut and not eat as much food to slim down to see my abs, I noticed the reflux pretty much wasn't there unless I ate something too late at night. The only thing that seems to help at night is drinking water mixed with apple cider vinegar. That neutralizes the acid, while still allowing you to digest your food unlike PPIs.I also suggest drinking 32 oz. of water with ACV on an empty stomach in the morning before you eat anything!
I rarely ever have reflux now that I've gotten away from dairy and ESPECIALLY gluten (wheat, barley and rye). It's been hard changing my diet, but knowing how bad reflux was, especially at night trying to sleep, I am willing to go gluten free for the rest of my life.
BTW, not all dairy is bad, I seem to only have the most problems when I drink straight cow's milk. I end up with burps that smell like sulfur (rotten eggs) and even diarrhea that smells similar. There are many cow's milk alternatives now, almond milk, walnut milk, coconut milk and even goat's milk (which doesn't have as much lactose in it). Also, the protein in milk (casein) mimics the gluten protein in wheat, so if you have a wheat allergy or Celiac, it's best to stay away from casein products too.</t>
        </is>
      </c>
      <c r="D2922" t="n">
        <v>2</v>
      </c>
      <c r="E2922" t="n">
        <v>7</v>
      </c>
      <c r="F2922">
        <f>HYPERLINK("https://www.reddit.com/r/GERD/comments/d9vkay/lose_weight_and_get_away_from_gluten_wheat_barley/")</f>
        <v/>
      </c>
      <c r="G2922" t="inlineStr">
        <is>
          <t>2019-09-26 21:53:18</t>
        </is>
      </c>
      <c r="H2922" t="inlineStr"/>
    </row>
    <row r="2923">
      <c r="A2923" t="inlineStr">
        <is>
          <t>d9wc4m</t>
        </is>
      </c>
      <c r="B2923" t="inlineStr">
        <is>
          <t>GERD caused Bronchitis?</t>
        </is>
      </c>
      <c r="C2923" t="inlineStr">
        <is>
          <t>3-4 weeks ago i somehow got Bronchitis. Went to the doctor, he said it would heal on its own, but he gave me antibiotics for it. 
Thought things would've cleared up, but still after those miserable weeks my mucus, chest pain, and coughing have all persisted. I have the worst GERD ever now. I read somewhere that GERD can cause Bronchitis. Do you think this was the case? 
Anyone have an experience like this?</t>
        </is>
      </c>
      <c r="D2923" t="n">
        <v>4</v>
      </c>
      <c r="E2923" t="n">
        <v>5</v>
      </c>
      <c r="F2923">
        <f>HYPERLINK("https://www.reddit.com/r/GERD/comments/d9wc4m/gerd_caused_bronchitis/")</f>
        <v/>
      </c>
      <c r="G2923" t="inlineStr">
        <is>
          <t>2019-09-26 23:19:32</t>
        </is>
      </c>
      <c r="H2923" t="inlineStr"/>
    </row>
    <row r="2924">
      <c r="A2924" t="inlineStr">
        <is>
          <t>d9x1ik</t>
        </is>
      </c>
      <c r="B2924" t="inlineStr">
        <is>
          <t>Removing Dairy as a gerd 'cure'</t>
        </is>
      </c>
      <c r="C2924" t="inlineStr">
        <is>
          <t>Hello guys/gals. I just wanted to suggest anyone to eliminate dairy completely from your diet. Especially if you're lactose intolerant. I've had gerd for almost 2 years now, and I'm really not sure why i've never removed dairy from my diet completely, I've removed gluten,meat,fish, everything else, just not dairy. I don't know why I didn't put two and two together. For the first time the last two days I woke up without feeling like puking &amp;amp; a burnt throat, etc. I'm obviously gonna give it much more time to see the results but it seems promising so far.
&amp;amp;#x200B;
Don't want to give people false hope so, just try it if you haven't already and if you suspect your lactose intolerant or allergic to dairy</t>
        </is>
      </c>
      <c r="D2924" t="n">
        <v>10</v>
      </c>
      <c r="E2924" t="n">
        <v>27</v>
      </c>
      <c r="F2924">
        <f>HYPERLINK("https://www.reddit.com/r/GERD/comments/d9x1ik/removing_dairy_as_a_gerd_cure/")</f>
        <v/>
      </c>
      <c r="G2924" t="inlineStr">
        <is>
          <t>2019-09-27 00:40:41</t>
        </is>
      </c>
      <c r="H2924" t="inlineStr"/>
    </row>
    <row r="2925">
      <c r="A2925" t="inlineStr">
        <is>
          <t>da2jsw</t>
        </is>
      </c>
      <c r="B2925" t="inlineStr">
        <is>
          <t>Going back for LPR Symptoms</t>
        </is>
      </c>
      <c r="C2925" t="inlineStr">
        <is>
          <t>Back in April I was told I have GERD/BE/Esophagitis Grade B.  My main symptom was just shortness of breath (not being able to full catch a good deep breath).  It wasn't severe at all.  I went back in July for a second Endo and much to my surprise he found no BE and my esophagus was fully healed.  A month later, in late August, my throat was sore.  I thought I had an infection.  Saw an ENT 2x and he said my throat looked fine, just some mild redness.  
I'm going back to my GI doctor mid October for this now chronic throat pain/soreness.  It sucks.  I've tried everything from elevating my bed, PPI's, Gaviscon UK etc.  I did start the Acid Watcher Diet back in April, but I felt that didn't do anything.  After finding out I had no sings of BE, I started to eat everything again.  A few weeks later and my throat symptoms kicked in.
I always had the hoarseness though with my throat so I think it's just now getting worse.</t>
        </is>
      </c>
      <c r="D2925" t="n">
        <v>3</v>
      </c>
      <c r="E2925" t="n">
        <v>4</v>
      </c>
      <c r="F2925">
        <f>HYPERLINK("https://www.reddit.com/r/GERD/comments/da2jsw/going_back_for_lpr_symptoms/")</f>
        <v/>
      </c>
      <c r="G2925" t="inlineStr">
        <is>
          <t>2019-09-27 09:07:40</t>
        </is>
      </c>
      <c r="H2925" t="inlineStr"/>
    </row>
    <row r="2926">
      <c r="A2926" t="inlineStr">
        <is>
          <t>da31kl</t>
        </is>
      </c>
      <c r="B2926" t="inlineStr">
        <is>
          <t>An Update: 8 Months Later</t>
        </is>
      </c>
      <c r="C2926" t="inlineStr">
        <is>
          <t>My first months of GERD were a nightmare- I was convinced I was dying (if you have reflux you know exactly what I mean). Not one of the several doctors I had been to even suggested reflux. Every doctor told me I had severe anxiety and I was prescribed xanax. After doing my own research I realized I might have acid reflux. Sure enough, my doctor prescribed me a PPI and I was feeling better. 
It's 8 months later now and although I am not suffering like I was and am quite able to function now, I am still dealing with sore throats, tolerable episodes of "I think I am going to stop breathing", and some other minor but annoying symptoms. I went to a gastroenterologist a few weeks ago and he told me to take Omeprazole, which I finished but still am not feeling my best. The doctor said the next step we would take is an endoscopy but I am so terrified of anesthesia. They used it on me for my wisdom teeth and it was an awful experience.
I'm really tired of not living my life to the fullest. I'm a sophomore in college, not overweight, eat decently (yes I've tried (am still trying) all the tricks), and I'm just not better. I'm really sick of it. 
Any suggestions? Also if you are new to the GERD issues I can try to answer your questions if you have any. I swear this disease is the worst because you truly have no idea what's actually wrong with you- or atleast that's how I felt.
Thanks!</t>
        </is>
      </c>
      <c r="D2926" t="n">
        <v>2</v>
      </c>
      <c r="E2926" t="n">
        <v>13</v>
      </c>
      <c r="F2926">
        <f>HYPERLINK("https://www.reddit.com/r/GERD/comments/da31kl/an_update_8_months_later/")</f>
        <v/>
      </c>
      <c r="G2926" t="inlineStr">
        <is>
          <t>2019-09-27 09:43:04</t>
        </is>
      </c>
      <c r="H2926" t="inlineStr"/>
    </row>
    <row r="2927">
      <c r="A2927" t="inlineStr">
        <is>
          <t>da3yup</t>
        </is>
      </c>
      <c r="B2927" t="inlineStr">
        <is>
          <t>Do you get diarrhea after taking omeprazole?</t>
        </is>
      </c>
      <c r="C2927" t="inlineStr">
        <is>
          <t>I alteady went to the gastroenterologist who just brushed it off and said that it was just "excess acid" that caused the diarrhea. The only time I get diarrhea is if I drink coffee. Ever since I stop drinking coffee and only taking Gaviscon for my heartburn, my stool is normal. But when I took omeprazole, my stool became whack.</t>
        </is>
      </c>
      <c r="D2927" t="n">
        <v>2</v>
      </c>
      <c r="E2927" t="n">
        <v>5</v>
      </c>
      <c r="F2927">
        <f>HYPERLINK("https://www.reddit.com/r/GERD/comments/da3yup/do_you_get_diarrhea_after_taking_omeprazole/")</f>
        <v/>
      </c>
      <c r="G2927" t="inlineStr">
        <is>
          <t>2019-09-27 10:51:29</t>
        </is>
      </c>
      <c r="H2927" t="inlineStr"/>
    </row>
    <row r="2928">
      <c r="A2928" t="inlineStr">
        <is>
          <t>da44i5</t>
        </is>
      </c>
      <c r="B2928" t="inlineStr">
        <is>
          <t>Anyone hear know how to deal with cough possibly from GERD</t>
        </is>
      </c>
      <c r="C2928" t="inlineStr">
        <is>
          <t>21 years old have had GERD for 5 years.Had a itchy throat for the past 6 days, anyone know a good way to treat it?</t>
        </is>
      </c>
      <c r="D2928" t="n">
        <v>3</v>
      </c>
      <c r="E2928" t="n">
        <v>19</v>
      </c>
      <c r="F2928">
        <f>HYPERLINK("https://www.reddit.com/r/GERD/comments/da44i5/anyone_hear_know_how_to_deal_with_cough_possibly/")</f>
        <v/>
      </c>
      <c r="G2928" t="inlineStr">
        <is>
          <t>2019-09-27 11:03:13</t>
        </is>
      </c>
      <c r="H2928" t="inlineStr"/>
    </row>
    <row r="2929">
      <c r="A2929" t="inlineStr">
        <is>
          <t>da56i2</t>
        </is>
      </c>
      <c r="B2929" t="inlineStr">
        <is>
          <t>For those that have seen an ENT for LPR</t>
        </is>
      </c>
      <c r="C2929" t="inlineStr">
        <is>
          <t>I had an ENT do a scope and he found nothing, yet my throat is in pain.  Is this normal and a sign of LPR?  He wants me to go back to my GI doctor.</t>
        </is>
      </c>
      <c r="D2929" t="n">
        <v>12</v>
      </c>
      <c r="E2929" t="n">
        <v>16</v>
      </c>
      <c r="F2929">
        <f>HYPERLINK("https://www.reddit.com/r/GERD/comments/da56i2/for_those_that_have_seen_an_ent_for_lpr/")</f>
        <v/>
      </c>
      <c r="G2929" t="inlineStr">
        <is>
          <t>2019-09-27 12:21:50</t>
        </is>
      </c>
      <c r="H2929" t="inlineStr"/>
    </row>
    <row r="2930">
      <c r="A2930" t="inlineStr">
        <is>
          <t>da6oke</t>
        </is>
      </c>
      <c r="B2930" t="inlineStr">
        <is>
          <t>Not feeling so alone</t>
        </is>
      </c>
      <c r="C2930" t="inlineStr">
        <is>
          <t>I’ve been dealing with a hiatle hernia and reflux for the past few weeks. Reading through these posts has made me realize I’m not a hypochondriac or crazy. 
I’ve recently bought a house and we are going through the moving process. So packing, driving stuff over, unpacking there. We had to go through the underwriting process and sign the loan. 
The last few months I’ve been coughing for no reason. My nose has been running like crazy. So I thought I had allergies or something. Then I was sick with bronchitis. Then with being sick and buying the house, I started feeling my anxiety well up. I felt like I couldn’t catch my breath. Next my stomach started churning acid. I went to my primary doctor and she prescribed Prilosec and made a referral to the Gastroenterologist. It took me almost 7 weeks to get in to him. He put me on pantoprazole and scheduled and endoscopy for 2 weeks later. He told me to eat 6 small meals a day. 
So I was diagnosed with the hernia and he said that he couldn’t see any acid in there at that time. We have a follow up on October 10th. 
The endoscopy was sept 10. But since then. I feel worse. I have figured out that the pantoprazole does not work for me AT ALL. I have felt worse. Terrible headaches, lump in my throat. Churning acid. Like no relief from it and my anxiety and focus on the headaches, the heartburn, the acid feeling in my stomach, the lump on my throat has sent me into an anxiety spiral. 
But when I read these other posts? I know I’m not the only one dealing with these issues. And other people are describing exactly he same thing I’m going through. And somehow? That just makes me feel better. 
Next up I’m having a CT scan because I have developed a sharp, stabbing pain on my left side, higher abdomen. It comes and goes, but it’s kind of intense when it flares up.
He also added fatomidine. But even taking all these meds? I’m still feeling rotten. It’s maybe taking the edge off just a little. I’m looking at the diet next. I’m not sure why it’s still so intense. 
I’m working on relieving the anxiety, because I think that’s the first thing I need to do to get better. 
Thank you all for sharing your stories and information. I think I’m not crazy now, so I really appreciate that!</t>
        </is>
      </c>
      <c r="D2930" t="n">
        <v>5</v>
      </c>
      <c r="E2930" t="n">
        <v>1</v>
      </c>
      <c r="F2930">
        <f>HYPERLINK("https://www.reddit.com/r/GERD/comments/da6oke/not_feeling_so_alone/")</f>
        <v/>
      </c>
      <c r="G2930" t="inlineStr">
        <is>
          <t>2019-09-27 14:15:19</t>
        </is>
      </c>
      <c r="H2930" t="inlineStr"/>
    </row>
    <row r="2931">
      <c r="A2931" t="inlineStr">
        <is>
          <t>da7pi3</t>
        </is>
      </c>
      <c r="B2931" t="inlineStr">
        <is>
          <t>Shortness of breath, is this normal?</t>
        </is>
      </c>
      <c r="C2931" t="inlineStr">
        <is>
          <t>I’ve been having acid reflux/gerd symptoms forever. Lately it’s been worse and I just started getting treated for it (40mg protonix in the am and 300mg Zantac in pm) and one thing is this really weird shortness of breath sensation.
It doesn’t feel like I just exercised. I’m not breathing really fast or heavy it’s just this overwhelming feeling that I need to “stretch” my lungs and I feel like I’m not getting enough oxygen. Slow, very deep breaths feel good as do big yawns but they don’t satisfy this feeling for more than a second. Sometimes it gets worse when I start moving around, sometimes it gets worse for no reason, and sometimes it gets worse when I lay down but none of those are consistent.
It’s almost always accompanied by the normal regurgitating bullshit so I’m almost certain it’s either gerd related or anxiety.
Anyone have any experiences like this?</t>
        </is>
      </c>
      <c r="D2931" t="n">
        <v>3</v>
      </c>
      <c r="E2931" t="n">
        <v>15</v>
      </c>
      <c r="F2931">
        <f>HYPERLINK("https://www.reddit.com/r/GERD/comments/da7pi3/shortness_of_breath_is_this_normal/")</f>
        <v/>
      </c>
      <c r="G2931" t="inlineStr">
        <is>
          <t>2019-09-27 15:37:50</t>
        </is>
      </c>
      <c r="H2931" t="inlineStr"/>
    </row>
    <row r="2932">
      <c r="A2932" t="inlineStr">
        <is>
          <t>da9ghq</t>
        </is>
      </c>
      <c r="B2932" t="inlineStr">
        <is>
          <t>Safe to try Omeprazole if undiagnosed?</t>
        </is>
      </c>
      <c r="C2932" t="inlineStr">
        <is>
          <t>I've been having some major breathing problems for 3 months after getting a cold/asthma issues. I've been to the doctor multiple times and they said my lungs sound clear and my chest x ray came up normal. I have a lot of mucus in the back of my throat constantly(even more after eating/drinking something especially alcohol), constant chest tightness, and feeling that I cant take a deep breath or complete a yawn. I'm seeing another pulmonologist in a few weeks but this feeling is consuming my life rn and I'm desperate to try anything in the meantime. 
I thought I might have silent gerd so is it safe to take omeprazole for a couple weeks just to see if it helps?</t>
        </is>
      </c>
      <c r="D2932" t="n">
        <v>4</v>
      </c>
      <c r="E2932" t="n">
        <v>4</v>
      </c>
      <c r="F2932">
        <f>HYPERLINK("https://www.reddit.com/r/GERD/comments/da9ghq/safe_to_try_omeprazole_if_undiagnosed/")</f>
        <v/>
      </c>
      <c r="G2932" t="inlineStr">
        <is>
          <t>2019-09-27 18:11:51</t>
        </is>
      </c>
      <c r="H2932" t="inlineStr"/>
    </row>
    <row r="2933">
      <c r="A2933" t="inlineStr">
        <is>
          <t>da9uye</t>
        </is>
      </c>
      <c r="B2933" t="inlineStr">
        <is>
          <t>Best way to work your way off PPI's?</t>
        </is>
      </c>
      <c r="C2933" t="inlineStr">
        <is>
          <t>Hey, I recently was reading about my pill (nexium) I take for gerd and was seeing a lot of negative affects for long term use. I've been on it for about 2 years now and I've been doing really good probably better than ever, but I really don't wanna take something that I might not need anymore as I haven't had a acid reflux scare in probably 3-5 months now.
 I've tried in the past around my first year of being on it to wean myself off, but it lead to me feeling extremely awful and I got right back on it again. So if anyone has weaned them self off nexium or any other PPI's, do you have any tips? I can't really risk feeling that way again as I have a job now. 
The type of nexium I take is the storebrand 20MGs. Thankfully I ain't on any super high doses. Thanks for any feedback and sorry for the rambling lmao... This stuff is just scary to me as I'm still young and don't wanna fuck my body up too early.</t>
        </is>
      </c>
      <c r="D2933" t="n">
        <v>2</v>
      </c>
      <c r="E2933" t="n">
        <v>9</v>
      </c>
      <c r="F2933">
        <f>HYPERLINK("https://www.reddit.com/r/GERD/comments/da9uye/best_way_to_work_your_way_off_ppis/")</f>
        <v/>
      </c>
      <c r="G2933" t="inlineStr">
        <is>
          <t>2019-09-27 18:49:33</t>
        </is>
      </c>
      <c r="H2933" t="inlineStr"/>
    </row>
    <row r="2934">
      <c r="A2934" t="inlineStr">
        <is>
          <t>daarn9</t>
        </is>
      </c>
      <c r="B2934" t="inlineStr">
        <is>
          <t>reflux coming back worse than ever</t>
        </is>
      </c>
      <c r="C2934" t="inlineStr">
        <is>
          <t>i used to have horrible heartburn every single time i ate that caused extreme pain to where i couldnt even walk. this was a year ago, and since then it pretty much completely went away. these past few weeks however, ive been getting really bad throat and chest pain. its nothing like ive felt before. its not necessarily stomach pain but it feels like the bottom of my throat is on fire. a few days ago i swallowed a pill and it felt like it was stuck in my throat and it felt like there was acid just sitting in my throat and burning my throat. it was incredibly painful and it lasted for about 30 minutes with waves of excruciating pain. whats different is that im not burping acid up. its just terrible throat pain. i started college recently and its really been stressing me out so maybe thats the cause of it? i think i have a throat ulcer maybe. do you think i should take an otc heartburn medication or should i go straight to the GI?</t>
        </is>
      </c>
      <c r="D2934" t="n">
        <v>4</v>
      </c>
      <c r="E2934" t="n">
        <v>1</v>
      </c>
      <c r="F2934">
        <f>HYPERLINK("https://www.reddit.com/r/GERD/comments/daarn9/reflux_coming_back_worse_than_ever/")</f>
        <v/>
      </c>
      <c r="G2934" t="inlineStr">
        <is>
          <t>2019-09-27 20:18:00</t>
        </is>
      </c>
      <c r="H2934" t="inlineStr"/>
    </row>
    <row r="2935">
      <c r="A2935" t="inlineStr">
        <is>
          <t>dabl38</t>
        </is>
      </c>
      <c r="B2935" t="inlineStr">
        <is>
          <t>Anyone been dealing with gerd/lpr for years?</t>
        </is>
      </c>
      <c r="C2935" t="inlineStr">
        <is>
          <t>I’ve had a sore, red and inflammed throat for almost 10years now + intermittent heartburn. F’in depressing as hell. 
PPI’s have been hit or miss. Same with the low acid diets. GI and ENT just putting me on higher dosages of various PPIs.
Just needed to vent. F’in miserable.
Anyone fully recover after suffering for years?</t>
        </is>
      </c>
      <c r="D2935" t="n">
        <v>4</v>
      </c>
      <c r="E2935" t="n">
        <v>21</v>
      </c>
      <c r="F2935">
        <f>HYPERLINK("https://www.reddit.com/r/GERD/comments/dabl38/anyone_been_dealing_with_gerdlpr_for_years/")</f>
        <v/>
      </c>
      <c r="G2935" t="inlineStr">
        <is>
          <t>2019-09-27 21:44:12</t>
        </is>
      </c>
      <c r="H2935" t="inlineStr"/>
    </row>
    <row r="2936">
      <c r="A2936" t="inlineStr">
        <is>
          <t>dacebr</t>
        </is>
      </c>
      <c r="B2936" t="inlineStr">
        <is>
          <t>Could really use some clarity on if this sounds like GERD. Its scaring the hell out of me.</t>
        </is>
      </c>
      <c r="C2936" t="inlineStr">
        <is>
          <t>Have recently been diagnosed with GERD but I'm still not sure that's what it is because my symptoms feel worse after starting Prilosec. I'm curious to know if anybody deals with the same symptoms.
About a month ago after a really stressful week, I started to feel a lump in my throat. It was more of an annoyance than anything.  Not knowing what it is and its presence as well. 
It was most present at night by far and least in the morning. Fast forward a few weeks where now it's more painful after starting Prilosec. It's as if that annoying knot burst and is eating away at the bottom of my throat. It's still happening more at night, however since it's more painful it now still feels raw in the morning and sore.
I'm not sure if this is part of the healing process with Prilosec but its extremely uncomfortable and makes it hard to sleep these past couple nights.
Does this sound familiar to anybody?</t>
        </is>
      </c>
      <c r="D2936" t="n">
        <v>2</v>
      </c>
      <c r="E2936" t="n">
        <v>10</v>
      </c>
      <c r="F2936">
        <f>HYPERLINK("https://www.reddit.com/r/GERD/comments/dacebr/could_really_use_some_clarity_on_if_this_sounds/")</f>
        <v/>
      </c>
      <c r="G2936" t="inlineStr">
        <is>
          <t>2019-09-27 23:19:50</t>
        </is>
      </c>
      <c r="H2936" t="inlineStr"/>
    </row>
    <row r="2937">
      <c r="A2937" t="inlineStr">
        <is>
          <t>dadh7x</t>
        </is>
      </c>
      <c r="B2937" t="inlineStr">
        <is>
          <t>LES SURGERY</t>
        </is>
      </c>
      <c r="C2937" t="inlineStr">
        <is>
          <t>So, has anyone had a LES surgery? Did it help? Especially wondering about the cons!</t>
        </is>
      </c>
      <c r="D2937" t="n">
        <v>2</v>
      </c>
      <c r="E2937" t="n">
        <v>2</v>
      </c>
      <c r="F2937">
        <f>HYPERLINK("https://www.reddit.com/r/GERD/comments/dadh7x/les_surgery/")</f>
        <v/>
      </c>
      <c r="G2937" t="inlineStr">
        <is>
          <t>2019-09-28 01:39:17</t>
        </is>
      </c>
      <c r="H2937" t="inlineStr"/>
    </row>
    <row r="2938">
      <c r="A2938" t="inlineStr">
        <is>
          <t>dadkzy</t>
        </is>
      </c>
      <c r="B2938" t="inlineStr">
        <is>
          <t>Found two "new" reasons for GERD/LPR and a lose LES</t>
        </is>
      </c>
      <c r="C2938" t="inlineStr">
        <is>
          <t>I really wanted to share this with you!
So I went to see a osteopath  and she told me 2 things about what might be causing me LPR and why my LES is a little weak.
So she said it might just be like that, but that there could be contributing factors!
1) I had been under a lot of stress so when she touched and pressed on my stomach tried to get under my ribs it was damn near impossible. And she told me that me being so strained in my upper abdomen and being hyperventilating for such a long time could deffo be a reason to my LPR, as I wasnt breathing fully making all my muscels tens up.
She has worked on my abdomen and other tense areas for a while and most of my syptoms have subsided. Now I have stopped ppi and can (almost) eat  whatever I'd like- this just i  2 weeks, BUT that was because I realised point nr 2 (read below;))
2) but i was still in pain having reflux. turns out i might me gluten and/or lactose intoleranse/sensitiv. So I told her that my doctor was currently running tests. To this she told me that if I am to be either or both, eating those things will cause shit tons of gas. And that gas will start pressing on an already weakend LES. So I cut out both things and literally never felt better! My two month long diarreha subsided too.
Hope this can helps someone out there that might be stressing and putting unknown preassure your LES! Or someone that's actually intolerant/sensitive to certain foods</t>
        </is>
      </c>
      <c r="D2938" t="n">
        <v>13</v>
      </c>
      <c r="E2938" t="n">
        <v>3</v>
      </c>
      <c r="F2938">
        <f>HYPERLINK("https://www.reddit.com/r/GERD/comments/dadkzy/found_two_new_reasons_for_gerdlpr_and_a_lose_les/")</f>
        <v/>
      </c>
      <c r="G2938" t="inlineStr">
        <is>
          <t>2019-09-28 01:52:41</t>
        </is>
      </c>
      <c r="H2938" t="inlineStr"/>
    </row>
    <row r="2939">
      <c r="A2939" t="inlineStr">
        <is>
          <t>dae9ab</t>
        </is>
      </c>
      <c r="B2939" t="inlineStr">
        <is>
          <t>Can I smoke weed when im on 24hr Ph Monitoring ?</t>
        </is>
      </c>
      <c r="C2939" t="inlineStr">
        <is>
          <t>I left hospital at 11.00 after an endoscopy. i got plugged a Ph monitoring thing from my nose it goes down my esophagus to see its ph. i got buttons and shit to push when im eating, laying down etc.
the question is, i just took a  couple of puffs and was wondering if i can smoke weed when i have this monitor thing. its gonna stay for 48 hours(they cant plug it off tomorrow because its sunday so itll stay for 48 hours) and im with a friend so we want to smoke.
they gave me anesthesia during the endoscopy by the way but it really doesnt effect me and i dont think that smoking will change that.</t>
        </is>
      </c>
      <c r="D2939" t="n">
        <v>1</v>
      </c>
      <c r="E2939" t="n">
        <v>5</v>
      </c>
      <c r="F2939">
        <f>HYPERLINK("https://www.reddit.com/r/GERD/comments/dae9ab/can_i_smoke_weed_when_im_on_24hr_ph_monitoring/")</f>
        <v/>
      </c>
      <c r="G2939" t="inlineStr">
        <is>
          <t>2019-09-28 03:18:39</t>
        </is>
      </c>
      <c r="H2939" t="inlineStr"/>
    </row>
    <row r="2940">
      <c r="A2940" t="inlineStr">
        <is>
          <t>dafems</t>
        </is>
      </c>
      <c r="B2940" t="inlineStr">
        <is>
          <t>Any way to fix narrow esophagus without the dilation thing?</t>
        </is>
      </c>
      <c r="C2940" t="inlineStr">
        <is>
          <t>I can feel my esophagus getting narrow, I'll take my morning vitamin d pill and it gets stuck and slowly slides down. suffer from other foods as well, find it hard to swallow.
they say its cos the gerd causes damage to the esophagus and makes scar tissue which causes the esophagus to narrow.
anyone experience this? what to do?</t>
        </is>
      </c>
      <c r="D2940" t="n">
        <v>3</v>
      </c>
      <c r="E2940" t="n">
        <v>1</v>
      </c>
      <c r="F2940">
        <f>HYPERLINK("https://www.reddit.com/r/GERD/comments/dafems/any_way_to_fix_narrow_esophagus_without_the/")</f>
        <v/>
      </c>
      <c r="G2940" t="inlineStr">
        <is>
          <t>2019-09-28 05:34:08</t>
        </is>
      </c>
      <c r="H2940" t="inlineStr"/>
    </row>
    <row r="2941">
      <c r="A2941" t="inlineStr">
        <is>
          <t>dafz7e</t>
        </is>
      </c>
      <c r="B2941" t="inlineStr">
        <is>
          <t>It was going so well too....</t>
        </is>
      </c>
      <c r="C2941" t="inlineStr">
        <is>
          <t>Well,  after a day of no i thought I was in the clear... guess what I just woke up with. Choking on acid and coughing like a long time smoker is NOT how I wanted to start my day</t>
        </is>
      </c>
      <c r="D2941" t="n">
        <v>1</v>
      </c>
      <c r="E2941" t="n">
        <v>37</v>
      </c>
      <c r="F2941">
        <f>HYPERLINK("https://www.reddit.com/r/GERD/comments/dafz7e/it_was_going_so_well_too/")</f>
        <v/>
      </c>
      <c r="G2941" t="inlineStr">
        <is>
          <t>2019-09-28 06:28:28</t>
        </is>
      </c>
      <c r="H2941" t="inlineStr"/>
    </row>
    <row r="2942">
      <c r="A2942" t="inlineStr">
        <is>
          <t>dai4ax</t>
        </is>
      </c>
      <c r="B2942" t="inlineStr">
        <is>
          <t>B Grade Esophagitis Stays After a Year of PPI</t>
        </is>
      </c>
      <c r="C2942" t="inlineStr">
        <is>
          <t>Long story short, i got diagnosed with  hiatal hernia, reflux esophagitis, gastritis, elevated z-line by a shitty doctor that didnt even noted the grade of esophagitis or length of hiatal hernia on the report.  and im only 20, yeah shit sucks.
doctor said i should get on ppi and gaviscon for a whole year and come have another endoscopy. anyway, i used the ppi for a year and went to another doctor who said that i should get off ppis for a week and have an endoscopy and ph monitor test.
 i used the ppi for a whole year(rough year, drank shitload of alcohol to be honest) and i almost never felt heartburn except the last week because i stopped the ppi for the test.
whatever, this morning i had an endoscopy followed by a ph monitor test by the second doctor, im still plugged with the monitor. 
endoscopy says i have grade b esophagitis and no hernia, no elevated z line, no nothing except some gastritis doctor said mild enough to not care.
so, now what ? turnsout esophagitis is still there ! it might even be worse since we dont know which grade that was last year. if one year of ppi therapy didnt cure the esophagitis, what will ? im only 21 and have the same grade of esophagitis of my 40 year old gerd sufferer relatives. what should i do ?
thanks to everyone who cares about others enough to reply to this post, i had more people trying to help me here than hospitals.
edit: just got off the phone with another doctor which said surgery shouldnt be an option since surgery usually has worse side effects on you than pre-surgery symptoms.he thinks that main focus must be using ppi and sucralfate to heal esophagitis and live on meds and never eating triggers again. great to know that i only have one life and will never have a normal functioning esophagus.</t>
        </is>
      </c>
      <c r="D2942" t="n">
        <v>5</v>
      </c>
      <c r="E2942" t="n">
        <v>10</v>
      </c>
      <c r="F2942">
        <f>HYPERLINK("https://www.reddit.com/r/GERD/comments/dai4ax/b_grade_esophagitis_stays_after_a_year_of_ppi/")</f>
        <v/>
      </c>
      <c r="G2942" t="inlineStr">
        <is>
          <t>2019-09-28 09:21:41</t>
        </is>
      </c>
      <c r="H2942" t="inlineStr"/>
    </row>
    <row r="2943">
      <c r="A2943" t="inlineStr">
        <is>
          <t>dakzzv</t>
        </is>
      </c>
      <c r="B2943" t="inlineStr">
        <is>
          <t>Could it be GERD? Vomiting and nausea with no other symptoms</t>
        </is>
      </c>
      <c r="C2943" t="inlineStr">
        <is>
          <t>Hello! A few days ago I was vomiting non-stop from morning until night after taking 600MG of caffeine pills. I was fine the next day, but ever since I have been experiencing pretty severe bouts of nausea accompanied with vomiting as well as heart burn. I will be okay for a few hours and then i will continue to throw up. It also gets worse when I lie down. I have been beginning to throw up little bits of blood as well. 
I am a freshmen college student and am incredibly overwhelmed and frustrated with how I’m feeling. I don’t know if these are dumb questions, but I am really tired of feeling this way. 
Any advice or guidance would be greatly appreciated!</t>
        </is>
      </c>
      <c r="D2943" t="n">
        <v>7</v>
      </c>
      <c r="E2943" t="n">
        <v>7</v>
      </c>
      <c r="F2943">
        <f>HYPERLINK("https://www.reddit.com/r/GERD/comments/dakzzv/could_it_be_gerd_vomiting_and_nausea_with_no/")</f>
        <v/>
      </c>
      <c r="G2943" t="inlineStr">
        <is>
          <t>2019-09-28 12:57:21</t>
        </is>
      </c>
      <c r="H2943" t="inlineStr"/>
    </row>
    <row r="2944">
      <c r="A2944" t="inlineStr">
        <is>
          <t>dal191</t>
        </is>
      </c>
      <c r="B2944" t="inlineStr">
        <is>
          <t>Could this be a cause of GERD/Hiatal Hernia?</t>
        </is>
      </c>
      <c r="C2944" t="inlineStr">
        <is>
          <t>I first started feeling my GERD symptom (lump in the throat) about 5 weeks ago. It was during one of my most stressful weeks this year by far. I found myself up late, hardly able to sleep, sitting up and researching solutions. Now I've had anxiety for awhile but never really suffered from acid reflux.
The kicker for this is how I was sitting up late into the night stressing. I was sitting with my legs crossed underneath my stomach. Before I stopped sitting that way I noticed a line under where my chest meets my stomach and a line across the bottom of my stomach. 
I was definitely tense and can see where I would be putting more pressure on my stomach. Is GERD/Hiatal Hernia something that can develop that quick from something like that?
I should clarify, I haven't been diagnosed with Hiatal Hernia to this point. Just the GERD. It's just my suspicion since it started right about this time.</t>
        </is>
      </c>
      <c r="D2944" t="n">
        <v>8</v>
      </c>
      <c r="E2944" t="n">
        <v>4</v>
      </c>
      <c r="F2944">
        <f>HYPERLINK("https://www.reddit.com/r/GERD/comments/dal191/could_this_be_a_cause_of_gerdhiatal_hernia/")</f>
        <v/>
      </c>
      <c r="G2944" t="inlineStr">
        <is>
          <t>2019-09-28 12:59:48</t>
        </is>
      </c>
      <c r="H2944" t="inlineStr"/>
    </row>
    <row r="2945">
      <c r="A2945" t="inlineStr">
        <is>
          <t>dam6c0</t>
        </is>
      </c>
      <c r="B2945" t="inlineStr">
        <is>
          <t>"Worse Than Childbirth"; "Like Waterboarding". "I Was Linda Blair". Is Manometry REALLY That Bad?</t>
        </is>
      </c>
      <c r="C2945" t="inlineStr">
        <is>
          <t>My God, I just need someone to hold me after reading those Youtube comments.  The video was so reassuring...a little *too* reassuring, so I made the mistake of scrolling down to the comments.  Now I'm in tears.  I have horrid emetophobia (fear of vomiting) plus an unnaturally bad gag reflex to the point I can't even get X-rays at the dentist.  I've been doubling down on therapy to prepare for this manometry (the 30-minute one, not the 24-hour) &amp;amp; was doing quite well until today.
I just need it straight up:  is it as bad as these comments are saying?  I need to be prepared for the reality of it, not some BS watered down fantasy.  They said I can take a diazepam &amp;amp; have as much nasal/throat lidocaine as I need.  And the nurse is VERY nice.  I'm sure those things will help.  But the gagging part is what scares me.  **How numb does the lidocaine get you?  Is it as effective as novocaine shots at the dentist?**  I expect some gagging as it goes down the throat, but what about the rest of the procedure?  I don't think I can handle 15-30 mins of straight gagging.  
Please give it to me straight.  This is coming up next week &amp;amp; I need real answers.  **You don't have to recount your entire experience; just need to know how bad the gagging and/or vomiting was for you &amp;amp; whether you got lidocaine.**  
Thank you kindly.  This is already the scariest thing I've ever done, then I read those comments.</t>
        </is>
      </c>
      <c r="D2945" t="n">
        <v>5</v>
      </c>
      <c r="E2945" t="n">
        <v>18</v>
      </c>
      <c r="F2945">
        <f>HYPERLINK("https://www.reddit.com/r/GERD/comments/dam6c0/worse_than_childbirth_like_waterboarding_i_was/")</f>
        <v/>
      </c>
      <c r="G2945" t="inlineStr">
        <is>
          <t>2019-09-28 14:31:37</t>
        </is>
      </c>
      <c r="H2945" t="inlineStr"/>
    </row>
    <row r="2946">
      <c r="A2946" t="inlineStr">
        <is>
          <t>dao9f1</t>
        </is>
      </c>
      <c r="B2946" t="inlineStr">
        <is>
          <t>Is this GERD or something else?</t>
        </is>
      </c>
      <c r="C2946" t="inlineStr">
        <is>
          <t>Sweating, burning pain feels like a quarter length into my chest , chest feels cold, sour taste in mouth , liquid coming back up , food chunks coming up, throat burning,hoarse voice ,  can’t eat anything or drink any thing without these issues.</t>
        </is>
      </c>
      <c r="D2946" t="n">
        <v>5</v>
      </c>
      <c r="E2946" t="n">
        <v>17</v>
      </c>
      <c r="F2946">
        <f>HYPERLINK("https://www.reddit.com/r/GERD/comments/dao9f1/is_this_gerd_or_something_else/")</f>
        <v/>
      </c>
      <c r="G2946" t="inlineStr">
        <is>
          <t>2019-09-28 17:36:57</t>
        </is>
      </c>
      <c r="H2946" t="inlineStr"/>
    </row>
    <row r="2947">
      <c r="A2947" t="inlineStr">
        <is>
          <t>daoxxr</t>
        </is>
      </c>
      <c r="B2947" t="inlineStr">
        <is>
          <t>Unable to breathe after vomiting?</t>
        </is>
      </c>
      <c r="C2947" t="inlineStr">
        <is>
          <t>Has anyone had this problem where after you throw up you literally cannot breathe for 20-30secs??? It’s truly terrifying. Literally feels like your windpipe is clogged up.</t>
        </is>
      </c>
      <c r="D2947" t="n">
        <v>1</v>
      </c>
      <c r="E2947" t="n">
        <v>1</v>
      </c>
      <c r="F2947">
        <f>HYPERLINK("https://www.reddit.com/r/GERD/comments/daoxxr/unable_to_breathe_after_vomiting/")</f>
        <v/>
      </c>
      <c r="G2947" t="inlineStr">
        <is>
          <t>2019-09-28 18:40:43</t>
        </is>
      </c>
      <c r="H2947" t="inlineStr"/>
    </row>
    <row r="2948">
      <c r="A2948" t="inlineStr">
        <is>
          <t>dap4rk</t>
        </is>
      </c>
      <c r="B2948" t="inlineStr">
        <is>
          <t>Yogurt causing acid reflux?</t>
        </is>
      </c>
      <c r="C2948" t="inlineStr">
        <is>
          <t>Some yogurt causes me to have that nasty burning feeling in the back of my throat almost immediately. It’s really only some yogurt, though. Chobani and GoodBelly it happens bad with. I can tolerate Oui and Libertè. Does anyone experience this or have any idea why? I think chobani is Greek yogurt and the GoodBelly was low-fat/nonfat, but Oui and Libertè are both whole milk.</t>
        </is>
      </c>
      <c r="D2948" t="n">
        <v>5</v>
      </c>
      <c r="E2948" t="n">
        <v>20</v>
      </c>
      <c r="F2948">
        <f>HYPERLINK("https://www.reddit.com/r/GERD/comments/dap4rk/yogurt_causing_acid_reflux/")</f>
        <v/>
      </c>
      <c r="G2948" t="inlineStr">
        <is>
          <t>2019-09-28 18:58:53</t>
        </is>
      </c>
      <c r="H2948" t="inlineStr"/>
    </row>
    <row r="2949">
      <c r="A2949" t="inlineStr">
        <is>
          <t>dapa75</t>
        </is>
      </c>
      <c r="B2949" t="inlineStr">
        <is>
          <t>Sore throat</t>
        </is>
      </c>
      <c r="C2949" t="inlineStr">
        <is>
          <t>Hi all. A while back I started getting a cold very suddenly. My tonsil area swelled up quickly and was tender to the touch even outside my neck. Swallowing sucked. Then it went down after I drank a lot of lemon peel, cinnamon and ginger tea for a while. 
It’s been two weeks since I had symptoms or needed tea, and suddenly, my sore throat is creeping back and I’m slightly swollen again. It’s not always a scratchy, stinging sensation as I expected - it’s more of an ache, I like I got punched in the throat, with a dry patch at the base of my neck and sore tonsils. I’m also getting a headache a day. Not sure if it’s related to either illness - GERD or whatever could be causing these throat issues. 
I do have a lot of reflex lately, more than I’ve ever been used to in my life. It tends to only come to the base of my neck, rarely all the way to my mouth. No pain or burning associated with this 9/10 times, just discomfort. 
Is this what most people’s GERD throat pain feels like?</t>
        </is>
      </c>
      <c r="D2949" t="n">
        <v>2</v>
      </c>
      <c r="E2949" t="n">
        <v>1</v>
      </c>
      <c r="F2949">
        <f>HYPERLINK("https://www.reddit.com/r/GERD/comments/dapa75/sore_throat/")</f>
        <v/>
      </c>
      <c r="G2949" t="inlineStr">
        <is>
          <t>2019-09-28 19:13:24</t>
        </is>
      </c>
      <c r="H2949" t="inlineStr"/>
    </row>
    <row r="2950">
      <c r="A2950" t="inlineStr">
        <is>
          <t>dascva</t>
        </is>
      </c>
      <c r="B2950" t="inlineStr">
        <is>
          <t>What do you do when you have asthma attack during GERD?</t>
        </is>
      </c>
      <c r="C2950" t="inlineStr">
        <is>
          <t>What are the first signs?</t>
        </is>
      </c>
      <c r="D2950" t="n">
        <v>2</v>
      </c>
      <c r="E2950" t="n">
        <v>0</v>
      </c>
      <c r="F2950">
        <f>HYPERLINK("https://www.reddit.com/r/GERD/comments/dascva/what_do_you_do_when_you_have_asthma_attack_during/")</f>
        <v/>
      </c>
      <c r="G2950" t="inlineStr">
        <is>
          <t>2019-09-29 01:03:43</t>
        </is>
      </c>
      <c r="H2950" t="inlineStr"/>
    </row>
    <row r="2951">
      <c r="A2951" t="inlineStr">
        <is>
          <t>dattr6</t>
        </is>
      </c>
      <c r="B2951" t="inlineStr">
        <is>
          <t>Can we talk about... how no one really takes GERD seriously, or trying to 'cure' it ?</t>
        </is>
      </c>
      <c r="C2951" t="inlineStr">
        <is>
          <t>I was just thinking to my self as I sit down in my living room. I've had Silent Reflux Esophagitis for about 2 years almost, and I've tried every acid reducer in the book, yeah some of it helps.... barely, but we're closing in on 2020 &amp;amp; you're telling me that 'too much acid' is still the cause of heartburn? Obviously all the medication drug companies like Nexium, and literally every other acid reducing pill company is CASHING out on this, we know this already. But how much longer do you think Doctors/Scientists, and whoever could actually figure out the mechanism on how Reflux, Gerd , and anything involving acid coming up the esophagus actually works ? I'm sure they're not stupid... they know what's up. Who in the right mind would think taking AWAY acid is the only way to solve the issue? Yeah sure people need to heal in the beginning with the reducers, but I don't see it being normal to stay on Nexium for the rest of my life, I'm a young guy in my early twenties &amp;amp; i'm sure there are MANY others who are even younger who are suffering from this painful, disgusting, random disease that literally none of my friends even heard of.
&amp;amp;#x200B;
I'm sure there are different causes of GERD, but let's be realistic here it couldn't be THAT many different causes. We're talking about a stomach, and a swallowing tube, with not the most complicated mechanics. If the food we're eating isn't being broken down &amp;amp; digested after it drops down in the stomach, then CLEARLY the stomach would be the issue, am I wrong? I'm obviously making it much more simpler than it really is and I'm not trying to be ignorant, but I'm breaking it down to simple form. I actually talk about this with my friend who is studying medicine, and I asked him what do you think ? He just recommends I stay on Nexium as long as possible. It really just feels like we're living in 1964. Either no one (researching or testing) is giving a \*\*\*\* about Gerd/LPR , or they know whats up &amp;amp; are simply trying to cash in while it's hot.
&amp;amp;#x200B;
I just don't see it being realistic to 'not drink coffee' or 'not drink soda' or eat wtf I WANT to eat my whole life. I look at those 500 LB people on Youtube eating their life away and I think to myself, I literally don't have the choice to be fat because I can't eat that much without it being problematic.... ridiculous. I guess it's cool I can't look overweight or be overweight but then again, I think I'd like to at least have the choice. Thank you to whoever made Nexium because that's the only reason I'm currently not underweight, and I'm able to gain muscle mass as i've been going to the gym for the past two months thanks to two nexiums a day, STILL having some minor symptoms here &amp;amp; there.
&amp;amp;#x200B;
&amp;amp;#x200B;
&amp;amp;#x200B;
What are your thoughts guys/gals ? I literally didn't have a clear point to this post aside from PPI's and Acid reducers CAN'T be the only problem solver</t>
        </is>
      </c>
      <c r="D2951" t="n">
        <v>43</v>
      </c>
      <c r="E2951" t="n">
        <v>86</v>
      </c>
      <c r="F2951">
        <f>HYPERLINK("https://www.reddit.com/r/GERD/comments/dattr6/can_we_talk_about_how_no_one_really_takes_gerd/")</f>
        <v/>
      </c>
      <c r="G2951" t="inlineStr">
        <is>
          <t>2019-09-29 04:12:07</t>
        </is>
      </c>
      <c r="H2951" t="inlineStr"/>
    </row>
    <row r="2952">
      <c r="A2952" t="inlineStr">
        <is>
          <t>davb7u</t>
        </is>
      </c>
      <c r="B2952" t="inlineStr">
        <is>
          <t>Existing GERD awareness groups or foundations? Foundation for GERD cure research? Is there?</t>
        </is>
      </c>
      <c r="C2952" t="inlineStr">
        <is>
          <t>I found this website: https://www.aboutgerd.org/gerd-awareness-week.html  but I'm not sure how active they are.
I think chronic GERD should be a disability. There are people who lost their jobs because of chronic GERD.</t>
        </is>
      </c>
      <c r="D2952" t="n">
        <v>4</v>
      </c>
      <c r="E2952" t="n">
        <v>2</v>
      </c>
      <c r="F2952">
        <f>HYPERLINK("https://www.reddit.com/r/GERD/comments/davb7u/existing_gerd_awareness_groups_or_foundations/")</f>
        <v/>
      </c>
      <c r="G2952" t="inlineStr">
        <is>
          <t>2019-09-29 06:46:13</t>
        </is>
      </c>
      <c r="H2952" t="inlineStr"/>
    </row>
    <row r="2953">
      <c r="A2953" t="inlineStr">
        <is>
          <t>daw63m</t>
        </is>
      </c>
      <c r="B2953" t="inlineStr">
        <is>
          <t>Another question about GERD symptoms</t>
        </is>
      </c>
      <c r="C2953" t="inlineStr">
        <is>
          <t>I posted here once before about some symptoms that never seem to go away. Something I've been dealing with lately is an elevated heart rate all night long (we're talking ~75bpm, my normal is ~60), and a sensation of pressure around the heart. As I said, this lasts all night. It's a little better after I get up. 
The reason I ask, really, is that I also have two generally benign heart disorders. It puts a lot of stress on me not knowing if this is just a GERD symptom or if my heart is going to stop pumping life juice randomly.
So long story short, does anyone else have similar symptoms that last all night?</t>
        </is>
      </c>
      <c r="D2953" t="n">
        <v>3</v>
      </c>
      <c r="E2953" t="n">
        <v>0</v>
      </c>
      <c r="F2953">
        <f>HYPERLINK("https://www.reddit.com/r/GERD/comments/daw63m/another_question_about_gerd_symptoms/")</f>
        <v/>
      </c>
      <c r="G2953" t="inlineStr">
        <is>
          <t>2019-09-29 07:55:56</t>
        </is>
      </c>
      <c r="H2953" t="inlineStr"/>
    </row>
    <row r="2954">
      <c r="A2954" t="inlineStr">
        <is>
          <t>daws2y</t>
        </is>
      </c>
      <c r="B2954" t="inlineStr">
        <is>
          <t>Any reason a 40mg 'tablet' of Esomeprazole would work differently than 2 x 20mg 'Capsules'</t>
        </is>
      </c>
      <c r="C2954" t="inlineStr">
        <is>
          <t>I'm starting to wonder if I'm going mad, but the 40mg 'tablet' seemed more effective than taking 2 x 20mg 'Capsules'.
&amp;amp;#x200B;
It shouldn't make any difference, should it? Still getting 40mg either way, no?</t>
        </is>
      </c>
      <c r="D2954" t="n">
        <v>3</v>
      </c>
      <c r="E2954" t="n">
        <v>2</v>
      </c>
      <c r="F2954">
        <f>HYPERLINK("https://www.reddit.com/r/GERD/comments/daws2y/any_reason_a_40mg_tablet_of_esomeprazole_would/")</f>
        <v/>
      </c>
      <c r="G2954" t="inlineStr">
        <is>
          <t>2019-09-29 08:41:41</t>
        </is>
      </c>
      <c r="H2954" t="inlineStr"/>
    </row>
    <row r="2955">
      <c r="A2955" t="inlineStr">
        <is>
          <t>daxk1n</t>
        </is>
      </c>
      <c r="B2955" t="inlineStr">
        <is>
          <t>Anyone Smoked After an Endoscopy ? Is it safe ?</t>
        </is>
      </c>
      <c r="C2955" t="inlineStr">
        <is>
          <t>Hey,
I had an endoscopy yesterday, turnsout i have grade b esophagitis and i didnt take it seriously since i was afraid of barrett's esophagus and turns out i dont have it.they plugged me a ph monitoring device for the next 48 hours and i left the hospital.im 20 by the way.
then i went to meet a friend and smoked a spliff 2 hours or so after the procedure(tobacco and weed mixed)... when i asked the doctor if i can smoke a cigarette with the monitoring device he did say go ahead  but i cant be sure since i JUST  learned that barretts esophagus develops from esophagitis and im afraid that endoscope might have damaged the esophagus and i might damaged it even more with the smoke and it might lead to something more sinister like BE.
i know im extremely anxious and its not helping but im really afraid, need some peace of mind, thanks.</t>
        </is>
      </c>
      <c r="D2955" t="n">
        <v>1</v>
      </c>
      <c r="E2955" t="n">
        <v>3</v>
      </c>
      <c r="F2955">
        <f>HYPERLINK("https://www.reddit.com/r/GERD/comments/daxk1n/anyone_smoked_after_an_endoscopy_is_it_safe/")</f>
        <v/>
      </c>
      <c r="G2955" t="inlineStr">
        <is>
          <t>2019-09-29 09:38:55</t>
        </is>
      </c>
      <c r="H2955" t="inlineStr"/>
    </row>
    <row r="2956">
      <c r="A2956" t="inlineStr">
        <is>
          <t>dayjf0</t>
        </is>
      </c>
      <c r="B2956" t="inlineStr">
        <is>
          <t>Question about inconsistency of my condition. (TL;DR at bottom)</t>
        </is>
      </c>
      <c r="C2956" t="inlineStr">
        <is>
          <t>I'll do my best to keep this short, I just want to understand what's happening.
I was diagnosed with NERD about 9 months ago. My doctor gave me medication that worsened my heartburn immensely (Omeprazol), so I quickly stopped taking them. My heartburn went away shortly after.
I then did some online digging and found a bunch of foods I should avoid as well as certain actions (not eating too much, not laying down after eating, etc.). I realize that foods causing heartburn are individual and that I should try each one out - but I decided to rule them ALL out. So I haven't eaten any citrus, tomatoes, caffeine or any of the heartburn-inducing foods in 7 months.
**And I haven't experienced heartburn in 7 months.**
For the past 2 weeks, however, I've been experiencing constant incredibly painful heartburn. I'm either REALLY warm in my chest, or it's a sharp pain like a knife. It comes and goes, throughout the day, regardless of when I last ate.
Because of this pain, I've been spiraling in a whirlwind of worry, depression and fear of death, from the moment I wake up until I go to sleep. 3 days ago, however, I had an epiphany moment and I am now completely free from worry and depression. But the pain is still there and I can't help but think that it'll continue on to more serious diseases if I ignore it.
It came out of nowhere 2 weeks ago, I haven't done any lifestyle changes so I don't understand why. Why is my esophagus all of a sudden spazzing out, after having been calm for 7 long months? Ugh, just writing this gave me around 5 bouts of heartburn attacks.
____________________
**TL;DR** - I went 7 months without experiencing heartburn simply through lifestyle changes and 0 medication. Now suddenly, for two weeks, I've been having incredible pain in my esophagus (heartburn, sore throat). Nothing has changed in my life, the pain just started out of nowhere. Why, and why was it gone for 7 months?
___
Also, **any** advice of **any** kind would be very welcome and appreciated.</t>
        </is>
      </c>
      <c r="D2956" t="n">
        <v>2</v>
      </c>
      <c r="E2956" t="n">
        <v>6</v>
      </c>
      <c r="F2956">
        <f>HYPERLINK("https://www.reddit.com/r/GERD/comments/dayjf0/question_about_inconsistency_of_my_condition_tldr/")</f>
        <v/>
      </c>
      <c r="G2956" t="inlineStr">
        <is>
          <t>2019-09-29 10:50:47</t>
        </is>
      </c>
      <c r="H2956" t="inlineStr"/>
    </row>
    <row r="2957">
      <c r="A2957" t="inlineStr">
        <is>
          <t>db21dd</t>
        </is>
      </c>
      <c r="B2957" t="inlineStr">
        <is>
          <t>What do I do when doctors refuse to prescribe me medication for this issue long term?</t>
        </is>
      </c>
      <c r="C2957" t="inlineStr">
        <is>
          <t>23F here, I was diagnosed with GERD at 13. The past couple years it had gotten really bad. Acid sitting in my throat around the clock, coming up into my mouth causing me to choke because it burns to bad, and on particularly bad days nausea and vomiting. I've had an endoscopy and was told I have inflammation in my esophagus. My family doctor put me on a medication for the GERD and it worked very well, but told me I needed to see a specialist for long term care. So I did, and she put me on rabeprazole, but said "we can only put you on it for 8 weeks maximum" because of some other side effect that has to do with your bones. So now I'm stuck switching between ranitidine and omeprazole OTC which only works for the first couple days. I have to switch them because my body gets used to it and it doesn't work. I get the whole side effects of the bones but which is the lesser of two evils? I can't function with this condition unless I have medication. I am suffering and I think it's worth the risk to take the medication. Thoughts?</t>
        </is>
      </c>
      <c r="D2957" t="n">
        <v>4</v>
      </c>
      <c r="E2957" t="n">
        <v>6</v>
      </c>
      <c r="F2957">
        <f>HYPERLINK("https://www.reddit.com/r/GERD/comments/db21dd/what_do_i_do_when_doctors_refuse_to_prescribe_me/")</f>
        <v/>
      </c>
      <c r="G2957" t="inlineStr">
        <is>
          <t>2019-09-29 15:06:50</t>
        </is>
      </c>
      <c r="H2957" t="inlineStr"/>
    </row>
    <row r="2958">
      <c r="A2958" t="inlineStr">
        <is>
          <t>db2vpw</t>
        </is>
      </c>
      <c r="B2958" t="inlineStr">
        <is>
          <t>Popping in Chest and ribs?</t>
        </is>
      </c>
      <c r="C2958" t="inlineStr">
        <is>
          <t>Lately (for about a month, I’ll have popping either in the middle of my chest or in the area of my left rib cage when I take a deep breath. Could this be due to over breathing (I have shortness of breath due to allergies/GERD/anxiety)? Does anyone else experience this? At first I was worried it was fluid in my lungs but I had a clear chest x ray about 3 months ago and don’t have any wheezing or a chronic cough so I don’t think it’s that!</t>
        </is>
      </c>
      <c r="D2958" t="n">
        <v>2</v>
      </c>
      <c r="E2958" t="n">
        <v>5</v>
      </c>
      <c r="F2958">
        <f>HYPERLINK("https://www.reddit.com/r/GERD/comments/db2vpw/popping_in_chest_and_ribs/")</f>
        <v/>
      </c>
      <c r="G2958" t="inlineStr">
        <is>
          <t>2019-09-29 16:17:07</t>
        </is>
      </c>
      <c r="H2958" t="inlineStr"/>
    </row>
    <row r="2959">
      <c r="A2959" t="inlineStr">
        <is>
          <t>db2zgw</t>
        </is>
      </c>
      <c r="B2959" t="inlineStr">
        <is>
          <t>Shortness of Breath with GERD.</t>
        </is>
      </c>
      <c r="C2959" t="inlineStr">
        <is>
          <t>Hey everyone,
So I believe I officially have GERD, though undiagnosed. Doctor kind of just prescribed medication without saying it’s this or that.
Anyways, I get this shortness of breath from time to time among other symptoms. Shortness of breath is the worst and I believe it to be from the Acid acting up, though there isn’t a rhyme or reason for it necessarily. 
I started on PPI (prantoprozale) Last Wednesday and was hoping the symptoms would be relieved. It’s been about 4-5 doses later and I have yet to really feel different. Doctor said give it two weeks.
Any of you have this shortness of breath symptom and how long did it take for the PPI to help that?</t>
        </is>
      </c>
      <c r="D2959" t="n">
        <v>3</v>
      </c>
      <c r="E2959" t="n">
        <v>1</v>
      </c>
      <c r="F2959">
        <f>HYPERLINK("https://www.reddit.com/r/GERD/comments/db2zgw/shortness_of_breath_with_gerd/")</f>
        <v/>
      </c>
      <c r="G2959" t="inlineStr">
        <is>
          <t>2019-09-29 16:25:54</t>
        </is>
      </c>
      <c r="H2959" t="inlineStr"/>
    </row>
    <row r="2960">
      <c r="A2960" t="inlineStr">
        <is>
          <t>db3f79</t>
        </is>
      </c>
      <c r="B2960" t="inlineStr">
        <is>
          <t>LPR - stopped taking my PPI for a day and felt better</t>
        </is>
      </c>
      <c r="C2960" t="inlineStr">
        <is>
          <t>I'm not sure this is coincidental or not.   I've been sealing with LPR symptoms since late August which primarily consist of sore throat/thickness etc.  Nothing has worked at stopping it.  The pepsin is hard to get rid of.  When I first started taking PPI's back in April of 2019, I noticed a sour taste in my mouth shortly after taking them.  I continued to take them and my esophagitis healed, so it's possible it worked for that.  However, during that time I also went on a strict low acid diet.
Today I decided not to take my Dexilant and much to my surprise, my throat issues were so minor today.  I even ate things I wasn't supposed to.  Is it possible the PPI's are just not working for me and actually making me feel worse?  I'm going to contact my doctor and discuss weaning off of them.</t>
        </is>
      </c>
      <c r="D2960" t="n">
        <v>7</v>
      </c>
      <c r="E2960" t="n">
        <v>11</v>
      </c>
      <c r="F2960">
        <f>HYPERLINK("https://www.reddit.com/r/GERD/comments/db3f79/lpr_stopped_taking_my_ppi_for_a_day_and_felt/")</f>
        <v/>
      </c>
      <c r="G2960" t="inlineStr">
        <is>
          <t>2019-09-29 17:03:02</t>
        </is>
      </c>
      <c r="H2960" t="inlineStr"/>
    </row>
    <row r="2961">
      <c r="A2961" t="inlineStr">
        <is>
          <t>db4dvn</t>
        </is>
      </c>
      <c r="B2961" t="inlineStr">
        <is>
          <t>Confused. Need advice. Please don’t be too rude, I know not what I’m doing.</t>
        </is>
      </c>
      <c r="C2961" t="inlineStr">
        <is>
          <t>So I’ve had acid reflux for a few months now. Horrible nausea and bloating. So I go to urgent care. They prescribe me famotidine (take for 15 days) and tell me no spicy foods, no alcohol. I’m 21 years old. I failed. I drank around day twelve. All of my symptoms return. I was just getting better. I finish my medicine. I don’t drink for about a week, then I do it again. My symptoms get worse. I buy over the counter famotidine. I take it for fourteen days. I drink again. I buy more medicine. Yes, I’m stupid. But here’s the question: should I stop taking the famotidine? I’be promised myself that I’m done drinking until Halloween. But will I harm myself from taking this medicine for too long?</t>
        </is>
      </c>
      <c r="D2961" t="n">
        <v>1</v>
      </c>
      <c r="E2961" t="n">
        <v>0</v>
      </c>
      <c r="F2961">
        <f>HYPERLINK("https://www.reddit.com/r/GERD/comments/db4dvn/confused_need_advice_please_dont_be_too_rude_i/")</f>
        <v/>
      </c>
      <c r="G2961" t="inlineStr">
        <is>
          <t>2019-09-29 18:26:41</t>
        </is>
      </c>
      <c r="H2961" t="inlineStr"/>
    </row>
    <row r="2962">
      <c r="A2962" t="inlineStr">
        <is>
          <t>db4jz9</t>
        </is>
      </c>
      <c r="B2962" t="inlineStr">
        <is>
          <t>Gerd better at night</t>
        </is>
      </c>
      <c r="C2962" t="inlineStr">
        <is>
          <t>I'm a 29 years old female who has been battling acid reflux for 4 years after I had my gallbladder removed. My symptoms are chest burning and pain, throat burning and pain, heart palpitations, I have a normal bmp but can feel my heart beating, chest pressure, mild back pain, i can only burp when sitting up straight, and soreness in my throat, nose, and ears. I dont smoke or drink and I've tried dairy free and gluten free diets along with various ppi's and h2 blockers over the last 4 years with no success. I even took lexapro for 3 years in an attempt to stop it. It did slow it down but did not help and I weaned myself off. I now have acid reflux attacks accompanied by nausea if it's really bad.
But most nights, maybe around 8.30pm and later, all of these symptoms go away and I sleep soundly through the night. It's when I wake up feeling slightly uneasy and then sick after a small breakfast that everything comes back throughout the day.
I'm going to a new gastroenterologist thursday but does anyone have any similar symptoms? Or even an idea of what's happening to me? 
I have a new job and this is seriously interfering with my life and I'm am miserable and afraid to leave my own house in case I get sick. I cry just about everyday because I'm sick again and it had taken 4 months to diagnose my gallbladder and I cant go through that again.</t>
        </is>
      </c>
      <c r="D2962" t="n">
        <v>2</v>
      </c>
      <c r="E2962" t="n">
        <v>7</v>
      </c>
      <c r="F2962">
        <f>HYPERLINK("https://www.reddit.com/r/GERD/comments/db4jz9/gerd_better_at_night/")</f>
        <v/>
      </c>
      <c r="G2962" t="inlineStr">
        <is>
          <t>2019-09-29 18:41:14</t>
        </is>
      </c>
      <c r="H2962" t="inlineStr"/>
    </row>
    <row r="2963">
      <c r="A2963" t="inlineStr">
        <is>
          <t>db4s5i</t>
        </is>
      </c>
      <c r="B2963" t="inlineStr">
        <is>
          <t>Random bouts of uncontrollable gagging?</t>
        </is>
      </c>
      <c r="C2963" t="inlineStr">
        <is>
          <t>Hi, long-time lurker, occasional commenter, but I don't recall seeing other posts about this, so I thought I'd ask if any of you also have horrible gag attacks basically? For me, it normally starts with something touching my neck or being close to touching it (like a crew neck shirt) but not always. Suddenly, I feel like I'm suffocating and I start to gag/dry heave. I quit smoking bc I assumed it was causing this to flare, but it's still happening a lot and it's super embarrassing in public. Does anyone else experience this?</t>
        </is>
      </c>
      <c r="D2963" t="n">
        <v>2</v>
      </c>
      <c r="E2963" t="n">
        <v>0</v>
      </c>
      <c r="F2963">
        <f>HYPERLINK("https://www.reddit.com/r/GERD/comments/db4s5i/random_bouts_of_uncontrollable_gagging/")</f>
        <v/>
      </c>
      <c r="G2963" t="inlineStr">
        <is>
          <t>2019-09-29 19:00:55</t>
        </is>
      </c>
      <c r="H2963" t="inlineStr"/>
    </row>
    <row r="2964">
      <c r="A2964" t="inlineStr">
        <is>
          <t>db5glu</t>
        </is>
      </c>
      <c r="B2964" t="inlineStr">
        <is>
          <t>Threw up twice but I still feel bad</t>
        </is>
      </c>
      <c r="C2964" t="inlineStr">
        <is>
          <t>Hey,
So usually when my gerd flares up and it leads to me throwing up I feel better. But today I feel worse. I took 2 zantacs today, my symptoms started this morning, and I took some antiacids. I don't know what more I can do, I just wanna go to sleep.</t>
        </is>
      </c>
      <c r="D2964" t="n">
        <v>3</v>
      </c>
      <c r="E2964" t="n">
        <v>5</v>
      </c>
      <c r="F2964">
        <f>HYPERLINK("https://www.reddit.com/r/GERD/comments/db5glu/threw_up_twice_but_i_still_feel_bad/")</f>
        <v/>
      </c>
      <c r="G2964" t="inlineStr">
        <is>
          <t>2019-09-29 20:00:06</t>
        </is>
      </c>
      <c r="H2964" t="inlineStr"/>
    </row>
    <row r="2965">
      <c r="A2965" t="inlineStr">
        <is>
          <t>db5tfu</t>
        </is>
      </c>
      <c r="B2965" t="inlineStr">
        <is>
          <t>Feeling hopeless!! Why me?</t>
        </is>
      </c>
      <c r="C2965" t="inlineStr">
        <is>
          <t>as most of you know, this disease fucks with your mental health and happiness so much. being so young, im only 19 and I look at people around me partying, travelling, having so much energy while I’m here too anxious to even go to class bc im scared of feeling sick or getting nauseous in the middle of my lecture. like this completely changed my life and I went from being a fun, down for anything, crazy person to being someone who prefers staying at home bc I’m scared to go out and have a flare up. can anyone give any advice pls? success stories, recommendations, or just other young people going through this. idk I just hate complaining bc it could be soooo much worse, like I could have a much more serious disease but I can’t help complaining when I see my friends go the whole day without eating, then chug a beer and pizza and hot wings.. ljke I have to be so careful with my body at all times :( anyways thanks for listening you guys, I just hate my life rn lol</t>
        </is>
      </c>
      <c r="D2965" t="n">
        <v>13</v>
      </c>
      <c r="E2965" t="n">
        <v>41</v>
      </c>
      <c r="F2965">
        <f>HYPERLINK("https://www.reddit.com/r/GERD/comments/db5tfu/feeling_hopeless_why_me/")</f>
        <v/>
      </c>
      <c r="G2965" t="inlineStr">
        <is>
          <t>2019-09-29 20:32:38</t>
        </is>
      </c>
      <c r="H2965" t="inlineStr"/>
    </row>
    <row r="2966">
      <c r="A2966" t="inlineStr">
        <is>
          <t>db6dbg</t>
        </is>
      </c>
      <c r="B2966" t="inlineStr">
        <is>
          <t>How to get relief/heal badly burned throat quicker?</t>
        </is>
      </c>
      <c r="C2966" t="inlineStr">
        <is>
          <t>Hi everyone so I've had consistently crappy painful LPR symptoms for 6 months (constant sore throat, its always red and cobblestoned, my tonsils look huge now), which is caused by my burps which are essentially my reflux events (i burp ALL the time and cannot find a way to stop it). The other day I stupidly ate pasta (with a non acidic sauce) and burped around 50 times and then the next day, woke up with swollen lymphnodes under my chin, sore neck like ive been punched, it KILLLLLS to swallow so I cant sleep cause it wakes me and  I haven't eaten, and the back of my throat is BRIGHT red and like a little white/yellow too - sort of like ulcerated. Despite months of research I still haven't found a way to make my throat heal (though I think im gonna have to follow the fast tract diet in future to prevent this BAD flare again). Any recommendations to get my throat from REALLY bad to just a little bad how it was before?</t>
        </is>
      </c>
      <c r="D2966" t="n">
        <v>1</v>
      </c>
      <c r="E2966" t="n">
        <v>15</v>
      </c>
      <c r="F2966">
        <f>HYPERLINK("https://www.reddit.com/r/GERD/comments/db6dbg/how_to_get_reliefheal_badly_burned_throat_quicker/")</f>
        <v/>
      </c>
      <c r="G2966" t="inlineStr">
        <is>
          <t>2019-09-29 21:24:12</t>
        </is>
      </c>
      <c r="H2966" t="inlineStr"/>
    </row>
    <row r="2967">
      <c r="A2967" t="inlineStr">
        <is>
          <t>db6hn0</t>
        </is>
      </c>
      <c r="B2967" t="inlineStr">
        <is>
          <t>Suffering from Gerd - Water Brash</t>
        </is>
      </c>
      <c r="C2967" t="inlineStr">
        <is>
          <t>Hi all,
I am 33 Male, suffering from liquid in my mouth since June this year. This is mostly the only symptom.
 After seeing my GP, he put me on H2 blocker (Ranitidine) and PPI (Tecta). Ranitidine did not seem to change the symptoms (for better or worst). Tecta caused me to have really sour/bitter taste in mouth and a mild nausea. I stopped taking both medications after 4 weeks, and symptoms seem to be getting slowly better. The sour/bitter taste is less strong and now happens only 2-3 days a week (instead of daily) and the nausea is even milder. I also used to sleep with foam wedge and 2 pillows on top to not feel the liquid in my mouth, and now I can sleep with the wedge and one pillow. I did a strong adjustment of my life habits. I lost 20 pounds in 2 months (240 pounds  to 220 pounds). Also, trying to eat smaller meals and dropped coffee, beef, spicy and fat food. Waiting for my endoscopy which is scheduled in a month from now. I tested positive for H. Pylori in a blood test, but my GP recommended to waiting for the endoscopy so that it can be see the exact situation in my stomach without antibiotics. The sour/bitter taste really degrades life quality, it is hard to explain to other people, how bad it is.
(I had an episode of reflux 5 years ago that lasted 6 months and included pain in throat and pressure in my ears. It somehow disappeared on it's own without me taking anything.)
Wanted to share my story and also hear from anyone else suffering or suffered from same symptoms of water brash and sour/bitter taste in mouth, was anything found in endoscopy? did any medications helped? how do you manage the condition?</t>
        </is>
      </c>
      <c r="D2967" t="n">
        <v>3</v>
      </c>
      <c r="E2967" t="n">
        <v>6</v>
      </c>
      <c r="F2967">
        <f>HYPERLINK("https://www.reddit.com/r/GERD/comments/db6hn0/suffering_from_gerd_water_brash/")</f>
        <v/>
      </c>
      <c r="G2967" t="inlineStr">
        <is>
          <t>2019-09-29 21:36:15</t>
        </is>
      </c>
      <c r="H2967" t="inlineStr"/>
    </row>
    <row r="2968">
      <c r="A2968" t="inlineStr">
        <is>
          <t>dbb6wk</t>
        </is>
      </c>
      <c r="B2968" t="inlineStr">
        <is>
          <t>Cramping/Spasm chest feeling?</t>
        </is>
      </c>
      <c r="C2968" t="inlineStr">
        <is>
          <t>Ok I have had many things like heartburn, acid reflux, and sharp chest pain but this, THIS is something else. It mimics my heart beat almost and it feels like my heart is beating so hard and I get really scared and can't sleep. Please has anyone had this before or something similar? I have had blood test and ECG/EKG recently and it came back all fine except my CK (creatine kinase) which was at 923. I'm just so scared and worked up. I'm only 15.</t>
        </is>
      </c>
      <c r="D2968" t="n">
        <v>2</v>
      </c>
      <c r="E2968" t="n">
        <v>4</v>
      </c>
      <c r="F2968">
        <f>HYPERLINK("https://www.reddit.com/r/GERD/comments/dbb6wk/crampingspasm_chest_feeling/")</f>
        <v/>
      </c>
      <c r="G2968" t="inlineStr">
        <is>
          <t>2019-09-30 05:59:37</t>
        </is>
      </c>
      <c r="H2968" t="inlineStr"/>
    </row>
    <row r="2969">
      <c r="A2969" t="inlineStr">
        <is>
          <t>dbdezx</t>
        </is>
      </c>
      <c r="B2969" t="inlineStr">
        <is>
          <t>Tomorrow is my Nissen day</t>
        </is>
      </c>
      <c r="C2969" t="inlineStr">
        <is>
          <t>Tomorrow morning my surgeon will introduce me to my wrap. It is to be a very floppy short Nissen fundoplication. I'm going to focus on optimism and healing thoughts. Hoping for the best.</t>
        </is>
      </c>
      <c r="D2969" t="n">
        <v>24</v>
      </c>
      <c r="E2969" t="n">
        <v>45</v>
      </c>
      <c r="F2969">
        <f>HYPERLINK("https://www.reddit.com/r/GERD/comments/dbdezx/tomorrow_is_my_nissen_day/")</f>
        <v/>
      </c>
      <c r="G2969" t="inlineStr">
        <is>
          <t>2019-09-30 08:41:44</t>
        </is>
      </c>
      <c r="H2969" t="inlineStr"/>
    </row>
    <row r="2970">
      <c r="A2970" t="inlineStr">
        <is>
          <t>dbf9ms</t>
        </is>
      </c>
      <c r="B2970" t="inlineStr">
        <is>
          <t>How do you deal with PPI induced diarrhea? Especially for those in PPIs/H2 blockers/Antacids for years?</t>
        </is>
      </c>
      <c r="C2970" t="inlineStr">
        <is>
          <t>I hate the diarrhea I will have after taking Pantoprazole 40mg. Then after that my anus just feels sore throughout the day.
Any GERD meds with no diarrhea side effect?</t>
        </is>
      </c>
      <c r="D2970" t="n">
        <v>2</v>
      </c>
      <c r="E2970" t="n">
        <v>3</v>
      </c>
      <c r="F2970">
        <f>HYPERLINK("https://www.reddit.com/r/GERD/comments/dbf9ms/how_do_you_deal_with_ppi_induced_diarrhea/")</f>
        <v/>
      </c>
      <c r="G2970" t="inlineStr">
        <is>
          <t>2019-09-30 10:46:16</t>
        </is>
      </c>
      <c r="H2970" t="inlineStr"/>
    </row>
    <row r="2971">
      <c r="A2971" t="inlineStr">
        <is>
          <t>dbhkze</t>
        </is>
      </c>
      <c r="B2971" t="inlineStr">
        <is>
          <t>Endoscopy revealed gastric polyps from long term PPI use. Want to get off Omeprazole</t>
        </is>
      </c>
      <c r="C2971" t="inlineStr">
        <is>
          <t>Hi all,
I have been taking omeprazole 20mg as prescribed for about 20 years now for GERD (i'm 41 so started about 21 or so).  I recently switched to lansoprazole 15mg but I understand it's basically the same thing.  It has worked great, but I'm kind of concerned about taking it for so long.  I recently had an endoscopy just to make sure things were all right and they discovered multiple large gastric polyps.  The Dr didn't seem concerned and said they aren't likely to turn cancerous, but did say that they were likely caused from long-term PPI usage.   Despite his lack of concern, it kind of made me nervous.
His recommendation was to continue the Omeprazole/lansprazole usage long term to control the GERD because the benefit of taking the PPI and avoiding something like esophogeal cancer outweighs the risk of taking the medication.  Regardless, I've started to look into things and realize the PPIs aren't without risk so I'd like to taper off of them if I can.  
I've tried just stopping a few times, but can only do it for a couple of days before it comes back with a vengeance.  I've tried Ranitidine which doesn't really work. 
Just looking for any suggestions on where I ought to start to see if I can figure out how to get off long term PPIs.  I've read a lot of stuff here, but can't decide what to try first.  I'm thinking of limiting dairy, maybe trying daily probioitics, cutting out other acidic foods.  
I guess I'm just looking for a place to start from somebody that may have controlled thier GERD without taking PPIs for years and years.
PS: I see comments from people saying bananas are a good food to eat that neutralizes acid, yet there's nothing that gives me worse heartburn than a banana.  Is that weird?
TL;DR: want to maybe get off of PPIs and want to know where to start</t>
        </is>
      </c>
      <c r="D2971" t="n">
        <v>2</v>
      </c>
      <c r="E2971" t="n">
        <v>5</v>
      </c>
      <c r="F2971">
        <f>HYPERLINK("https://www.reddit.com/r/GERD/comments/dbhkze/endoscopy_revealed_gastric_polyps_from_long_term/")</f>
        <v/>
      </c>
      <c r="G2971" t="inlineStr">
        <is>
          <t>2019-09-30 13:18:39</t>
        </is>
      </c>
      <c r="H2971" t="inlineStr"/>
    </row>
    <row r="2972">
      <c r="A2972" t="inlineStr">
        <is>
          <t>dbjir0</t>
        </is>
      </c>
      <c r="B2972" t="inlineStr">
        <is>
          <t>Endoscopy Tomorrow, Scared!</t>
        </is>
      </c>
      <c r="C2972" t="inlineStr">
        <is>
          <t>Hi, 
I am having my first endoscopy tomorrow and I am soooo nervous. I know I will be put out for it, but that's the part that makes me the most scared. I have really  bad anxiety about it and am wondering it anyone who has had one can tell me what it is like?</t>
        </is>
      </c>
      <c r="D2972" t="n">
        <v>5</v>
      </c>
      <c r="E2972" t="n">
        <v>10</v>
      </c>
      <c r="F2972">
        <f>HYPERLINK("https://www.reddit.com/r/GERD/comments/dbjir0/endoscopy_tomorrow_scared/")</f>
        <v/>
      </c>
      <c r="G2972" t="inlineStr">
        <is>
          <t>2019-09-30 15:32:18</t>
        </is>
      </c>
      <c r="H2972" t="inlineStr"/>
    </row>
    <row r="2973">
      <c r="A2973" t="inlineStr">
        <is>
          <t>dbjua1</t>
        </is>
      </c>
      <c r="B2973" t="inlineStr">
        <is>
          <t>Severe herd/reflux pain.... what to do? Nothing is working??</t>
        </is>
      </c>
      <c r="C2973" t="inlineStr">
        <is>
          <t>Hello, hoping for some sort of advice or help. I’ve had acid reflux symptoms for 10-11 years. I originally used Zantac for maybe 7-8 of those years until it no longer worked. Then I moved onto Prilosec or Prevacid, both seemed to work well. I didn’t get paid until today and was broke, so I only had Zantac available to me. I used Zantac for the past week and was alright... yesterday had mild reflux symptoms. Took a Zantac this morning along with my normal medications/Adderall/Fluoxetine... today after eating lunch oh man is it bad. Feels like food is in my throat, had the acidic pukey burps.... took another Zantac... didn’t help, went out and bought a bottle of pepto and chugged half the bottle... still have the pukey burning burps and food stuck feeling... finally bought some Prilosec and took one of those... been almost 3 hours since taking mall this and still feeling bad. Now getting anxious/nervous and feel my blood pressure raising (my ears are hot and I feel worried). Can’t really afford to go to the ER... Not sure what to do. Been drinking water constantly and kinda feels like the water somewhat pushes whatever feels stuck in my esophagus down... or at least I can feel the water go around it... hopefully someone can relate 😔</t>
        </is>
      </c>
      <c r="D2973" t="n">
        <v>3</v>
      </c>
      <c r="E2973" t="n">
        <v>6</v>
      </c>
      <c r="F2973">
        <f>HYPERLINK("https://www.reddit.com/r/GERD/comments/dbjua1/severe_herdreflux_pain_what_to_do_nothing_is/")</f>
        <v/>
      </c>
      <c r="G2973" t="inlineStr">
        <is>
          <t>2019-09-30 15:55:51</t>
        </is>
      </c>
      <c r="H2973" t="inlineStr"/>
    </row>
    <row r="2974">
      <c r="A2974" t="inlineStr">
        <is>
          <t>dbkgo4</t>
        </is>
      </c>
      <c r="B2974" t="inlineStr">
        <is>
          <t>How often should I be getting an endoscopy?</t>
        </is>
      </c>
      <c r="C2974" t="inlineStr">
        <is>
          <t>About 2 years ago I was having constant throat pain/tightness for about 9 months straight. No medications or diet changes were helping. I only found minor relief from chewing gum. I had an endoscopy during that time and they saw minor irritation in my larynx but he said it almost wasn’t worth noting. A couple months after that I started to diet and lose weight and stopped having issues. I had one or two flare ups since then but nothing that lasted more than a few hours or a day. 
Im wondering how often I should be going back? I’m not having any pain but idk if that means I’m ok or not. Ever since I first started having issues two years ago I’d occasionally feel like I couldn’t swallow or would “forget” how for a few seconds. I feel like that might be more related to anxiety because the more I think about it the more it happens, but I’m wondering if it could be related to the reflux. 
Any advice is appreciated. Thanks!</t>
        </is>
      </c>
      <c r="D2974" t="n">
        <v>3</v>
      </c>
      <c r="E2974" t="n">
        <v>4</v>
      </c>
      <c r="F2974">
        <f>HYPERLINK("https://www.reddit.com/r/GERD/comments/dbkgo4/how_often_should_i_be_getting_an_endoscopy/")</f>
        <v/>
      </c>
      <c r="G2974" t="inlineStr">
        <is>
          <t>2019-09-30 16:41:31</t>
        </is>
      </c>
      <c r="H2974" t="inlineStr"/>
    </row>
    <row r="2975">
      <c r="A2975" t="inlineStr">
        <is>
          <t>dblm1d</t>
        </is>
      </c>
      <c r="B2975" t="inlineStr">
        <is>
          <t>I've only just discovered this sub exists and...</t>
        </is>
      </c>
      <c r="C2975" t="inlineStr">
        <is>
          <t>Holy crap, I feel so much less lonely now. I'm the only person I know with GERD - and it's been a rollercoaster ride.
I was in early high school when I was first diagnosed. I thought it would stop then, but it kept chasing after me. I'm 21 now. I've been hospitalized about 3 times because of it. Been in outpatient more times because of needing a quick pump from the doctors.
GERD is annoyingly tough to deal with. Missing a small meal or forgetting your stomach for a bit and I'm vomiting again and going back to omperazole intake. 
Through reading here, I just found the correlation between anxiety and GERD. I've been heavily anxious lately, and it's been causing intensive stomach issues. I haven't been able to keep food down lately. It sucks to be awake because of that vomiting feeling. 
I spent about a week of my holiday in bed because it decided to pop out. My love for coffee has been so unfulfilled lately.
I feel so bad to have underestimated my stomach's health when I was younger.</t>
        </is>
      </c>
      <c r="D2975" t="n">
        <v>26</v>
      </c>
      <c r="E2975" t="n">
        <v>5</v>
      </c>
      <c r="F2975">
        <f>HYPERLINK("https://www.reddit.com/r/GERD/comments/dblm1d/ive_only_just_discovered_this_sub_exists_and/")</f>
        <v/>
      </c>
      <c r="G2975" t="inlineStr">
        <is>
          <t>2019-09-30 18:08:22</t>
        </is>
      </c>
      <c r="H2975" t="inlineStr"/>
    </row>
    <row r="2976">
      <c r="A2976" t="inlineStr">
        <is>
          <t>dblwhe</t>
        </is>
      </c>
      <c r="B2976" t="inlineStr">
        <is>
          <t>When to have surgery</t>
        </is>
      </c>
      <c r="C2976" t="inlineStr">
        <is>
          <t>I’m 36/m 195 lbs and have had GERD and been on PPIs since I was 21.  Most of the years I was symptomless on the meds (and some times off them too) but age is catching up with me and I’ve recently had to change my medication from 20mg nexium to 40 mg pantoprazole, and even with this I have minor symptoms when I eat poorly.  I’ve tried lifestyle modifications (I have a mattress wedge, rarely drink coffee and alcohol, and am eternally trying with limited success to lose weight).
I’ve seen threads here where people have it much worse, I know this and realize I’m still fairly lucky.  With that being said, I have what counts for decent insurance these days, and ask my GI who I see 3x to 4x a year if I’m a candidate for surgery and he always says no.
So for those of you who have had it, were any of you in a situation similar to mine?  Or were you all in a much worse situation?  I see many comments of people that are happy they had it, so I’m just wondering if they are happy because of how bad it was before or if I should press my doctor harder.</t>
        </is>
      </c>
      <c r="D2976" t="n">
        <v>4</v>
      </c>
      <c r="E2976" t="n">
        <v>1</v>
      </c>
      <c r="F2976">
        <f>HYPERLINK("https://www.reddit.com/r/GERD/comments/dblwhe/when_to_have_surgery/")</f>
        <v/>
      </c>
      <c r="G2976" t="inlineStr">
        <is>
          <t>2019-09-30 18:30:52</t>
        </is>
      </c>
      <c r="H2976" t="inlineStr"/>
    </row>
    <row r="2977">
      <c r="A2977" t="inlineStr">
        <is>
          <t>dbmurg</t>
        </is>
      </c>
      <c r="B2977" t="inlineStr">
        <is>
          <t>pantoprazole vs omeprazole?</t>
        </is>
      </c>
      <c r="C2977" t="inlineStr">
        <is>
          <t>I take pantoprazole 40mg in the morning 30 min before breakfast. I still have acid reflux throughout the day even after taking an antacid 150mg mid day. Is it okay to take omeprazole to see if it helps or does it have an interaction with pantoprazole?</t>
        </is>
      </c>
      <c r="D2977" t="n">
        <v>3</v>
      </c>
      <c r="E2977" t="n">
        <v>14</v>
      </c>
      <c r="F2977">
        <f>HYPERLINK("https://www.reddit.com/r/GERD/comments/dbmurg/pantoprazole_vs_omeprazole/")</f>
        <v/>
      </c>
      <c r="G2977" t="inlineStr">
        <is>
          <t>2019-09-30 19:46:20</t>
        </is>
      </c>
      <c r="H2977" t="inlineStr"/>
    </row>
    <row r="2978">
      <c r="A2978" t="inlineStr">
        <is>
          <t>dbo4rp</t>
        </is>
      </c>
      <c r="B2978" t="inlineStr">
        <is>
          <t>I think my GERD might be linked to anxiety.</t>
        </is>
      </c>
      <c r="C2978" t="inlineStr">
        <is>
          <t>I'm getting annoyed with GERD and the number of ways it fucks/fucked me. I did an endoscopy recently in anticipation that it'll find the issue and save myself and found that nothing was wrong with me... 
I was 90% sure it was a hiatal hernia, it would explain why I act up when I eat a lot of carbs and my stomach is in more pain than it should be and I feel disoriented. I actually feel okay most of the time unless I eat sugary food or a lot of high carb/ acidic food. I know the whole healthy non carb diet like the back of my hand. 
My symptoms aren't really painful unless I go overboard with food. However, 90% of the time it's the annoying water in throat which is painless but constant enough to concern me. 
I'm beginning to realize that when I take an anti anxiety medication or a mood regulating/anti anxiety nootropic, most of my symptoms go away.
My entire family has a digestion/ reflux as well so I never really connected mine to anxiety, just a horrible stomach. I pray that by tackling anxiety, I can tackle gerd.</t>
        </is>
      </c>
      <c r="D2978" t="n">
        <v>7</v>
      </c>
      <c r="E2978" t="n">
        <v>13</v>
      </c>
      <c r="F2978">
        <f>HYPERLINK("https://www.reddit.com/r/GERD/comments/dbo4rp/i_think_my_gerd_might_be_linked_to_anxiety/")</f>
        <v/>
      </c>
      <c r="G2978" t="inlineStr">
        <is>
          <t>2019-09-30 21:35:11</t>
        </is>
      </c>
      <c r="H2978" t="inlineStr"/>
    </row>
    <row r="2979">
      <c r="A2979" t="inlineStr">
        <is>
          <t>dbqn86</t>
        </is>
      </c>
      <c r="B2979" t="inlineStr">
        <is>
          <t>GERD and diarrhea?</t>
        </is>
      </c>
      <c r="C2979" t="inlineStr">
        <is>
          <t>Hello. For the past week and a few days, I had an issues with my stomach. It all started a week ago on Friday, during the night, when I had a brutal stomach pain, diarrhea and nausea. No vomiting during that time, but I had few of those "I feel like vomiting but it's just this acid feeling in my mount". After about 5 days, diarrhea was gone, thou my "stuff" is  still a bit off, but seems like getting better. But those GERD symptoms, they just got worse. I threw up a few times, I have a sore throat. I already visited doctor, was prescribed esomeprazole 40mg 2 times a day and I also got hydrotalcite, which I'm taking as  needed. This is basically going from this Saturday, but nausea was there when the diarrhea started. Doctor also send me to gastroscropy and also stomach scan. Blood, stool and pee tests were all negative. Should I be worried? I really have no idea what might cause it, I don't think it's stress since I'm a pretty chill guy - But I have to admit, GERD is pretty stressful. I also never had issues like this, I had diarrhea there, some constipation there, but it was never so serious. I have a sedentary work, but I do work out, trying to do cardio at least once a week, eat healthy, don't smoke....</t>
        </is>
      </c>
      <c r="D2979" t="n">
        <v>2</v>
      </c>
      <c r="E2979" t="n">
        <v>7</v>
      </c>
      <c r="F2979">
        <f>HYPERLINK("https://www.reddit.com/r/GERD/comments/dbqn86/gerd_and_diarrhea/")</f>
        <v/>
      </c>
      <c r="G2979" t="inlineStr">
        <is>
          <t>2019-10-01 02:07:17</t>
        </is>
      </c>
      <c r="H2979" t="inlineStr"/>
    </row>
    <row r="2980">
      <c r="A2980" t="inlineStr">
        <is>
          <t>dbsamz</t>
        </is>
      </c>
      <c r="B2980" t="inlineStr">
        <is>
          <t>My doctor said he cant heal esophagitis and put me off meds ??</t>
        </is>
      </c>
      <c r="C2980" t="inlineStr">
        <is>
          <t>got diagnosed with gerd and a possibly misdiagnosed hiatal hernia last year from a really bad doctor after an endoscopy. ive been using nexium and not giving a fuck about the diet for a year and turns out i have esophagitis grade b on my endoscopy last week performed by another doctor . nothing else, turns out no hernia no ulcers no nothing. he said erosions on my esophagus was not that long or severe, around 5-7mm.
 i also had a 24 hr ph monitoring and turns out i have a demeester score of 22.6 which means inhave acid reflux. monitor also sees if reflux is due to bile or acid and turns out i only have acid reflux, dont have any non acidic reflux.
he said i dont need to use nexium anymore, just gaviscon advance when i have symptoms
im confused. as far as i know from all the people who has esophagitis, first goal must have been to heal it. should i see another doctor ? any opinions ?</t>
        </is>
      </c>
      <c r="D2980" t="n">
        <v>3</v>
      </c>
      <c r="E2980" t="n">
        <v>14</v>
      </c>
      <c r="F2980">
        <f>HYPERLINK("https://www.reddit.com/r/GERD/comments/dbsamz/my_doctor_said_he_cant_heal_esophagitis_and_put/")</f>
        <v/>
      </c>
      <c r="G2980" t="inlineStr">
        <is>
          <t>2019-10-01 04:57:02</t>
        </is>
      </c>
      <c r="H2980" t="inlineStr"/>
    </row>
    <row r="2981">
      <c r="A2981" t="inlineStr">
        <is>
          <t>dbslra</t>
        </is>
      </c>
      <c r="B2981" t="inlineStr">
        <is>
          <t>Doctor said I’m not likely to have Barrett’s if it didn’t show up on my first endoscopy? Those of you with Barrett’s - did it ever show up later in your GERD journey?</t>
        </is>
      </c>
      <c r="C2981" t="inlineStr">
        <is>
          <t>Question about probability of Barrett’s (afraid to ask...)
So. I recently switched health insurance and have a new gastro. I have had an absurdly stressful year and, as expected, my reflux, which until now I had been controlling through lifestyle changes, has flared up pretty bad. So I figured I would go see him.
My previous doctors wanted to do an endoscopy on me yearly for checkups. This guy basically said that if Barrett’s hadn’t shown up on my first endoscopy, in his experience it was very unlikely (not impossible, but very unlikely) that I would develop it later. And since I had had multiple endoscopies showing no Barrett’s, it wasn’t likely that I have it now. 
This helped me let go of some anxiety, so I have been afraid to ask here, but need to know...has that been anyone else’s experience? Those of you who have Barrett’s: did you get diagnosed with it on your first endoscopy? 
He also basically said that, no matter what they find on endoscopies, the suggested therapies are usually all the same and if my lifestyle changes had been working, keep up with them. And maybe be more strict with them to try to heal this flare up.
Eh? Thoughts?</t>
        </is>
      </c>
      <c r="D2981" t="n">
        <v>1</v>
      </c>
      <c r="E2981" t="n">
        <v>1</v>
      </c>
      <c r="F2981">
        <f>HYPERLINK("https://www.reddit.com/r/GERD/comments/dbslra/doctor_said_im_not_likely_to_have_barretts_if_it/")</f>
        <v/>
      </c>
      <c r="G2981" t="inlineStr">
        <is>
          <t>2019-10-01 05:24:06</t>
        </is>
      </c>
      <c r="H2981" t="inlineStr"/>
    </row>
    <row r="2982">
      <c r="A2982" t="inlineStr">
        <is>
          <t>dbt7fb</t>
        </is>
      </c>
      <c r="B2982" t="inlineStr">
        <is>
          <t>Question regarding omeprazole 20mg</t>
        </is>
      </c>
      <c r="C2982" t="inlineStr">
        <is>
          <t>Is it 20mg per capsule? So if i take 2 a day means i'm doing the 40mg course?</t>
        </is>
      </c>
      <c r="D2982" t="n">
        <v>3</v>
      </c>
      <c r="E2982" t="n">
        <v>1</v>
      </c>
      <c r="F2982">
        <f>HYPERLINK("https://www.reddit.com/r/GERD/comments/dbt7fb/question_regarding_omeprazole_20mg/")</f>
        <v/>
      </c>
      <c r="G2982" t="inlineStr">
        <is>
          <t>2019-10-01 06:13:27</t>
        </is>
      </c>
      <c r="H2982" t="inlineStr"/>
    </row>
    <row r="2983">
      <c r="A2983" t="inlineStr">
        <is>
          <t>dbte5q</t>
        </is>
      </c>
      <c r="B2983" t="inlineStr">
        <is>
          <t>Why Is it So Hard To Find Real People's TIF Experiences?</t>
        </is>
      </c>
      <c r="C2983" t="inlineStr">
        <is>
          <t>I underwent a transoral incisionless fundoplication (TIF) on September 19th in the hopes that I could stop taking my PPI. On my PPI I wasn't having any heartburn pain, but I was regurgitating multiple times a day. Every burp had a chance of a little bit of vomit. If I don't take a PPI, I have heartburn, no matter what I eat. I could eat white bread and drink a glass of milk and get heartburn. It's also worse when I workout, which is a huge part of my life. I was diagnosed with a hiatal hernia, which is the most likely culprit. I asked for about a year if it could be repaired, but the answer was "We don't really repair those."
I've been on a PPI for my heartburn since I was 23. I'm 29 now and I don't want to have to keep taking these meds for the rest of my life, especially if there's a link between PPI's and potential loss of bone density (and thus increased risk of fracture). I'm a woman so I don't need bone density troubles. Other medications do virtually nothing to help my heartburn. I've had esophagitis and gastritis in the past. Diet and lifestyle changes don't help. I was not overweight when diagnosed with the hernia. I gained weight a few years ago... I was overweight for a little while, now I'm not. I know I probably don't need to convince you guys that my GERD isn't my fault, but people always treat me like I have heartburn because of something I'm doing "wrong."
So... every time I saw my GI doc I would ask him about other options to manage my hernia and GERD. A few months ago he did another EGD and determined I was a candidate for TIF. I was ecstatic. I did a lot of Googling so I knew what to expect. What the procedure is, the recovery process. I had my procedure and... It has not been going well.
According to my doctor and instructions, it's normal to have "some discomfort" for "3-7" days. I've had really intense, intermittent pain ever since. It's been over a week and my pain has not changed. I have called my doctor and even bullied him into seeing me last week. He doesn't seem concerned. So I went to the internet to see about other people's experiences to alleviate my anxiety.
I can't find jack shit. Just cheesy testimonial type things sponsored by doctors, the developer of the device and TIF procedure, and other unhelpful stuff. I found ONE guy on YouTube that I had to dig for days to find who talked about how he had a little discomfort for a few days but otherwise felt fine. It's like the notion that someone could have a lot of pain for longer than expected is UNHEARD OF. IMPOSSIBLE! Recovery is quick and easy!
Has anyone in the world had this procedure that I can talk to? I'm so stressed out that something went amiss. Did I pop a fastener? I dug up a few research papers, and I found that the only people who've popped fasteners and messed up their recovery were people who vomitted violently, lifted heavy stuff before they were supposed to, or people who didn't follow the diet. I haven't done any of those things but I'm still having so much pain. They won't do another EGD to check for proper healing until 4 weeks post-op. If they find something wrong I'll be stuck on this diet for even longer. I've lost a lot of weight really fast on a liquid diet and it's miserable not being able to eat real food. I'm constantly hungry, tired, and I'm tired of waking up in pain. I just want to know what is causing this pain, and if it's going to get better.
I feel stupid like I've made a mistake having this procedure done. I got it so I could NOT have pain. So I could eat like a normal person and live a normal life. I just want to know like... what is happening to me. I wish my doctor would listen to me and do the EGD sooner... I'm sorry for rambling. I'm very stressed and anxious and HANGRY.</t>
        </is>
      </c>
      <c r="D2983" t="n">
        <v>4</v>
      </c>
      <c r="E2983" t="n">
        <v>31</v>
      </c>
      <c r="F2983">
        <f>HYPERLINK("https://www.reddit.com/r/GERD/comments/dbte5q/why_is_it_so_hard_to_find_real_peoples_tif/")</f>
        <v/>
      </c>
      <c r="G2983" t="inlineStr">
        <is>
          <t>2019-10-01 06:28:09</t>
        </is>
      </c>
      <c r="H2983" t="inlineStr"/>
    </row>
    <row r="2984">
      <c r="A2984" t="inlineStr">
        <is>
          <t>dbuqqh</t>
        </is>
      </c>
      <c r="B2984" t="inlineStr">
        <is>
          <t>I always obsess about the big C because of my life-long symptoms</t>
        </is>
      </c>
      <c r="C2984" t="inlineStr">
        <is>
          <t>I'm 29 male who's had on and off tummy issues since I was a child. I remember when I was younger I could burp the alphabet.
When I turned 22, I started having throat clearing issues that would worsen after eating or drinking even water. I ignored this for more than 6 years because it never was really a nuisance because it would go away after eating. 
Whenever I overeat, eat fast, or feel anxious, my tummy would feel bloated and I burp a lot (just like right now). 
I never had heart burn or anything. Just throat clearing, occasional belching and fullness if I don't eat properly at times. 
Two weeks ago, my ENT doctor did a nasal endoscopy and confirmed I have LPR. My throat area is reddish and irritated due to reflux.
He put me on omperazole once a day 20 mg for a month and said I could be on it for 6 months or so depending on how I respond to my first month. I'm trying my best to alter my diet.
I have terrible health anxiety and now I think that all those childhood tummy issues and all the way up to now are signs that I have some sort of digestive big C. Or at least I am doomed to get it in the next few years. 
I've always thought that I had a gassy tummy, thus all those occasional excessive belching and fullness. Now I realize it might be something that will lead to you-know-what.
Please help me put my mind at ease during this terrible night. :(</t>
        </is>
      </c>
      <c r="D2984" t="n">
        <v>6</v>
      </c>
      <c r="E2984" t="n">
        <v>17</v>
      </c>
      <c r="F2984">
        <f>HYPERLINK("https://www.reddit.com/r/GERD/comments/dbuqqh/i_always_obsess_about_the_big_c_because_of_my/")</f>
        <v/>
      </c>
      <c r="G2984" t="inlineStr">
        <is>
          <t>2019-10-01 08:09:26</t>
        </is>
      </c>
      <c r="H2984" t="inlineStr"/>
    </row>
    <row r="2985">
      <c r="A2985" t="inlineStr">
        <is>
          <t>dbvse4</t>
        </is>
      </c>
      <c r="B2985" t="inlineStr">
        <is>
          <t>Walgreens, CVS suspend sales of Zantac brand due to contaminant fears</t>
        </is>
      </c>
      <c r="C2985" t="inlineStr">
        <is>
          <t>https://www.nbcnews.com/health/health-news/cvs-suspends-sales-zantac-brand-due-contaminant-fears-n1060256</t>
        </is>
      </c>
      <c r="D2985" t="n">
        <v>5</v>
      </c>
      <c r="E2985" t="n">
        <v>3</v>
      </c>
      <c r="F2985">
        <f>HYPERLINK("https://www.reddit.com/r/GERD/comments/dbvse4/walgreens_cvs_suspend_sales_of_zantac_brand_due/")</f>
        <v/>
      </c>
      <c r="G2985" t="inlineStr">
        <is>
          <t>2019-10-01 09:22:47</t>
        </is>
      </c>
      <c r="H2985" t="inlineStr"/>
    </row>
    <row r="2986">
      <c r="A2986" t="inlineStr">
        <is>
          <t>dbwdkp</t>
        </is>
      </c>
      <c r="B2986" t="inlineStr">
        <is>
          <t>Could someone explain late machiato effect?</t>
        </is>
      </c>
      <c r="C2986" t="inlineStr">
        <is>
          <t>Following is happening with me:
Espresso, a little bit of a problem
Hot milk, like vanilla milk, no problem.
Latte machiato : Holly shit! It is terrible! Barching, running nose. All you can think of (except hurting belly)
But... Why though? What's going on?</t>
        </is>
      </c>
      <c r="D2986" t="n">
        <v>2</v>
      </c>
      <c r="E2986" t="n">
        <v>4</v>
      </c>
      <c r="F2986">
        <f>HYPERLINK("https://www.reddit.com/r/GERD/comments/dbwdkp/could_someone_explain_late_machiato_effect/")</f>
        <v/>
      </c>
      <c r="G2986" t="inlineStr">
        <is>
          <t>2019-10-01 10:04:23</t>
        </is>
      </c>
      <c r="H2986" t="inlineStr"/>
    </row>
    <row r="2987">
      <c r="A2987" t="inlineStr">
        <is>
          <t>dbx7l4</t>
        </is>
      </c>
      <c r="B2987" t="inlineStr">
        <is>
          <t>A quick rant about slow diagnostics</t>
        </is>
      </c>
      <c r="C2987" t="inlineStr">
        <is>
          <t>I am really trying to not obsess over my symptoms, but some days it is very hard. And with each new finding, I get more anxious. Now I got a CT scan of my stomach and the radiology language is super disturbing (e.g. "indeterminate lesions on pelvis... cannot rule out {insert rare cancer}... possible liver damage... bla bla bla."
For five months now, I've been going through diagnostics (slowly) and so far, the only official diagnoses I have are hiatal hernia and ineffective esophageal motility. However, I still haven't gotten a pH test for GERD or a biopsy for h Pylori, or a lower endoscopy (got an upper, but my lower gut is all messed up now, too -- probably from the stupid PPIs).
I wish they would just do all the tests \*\*at one time\*\* to tell you if it's GERD, or LPR, or SIBO, or an ulcer, or whatever. But nope. Instead, they take their sweet time, throw PPIs at you, which create even more wacky symptoms, and just expect you to relax and be patient and keep popping pills.
I should be thankful for what I have, but I'm losing my patience. If I do have something terribly wrong, I will be dead by the time they figure it out. Time for some yoga, I guess :)</t>
        </is>
      </c>
      <c r="D2987" t="n">
        <v>1</v>
      </c>
      <c r="E2987" t="n">
        <v>0</v>
      </c>
      <c r="F2987">
        <f>HYPERLINK("https://www.reddit.com/r/GERD/comments/dbx7l4/a_quick_rant_about_slow_diagnostics/")</f>
        <v/>
      </c>
      <c r="G2987" t="inlineStr">
        <is>
          <t>2019-10-01 11:10:42</t>
        </is>
      </c>
      <c r="H2987" t="inlineStr"/>
    </row>
    <row r="2988">
      <c r="A2988" t="inlineStr">
        <is>
          <t>dbxvaq</t>
        </is>
      </c>
      <c r="B2988" t="inlineStr">
        <is>
          <t>Weird ticklish feeling in throat and chest making me cough.</t>
        </is>
      </c>
      <c r="C2988" t="inlineStr">
        <is>
          <t>About a week ago I started feeling this weird ticklish feeling in my throat/chest that also kind of feels like palpitations so I thought it was anxiety, but it hasn't gone away. I have LPR so I use gaviscon advance tablets instead of PPI, but I started noticing that when I chew a tablet of gaviscon I start getting this weird feeling like a minute later. Has anyone experienced this? It's making me worry if I have developed an allergy or asthma.</t>
        </is>
      </c>
      <c r="D2988" t="n">
        <v>3</v>
      </c>
      <c r="E2988" t="n">
        <v>2</v>
      </c>
      <c r="F2988">
        <f>HYPERLINK("https://www.reddit.com/r/GERD/comments/dbxvaq/weird_ticklish_feeling_in_throat_and_chest_making/")</f>
        <v/>
      </c>
      <c r="G2988" t="inlineStr">
        <is>
          <t>2019-10-01 11:51:42</t>
        </is>
      </c>
      <c r="H2988" t="inlineStr"/>
    </row>
    <row r="2989">
      <c r="A2989" t="inlineStr">
        <is>
          <t>dbybtl</t>
        </is>
      </c>
      <c r="B2989" t="inlineStr">
        <is>
          <t>Had GERD symptoms all week, what can I eat/drink that's least likely to trigger?</t>
        </is>
      </c>
      <c r="C2989" t="inlineStr">
        <is>
          <t>Hi everyone, just stumbled on this thread after googling symtpoms that appear to be GERD related. Since last week having difficulty swallowing, having to constantly swallow, horrible taste in motuh like bile, feel dreadful. Now I'm starting to get stinging pains in my stomach and heartburn. I'm going the doctors tomorrow to try and get to the bottom of things but after reading about I'm exepcting to be diagnosed with this horrendous thing. I'm already quite consious of what I eat and eat mostly healthy with the odd treat. I'm reconciling myself to the idea of eliminating a load of stuff like dairy, spices, bread and whatnot, but I'm seeing a lot of contradictary diet advice online. Long story short, does anybody know what is most likely to be definitely safe to eat and drink? It might take a while to get to the bottom of my symptoms, and I'm gonna ask the doc to refer me to the relevant specialist for an endoscopy, in the meantime rather than piecemeal go through my diet eliminating things does anybody know a failsafe diet I can switch to in the meantime? I'd be happy living on porridge and water if it stops me feeling this dreadful. Are oats ok or a trigger? Would tea be safe with soy milk? Is sugar a definite no-no? Any advice would be greatly appreciated.</t>
        </is>
      </c>
      <c r="D2989" t="n">
        <v>4</v>
      </c>
      <c r="E2989" t="n">
        <v>1</v>
      </c>
      <c r="F2989">
        <f>HYPERLINK("https://www.reddit.com/r/GERD/comments/dbybtl/had_gerd_symptoms_all_week_what_can_i_eatdrink/")</f>
        <v/>
      </c>
      <c r="G2989" t="inlineStr">
        <is>
          <t>2019-10-01 12:23:00</t>
        </is>
      </c>
      <c r="H2989" t="inlineStr"/>
    </row>
    <row r="2990">
      <c r="A2990" t="inlineStr">
        <is>
          <t>dbzq2x</t>
        </is>
      </c>
      <c r="B2990" t="inlineStr">
        <is>
          <t>What is the best first step in treating GERD?</t>
        </is>
      </c>
      <c r="C2990" t="inlineStr">
        <is>
          <t>I'm really just trying to see the best first step in treating GERD. I was prescribed Omeprazole but it doesn't seem to be working well after tell weeks.  If possible, I would strongly prefer not to take meds anyway. These meds have made it worse.
Some of the common ones I know are weight loss and reducing anxiety (both of which I could use)
This came on pretty suddenly and I never really experience symptoms before (not sure if this helps)
Just mainly looking for the first things I should cut out of my diet or do to try to reverse this. I would really appreciate some good advice.</t>
        </is>
      </c>
      <c r="D2990" t="n">
        <v>9</v>
      </c>
      <c r="E2990" t="n">
        <v>17</v>
      </c>
      <c r="F2990">
        <f>HYPERLINK("https://www.reddit.com/r/GERD/comments/dbzq2x/what_is_the_best_first_step_in_treating_gerd/")</f>
        <v/>
      </c>
      <c r="G2990" t="inlineStr">
        <is>
          <t>2019-10-01 13:58:58</t>
        </is>
      </c>
      <c r="H2990" t="inlineStr"/>
    </row>
    <row r="2991">
      <c r="A2991" t="inlineStr">
        <is>
          <t>dc0nev</t>
        </is>
      </c>
      <c r="B2991" t="inlineStr">
        <is>
          <t>GERD and Mirena IUD?</t>
        </is>
      </c>
      <c r="C2991" t="inlineStr">
        <is>
          <t>Hello all. Has anyone has experience heartburn/acid reflux after getting their IUD. I had mine for about a year when I began having heartburn related issues and pretty severe mood swings/panic attacks without any real change lifestyle-wise. Balanced diet/exercise regularly/etc. 
I have read a many stories of women who have said they also developed Heartburn related side effects from Mirena so i am wondering if there is anyone here that had a similar and for those who have, did removing the IUD help?</t>
        </is>
      </c>
      <c r="D2991" t="n">
        <v>2</v>
      </c>
      <c r="E2991" t="n">
        <v>6</v>
      </c>
      <c r="F2991">
        <f>HYPERLINK("https://www.reddit.com/r/GERD/comments/dc0nev/gerd_and_mirena_iud/")</f>
        <v/>
      </c>
      <c r="G2991" t="inlineStr">
        <is>
          <t>2019-10-01 15:02:16</t>
        </is>
      </c>
      <c r="H2991" t="inlineStr"/>
    </row>
    <row r="2992">
      <c r="A2992" t="inlineStr">
        <is>
          <t>dc1sg3</t>
        </is>
      </c>
      <c r="B2992" t="inlineStr">
        <is>
          <t>Rib/lung/diaphragm aches with GERD?</t>
        </is>
      </c>
      <c r="C2992" t="inlineStr">
        <is>
          <t>My GERD symptoms are pretty consistent right now and never go away fully, though I think they do get worse after eating certain things. Symptoms are burning chest, rawness/burning throat feeling, cough, post nasal drip, general feeling like shit.
One additional symptom that is wierd is my lungs/ribs/diaphragm fee like they ache. It’s in the lower rib cages just to the left and right of the sternum. Not sure if this is GERD or a side affect of Pantoproazole. Curious if anyone has experienced this symptom.</t>
        </is>
      </c>
      <c r="D2992" t="n">
        <v>3</v>
      </c>
      <c r="E2992" t="n">
        <v>14</v>
      </c>
      <c r="F2992">
        <f>HYPERLINK("https://www.reddit.com/r/GERD/comments/dc1sg3/riblungdiaphragm_aches_with_gerd/")</f>
        <v/>
      </c>
      <c r="G2992" t="inlineStr">
        <is>
          <t>2019-10-01 16:25:11</t>
        </is>
      </c>
      <c r="H2992" t="inlineStr"/>
    </row>
    <row r="2993">
      <c r="A2993" t="inlineStr">
        <is>
          <t>dc784u</t>
        </is>
      </c>
      <c r="B2993" t="inlineStr">
        <is>
          <t>GERD symptoms with severe weight loss / inability to gain weight?</t>
        </is>
      </c>
      <c r="C2993" t="inlineStr">
        <is>
          <t>I am having GERD symptoms for a couple of months now in combination with severe weight loss and I am having trouble to gain weight, even though I am eating quit a lot to attempt to gain weight.
I wasn't overweight when symptoms started, so my weight is very low at the moment.
I am still being tested, already had an endoscopy, ECG, a couple of ultrasounds and a CT scan. So far they haven't found much except for mild gastritis and with urinalysis they found streptococcus agalactiae bacteria which I have been treated for with antibiotics recently.
My GERD symptoms mostly consist of reflux and heartburn, I am on 20mg omeprazole which seems to help. Also sleeping on a wedge pillow and changes to my diet helps a lot. I experience heartburn mostly as if someone is sitting on my chest (I find it difficult to describe as I am not a native English speaker).
I thought it could also be SIBO (it's on my doctor's list for things to check), but I don't have a lot of symptoms in common with that (no vomiting, healthy stool, no abdominal pain).
Anything else I could suggest to my doctor to consider as possibilities?</t>
        </is>
      </c>
      <c r="D2993" t="n">
        <v>3</v>
      </c>
      <c r="E2993" t="n">
        <v>13</v>
      </c>
      <c r="F2993">
        <f>HYPERLINK("https://www.reddit.com/r/GERD/comments/dc784u/gerd_symptoms_with_severe_weight_loss_inability/")</f>
        <v/>
      </c>
      <c r="G2993" t="inlineStr">
        <is>
          <t>2019-10-02 01:09:10</t>
        </is>
      </c>
      <c r="H2993" t="inlineStr"/>
    </row>
    <row r="2994">
      <c r="A2994" t="inlineStr">
        <is>
          <t>dc9u7r</t>
        </is>
      </c>
      <c r="B2994" t="inlineStr">
        <is>
          <t>Silent Reflux</t>
        </is>
      </c>
      <c r="C2994" t="inlineStr">
        <is>
          <t>Any sufferers of Silent Reflux out there? Im new to the game started getting symptoms a month or so ago. The doctor suspects it's reflux but I guess the symptoms im having are giving me anxiety because they aren't the "typical" reflux symptoms I've always heard of. So I guess im freaked out it makes me feel like their something deeper going on.
Are my symptoms normal? Pressure in chest (like something is stuck there. No pain just pressure) and feel like something is stuck in throat. Constantly having to clear my throat and itchy/hoarseness along with mucus and always feeling full and not wanting to eat.
Also, another thing making me wonder if it's actually reflux is it literally doesn't matter what i eat. I've done very bland diets and cut out alcohol and nothing. It's just strange. But I do notice that when i eat it does make my throat and chest feel better for about 30min but then it gets worse after that.
Is this silent reflux? Any tips?</t>
        </is>
      </c>
      <c r="D2994" t="n">
        <v>3</v>
      </c>
      <c r="E2994" t="n">
        <v>12</v>
      </c>
      <c r="F2994">
        <f>HYPERLINK("https://www.reddit.com/r/GERD/comments/dc9u7r/silent_reflux/")</f>
        <v/>
      </c>
      <c r="G2994" t="inlineStr">
        <is>
          <t>2019-10-02 05:57:52</t>
        </is>
      </c>
      <c r="H2994" t="inlineStr"/>
    </row>
    <row r="2995">
      <c r="A2995" t="inlineStr">
        <is>
          <t>dcb7wg</t>
        </is>
      </c>
      <c r="B2995" t="inlineStr">
        <is>
          <t>8 hours of constant saliva, swallowing and burping fits. Severely uncomfortable.</t>
        </is>
      </c>
      <c r="C2995" t="inlineStr">
        <is>
          <t>Hello, this is the fourth or fifth time this has happened to me (29/M) but is extremely severe. Wondering if anyone has had the same. 
Happens at night (following dinner)
First have the feeling of constantly needing to swallow to reduce air build up or belch.
If swallowing, pressure becomes so great that rapid belching occurs.
This is followed by large amounts of (heavily weighted) saliva that starts flowing up into my mouth and just sits there until I swallow (which makes the cycle repeat).
It is impossible to sleep because as soon as I swallow I get back into a fit of belching. These cycles repeated itself for anywhere in the 8-12 hour range in my last 5 episodes. This happened last night, its started at 7pm (I recognized it right away) and told my wife it was going to be a long night. Sure enough constant air, belching and saliva spitting until 3:30am with dry heaving sounds to relieve the pressure of trapped air. Drifted off to sleep a few times before that and was awoken by an astounding amount of air build-up/saliva in my throat and then.. well you guessed it.. spit or swallow. 
This is extremely bizarre to me and have been unable to locate anything even similar online to this. Any input is welcomed.
Thanks,</t>
        </is>
      </c>
      <c r="D2995" t="n">
        <v>8</v>
      </c>
      <c r="E2995" t="n">
        <v>11</v>
      </c>
      <c r="F2995">
        <f>HYPERLINK("https://www.reddit.com/r/GERD/comments/dcb7wg/8_hours_of_constant_saliva_swallowing_and_burping/")</f>
        <v/>
      </c>
      <c r="G2995" t="inlineStr">
        <is>
          <t>2019-10-02 07:48:21</t>
        </is>
      </c>
      <c r="H2995" t="inlineStr"/>
    </row>
    <row r="2996">
      <c r="A2996" t="inlineStr">
        <is>
          <t>dcd2jn</t>
        </is>
      </c>
      <c r="B2996" t="inlineStr">
        <is>
          <t>How to sleep with Wedge pillow?</t>
        </is>
      </c>
      <c r="C2996" t="inlineStr">
        <is>
          <t>I bought one today. I tried to sleep on it and my back hurt that I feel like throwing up. How do you even sleep with it?</t>
        </is>
      </c>
      <c r="D2996" t="n">
        <v>2</v>
      </c>
      <c r="E2996" t="n">
        <v>4</v>
      </c>
      <c r="F2996">
        <f>HYPERLINK("https://www.reddit.com/r/GERD/comments/dcd2jn/how_to_sleep_with_wedge_pillow/")</f>
        <v/>
      </c>
      <c r="G2996" t="inlineStr">
        <is>
          <t>2019-10-02 10:02:42</t>
        </is>
      </c>
      <c r="H2996" t="inlineStr"/>
    </row>
    <row r="2997">
      <c r="A2997" t="inlineStr">
        <is>
          <t>dcdh6c</t>
        </is>
      </c>
      <c r="B2997" t="inlineStr">
        <is>
          <t>Not hungry?</t>
        </is>
      </c>
      <c r="C2997" t="inlineStr">
        <is>
          <t>I have had reflux for a couple of years. I am in kind of a bad period right now, and for a couple of weeks I have been struggling to eat.
I almost never feel hungry anymore, I can eat a good breakfast, but then it stops. I am struggling to eat lunch, and when it comes to dinner I almost cant get any food down.
It feels like my stomach is full of food, although I get random whifs of hunger, which goes away the instant I have food in front of me, lol.. 
I do take medicine (ppi (?)), but I have been taking them every day for two years. The only change is that I recently started taking them at night, my doctor reccomended it, because acid is mostly produced during the night. I have been taking them in the morning again for like 5 days now, because I thought that might have been the problem, but its still like this..
Does anyone have experience with this? Any tips, please?</t>
        </is>
      </c>
      <c r="D2997" t="n">
        <v>2</v>
      </c>
      <c r="E2997" t="n">
        <v>3</v>
      </c>
      <c r="F2997">
        <f>HYPERLINK("https://www.reddit.com/r/GERD/comments/dcdh6c/not_hungry/")</f>
        <v/>
      </c>
      <c r="G2997" t="inlineStr">
        <is>
          <t>2019-10-02 10:32:05</t>
        </is>
      </c>
      <c r="H2997" t="inlineStr"/>
    </row>
    <row r="2998">
      <c r="A2998" t="inlineStr">
        <is>
          <t>dchler</t>
        </is>
      </c>
      <c r="B2998" t="inlineStr">
        <is>
          <t>Wheezing</t>
        </is>
      </c>
      <c r="C2998" t="inlineStr">
        <is>
          <t>Does GERD cause wheezing. 21 and I noticed that when I exhale I can hear a small wheezing.</t>
        </is>
      </c>
      <c r="D2998" t="n">
        <v>2</v>
      </c>
      <c r="E2998" t="n">
        <v>6</v>
      </c>
      <c r="F2998">
        <f>HYPERLINK("https://www.reddit.com/r/GERD/comments/dchler/wheezing/")</f>
        <v/>
      </c>
      <c r="G2998" t="inlineStr">
        <is>
          <t>2019-10-02 15:20:01</t>
        </is>
      </c>
      <c r="H2998" t="inlineStr"/>
    </row>
    <row r="2999">
      <c r="A2999" t="inlineStr">
        <is>
          <t>dcihuq</t>
        </is>
      </c>
      <c r="B2999" t="inlineStr">
        <is>
          <t>Omeprazole worries</t>
        </is>
      </c>
      <c r="C2999" t="inlineStr">
        <is>
          <t>I've been taking omeprazole for around 10 months now, and have just recently read numerous articles online talking about long-term dangers. I'll probably try to ease my way off of them in the next few months, but should I be concerned?</t>
        </is>
      </c>
      <c r="D2999" t="n">
        <v>5</v>
      </c>
      <c r="E2999" t="n">
        <v>7</v>
      </c>
      <c r="F2999">
        <f>HYPERLINK("https://www.reddit.com/r/GERD/comments/dcihuq/omeprazole_worries/")</f>
        <v/>
      </c>
      <c r="G2999" t="inlineStr">
        <is>
          <t>2019-10-02 16:26:51</t>
        </is>
      </c>
      <c r="H2999" t="inlineStr"/>
    </row>
    <row r="3000">
      <c r="A3000" t="inlineStr">
        <is>
          <t>dcjkot</t>
        </is>
      </c>
      <c r="B3000" t="inlineStr">
        <is>
          <t>What is the difference between Gaviscon Advance liquid and pill form?</t>
        </is>
      </c>
      <c r="C3000" t="inlineStr">
        <is>
          <t>I've noticed on here that most recommendations are the liquid formula but the pill form is extremely cheaper on amazon. What's the difference between the two (besides the obvious)</t>
        </is>
      </c>
      <c r="D3000" t="n">
        <v>6</v>
      </c>
      <c r="E3000" t="n">
        <v>10</v>
      </c>
      <c r="F3000">
        <f>HYPERLINK("https://www.reddit.com/r/GERD/comments/dcjkot/what_is_the_difference_between_gaviscon_advance/")</f>
        <v/>
      </c>
      <c r="G3000" t="inlineStr">
        <is>
          <t>2019-10-02 17:53:02</t>
        </is>
      </c>
      <c r="H3000" t="inlineStr"/>
    </row>
    <row r="3001">
      <c r="A3001" t="inlineStr">
        <is>
          <t>dck00k</t>
        </is>
      </c>
      <c r="B3001" t="inlineStr">
        <is>
          <t>Non-food triggers?</t>
        </is>
      </c>
      <c r="C3001" t="inlineStr">
        <is>
          <t>Hi, wondering if anyone out there has a large portion of their symptoms from non-food triggers? Personally, the traditional bad guys are offenders for me (fatty foods) but I find the majority of my symptoms come from any type of physical activity that involves the chest or throat. 
&amp;amp;#x200B;
For example, deep breathing, which a lot of people recommend you do for gerd, is impossible for me because I get unbelievably bad chest/throat pain for like a week straight after 10-15 minutes of doing it. 
&amp;amp;#x200B;
Most recently, I went to a concert a think I did a bit too much jumping and screaming, and my entire chest feels destroyed now. 
&amp;amp;#x200B;
I \*do\* think at least part of this is GERD - I do feels worse after eating/drinking certain things. BUT - I have always thought that my symptoms initially started after doing a breathing exercise for an unrelated medical condition. I believe I did the exercise incorrectly (this was a year ago). Can \_anyone\_ relate to this? Is it a hernia?</t>
        </is>
      </c>
      <c r="D3001" t="n">
        <v>1</v>
      </c>
      <c r="E3001" t="n">
        <v>3</v>
      </c>
      <c r="F3001">
        <f>HYPERLINK("https://www.reddit.com/r/GERD/comments/dck00k/nonfood_triggers/")</f>
        <v/>
      </c>
      <c r="G3001" t="inlineStr">
        <is>
          <t>2019-10-02 18:28:42</t>
        </is>
      </c>
      <c r="H3001" t="inlineStr"/>
    </row>
    <row r="3002">
      <c r="A3002" t="inlineStr">
        <is>
          <t>dckkza</t>
        </is>
      </c>
      <c r="B3002" t="inlineStr">
        <is>
          <t>Why does the acid reflux feel cold?</t>
        </is>
      </c>
      <c r="C3002" t="inlineStr">
        <is>
          <t>I have a very strong cold sensation in my esophagus which I understand to be quite common. What makes the acid burning feel cold?</t>
        </is>
      </c>
      <c r="D3002" t="n">
        <v>7</v>
      </c>
      <c r="E3002" t="n">
        <v>8</v>
      </c>
      <c r="F3002">
        <f>HYPERLINK("https://www.reddit.com/r/GERD/comments/dckkza/why_does_the_acid_reflux_feel_cold/")</f>
        <v/>
      </c>
      <c r="G3002" t="inlineStr">
        <is>
          <t>2019-10-02 19:18:21</t>
        </is>
      </c>
      <c r="H3002" t="inlineStr"/>
    </row>
    <row r="3003">
      <c r="A3003" t="inlineStr">
        <is>
          <t>dcloz6</t>
        </is>
      </c>
      <c r="B3003" t="inlineStr">
        <is>
          <t>Coffee Is a No Go. Huge Trigger. What Do You Do For Energy?</t>
        </is>
      </c>
      <c r="C3003" t="inlineStr">
        <is>
          <t>I know the basics... sleep, exercise, eat right, etc. But nothing I've done gives me that ZIP ZIP ZIP that coffee/caffeine does.
But, if I take caffeine, within a few days.... the gas and bloating and random chest pains (trapped gas) come back with a vengeance. Caffeine seems to weaken the LES for me... and up comes the acid and constant burps.
So... is there anything any of you take that DOESN'T weaken the LES yet still gives you a bit of a kick to get you going?</t>
        </is>
      </c>
      <c r="D3003" t="n">
        <v>9</v>
      </c>
      <c r="E3003" t="n">
        <v>33</v>
      </c>
      <c r="F3003">
        <f>HYPERLINK("https://www.reddit.com/r/GERD/comments/dcloz6/coffee_is_a_no_go_huge_trigger_what_do_you_do_for/")</f>
        <v/>
      </c>
      <c r="G3003" t="inlineStr">
        <is>
          <t>2019-10-02 21:01:21</t>
        </is>
      </c>
      <c r="H3003" t="inlineStr"/>
    </row>
    <row r="3004">
      <c r="A3004" t="inlineStr">
        <is>
          <t>dcluz5</t>
        </is>
      </c>
      <c r="B3004" t="inlineStr">
        <is>
          <t>Throat tickle after eating/drinking</t>
        </is>
      </c>
      <c r="C3004" t="inlineStr">
        <is>
          <t>Like right after swallowing I’ll get like a throat tickle and it’ll feel like I need to cough, but I’m not choking or anything, it’s just this sensation that I need to clear my throat or cough or whatever. It’s worrying me like crazy! My modified barium swallow a couple months ago was normal (except pill got stuck in lower esophagus) but this sensation is really bothering me. 
Does anyone else experience this? I’ve also been experiencing a hoarse voice at times coughing a lot in general. I definitely do have acid reflux as I can feel it come up sometimes all the way.</t>
        </is>
      </c>
      <c r="D3004" t="n">
        <v>2</v>
      </c>
      <c r="E3004" t="n">
        <v>1</v>
      </c>
      <c r="F3004">
        <f>HYPERLINK("https://www.reddit.com/r/GERD/comments/dcluz5/throat_tickle_after_eatingdrinking/")</f>
        <v/>
      </c>
      <c r="G3004" t="inlineStr">
        <is>
          <t>2019-10-02 21:17:53</t>
        </is>
      </c>
      <c r="H3004" t="inlineStr"/>
    </row>
    <row r="3005">
      <c r="A3005" t="inlineStr">
        <is>
          <t>dcm1jp</t>
        </is>
      </c>
      <c r="B3005" t="inlineStr">
        <is>
          <t>General trouble breathing?</t>
        </is>
      </c>
      <c r="C3005" t="inlineStr">
        <is>
          <t>Lately I’m just struggling to pull in a satisfying breath. It’s distracting and causes brief and mild to moderate panic attacks at times. Is this common with GERD or gastritis? 
I’m on a PPI now but I noticed this well before I was out on medication. It’s been going on for about two months. I thought it was just because of my bras but tbh I’ve been forgoing them hoping to improve the breathing front. 
To clarify, there’s no pain or sensation when breathing - it’s just like my airways have narrowed or something. Sometimes when lying on my back it feels like there’s a small weight in my chest. Hence why I kept blaming my boobs (DD).</t>
        </is>
      </c>
      <c r="D3005" t="n">
        <v>3</v>
      </c>
      <c r="E3005" t="n">
        <v>5</v>
      </c>
      <c r="F3005">
        <f>HYPERLINK("https://www.reddit.com/r/GERD/comments/dcm1jp/general_trouble_breathing/")</f>
        <v/>
      </c>
      <c r="G3005" t="inlineStr">
        <is>
          <t>2019-10-02 21:36:34</t>
        </is>
      </c>
      <c r="H3005" t="inlineStr"/>
    </row>
    <row r="3006">
      <c r="A3006" t="inlineStr">
        <is>
          <t>dcm4bo</t>
        </is>
      </c>
      <c r="B3006" t="inlineStr">
        <is>
          <t>How to do you not overeat? Any tips?</t>
        </is>
      </c>
      <c r="C3006" t="inlineStr">
        <is>
          <t>And if you do overeat, what do you do?</t>
        </is>
      </c>
      <c r="D3006" t="n">
        <v>0</v>
      </c>
      <c r="E3006" t="n">
        <v>7</v>
      </c>
      <c r="F3006">
        <f>HYPERLINK("https://www.reddit.com/r/GERD/comments/dcm4bo/how_to_do_you_not_overeat_any_tips/")</f>
        <v/>
      </c>
      <c r="G3006" t="inlineStr">
        <is>
          <t>2019-10-02 21:44:47</t>
        </is>
      </c>
      <c r="H3006" t="inlineStr"/>
    </row>
    <row r="3007">
      <c r="A3007" t="inlineStr">
        <is>
          <t>dcmoy0</t>
        </is>
      </c>
      <c r="B3007" t="inlineStr">
        <is>
          <t>Is this GERD or what is it?</t>
        </is>
      </c>
      <c r="C3007" t="inlineStr">
        <is>
          <t>Hi. I have had my share of digestive issues in the past. But now Im a bit worried. For the past week or so I have had a ball like feeling in my throat.  I was thinking acid reflux but hat usually never lasted that long. Also having sinus flair up so the post nasal drip is not helping since its all going down the same food pipe.  But yeah .. did anyone have this pressure in the throat and kinda slight burning in the solar plexus for like a week straight?  I do try to watch what I eat.  What to do? Any similar cases?  Thanks</t>
        </is>
      </c>
      <c r="D3007" t="n">
        <v>2</v>
      </c>
      <c r="E3007" t="n">
        <v>2</v>
      </c>
      <c r="F3007">
        <f>HYPERLINK("https://www.reddit.com/r/GERD/comments/dcmoy0/is_this_gerd_or_what_is_it/")</f>
        <v/>
      </c>
      <c r="G3007" t="inlineStr">
        <is>
          <t>2019-10-02 22:48:27</t>
        </is>
      </c>
      <c r="H3007" t="inlineStr"/>
    </row>
    <row r="3008">
      <c r="A3008" t="inlineStr">
        <is>
          <t>dcmy6e</t>
        </is>
      </c>
      <c r="B3008" t="inlineStr">
        <is>
          <t>Any cakes/desserts for GERD sufferrers?</t>
        </is>
      </c>
      <c r="C3008" t="inlineStr">
        <is>
          <t>Huhuhuhu I'm cravingggg</t>
        </is>
      </c>
      <c r="D3008" t="n">
        <v>2</v>
      </c>
      <c r="E3008" t="n">
        <v>1</v>
      </c>
      <c r="F3008">
        <f>HYPERLINK("https://www.reddit.com/r/GERD/comments/dcmy6e/any_cakesdesserts_for_gerd_sufferrers/")</f>
        <v/>
      </c>
      <c r="G3008" t="inlineStr">
        <is>
          <t>2019-10-02 23:19:09</t>
        </is>
      </c>
      <c r="H3008" t="inlineStr"/>
    </row>
    <row r="3009">
      <c r="A3009" t="inlineStr">
        <is>
          <t>dcnx06</t>
        </is>
      </c>
      <c r="B3009" t="inlineStr">
        <is>
          <t>Just had my endoscopy...</t>
        </is>
      </c>
      <c r="C3009" t="inlineStr">
        <is>
          <t>My results: 
- Gastritis
- Esophagitis
- Duodenitis
They took a biopsy to check if there is H.Pylori or at least some other bacteria like that. 
They ruled out everything else but stress related issues.
I have been dealing with symptoms for almost 3 months now and my acid reflux is getting way out of hand. 
My GI’s nearest scheduled follow up is literally 3 weeks from today... and i’m just about ready to take manners into my own hands and take amoxicillin and the pantoprazole which i been taking.
The ER gave me meds that didnt work over and over from the first time and i’m assuming they just don’t care anymore.
Any suggestions for meds that are normally used to treat inflammation or bacteria so i dont have to wait that long?
The only positive outcome of this whole process is that i still feel high off the sedation i was given for the endoscopy!</t>
        </is>
      </c>
      <c r="D3009" t="n">
        <v>1</v>
      </c>
      <c r="E3009" t="n">
        <v>5</v>
      </c>
      <c r="F3009">
        <f>HYPERLINK("https://www.reddit.com/r/GERD/comments/dcnx06/just_had_my_endoscopy/")</f>
        <v/>
      </c>
      <c r="G3009" t="inlineStr">
        <is>
          <t>2019-10-03 01:16:59</t>
        </is>
      </c>
      <c r="H3009" t="inlineStr"/>
    </row>
    <row r="3010">
      <c r="A3010" t="inlineStr">
        <is>
          <t>dco1hc</t>
        </is>
      </c>
      <c r="B3010" t="inlineStr">
        <is>
          <t>Could this be GERD related?</t>
        </is>
      </c>
      <c r="C3010" t="inlineStr">
        <is>
          <t>Hi. So I've been suffering from a mild cough the past year. Gotten worse past few weeks after I moved. Normally it was a night time thing or morning thing. I also have bad allergies. But went to the doctor yesterday and she prescribed me Albuterol inhaler to for my coughing fits since they make it hard to breathe sometimes, some montelukast. Sudafed and some cough syrup opioid which works well with asthma which I havent tried yet. However after some research I'm suspecting GERD possibly since it too can cause coughing and feeling of post nasal drip. My throat has been very irritated recently. And while the medicine has helped my cough somewhat it's not completely gone. And since like high school my throat has made gurgling sounds after I eat. I've also felt a burning sensation in the back of my throat and last night felt lump in my throat which ive felt before. And once I had a really bad heartburn after eating an ice cream sandwich in the middle of the night. My dad has acid refluxso I was thinking I might too. I tend to eat only twice a day and kind of big meals so I was thinking of trying to change up my lifestyle to see if it helps. 
Does this sound like it could be GERD or allergy induced asthma? Not sure if it can cause throat constriction, wheezing coughs and wheezing taking a deep breath. I also cough when I laugh which wasnt always a thing but admittingly my diet has been very poor since I moved here.</t>
        </is>
      </c>
      <c r="D3010" t="n">
        <v>1</v>
      </c>
      <c r="E3010" t="n">
        <v>4</v>
      </c>
      <c r="F3010">
        <f>HYPERLINK("https://www.reddit.com/r/GERD/comments/dco1hc/could_this_be_gerd_related/")</f>
        <v/>
      </c>
      <c r="G3010" t="inlineStr">
        <is>
          <t>2019-10-03 01:33:32</t>
        </is>
      </c>
      <c r="H3010" t="inlineStr"/>
    </row>
    <row r="3011">
      <c r="A3011" t="inlineStr">
        <is>
          <t>dcp0i2</t>
        </is>
      </c>
      <c r="B3011" t="inlineStr">
        <is>
          <t>Possible LPR and nausea in throat?</t>
        </is>
      </c>
      <c r="C3011" t="inlineStr">
        <is>
          <t>Hi all!
So I suspect I have LPR just due to the fact that I never actually get heartburn.
But lately I have been feeling nauseous in the throat instead of the stomach, if that makes sense??
Anyone else experience this?</t>
        </is>
      </c>
      <c r="D3011" t="n">
        <v>1</v>
      </c>
      <c r="E3011" t="n">
        <v>5</v>
      </c>
      <c r="F3011">
        <f>HYPERLINK("https://www.reddit.com/r/GERD/comments/dcp0i2/possible_lpr_and_nausea_in_throat/")</f>
        <v/>
      </c>
      <c r="G3011" t="inlineStr">
        <is>
          <t>2019-10-03 03:32:12</t>
        </is>
      </c>
      <c r="H3011" t="inlineStr"/>
    </row>
    <row r="3012">
      <c r="A3012" t="inlineStr">
        <is>
          <t>dcppkq</t>
        </is>
      </c>
      <c r="B3012" t="inlineStr">
        <is>
          <t>Can anyone link me a website/graphic with acidic/alkaline foods that is purely focused on the ph level of the food outside the body?</t>
        </is>
      </c>
      <c r="C3012" t="inlineStr">
        <is>
          <t>As the title says. I basically just want to know what foods are acidic when they are entering my mouth, to test if they are activating pepsin in my throat and causing LPR. Most of the graphics I've found list obviously acidic foods such as oranges on the alkaline side because apparently they can encourage alkalisation (is that a word?) after digestion, but that stuff sounds like psuedoscience to me and I don't think it's particularly relevant to GERD and LPR.</t>
        </is>
      </c>
      <c r="D3012" t="n">
        <v>1</v>
      </c>
      <c r="E3012" t="n">
        <v>0</v>
      </c>
      <c r="F3012">
        <f>HYPERLINK("https://www.reddit.com/r/GERD/comments/dcppkq/can_anyone_link_me_a_websitegraphic_with/")</f>
        <v/>
      </c>
      <c r="G3012" t="inlineStr">
        <is>
          <t>2019-10-03 04:44:40</t>
        </is>
      </c>
      <c r="H3012" t="inlineStr"/>
    </row>
    <row r="3013">
      <c r="A3013" t="inlineStr">
        <is>
          <t>dcqm6n</t>
        </is>
      </c>
      <c r="B3013" t="inlineStr">
        <is>
          <t>GERD and LPR causing mucus for 4 years</t>
        </is>
      </c>
      <c r="C3013" t="inlineStr">
        <is>
          <t>I have been dealing with excess mucus that I have to spit out of my mouth for about 4 years now. I have been diagnosed with GERD following an EGD. I was told by my doctor that the GERD is the cause of the mucus.
I read Dr. Jonathan Aviv's Acid Watcher Diet and I am in the middle of the diet. I completed the healing phase (4 weeks) and I am a week into the maintenance phase. I am still experiencing my symptoms. It seems to be helping a little bit but I still have mucus that I have to spit up and have a lump like feeling in my throat. 
Do you think there is something more going on here and not just GERD?</t>
        </is>
      </c>
      <c r="D3013" t="n">
        <v>1</v>
      </c>
      <c r="E3013" t="n">
        <v>13</v>
      </c>
      <c r="F3013">
        <f>HYPERLINK("https://www.reddit.com/r/GERD/comments/dcqm6n/gerd_and_lpr_causing_mucus_for_4_years/")</f>
        <v/>
      </c>
      <c r="G3013" t="inlineStr">
        <is>
          <t>2019-10-03 06:04:46</t>
        </is>
      </c>
      <c r="H3013" t="inlineStr"/>
    </row>
    <row r="3014">
      <c r="A3014" t="inlineStr">
        <is>
          <t>dcsh6t</t>
        </is>
      </c>
      <c r="B3014" t="inlineStr">
        <is>
          <t>After 20 years heartburn suddenly stopped</t>
        </is>
      </c>
      <c r="C3014" t="inlineStr">
        <is>
          <t>I have been on some sort of ppi since I was a teenager (almost 20 years ago).  I can't remember when it all started but I remember always having heartburn and when I was around 12 having an upper GI exam for a diagnosis. No definitive diagnosis but I was placed on a ppi and eventually switched to nexium (the high dose) and took it daily for years. No issues if I took it daily but if a missed a dose the heartburn was terrible 
Fast forward to 2017. Studies were showing that nexium and other PPIs were not safe for daily use so I just quit taking it and decided to take zantac as needed. I typically took the 150 dose every other day and it seemed to work, occasionally intermittent heartburn if my diet was bad but nothing terrible. So i figured meds every other day was better than a daily dose of meds, zantac had been around for awhile so why not....(the irony is now its linked to cancer....)
Fast forward to August 2019. I ran out of zantac  mid week and had it on my list to get next time I was at the store. I was fine for a day or so but the heartburn began to get unbearable; I was carrying Tums with me and avoiding all foods that could cause an issue.
Well I never did go to the store and get the zantac. I had actually forgot to get it on my next trip to the store and after two weeks I realized I wasn't having any heartburn. I ate spicy foods and had a few beers and to my surprise nothing. It's just gone. Been like this for about 6 weeks now and I'm not sure what to think. I've read PPIs and other meds can actually make heartburn worse when you stop them but to think that lead me to believe for 20 years I had an issue is kind of eye opening.
But anyway if anyone has any insight as to why this suddenly went away I'd love to hear any feedback.</t>
        </is>
      </c>
      <c r="D3014" t="n">
        <v>11</v>
      </c>
      <c r="E3014" t="n">
        <v>35</v>
      </c>
      <c r="F3014">
        <f>HYPERLINK("https://www.reddit.com/r/GERD/comments/dcsh6t/after_20_years_heartburn_suddenly_stopped/")</f>
        <v/>
      </c>
      <c r="G3014" t="inlineStr">
        <is>
          <t>2019-10-03 08:29:54</t>
        </is>
      </c>
      <c r="H3014" t="inlineStr"/>
    </row>
    <row r="3015">
      <c r="A3015" t="inlineStr">
        <is>
          <t>dctq7k</t>
        </is>
      </c>
      <c r="B3015" t="inlineStr">
        <is>
          <t>Manometry Update! NOT Like Waterboarding or Linda Blair :)</t>
        </is>
      </c>
      <c r="C3015" t="inlineStr">
        <is>
          <t>Alright y'all.  The test I feared more than death was this morning.  
Background:  I've suffered severe emetophobia (fear of vomiting) since before I could walk.  The sound of gagging or the sensation of choking is unbearable to me.  After reading some horrendous comments on a manometry Youtube video, I spent an entire afternoon crying my eyes out.  I'm in therapy to deal with these anxiety disorders but this test is above &amp;amp; beyond anything therapy can help.  My gag reflex is worse than most dentists have seen (their words), so this wasn't just a matter of anxiety but my own body working against me. 
**THE PREP**
Anyway, my nurse was extremely calming &amp;amp; friendly.  She explained the procedure to me in detail before beginning.  I'd told her on several occasions how petrified I was, which I encourage others to do.  She asked if I'd taken my Valium, which of course I had lol.  I asked what would happen if I started gagging uncontrollably &amp;amp; freaked out: she said she'd either pull it out or push it in faster.  I asked about vomiting &amp;amp; she gave me a sickness bag but was certain I wouldn't puke.  Never did.  
We started with some lidocaine nasal spray that I snorted back into my throat, waited a few minutes &amp;amp; then I gargled some more lidocaine before swallowing it.  The sensor itself was covered in gloppy lube &amp;amp; (I assume) lidocaine.  
**THE PROCEDURE**  
The insertion was weird &amp;amp; then the gagging started as it passed the back of my throat.  Probably gagged about 4-5 times total.  She shoved it down faster as she could tell I was freaking out.  Once it was in place, it was nothing more than a scratchy/semi-painful sensation.  No more gagging.  She had me not swallow for several seconds to get a baseline reading.  Then we began the water swallowing intervals.  Those are basically "Drink, swallow, don't swallow".  I put my tongue out between my teeth to remind myself not to swallow at the wrong time, as this will only mess things up &amp;amp; lengthen the procedure.  (Thanks to the redditor who gave me this tip!).  
After about 6-7 separate water swallows, the tube was pulled up &amp;amp; out through my nose which was an interesting feeling...but NO gagging or pain.  I never had to lie down on a table--just recline in a regular doctor's office chair (sort of like a dentist's chair).  I thanked her for being so understanding about my anxiety &amp;amp; that was it!  The entire thing lasted under 15 minutes according to my mom who was watching the clock in the waiting room.  
**POST PROCEDURE**
Afterwards, my throat is a bit sore &amp;amp; scratchy but big woop.  I left &amp;amp; ate a big meal immediately &amp;amp; am currently celebrating conquering my biggest fear to date.  Thank you to everyone who helped me &amp;amp; offered reassurance.  I just wanted to return the favor by posting my experience.  
On a scale of 1 to 10 in terms of discomfort, pain, gagging &amp;amp; general scariness, I give esophageal manometry a 6.  And that's coming from someone who has never been able to get x-rays at the dentist due to my severe sensory issues/gag reflex.  (I'm autistic).  It's so fast and, if you're not petrified of gagging like I am, it's truly no big deal.</t>
        </is>
      </c>
      <c r="D3015" t="n">
        <v>7</v>
      </c>
      <c r="E3015" t="n">
        <v>6</v>
      </c>
      <c r="F3015">
        <f>HYPERLINK("https://www.reddit.com/r/GERD/comments/dctq7k/manometry_update_not_like_waterboarding_or_linda/")</f>
        <v/>
      </c>
      <c r="G3015" t="inlineStr">
        <is>
          <t>2019-10-03 10:00:47</t>
        </is>
      </c>
      <c r="H3015" t="inlineStr"/>
    </row>
    <row r="3016">
      <c r="A3016" t="inlineStr">
        <is>
          <t>dcty10</t>
        </is>
      </c>
      <c r="B3016" t="inlineStr">
        <is>
          <t>Trouble breathing/shortness of breath</t>
        </is>
      </c>
      <c r="C3016" t="inlineStr">
        <is>
          <t>Hello everyone! So I’ve been having some terrible trouble getting a deep breath in for the past month or so. A little background: I have pretty bad asthma but it ONLY occurs when I’m sick. I had the flu/bronchitis in July into August and was on prednisone for like the 5th time in a year. I’ve also been having bad stomach problems for the past year and a half that nothing seems to fix. I’ve cut out gluten and a lot of acidic foods and that has definitely helped but not fixed it all the way. Lately, I’ve been having such difficulty breathing that I’ve been so concerned. My pulmonologist but me on two new strong medicines along with an allergy medicine. I even went and had a CT scan because we have all been so concerned. Nothing. CT scan says my lungs look perfect. Asthma meds aren’t helping. My inhaler doesn’t help which leads me to believe it is not my asthma. This shortness of breath has been accompanied by a hoarse voice that happens daily out of the blue. Every once in a while, my throat will be sore when I wake up. I never have that pain that is so common with acid reflux so I never considered it before but I really thing this is all tied together and that the explanation is reflux. I’m picking up some omeprazole today because I just can’t stand it anymore. Soonest I could get in with my doctor is the 18th. Have any of you ever experienced this?</t>
        </is>
      </c>
      <c r="D3016" t="n">
        <v>1</v>
      </c>
      <c r="E3016" t="n">
        <v>9</v>
      </c>
      <c r="F3016">
        <f>HYPERLINK("https://www.reddit.com/r/GERD/comments/dcty10/trouble_breathingshortness_of_breath/")</f>
        <v/>
      </c>
      <c r="G3016" t="inlineStr">
        <is>
          <t>2019-10-03 10:16:14</t>
        </is>
      </c>
      <c r="H3016" t="inlineStr"/>
    </row>
    <row r="3017">
      <c r="A3017" t="inlineStr">
        <is>
          <t>dcvjil</t>
        </is>
      </c>
      <c r="B3017" t="inlineStr">
        <is>
          <t>Should I be taking PPIs? Advice needed!</t>
        </is>
      </c>
      <c r="C3017" t="inlineStr">
        <is>
          <t>Hi all - 
Been sick and dealing with ongoing GI issues for almost 4 months now, wee! Looking for some advice.
Brief synopsis: I have celiac disease and was diagnosed with SIBO in July. Did antibiotics for SIBO to no avail, have since been on a strict, modified low fodmap diet. I had a colonoscopy/endoscopy done a couple weeks ago that was all clear of major issues, other than "presence of mild chronic GERD/gastritis" that my GI doc has ignored and not commented on. 
My symptoms fluctuate day to day and it's hard to pinpoint any specific food triggers, although I've been keeping a detailed food diary for months. I don't really have heartburn, but I struggle with pain/bloating below my sternum, occasional nausea, and feeling of food stuck in my throat. I also get a heartbeat feeling in my stomach, kind of like a fluttering sensation, some nights when I'm trying to sleep. I don't eat past 7:30 pm and I sleep elevated. I also have pretty severe lower back pain, but at this point I think that's unrelated. 
I haven't drank alcohol in 2+ months. My diet consists mostly of chicken and fish, eggs, some veggies, bananas, berries, nut butters, white rice, quinoa. I'm still drinking coffee because so far, it hasn't seemed to directly cause reactions. 
I haven't been advised to take a PPI but it seems like that works for a lot of people. Should I introduce one? Frustrated that my doc hasn't given any further advice since my biopsy results were "normal." Just looking for other potential solutions because diet alone doesn't seem to fix it.</t>
        </is>
      </c>
      <c r="D3017" t="n">
        <v>2</v>
      </c>
      <c r="E3017" t="n">
        <v>1</v>
      </c>
      <c r="F3017">
        <f>HYPERLINK("https://www.reddit.com/r/GERD/comments/dcvjil/should_i_be_taking_ppis_advice_needed/")</f>
        <v/>
      </c>
      <c r="G3017" t="inlineStr">
        <is>
          <t>2019-10-03 12:11:45</t>
        </is>
      </c>
      <c r="H3017" t="inlineStr"/>
    </row>
    <row r="3018">
      <c r="A3018" t="inlineStr">
        <is>
          <t>dcw2gy</t>
        </is>
      </c>
      <c r="B3018" t="inlineStr">
        <is>
          <t>Terrible flare up caused by moms inability to accept my illness.</t>
        </is>
      </c>
      <c r="C3018" t="inlineStr">
        <is>
          <t>I live with my girlfriend and over the past month I’ve been able to put my LPR under control through efficient dieting after I read the Acid Watcher Diet. I’ve had the occasional symptoms after meals but nothing compared to what it used to be like.
My mom came to visit from abroad and because I’ve started working 9-5 she decided to cook our meals while she’s here since she’s got a lot of free time. 
During her stay here I’ve requested multiple times she cooks very bland veggies and meat without any spices or sauces so my acid reflux doesn’t get triggered. Every meal she’s made in front of me I had to stop her multiple times from adding massive acid triggers in. Today she went out and bought bread and out of the endless selection of bread our local grocery store offers she bought buttermilk bread. 
Without knowing that, I tried a tiny bit and thought the texture was weird almost cake-like so asked her if it’s got butter in it. She reassured me that she checked the ingredients and that it definitely doesn’t have butter in it. So I had a couple of slices during dinner and shortly after started feeling my symptoms flare up. 
I went to check the ingredients and I confronted her saying it’s buttermilk bread and that she could’ve gotten any other kind of bread or at least warned me to which her response was “it’s butterMILK, not butter”. Fucks sake.
I’m really disappointed and frustrated. I’ve managed to keep my symptoms at bay for a month and my own mother comes and within a couple of days gives me the biggest flare up I’ve had in a while and is very unapologetic about it.</t>
        </is>
      </c>
      <c r="D3018" t="n">
        <v>13</v>
      </c>
      <c r="E3018" t="n">
        <v>17</v>
      </c>
      <c r="F3018">
        <f>HYPERLINK("https://www.reddit.com/r/GERD/comments/dcw2gy/terrible_flare_up_caused_by_moms_inability_to/")</f>
        <v/>
      </c>
      <c r="G3018" t="inlineStr">
        <is>
          <t>2019-10-03 12:48:30</t>
        </is>
      </c>
      <c r="H3018" t="inlineStr"/>
    </row>
    <row r="3019">
      <c r="A3019" t="inlineStr">
        <is>
          <t>dcwzgv</t>
        </is>
      </c>
      <c r="B3019" t="inlineStr">
        <is>
          <t>Has Anyone Had Shortness of Breath/ Trouble Breathing that has gone away? If so how long did it take?</t>
        </is>
      </c>
      <c r="C3019" t="inlineStr">
        <is>
          <t>I am one week out from taking PPIs and about 2-3 weeks of diet changes to reduce acid. Still have yet to feel as though I can breath normally. Any feedback?</t>
        </is>
      </c>
      <c r="D3019" t="n">
        <v>1</v>
      </c>
      <c r="E3019" t="n">
        <v>4</v>
      </c>
      <c r="F3019">
        <f>HYPERLINK("https://www.reddit.com/r/GERD/comments/dcwzgv/has_anyone_had_shortness_of_breath_trouble/")</f>
        <v/>
      </c>
      <c r="G3019" t="inlineStr">
        <is>
          <t>2019-10-03 13:50:22</t>
        </is>
      </c>
      <c r="H3019" t="inlineStr"/>
    </row>
    <row r="3020">
      <c r="A3020" t="inlineStr">
        <is>
          <t>dcx0a8</t>
        </is>
      </c>
      <c r="B3020" t="inlineStr">
        <is>
          <t>Acid Reflux or something else?</t>
        </is>
      </c>
      <c r="C3020" t="inlineStr">
        <is>
          <t>Hello. i'm new to this thread but seeking advice as i'm worried. 
For the past 3 days, ive been having sharp pains in my upper back, right shoulder blade area and some symptoms of acid reflux. Burning sensation in my stomach, can't burp, sour taste in my mouth, nausea, a dull pain in my chest area with heartburn I've also been having very bad fever chills all day and night where i can't sleep at night with cold but sweaty feet and hands. I also have loss of appetite and struggle to even eat soup. The pain from my back has radiated up into my neck and making the back of my skull feel like it's burning or being squeezed. I started to panic as i couldn't sleep last night because of these pains and the feeling in my head. I called my GP for an emergency visit and he checked my back and said that it could be a pinched nerve or my pancreas and told him about the acid reflux symptoms. He prescribed me a gastro tablet called pantium and also a painkiller called tramadol. I took the gastro tablets when i got home and haven't really seen a improvement so far. Still have a burning sensation in my chest. However, i took the painkillers and my back is somewhat relieved but feeling very strange on them. Extremely sleepy, feeling spaced out, nauseous and dizzy. I'm startig to feel worried again as i'm feeling very nauseous and my head is starting to feel squeezed again and burning/dull pain in my chest, very fevery with chills and burning in my stomach also the pain in my back is here again and radiating down my arm too. 
Sorry for the long post but i'm worried and want some advice. I'm considering calling my doctor for an appointment again but don't want to bother him with 2 appointments in a row.</t>
        </is>
      </c>
      <c r="D3020" t="n">
        <v>1</v>
      </c>
      <c r="E3020" t="n">
        <v>3</v>
      </c>
      <c r="F3020">
        <f>HYPERLINK("https://www.reddit.com/r/GERD/comments/dcx0a8/acid_reflux_or_something_else/")</f>
        <v/>
      </c>
      <c r="G3020" t="inlineStr">
        <is>
          <t>2019-10-03 13:52:00</t>
        </is>
      </c>
      <c r="H3020" t="inlineStr"/>
    </row>
    <row r="3021">
      <c r="A3021" t="inlineStr">
        <is>
          <t>dcxnj4</t>
        </is>
      </c>
      <c r="B3021" t="inlineStr">
        <is>
          <t>Thank the universe for Ginger</t>
        </is>
      </c>
      <c r="C3021" t="inlineStr">
        <is>
          <t>I was suffering from some bad GERD this evening and felt intense nausea (and it was supposed to be taco night damn it)
I finally needed relief so I reached into my pantry and found ginger candies. Instant relief. I’m gonna be stocking up on these for sure.
I didn’t want to sound like a shill but let me know if you guys want to know what type of chewy ginger candy.</t>
        </is>
      </c>
      <c r="D3021" t="n">
        <v>5</v>
      </c>
      <c r="E3021" t="n">
        <v>6</v>
      </c>
      <c r="F3021">
        <f>HYPERLINK("https://www.reddit.com/r/GERD/comments/dcxnj4/thank_the_universe_for_ginger/")</f>
        <v/>
      </c>
      <c r="G3021" t="inlineStr">
        <is>
          <t>2019-10-03 14:37:47</t>
        </is>
      </c>
      <c r="H3021" t="inlineStr"/>
    </row>
    <row r="3022">
      <c r="A3022" t="inlineStr">
        <is>
          <t>dcy91r</t>
        </is>
      </c>
      <c r="B3022" t="inlineStr">
        <is>
          <t>Pregnancy after Gerd operation</t>
        </is>
      </c>
      <c r="C3022" t="inlineStr">
        <is>
          <t>Hello!
I had GERD operation around 5 years ago. It's been great for the most part.
I recently got pregnant (5 months now) and I've been dealing with reflux etc again. However it hurts right under my ribs where my scars are from keyhole surgery. It hurts when I move or stretch or when I touch just under my left breast on the ribs. 
Anyone else experienced this too?
The doctor said it will probably get worse (useful) but I've got to wait 3 weeks for another appointment with the doctors yo see if there is anything else they can do. 
Cheers</t>
        </is>
      </c>
      <c r="D3022" t="n">
        <v>2</v>
      </c>
      <c r="E3022" t="n">
        <v>0</v>
      </c>
      <c r="F3022">
        <f>HYPERLINK("https://www.reddit.com/r/GERD/comments/dcy91r/pregnancy_after_gerd_operation/")</f>
        <v/>
      </c>
      <c r="G3022" t="inlineStr">
        <is>
          <t>2019-10-03 15:21:48</t>
        </is>
      </c>
      <c r="H3022" t="inlineStr"/>
    </row>
    <row r="3023">
      <c r="A3023" t="inlineStr">
        <is>
          <t>dcybf9</t>
        </is>
      </c>
      <c r="B3023" t="inlineStr">
        <is>
          <t>Worsening LPR/reflux symptoms lately and severe pain in upper abdomen last night. Can acid reflux get that bad or could it be gallbladder or something else?</t>
        </is>
      </c>
      <c r="C3023" t="inlineStr">
        <is>
          <t>I’ve had LPR since I was a young child. my hoarseness and throat clearing, and gurgling (I can feel the acid squirting up into my throat) has been worse over the past year. I also get acid reflux sometimes but it’s mainly LPR symptoms. 
The past three days I had bad cramps which I thought were menstrual related, although it was a little high. The pain was getting progressively worse and woke me up at 1:00 am. It was severe pain in my upper abdomen radiating through to my back at times, sometimes radiating to middle abdomen. I felt a little nauseated. I almost went to the er but decided to try a heating pad since I don’t have health insurance currently. I was able to sleep and the pain has been more dull today but definitely still there. Lots of burping and gurgling. I drank warm acv with water twice. Also, I feel like my throat is swollen and it’s harder to swallow. A few weeks ago I had some mild sharp pains in my chest one night followed by trouble swallowing the next day. But then I was normal after that until now. 
Any idea about this? Does LPR or reflux ever cause severe pain like this?</t>
        </is>
      </c>
      <c r="D3023" t="n">
        <v>1</v>
      </c>
      <c r="E3023" t="n">
        <v>8</v>
      </c>
      <c r="F3023">
        <f>HYPERLINK("https://www.reddit.com/r/GERD/comments/dcybf9/worsening_lprreflux_symptoms_lately_and_severe/")</f>
        <v/>
      </c>
      <c r="G3023" t="inlineStr">
        <is>
          <t>2019-10-03 15:26:39</t>
        </is>
      </c>
      <c r="H3023" t="inlineStr"/>
    </row>
    <row r="3024">
      <c r="A3024" t="inlineStr">
        <is>
          <t>dcyxot</t>
        </is>
      </c>
      <c r="B3024" t="inlineStr">
        <is>
          <t>I have to keep taking Zantac despite the risks...</t>
        </is>
      </c>
      <c r="C3024" t="inlineStr">
        <is>
          <t>I take 150 2x daily. My doctor of course told me to switch to Pepcid but that doesn’t touch my gerd.
I feel like I have to make the decision to keep taking the Zantac despite all the warnings .  PPIs for some reason give me terrible migraines. I don’t know what else to do. Is anyone is the same boat as  I am?</t>
        </is>
      </c>
      <c r="D3024" t="n">
        <v>2</v>
      </c>
      <c r="E3024" t="n">
        <v>4</v>
      </c>
      <c r="F3024">
        <f>HYPERLINK("https://www.reddit.com/r/GERD/comments/dcyxot/i_have_to_keep_taking_zantac_despite_the_risks/")</f>
        <v/>
      </c>
      <c r="G3024" t="inlineStr">
        <is>
          <t>2019-10-03 16:13:41</t>
        </is>
      </c>
      <c r="H3024" t="inlineStr"/>
    </row>
    <row r="3025">
      <c r="A3025" t="inlineStr">
        <is>
          <t>dczikq</t>
        </is>
      </c>
      <c r="B3025" t="inlineStr">
        <is>
          <t>The only thing I'm finding that helps LPR</t>
        </is>
      </c>
      <c r="C3025" t="inlineStr">
        <is>
          <t>Alkaline water.  I've been dealing with LPR since April of this year and it's taken me this long to realize this.  I know, dumb.  When I started reading and researching LPR/GERD, you get bombarded with PPI's, Gaviscon UK (take that too) etc.  My gf came home the other night with a bottle of 9.5+ pH alkaline water.  I've been drinking it the last two days and my throat has never felt better.  Not a cure, but a good way to neutralize pepsin.</t>
        </is>
      </c>
      <c r="D3025" t="n">
        <v>10</v>
      </c>
      <c r="E3025" t="n">
        <v>6</v>
      </c>
      <c r="F3025">
        <f>HYPERLINK("https://www.reddit.com/r/GERD/comments/dczikq/the_only_thing_im_finding_that_helps_lpr/")</f>
        <v/>
      </c>
      <c r="G3025" t="inlineStr">
        <is>
          <t>2019-10-03 17:01:36</t>
        </is>
      </c>
      <c r="H3025" t="inlineStr"/>
    </row>
    <row r="3026">
      <c r="A3026" t="inlineStr">
        <is>
          <t>dd02fr</t>
        </is>
      </c>
      <c r="B3026" t="inlineStr">
        <is>
          <t>Pantoprazole Problems</t>
        </is>
      </c>
      <c r="C3026" t="inlineStr">
        <is>
          <t>LONG POST 
***MY PAST***: I have had GERD ever since i was 18, I am currently 24. From age 16-20 I used alcohol very frequently and tobacco every day. I started with dipping tobacco daily, until i turned 18 and switched to cigarettes. I quit when i turned 21, shortly after I went back to dipping every day. I quit dipping tobacco a month ago for good. 
I am a big person. 6'5". I usually stayed around 235 pounds. This being said, I have been binge drinking ever since I was 16, and I believe way more than your average person. I would drink entire 750mL bottles by myself no problem. Blacking out drunk was the normal thing, for about 4 years I did this with no concern. Right before i turned 21 I had a change of heart and decided to relax on that a bit. I quit cigarettes and cut back on alcohol. 
From 18 years old, I've taken the generic aciphex (rabeprazole) once a day until a few months ago (i think). I think it was the beginning of this year sometime, I was having some issues and started taking it twice a day (rapebrazole 40mg). For finacial reasons, I switched over to pantoprazole a few months back. And a couple of months ago, I started developing some life changing issues. It all began with anxiety. Shortness of breath was the main symptom, but over the last couple of months my anxiety had getting worse and worse, to the point where I cant sleep without taking a xanax. I've been prescribed xanax since I was 19, but never really had to take it. After the anxiety/shortness of breath, started the gastro issues. I started not being able to eat. Breakfast was okay, pretty normal. But lunch and dinner were an entirely different story. Lunch/dinner I'd only be able to eat half as much as I used to, if that. 5 bites of a sandwich and I felt entirely sick to my stomach, chest pressure/pain, and horrible shortness of breath. The fullness lasts hours, even though I still feel hungry, which to me is insane. I've self diagnosed myself as a hypochondriac, so all of the symptoms really stressed me out. I have a family history of heart disease, and had a history of PVCs (heart palpitations) since I was 16. So iv'e always had a cardiologist. Went to him, got an echocardiogram (ultrasound of heart) and 7 day heart monitor. Everything came back fine. Which leads me back to my GI doctor, who i've also been seeing for 6 years. He ordered a chest x-ray, labs, and a gastric emptying study. My chest xray looked good, and so did my gastric emptying study. For that study, i was told to hold off on my stomach medications for 24 hours. So all day this passed sunday, i didnt take my pantoprazole. I felt great. The next morning was my test, and I felt good. For that study, I eat a 550 calorie meal (eggs and toast) and they monitor how long it takes for my stomach to empty. I couldnt eat or drink ANYTHING after I ate, which was pretty rough. But I also was not allowed to take any sedatives 24 hours before the test (my xanax), so i did not sleep barely at all the night before. So after my test, I took a nap. After the nap I woke up with such intense heartburn. (ever since i can remember, I wake up nauseous after a nap, if ive eaten anything within the last 3 hours). I talked with my doctor and he said try to go back to once a day. So far so good, I am able to eat a meal and not feel like I am dying after. 
Anyways, if you made it this far, I thank you. But basically what im getting at, it has anyone had pantoprazole affect them in similar ways? I guess I am asking a few different things. Is the pantoprazole the reason for my horrible anxiety? I am going to see if I can go back on the rabeprazole and see if I feel better, but I just want to check if anyone has had any mental changes with pantoprazole, along with the seriously unfortunate early satiety. Sorry if this is overkill, but i figured i would be precise.</t>
        </is>
      </c>
      <c r="D3026" t="n">
        <v>1</v>
      </c>
      <c r="E3026" t="n">
        <v>0</v>
      </c>
      <c r="F3026">
        <f>HYPERLINK("https://www.reddit.com/r/GERD/comments/dd02fr/pantoprazole_problems/")</f>
        <v/>
      </c>
      <c r="G3026" t="inlineStr">
        <is>
          <t>2019-10-03 17:49:09</t>
        </is>
      </c>
      <c r="H3026" t="inlineStr"/>
    </row>
    <row r="3027">
      <c r="A3027" t="inlineStr">
        <is>
          <t>dd1oej</t>
        </is>
      </c>
      <c r="B3027" t="inlineStr">
        <is>
          <t>Dry Mucus Production &amp;amp; Triggers</t>
        </is>
      </c>
      <c r="C3027" t="inlineStr">
        <is>
          <t>Hey friends!
After a few years of what I though was LPR I finally was able to get in to see an ENT and after an endoscopy I was i told they didn’t see signs of LPR or acid reflux and apparently I’m just producing dry mucus? The doctor recommended I try mucinex for 30 days. I already follow a low acid diet and use a humidifier (already tried PPIs for years with no luck). After some research I found that green tea, which I drink multiple times a day, can trigger mucus production. Anyone diagnosed with this or something similar or found certain foods to trigger mucus production?
Thanks!</t>
        </is>
      </c>
      <c r="D3027" t="n">
        <v>2</v>
      </c>
      <c r="E3027" t="n">
        <v>3</v>
      </c>
      <c r="F3027">
        <f>HYPERLINK("https://www.reddit.com/r/GERD/comments/dd1oej/dry_mucus_production_triggers/")</f>
        <v/>
      </c>
      <c r="G3027" t="inlineStr">
        <is>
          <t>2019-10-03 20:11:42</t>
        </is>
      </c>
      <c r="H3027" t="inlineStr"/>
    </row>
    <row r="3028">
      <c r="A3028" t="inlineStr">
        <is>
          <t>dd2r8j</t>
        </is>
      </c>
      <c r="B3028" t="inlineStr">
        <is>
          <t>Lactose intolerance started when GERD symptoms did; anyone else?</t>
        </is>
      </c>
      <c r="C3028" t="inlineStr">
        <is>
          <t>Became lactose intolerant a year ago, very close to my first sensation of acid reflux. It got worse until it became GERD.
Weird coincidence, maybe? Anyone else had stomach changes in a short period of time?</t>
        </is>
      </c>
      <c r="D3028" t="n">
        <v>6</v>
      </c>
      <c r="E3028" t="n">
        <v>4</v>
      </c>
      <c r="F3028">
        <f>HYPERLINK("https://www.reddit.com/r/GERD/comments/dd2r8j/lactose_intolerance_started_when_gerd_symptoms/")</f>
        <v/>
      </c>
      <c r="G3028" t="inlineStr">
        <is>
          <t>2019-10-03 22:00:02</t>
        </is>
      </c>
      <c r="H3028" t="inlineStr"/>
    </row>
    <row r="3029">
      <c r="A3029" t="inlineStr">
        <is>
          <t>dd4crv</t>
        </is>
      </c>
      <c r="B3029" t="inlineStr">
        <is>
          <t>I think recently got GERD and I'm very lost</t>
        </is>
      </c>
      <c r="C3029" t="inlineStr">
        <is>
          <t>I'm 21 years old, Almost 20 days ago I had a horrible night of heartburn that prevented me from sleeping, I thought it's a normal heartburn night but it kept happening every night for 5 days alongside with excessive burping, the heartburn mostly only occured at night and it made sleeping really hard for me, I live in a student dorms with no kitchen, we eat at the uni kitchen for free, either way I went a normal doctor, he asked me a few questions and gave me a PH acid naturalizer and some anti burping pills and one other stomach medicine, that helped a lot for the 7 or 8 days period that I took the medicine, I didn't feel any symptoms but once I stopped taking them, the symptoms came back now I feel heartburn every night, it doesn't bother me on the day at all since I barely have any... I don't follow any diet right now
From what I read everywhere this is for sure GERD, I'll be visiting a specialist next week but can someone explain to me if there's hope for a permanent cure for this disease? It's really stressing me out a lot, my biggest fears in life was having an incurable diseases in such an early age, also can life style changes or medicines cute this? And since I can't change my food consumption for 2 years what do you suggest I do assuming that it's not junk or unhealthy foods but definitely not GERD friendly, my last question is did anyone simply ever get cured 100%?
Sorry if my questions are stupid I'm just really confused and scared.</t>
        </is>
      </c>
      <c r="D3029" t="n">
        <v>1</v>
      </c>
      <c r="E3029" t="n">
        <v>1</v>
      </c>
      <c r="F3029">
        <f>HYPERLINK("https://www.reddit.com/r/GERD/comments/dd4crv/i_think_recently_got_gerd_and_im_very_lost/")</f>
        <v/>
      </c>
      <c r="G3029" t="inlineStr">
        <is>
          <t>2019-10-04 01:04:59</t>
        </is>
      </c>
      <c r="H3029" t="inlineStr"/>
    </row>
    <row r="3030">
      <c r="A3030" t="inlineStr">
        <is>
          <t>dd4jh6</t>
        </is>
      </c>
      <c r="B3030" t="inlineStr">
        <is>
          <t>Do I have GERD?</t>
        </is>
      </c>
      <c r="C3030" t="inlineStr">
        <is>
          <t>I wake up around 1.5 hours after going to bed and immediately go into a coughing fit. Then I throw up everything I had for dinner. The vommiting has been happening for the last five days. The coughing has been occurring for the past two weeks! Always at around 1 am.</t>
        </is>
      </c>
      <c r="D3030" t="n">
        <v>1</v>
      </c>
      <c r="E3030" t="n">
        <v>4</v>
      </c>
      <c r="F3030">
        <f>HYPERLINK("https://www.reddit.com/r/GERD/comments/dd4jh6/do_i_have_gerd/")</f>
        <v/>
      </c>
      <c r="G3030" t="inlineStr">
        <is>
          <t>2019-10-04 01:29:18</t>
        </is>
      </c>
      <c r="H3030" t="inlineStr"/>
    </row>
    <row r="3031">
      <c r="A3031" t="inlineStr">
        <is>
          <t>dd543o</t>
        </is>
      </c>
      <c r="B3031" t="inlineStr">
        <is>
          <t>Need some advice if anyone can help</t>
        </is>
      </c>
      <c r="C3031" t="inlineStr">
        <is>
          <t>I already got scoped and biopsied about 2 months ago and I have 'mild esophagitis' &amp;amp; 'mild gastritis'. 
Before the scope &amp;amp; tests I originally went in for silent reflux symptoms. My doctor didn't recommend me anything, except he said if I wanted to I could take nexium.  I used to have swallowing issues including vocal issues, which both got better after 1 month of 2 nexiums per day (still taking it) I have the most annoying symptom of 'scratchy' throat and still get reflux pretty much, no heartburn AT ALL, never had heartburn, just throat reflux. My question is, I'm already taking 2 nexiums a day... what the HELL am I supposed to do now ? If ANYONE has answers, please feel free to lmk. The symptom I continue to feel every single day, this is the best way I could explain. Imagine yelling at a football or hockey game for 3 hours straight, the next day you have a sore throat. That's how my throat feels at least 5 days of the week</t>
        </is>
      </c>
      <c r="D3031" t="n">
        <v>1</v>
      </c>
      <c r="E3031" t="n">
        <v>2</v>
      </c>
      <c r="F3031">
        <f>HYPERLINK("https://www.reddit.com/r/GERD/comments/dd543o/need_some_advice_if_anyone_can_help/")</f>
        <v/>
      </c>
      <c r="G3031" t="inlineStr">
        <is>
          <t>2019-10-04 02:41:54</t>
        </is>
      </c>
      <c r="H3031" t="inlineStr"/>
    </row>
    <row r="3032">
      <c r="A3032" t="inlineStr">
        <is>
          <t>dd7l27</t>
        </is>
      </c>
      <c r="B3032" t="inlineStr">
        <is>
          <t>Root cause is anxiety?</t>
        </is>
      </c>
      <c r="C3032" t="inlineStr">
        <is>
          <t>Endoscopy done in May said mild reflux and mild gastritis.  Taking Protonix. Biggest frustrating thing is the constant burpiness and gas at work. The gastritis and stomach indigestion etc seems to have all calmed down.  But in general with me working in accounting and finance I am always a nervous worker. All day with the anxiety. I imagine it is what is making the symptoms carry on. I suspect even now the original cause may have been anxiety that gave me all this as my primary care doc said some people just make too much stomach acid.  Is it possible the entire root cause of this has been anxiety because who gets sudden reflux at 49 without a cause? Is there a chance, or has anyone experienced taking an anti anxiety medicine and had this whole thing gotten better that way because maybe that’s my root cause in all of this?</t>
        </is>
      </c>
      <c r="D3032" t="n">
        <v>22</v>
      </c>
      <c r="E3032" t="n">
        <v>23</v>
      </c>
      <c r="F3032">
        <f>HYPERLINK("https://www.reddit.com/r/GERD/comments/dd7l27/root_cause_is_anxiety/")</f>
        <v/>
      </c>
      <c r="G3032" t="inlineStr">
        <is>
          <t>2019-10-04 06:46:40</t>
        </is>
      </c>
      <c r="H3032" t="inlineStr"/>
    </row>
    <row r="3033">
      <c r="A3033" t="inlineStr">
        <is>
          <t>dd7z7y</t>
        </is>
      </c>
      <c r="B3033" t="inlineStr">
        <is>
          <t>Gaviscon UK??</t>
        </is>
      </c>
      <c r="C3033" t="inlineStr">
        <is>
          <t>Can anyone impart some wisdom on the difference between the Gaviscon I find at my local Walgreens in Michigan vs the “Gaviscon UK” I often see referenced here on this subreddit?</t>
        </is>
      </c>
      <c r="D3033" t="n">
        <v>1</v>
      </c>
      <c r="E3033" t="n">
        <v>17</v>
      </c>
      <c r="F3033">
        <f>HYPERLINK("https://www.reddit.com/r/GERD/comments/dd7z7y/gaviscon_uk/")</f>
        <v/>
      </c>
      <c r="G3033" t="inlineStr">
        <is>
          <t>2019-10-04 07:18:26</t>
        </is>
      </c>
      <c r="H3033" t="inlineStr"/>
    </row>
    <row r="3034">
      <c r="A3034" t="inlineStr">
        <is>
          <t>dd81lg</t>
        </is>
      </c>
      <c r="B3034" t="inlineStr">
        <is>
          <t>Dizziness after drinking almond milk? Any other alternatives?</t>
        </is>
      </c>
      <c r="C3034" t="inlineStr">
        <is>
          <t>I bought a gluten free almond milk since I want some sort of milk substitute. After drinking almond milk, I got so dizzy, that I just felt asleep. I woke after almost an hour. I then proceeded to eat dinner and drank gaviscon.
Yesterday, it happened to me too, but with Milo after lunch.</t>
        </is>
      </c>
      <c r="D3034" t="n">
        <v>0</v>
      </c>
      <c r="E3034" t="n">
        <v>4</v>
      </c>
      <c r="F3034">
        <f>HYPERLINK("https://www.reddit.com/r/GERD/comments/dd81lg/dizziness_after_drinking_almond_milk_any_other/")</f>
        <v/>
      </c>
      <c r="G3034" t="inlineStr">
        <is>
          <t>2019-10-04 07:23:44</t>
        </is>
      </c>
      <c r="H3034" t="inlineStr"/>
    </row>
    <row r="3035">
      <c r="A3035" t="inlineStr">
        <is>
          <t>dd86j3</t>
        </is>
      </c>
      <c r="B3035" t="inlineStr">
        <is>
          <t>Has anyone ever tried ginger candy?</t>
        </is>
      </c>
      <c r="C3035" t="inlineStr">
        <is>
          <t>I recently heard about ginger candy or ginger chews. Seems like a lot of people have been able to find relief with these. Has anyone here ever tried them? If so, what brand works best for you?</t>
        </is>
      </c>
      <c r="D3035" t="n">
        <v>1</v>
      </c>
      <c r="E3035" t="n">
        <v>8</v>
      </c>
      <c r="F3035">
        <f>HYPERLINK("https://www.reddit.com/r/GERD/comments/dd86j3/has_anyone_ever_tried_ginger_candy/")</f>
        <v/>
      </c>
      <c r="G3035" t="inlineStr">
        <is>
          <t>2019-10-04 07:34:38</t>
        </is>
      </c>
      <c r="H3035" t="inlineStr"/>
    </row>
    <row r="3036">
      <c r="A3036" t="inlineStr">
        <is>
          <t>dd8m9x</t>
        </is>
      </c>
      <c r="B3036" t="inlineStr">
        <is>
          <t>Dr. Aviv Acid Watcher Diet</t>
        </is>
      </c>
      <c r="C3036" t="inlineStr">
        <is>
          <t>How long did it take for people to get relief once they started the diet?  I am in the first week and was curious for others responses?  Thanks!</t>
        </is>
      </c>
      <c r="D3036" t="n">
        <v>3</v>
      </c>
      <c r="E3036" t="n">
        <v>8</v>
      </c>
      <c r="F3036">
        <f>HYPERLINK("https://www.reddit.com/r/GERD/comments/dd8m9x/dr_aviv_acid_watcher_diet/")</f>
        <v/>
      </c>
      <c r="G3036" t="inlineStr">
        <is>
          <t>2019-10-04 08:07:35</t>
        </is>
      </c>
      <c r="H3036" t="inlineStr"/>
    </row>
    <row r="3037">
      <c r="A3037" t="inlineStr">
        <is>
          <t>dd95hi</t>
        </is>
      </c>
      <c r="B3037" t="inlineStr">
        <is>
          <t>Just like clockwork...</t>
        </is>
      </c>
      <c r="C3037" t="inlineStr">
        <is>
          <t>As of lately, my GERD attacks have been happening at a very weird time. I can eat dinner at 5:30-6:00, be fine and all good, snuggle up in bed and still be all good, fall asleep and still be all good, but it’s around 4 am that I start to get the gurgling in my breathing, and the taste of acid in my throat... it hurts and it’s getting to the point when I can tell when it’s happening even before it effects my breathing. So I guess that’s good? I’ve tried to call my GI Specialist and tell him about it, but he’s booked up until the end of the month... so he’s about as helpful as a buck with a hole in the bottom. 
Does anyone else have GERD attacks at weird times too? For the record, I’m still throwing everything up, my throat still burns like I’ve swallow gasoline, and I still throw up.. GERD is SO much fun isn’t it?</t>
        </is>
      </c>
      <c r="D3037" t="n">
        <v>2</v>
      </c>
      <c r="E3037" t="n">
        <v>14</v>
      </c>
      <c r="F3037">
        <f>HYPERLINK("https://www.reddit.com/r/GERD/comments/dd95hi/just_like_clockwork/")</f>
        <v/>
      </c>
      <c r="G3037" t="inlineStr">
        <is>
          <t>2019-10-04 08:47:36</t>
        </is>
      </c>
      <c r="H3037" t="inlineStr"/>
    </row>
    <row r="3038">
      <c r="A3038" t="inlineStr">
        <is>
          <t>dd9hmc</t>
        </is>
      </c>
      <c r="B3038" t="inlineStr">
        <is>
          <t>What to add to my pasta/ideas for gerd friendly lunch?</t>
        </is>
      </c>
      <c r="C3038" t="inlineStr">
        <is>
          <t>I used to always have pasta for lunch, can't do the tomato sauce, onions, garlic or oils, they all screw me up.
but pasta with nothing is not something i can eat.
Ideas for what I could add to my pasta? What do you guys usually eat for lunch?</t>
        </is>
      </c>
      <c r="D3038" t="n">
        <v>1</v>
      </c>
      <c r="E3038" t="n">
        <v>5</v>
      </c>
      <c r="F3038">
        <f>HYPERLINK("https://www.reddit.com/r/GERD/comments/dd9hmc/what_to_add_to_my_pastaideas_for_gerd_friendly/")</f>
        <v/>
      </c>
      <c r="G3038" t="inlineStr">
        <is>
          <t>2019-10-04 09:12:30</t>
        </is>
      </c>
      <c r="H3038" t="inlineStr"/>
    </row>
    <row r="3039">
      <c r="A3039" t="inlineStr">
        <is>
          <t>ddf54u</t>
        </is>
      </c>
      <c r="B3039" t="inlineStr">
        <is>
          <t>Burning abdomen all over</t>
        </is>
      </c>
      <c r="C3039" t="inlineStr">
        <is>
          <t>My abdomen burns all over lower and upper, has anyone experienced this? I burp a lot too.</t>
        </is>
      </c>
      <c r="D3039" t="n">
        <v>5</v>
      </c>
      <c r="E3039" t="n">
        <v>6</v>
      </c>
      <c r="F3039">
        <f>HYPERLINK("https://www.reddit.com/r/GERD/comments/ddf54u/burning_abdomen_all_over/")</f>
        <v/>
      </c>
      <c r="G3039" t="inlineStr">
        <is>
          <t>2019-10-04 16:09:25</t>
        </is>
      </c>
      <c r="H3039" t="inlineStr"/>
    </row>
    <row r="3040">
      <c r="A3040" t="inlineStr">
        <is>
          <t>ddgcj0</t>
        </is>
      </c>
      <c r="B3040" t="inlineStr">
        <is>
          <t>GERD? Acid Reflux medications?</t>
        </is>
      </c>
      <c r="C3040" t="inlineStr">
        <is>
          <t>17 years old currently and last night went to the hospital for chest pains when I woke up. The doctor said that I could have LVG in my heart? Could this be causing my acid reflux or gerd? He said that something might have caused it. Currently taking omeprazole (this is my second day) and all day I've felt like shit. Is this normal when you take acid reflux medicine?</t>
        </is>
      </c>
      <c r="D3040" t="n">
        <v>3</v>
      </c>
      <c r="E3040" t="n">
        <v>13</v>
      </c>
      <c r="F3040">
        <f>HYPERLINK("https://www.reddit.com/r/GERD/comments/ddgcj0/gerd_acid_reflux_medications/")</f>
        <v/>
      </c>
      <c r="G3040" t="inlineStr">
        <is>
          <t>2019-10-04 17:50:27</t>
        </is>
      </c>
      <c r="H3040" t="inlineStr"/>
    </row>
    <row r="3041">
      <c r="A3041" t="inlineStr">
        <is>
          <t>ddh2qa</t>
        </is>
      </c>
      <c r="B3041" t="inlineStr">
        <is>
          <t>Zinc Carnosine</t>
        </is>
      </c>
      <c r="C3041" t="inlineStr">
        <is>
          <t>After nothing has worked for me in the past 6 months since this started..this is actually helping.  Try it.  I am not a doctor.
[https://www.amazon.com/s?k=zinc+carnosine&amp;amp;crid=31KUC6IXPF2ZR&amp;amp;sprefix=zinc+carn%2Caps%2C376&amp;amp;ref=nb\_sb\_ss\_i\_1\_9](https://www.amazon.com/s?k=zinc+carnosine&amp;amp;crid=31KUC6IXPF2ZR&amp;amp;sprefix=zinc+carn%2Caps%2C376&amp;amp;ref=nb_sb_ss_i_1_9)</t>
        </is>
      </c>
      <c r="D3041" t="n">
        <v>2</v>
      </c>
      <c r="E3041" t="n">
        <v>4</v>
      </c>
      <c r="F3041">
        <f>HYPERLINK("https://www.reddit.com/r/GERD/comments/ddh2qa/zinc_carnosine/")</f>
        <v/>
      </c>
      <c r="G3041" t="inlineStr">
        <is>
          <t>2019-10-04 19:00:40</t>
        </is>
      </c>
      <c r="H3041" t="inlineStr"/>
    </row>
    <row r="3042">
      <c r="A3042" t="inlineStr">
        <is>
          <t>ddheqm</t>
        </is>
      </c>
      <c r="B3042" t="inlineStr">
        <is>
          <t>Garlic Question</t>
        </is>
      </c>
      <c r="C3042" t="inlineStr">
        <is>
          <t>My symptoms have gotten pretty bad. Very nauseous, bloated and over the last couple of days I’ve had this awful sweet taste in my throat. Is it a good idea to eat some raw garlic? I’ve heard that there are great antibiotics in garlic that could help, but also, I’ve heard that garlic can make matters worse. 
Who all have tried garlic and what were your results?</t>
        </is>
      </c>
      <c r="D3042" t="n">
        <v>2</v>
      </c>
      <c r="E3042" t="n">
        <v>6</v>
      </c>
      <c r="F3042">
        <f>HYPERLINK("https://www.reddit.com/r/GERD/comments/ddheqm/garlic_question/")</f>
        <v/>
      </c>
      <c r="G3042" t="inlineStr">
        <is>
          <t>2019-10-04 19:33:04</t>
        </is>
      </c>
      <c r="H3042" t="inlineStr"/>
    </row>
    <row r="3043">
      <c r="A3043" t="inlineStr">
        <is>
          <t>ddkknb</t>
        </is>
      </c>
      <c r="B3043" t="inlineStr">
        <is>
          <t>Severe abdomnial pain</t>
        </is>
      </c>
      <c r="C3043" t="inlineStr">
        <is>
          <t>So I've been good for a good two weeks, havent taken PPI, followed the AWD only symptom is post nasal drip -really happy and just glowing.
All of a sudden (literally two days ago) while eating dinner I get severe abdominal pain. Like I could barely walk the 10 minutes home from my friend. I had preped the food and knew there were no triggers. Still my stomach acted crazy and I was having an insane flare up. It's been like this ever since ans idk what to do.
Took 30 grams of pecan nuts for breakfast - severe pain. Why. Like severe as in Im layed on the floor crying and cramping -wtf is going on</t>
        </is>
      </c>
      <c r="D3043" t="n">
        <v>1</v>
      </c>
      <c r="E3043" t="n">
        <v>9</v>
      </c>
      <c r="F3043">
        <f>HYPERLINK("https://www.reddit.com/r/GERD/comments/ddkknb/severe_abdomnial_pain/")</f>
        <v/>
      </c>
      <c r="G3043" t="inlineStr">
        <is>
          <t>2019-10-05 01:31:28</t>
        </is>
      </c>
      <c r="H3043" t="inlineStr"/>
    </row>
    <row r="3044">
      <c r="A3044" t="inlineStr">
        <is>
          <t>ddnbkq</t>
        </is>
      </c>
      <c r="B3044" t="inlineStr">
        <is>
          <t>Symptoms slowly changing.</t>
        </is>
      </c>
      <c r="C3044" t="inlineStr">
        <is>
          <t>I have gone from burning chest with shortness of breath to sore throats in the morning with phlegm in throat.
It’s weird, because when I wake up my throat is pretty irritated. However, after hacking up/coughing mucus it feels much better. After clearing our phlegm the sore throat and phlegm are gone for rest of day. Fairly certain this is phlegm from the throat, I don’t feel like I cough it from lungs. It does feel like it’s coming from top to bottom of my esophagus though.
The progression of symptoms makes me believe something is healing, but my doctor appointment isn’t for another week. Anyone else in GERD city have any thoughts?</t>
        </is>
      </c>
      <c r="D3044" t="n">
        <v>3</v>
      </c>
      <c r="E3044" t="n">
        <v>11</v>
      </c>
      <c r="F3044">
        <f>HYPERLINK("https://www.reddit.com/r/GERD/comments/ddnbkq/symptoms_slowly_changing/")</f>
        <v/>
      </c>
      <c r="G3044" t="inlineStr">
        <is>
          <t>2019-10-05 06:34:34</t>
        </is>
      </c>
      <c r="H3044" t="inlineStr"/>
    </row>
    <row r="3045">
      <c r="A3045" t="inlineStr">
        <is>
          <t>ddo18h</t>
        </is>
      </c>
      <c r="B3045" t="inlineStr">
        <is>
          <t>After 3 years of GERD I'm cured!!</t>
        </is>
      </c>
      <c r="C3045" t="inlineStr">
        <is>
          <t>I was on omeprozole for 3 years on and off, with heartburns, sore throats, chronic cough, burping and gas. 3 weeks ago I came across this video on youtube:  [https://www.youtube.com/watch?v=7EIHwsL4tKQ](https://www.youtube.com/watch?v=7EIHwsL4tKQ)  
Watch from 16:38  
I thought the video made a lot of good points and I decided to give apple cider vinegar a shot. Every morning 30 minutes before meal i'd get a warm glass of water, add a spoonful of real organic honey from local farm and a tablespoon of organic non-filtered apple cider vinegar with Mother. In the meantime I took omeprazole only every second day, then every 3rd day and eventually stopped it completly. Just a week later, I literally feel like I'm reborn. I stopped coughing almost completely, now only a few coughs after a meal. Haven't had a heartburn in 2 weeks and my gas problem is cured as well. Today was the first day in 3 years I found the courage to try my favourite dish - spaghetti bolognese and guess what? Nothing!!  
After 3 years of suffering and doctors just saying ''hey, you'll need to be on meds for your entire life'', apple cider vinegar actually fixed it? Was my initial problem that was causing GERD just not enough acid in the stomach? Did anyone else experience tremendous improvement from ACV?</t>
        </is>
      </c>
      <c r="D3045" t="n">
        <v>1</v>
      </c>
      <c r="E3045" t="n">
        <v>0</v>
      </c>
      <c r="F3045">
        <f>HYPERLINK("https://www.reddit.com/r/GERD/comments/ddo18h/after_3_years_of_gerd_im_cured/")</f>
        <v/>
      </c>
      <c r="G3045" t="inlineStr">
        <is>
          <t>2019-10-05 07:38:22</t>
        </is>
      </c>
      <c r="H3045" t="inlineStr"/>
    </row>
    <row r="3046">
      <c r="A3046" t="inlineStr">
        <is>
          <t>ddodpw</t>
        </is>
      </c>
      <c r="B3046" t="inlineStr">
        <is>
          <t>GERD or just anxiety?</t>
        </is>
      </c>
      <c r="C3046" t="inlineStr">
        <is>
          <t>For the past few days, ive had very bad upper back pain suspected to be a muscle spasm or a pinched nerve. Along with that, i've had the feeling of acid reflux. a sour taste in  my mouth, shortness of breathe (i think my anxiety is making this worse than it really is, overthinking my breathing) food seems to be going down slower and the feeling of food stuck in my chest (breastbone area, right side) i constantly have the feeling that i need to burp, but nothing comes up. I seen my doctor about this and he prescribed me Tramadol for my back pain but after the first night of taking Tramadol, i felt very spaced out and sick from them so i refuse to take them, now taking paracetamol and using heat patches (seem to be working fine, pain is not as worse) he also prescribed me gastro resistant tablets called Pantium 40mg but they don't really seem to be working. Any advice is appreciated :)</t>
        </is>
      </c>
      <c r="D3046" t="n">
        <v>1</v>
      </c>
      <c r="E3046" t="n">
        <v>1</v>
      </c>
      <c r="F3046">
        <f>HYPERLINK("https://www.reddit.com/r/GERD/comments/ddodpw/gerd_or_just_anxiety/")</f>
        <v/>
      </c>
      <c r="G3046" t="inlineStr">
        <is>
          <t>2019-10-05 08:06:10</t>
        </is>
      </c>
      <c r="H3046" t="inlineStr"/>
    </row>
    <row r="3047">
      <c r="A3047" t="inlineStr">
        <is>
          <t>ddp38n</t>
        </is>
      </c>
      <c r="B3047" t="inlineStr">
        <is>
          <t>Alcohol of choice?</t>
        </is>
      </c>
      <c r="C3047" t="inlineStr">
        <is>
          <t>For the defiant ones who still enjoy a drink here and there, what’s your weapon? For me beer has no effect on GERD, while white wine will fuck shit up.</t>
        </is>
      </c>
      <c r="D3047" t="n">
        <v>9</v>
      </c>
      <c r="E3047" t="n">
        <v>25</v>
      </c>
      <c r="F3047">
        <f>HYPERLINK("https://www.reddit.com/r/GERD/comments/ddp38n/alcohol_of_choice/")</f>
        <v/>
      </c>
      <c r="G3047" t="inlineStr">
        <is>
          <t>2019-10-05 09:01:30</t>
        </is>
      </c>
      <c r="H3047" t="inlineStr"/>
    </row>
    <row r="3048">
      <c r="A3048" t="inlineStr">
        <is>
          <t>ddp9k8</t>
        </is>
      </c>
      <c r="B3048" t="inlineStr">
        <is>
          <t>recommend a bed riser?</t>
        </is>
      </c>
      <c r="C3048" t="inlineStr">
        <is>
          <t>I want to get something to raise my bed's head since most of the gerd damage is done while we sleep.
This one seems to be the #1 seller on amazon, but it has a lot of reviews saying that it broke...you guys have any experience with [this](https://www.amazon.com/Home-Adjustable-Risers-Furniture-Heights/dp/B00MH74S16/ref=sr_1_5?keywords=gerd+bed+risers&amp;amp;qid=1570291482&amp;amp;refinements=p_72%3A2661618011%2Cp_85%3A2470955011&amp;amp;rnid=2470954011&amp;amp;rps=1&amp;amp;sr=8-5#customerReviews)?
any other bed riser you can recommend?</t>
        </is>
      </c>
      <c r="D3048" t="n">
        <v>3</v>
      </c>
      <c r="E3048" t="n">
        <v>12</v>
      </c>
      <c r="F3048">
        <f>HYPERLINK("https://www.reddit.com/r/GERD/comments/ddp9k8/recommend_a_bed_riser/")</f>
        <v/>
      </c>
      <c r="G3048" t="inlineStr">
        <is>
          <t>2019-10-05 09:13:36</t>
        </is>
      </c>
      <c r="H3048" t="inlineStr"/>
    </row>
    <row r="3049">
      <c r="A3049" t="inlineStr">
        <is>
          <t>ddrgua</t>
        </is>
      </c>
      <c r="B3049" t="inlineStr">
        <is>
          <t>Is this Acid reflux or something else? At my wits end....</t>
        </is>
      </c>
      <c r="C3049" t="inlineStr">
        <is>
          <t>I am a 23 year old man. 10% body fat. Extremely healthy diet and lifestyle (95% of the time) and very few health problems bar mild to moderate asthma. I really want to get to the bottom of what is causing me issues. For the last two months I have experienced the bellow symptoms . I went to the doctor who prescribed me a PPI but I haven't taken it yet after reading how damaging they can be. He didn't really look at me, just assumed it was AR.
**Symptoms** \- 
\- Fullness in throat, between the back of mouth to midway down neck. Feels like mucus almost but a cough doesn't clear it. Feels like something is stuck in it, worsens in severity after eating or after fasting for a long period 
\- Difficulty swallowing 
\- Hoarse voice in morning and night 
\- Not really any burning feeling, or chest pain but sometimes bloated feeling
**Timeline**
**1996-2017** \- No experience of heartburn of any similar sensation. Gave up dairy in 2015 for acne but other than that had a typical grain and meat based diet. No problems 
**May 2017** \- During college exams, at 1am while studying, after drinking an energy drink and eating a few sweets. I started to experience a sensation of fullness in my throat and neck, accompanied by a feeling of rising liquid/acid/mucus. Was very scary, symptoms persisted very severely for a few hours, took an antacid, drank water and symptoms died down. Had slight re-occurrence of this feeling over the next few weeks but completely went away. 
**May 2017-August 2019** \- Nothing, living life, eating what I wanted, staying healthy.
**August 2019** \- Present - Return of symptoms after a trip to Ibiza where I had a poor diet, drank energy drinks and alcohol. Symptoms haven't left in 6 weeks despite flawless diet, no caffeine, no alcohol. 
&amp;amp;#x200B;
**\*CLiffs\***
I really would appreciate anyone who could answer these questions for me
&amp;amp;#x200B;
Does it sound like I have acid reflux?
What could be causing it and why won't it go away this time?
Should I take the PPI? 
What else can I do to improve it?</t>
        </is>
      </c>
      <c r="D3049" t="n">
        <v>2</v>
      </c>
      <c r="E3049" t="n">
        <v>11</v>
      </c>
      <c r="F3049">
        <f>HYPERLINK("https://www.reddit.com/r/GERD/comments/ddrgua/is_this_acid_reflux_or_something_else_at_my_wits/")</f>
        <v/>
      </c>
      <c r="G3049" t="inlineStr">
        <is>
          <t>2019-10-05 11:49:35</t>
        </is>
      </c>
      <c r="H3049" t="inlineStr"/>
    </row>
    <row r="3050">
      <c r="A3050" t="inlineStr">
        <is>
          <t>ddsqt8</t>
        </is>
      </c>
      <c r="B3050" t="inlineStr">
        <is>
          <t>Bloating as the only symptom of GERD?</t>
        </is>
      </c>
      <c r="C3050" t="inlineStr">
        <is>
          <t>Has anyone else experienced that?</t>
        </is>
      </c>
      <c r="D3050" t="n">
        <v>1</v>
      </c>
      <c r="E3050" t="n">
        <v>2</v>
      </c>
      <c r="F3050">
        <f>HYPERLINK("https://www.reddit.com/r/GERD/comments/ddsqt8/bloating_as_the_only_symptom_of_gerd/")</f>
        <v/>
      </c>
      <c r="G3050" t="inlineStr">
        <is>
          <t>2019-10-05 13:23:01</t>
        </is>
      </c>
      <c r="H3050" t="inlineStr"/>
    </row>
    <row r="3051">
      <c r="A3051" t="inlineStr">
        <is>
          <t>ddu05j</t>
        </is>
      </c>
      <c r="B3051" t="inlineStr">
        <is>
          <t>Accidentally took 2 pantoprazole 40mg</t>
        </is>
      </c>
      <c r="C3051" t="inlineStr">
        <is>
          <t>My doctor prescribed pantoprazole to me a few days go after i came into him complaining about reflux symptoms. He prescribed me pantoprazole or Pantium (Irish brand or gastro tablets) 40mg . Ive been taking them now for 2 days, 1 a day. I haven't been seeing any results from them so i decided to take another one tonight and afterwards realized, that it may be too much. Was this safe to do or am i just being my normal paranoid self?</t>
        </is>
      </c>
      <c r="D3051" t="n">
        <v>1</v>
      </c>
      <c r="E3051" t="n">
        <v>3</v>
      </c>
      <c r="F3051">
        <f>HYPERLINK("https://www.reddit.com/r/GERD/comments/ddu05j/accidentally_took_2_pantoprazole_40mg/")</f>
        <v/>
      </c>
      <c r="G3051" t="inlineStr">
        <is>
          <t>2019-10-05 15:01:22</t>
        </is>
      </c>
      <c r="H3051" t="inlineStr"/>
    </row>
    <row r="3052">
      <c r="A3052" t="inlineStr">
        <is>
          <t>ddvgwf</t>
        </is>
      </c>
      <c r="B3052" t="inlineStr">
        <is>
          <t>Feeling of heart dropping?</t>
        </is>
      </c>
      <c r="C3052" t="inlineStr">
        <is>
          <t>I have many symptoms of gerd but I'm not sure if this is normal?. I have been getting this feeling everyday and it feels like my heart drops for a second. I'm not sure what it is and it's really hard to explain what I'm experiencing. Does anyone have a clue or have similar symptoms? Please anything than can inform me helps.</t>
        </is>
      </c>
      <c r="D3052" t="n">
        <v>10</v>
      </c>
      <c r="E3052" t="n">
        <v>49</v>
      </c>
      <c r="F3052">
        <f>HYPERLINK("https://www.reddit.com/r/GERD/comments/ddvgwf/feeling_of_heart_dropping/")</f>
        <v/>
      </c>
      <c r="G3052" t="inlineStr">
        <is>
          <t>2019-10-05 16:51:19</t>
        </is>
      </c>
      <c r="H3052" t="inlineStr"/>
    </row>
    <row r="3053">
      <c r="A3053" t="inlineStr">
        <is>
          <t>ddwds5</t>
        </is>
      </c>
      <c r="B3053" t="inlineStr">
        <is>
          <t>If you're gonna drink alcohol, is it better to take PPI or not?</t>
        </is>
      </c>
      <c r="C3053" t="inlineStr">
        <is>
          <t>Just want to know if Im planning to drink tomorrow. Is it better to not take my PPI for the day or is it still better to take it?  Specifically pantoprazole for me but I'm assuming its for all of them?</t>
        </is>
      </c>
      <c r="D3053" t="n">
        <v>2</v>
      </c>
      <c r="E3053" t="n">
        <v>2</v>
      </c>
      <c r="F3053">
        <f>HYPERLINK("https://www.reddit.com/r/GERD/comments/ddwds5/if_youre_gonna_drink_alcohol_is_it_better_to_take/")</f>
        <v/>
      </c>
      <c r="G3053" t="inlineStr">
        <is>
          <t>2019-10-05 18:03:35</t>
        </is>
      </c>
      <c r="H3053" t="inlineStr"/>
    </row>
    <row r="3054">
      <c r="A3054" t="inlineStr">
        <is>
          <t>ddy16l</t>
        </is>
      </c>
      <c r="B3054" t="inlineStr">
        <is>
          <t>I may have GERD and it scared me.</t>
        </is>
      </c>
      <c r="C3054" t="inlineStr">
        <is>
          <t>I think I have it and It scares me.  Every few weeks ago I’ll wake up coughing and have this weird vomit / bitter like taste in my mouth after I stop coughing and my throat hurts temporarily.  
I looked it up and I’m sure it’s one of the symptoms of GERD.  I get heart burn or burly every so often regardless of what I eat. 
I know it was caused by my weight gain over the past decade as I’ve gained 80lbs.  I’m 5’6” 230 ish lb female. 
I can deal with the heartburn but it is the waking up coughing that freaks me out.  I haven’t gone to the doctor yet because I wanted to try and minimize symptoms by continuing to be proactive with weight loss. 
In the mean time what has everyone done about their GERD? Especially with heartburn regardless of what I eat.</t>
        </is>
      </c>
      <c r="D3054" t="n">
        <v>1</v>
      </c>
      <c r="E3054" t="n">
        <v>16</v>
      </c>
      <c r="F3054">
        <f>HYPERLINK("https://www.reddit.com/r/GERD/comments/ddy16l/i_may_have_gerd_and_it_scared_me/")</f>
        <v/>
      </c>
      <c r="G3054" t="inlineStr">
        <is>
          <t>2019-10-05 20:33:46</t>
        </is>
      </c>
      <c r="H3054" t="inlineStr"/>
    </row>
    <row r="3055">
      <c r="A3055" t="inlineStr">
        <is>
          <t>ddy91f</t>
        </is>
      </c>
      <c r="B3055" t="inlineStr">
        <is>
          <t>Favorite dessert on the Acid Watcher Diet?</t>
        </is>
      </c>
      <c r="C3055" t="inlineStr">
        <is>
          <t>Sweet tooths will be my family’s end. We can eat healthily all day but that period after dinner is the biggest window to sabotage ourselves and undermine all our good work by giving in to the craving for sweets.
For those on the AWD or any other GERD diet, what’s a good substitute for chocolate and all the other triggery sweets?</t>
        </is>
      </c>
      <c r="D3055" t="n">
        <v>4</v>
      </c>
      <c r="E3055" t="n">
        <v>2</v>
      </c>
      <c r="F3055">
        <f>HYPERLINK("https://www.reddit.com/r/GERD/comments/ddy91f/favorite_dessert_on_the_acid_watcher_diet/")</f>
        <v/>
      </c>
      <c r="G3055" t="inlineStr">
        <is>
          <t>2019-10-05 20:55:04</t>
        </is>
      </c>
      <c r="H3055" t="inlineStr"/>
    </row>
    <row r="3056">
      <c r="A3056" t="inlineStr">
        <is>
          <t>ddyynf</t>
        </is>
      </c>
      <c r="B3056" t="inlineStr">
        <is>
          <t>Have PPis fixed anyone's acid relfux completely?</t>
        </is>
      </c>
      <c r="C3056" t="inlineStr">
        <is>
          <t>My doctor has given me Omeprazol 40mg to take every day for the next month. He just assumed my problems were coming from Acid reflux given my description: tightness and fullness in throat, sore throat, slight burning sensation. The symptoms came up a month ago and havent left since. 
Thing is ive tried a lot of over the counter remedies and home remedies to not much effect. Here's what I've tried so far: 
Rennie - seems to have a temp effect but very minimal 
Gaviscon - Helped at first but now no effect, suspect it could be making it worse
Apple Cider Vinegar - Helped but unsure if placebo 
Healthy diet - Plant based, low acid diet, seems to help but only reduce symptoms not get rid of them 
Im wary of taking these PPIs because Ive heard stories of Acid rebound and becoming reliant on them for relief. Im 23 and dont want this.
Has anyone taken PPis and actually got rid of Acid Reflux? I</t>
        </is>
      </c>
      <c r="D3056" t="n">
        <v>7</v>
      </c>
      <c r="E3056" t="n">
        <v>36</v>
      </c>
      <c r="F3056">
        <f>HYPERLINK("https://www.reddit.com/r/GERD/comments/ddyynf/have_ppis_fixed_anyones_acid_relfux_completely/")</f>
        <v/>
      </c>
      <c r="G3056" t="inlineStr">
        <is>
          <t>2019-10-05 22:12:25</t>
        </is>
      </c>
      <c r="H3056" t="inlineStr"/>
    </row>
    <row r="3057">
      <c r="A3057" t="inlineStr">
        <is>
          <t>de1suz</t>
        </is>
      </c>
      <c r="B3057" t="inlineStr">
        <is>
          <t>A couple tricks to avoid GERD morning symptoms</t>
        </is>
      </c>
      <c r="C3057" t="inlineStr">
        <is>
          <t>I found two things that helped me make it though the morning without vomiting. Standing while eating and chugging a water bottle right before bed. Idk if it will mean anything to any of you guys but it I could help one or two of y’all avoid those symptoms, then why not post it. GERD sucks lol</t>
        </is>
      </c>
      <c r="D3057" t="n">
        <v>11</v>
      </c>
      <c r="E3057" t="n">
        <v>5</v>
      </c>
      <c r="F3057">
        <f>HYPERLINK("https://www.reddit.com/r/GERD/comments/de1suz/a_couple_tricks_to_avoid_gerd_morning_symptoms/")</f>
        <v/>
      </c>
      <c r="G3057" t="inlineStr">
        <is>
          <t>2019-10-06 03:59:28</t>
        </is>
      </c>
      <c r="H3057" t="inlineStr"/>
    </row>
    <row r="3058">
      <c r="A3058" t="inlineStr">
        <is>
          <t>de2ric</t>
        </is>
      </c>
      <c r="B3058" t="inlineStr">
        <is>
          <t>GERD increases my blood pressure and anxiety</t>
        </is>
      </c>
      <c r="C3058" t="inlineStr">
        <is>
          <t>I have a resting heart rate of 55 and usually my bp is 110-70 or 100-60
Now when I get GERD I develop higher bp around  130-90 and this brings anxiety 
Anxiety sufferer for 2 years due to alcohol withdrawal but beat it 
Now the anxiety returns as soon as bp goes higher.
Have retmif way from walks due to this 
Already under weight and now this is causing me to eat even lesser 
All that years of alcoholism might be responsible</t>
        </is>
      </c>
      <c r="D3058" t="n">
        <v>2</v>
      </c>
      <c r="E3058" t="n">
        <v>2</v>
      </c>
      <c r="F3058">
        <f>HYPERLINK("https://www.reddit.com/r/GERD/comments/de2ric/gerd_increases_my_blood_pressure_and_anxiety/")</f>
        <v/>
      </c>
      <c r="G3058" t="inlineStr">
        <is>
          <t>2019-10-06 05:45:37</t>
        </is>
      </c>
      <c r="H3058" t="inlineStr"/>
    </row>
    <row r="3059">
      <c r="A3059" t="inlineStr">
        <is>
          <t>de35lr</t>
        </is>
      </c>
      <c r="B3059" t="inlineStr">
        <is>
          <t>"Atypical" GERD symptoms</t>
        </is>
      </c>
      <c r="C3059" t="inlineStr">
        <is>
          <t>Does anyone get frustrated because their symptoms don't fit into the standard description of GERD? The part that has been most anxiety-causing for me is that I don't have classic symptoms or visible esophageal damage or anything. 
Along with mild chest pain, it mostly goes directly to my left arm and upper-middle back, along with my throat. I am almost 100% sure it's reflux (be it GERD, NERD, or some other variant) because it happens when I eat anything remotely acidic. Already had an upper endoscopy with no visible damage, along with a manometry that showed severe esophageal motility issues. Waiting on a barium swallow and other tests in a few weeks, along with results from an h Pylori test.
The doctors gave me Protonix and Bethanechol, but after more than a month of taking those, I think the meds have made everything worse, because they create even more symptoms than I have already (such as major bloating, stomach pain, joint paint, etc.). So I'm weaning off the meds and realizing that for me, it's more about lifestyle changes (diet, how you eat, when you eat, how you sleep, managing stress, etc.).
Anyway, I wish doctors would stop saying things like "your symptoms are atypical." It would help a lot with anxiety if they simply said, "sure, that could be reflux, too!" Sometimes all we really need is an explanation/diagnosis and a little bit of good bedside manner.</t>
        </is>
      </c>
      <c r="D3059" t="n">
        <v>4</v>
      </c>
      <c r="E3059" t="n">
        <v>8</v>
      </c>
      <c r="F3059">
        <f>HYPERLINK("https://www.reddit.com/r/GERD/comments/de35lr/atypical_gerd_symptoms/")</f>
        <v/>
      </c>
      <c r="G3059" t="inlineStr">
        <is>
          <t>2019-10-06 06:20:59</t>
        </is>
      </c>
      <c r="H3059" t="inlineStr"/>
    </row>
    <row r="3060">
      <c r="A3060" t="inlineStr">
        <is>
          <t>de4do4</t>
        </is>
      </c>
      <c r="B3060" t="inlineStr">
        <is>
          <t>One of the worst nights sleep of my life. What is this hell????</t>
        </is>
      </c>
      <c r="C3060" t="inlineStr">
        <is>
          <t>Had one of the worst nights sleep of my life. I didn't even sleep. I wanted to call the emergency doctor open 24/7 but my mom wouldn't let me as she does't believe the pain i'm in and thinks i'm making it up, same with my dad. I dont know how i can show them that it really does hurt. Am i supposed to drop dead on the floor for to realize?  All night i just layed in bed upright all night. Each time i layed down, i felt like something was coming up so i sat back up again and would belch 5 times in a row and it really hurt my chest (water helped the belch come up so i was going to the bathroom alot last night too.) I was also very nauseous and was so terrified to puke (a huge phobia of mine is puking) If i can't burp, then how am i going to get puke up? And if i did puke, it would be a hard puke and would hurt my chest. I've been having alot of chest pains especially today,  it's a dull pain but very uncomfortable and worrisome.  I also have a pain in my throat above my collarbone where it feels like i have a lump and i'm constantly swallowing. I'm starting to get a sore throat too. And the heartburn is just non stop, it burns but it feels cold..if that makes any sense, all around my chest. On top of all this, ive had a upper back pain for the past few days aswell, right shoulder blade area. Feels like a knot and the pain is radiating into my head and makes the back of my skull feel like it's being squeezed tightly. Oh not to mention, i haven't ate proper food in about 5 days since this alll began. I can't tell if i'm hungry or the burning sensation in my stomach is the acid. And i'm too scared to eat incase i puke cos of my phobia to puke. Anytime i try to eat, i just get extremely nausea and can't finish. Not even soup or toast. 
Fyi: I've been to the doctor about this and he checked my back and said it was probably pinched nerve and told him that i'm having symptoms of acid reflux. He prescribed me a painkiller for my back called Tramadol 340mg l, took one on the first night and made feel very spaced out and weird. I hated it so i refuse to take it. Heat patches seem to help and just regular paracetamol. Also prescribed me a gastro tablet called Pantium 40mg (Irish brand as i'm in Ireland), they don't seem to be do anything so i've resorted to taking Nexium and Gaviscon. These past few days have been rough and scary, i've cried and moaned to my parents to bring me to the ER or call the 24/7 doctor because ive been so scared. I have a doctors appointment again tomorrow at 7 pm so hopefully i can chat to him about everything and see what can be done. I'm hoping to get a scan or endoscopy just to make sure everything is okay. I can't go another day without sleeping or eating.</t>
        </is>
      </c>
      <c r="D3060" t="n">
        <v>3</v>
      </c>
      <c r="E3060" t="n">
        <v>5</v>
      </c>
      <c r="F3060">
        <f>HYPERLINK("https://www.reddit.com/r/GERD/comments/de4do4/one_of_the_worst_nights_sleep_of_my_life_what_is/")</f>
        <v/>
      </c>
      <c r="G3060" t="inlineStr">
        <is>
          <t>2019-10-06 08:04:18</t>
        </is>
      </c>
      <c r="H3060" t="inlineStr"/>
    </row>
    <row r="3061">
      <c r="A3061" t="inlineStr">
        <is>
          <t>de5416</t>
        </is>
      </c>
      <c r="B3061" t="inlineStr">
        <is>
          <t>Tips/Help</t>
        </is>
      </c>
      <c r="C3061" t="inlineStr">
        <is>
          <t>I’m pretty new to GERD. I’ve recently been diagnosed with gastritis and GERD. I often have lots of diarrhea and I’m wondering if this is normal? My stomach is constantly in pain also. 
Also- I’m working on the GERD diet even though it feels impossible. What are good snacks to have? Also I’m addicted to diet soda- what do you drink instead??</t>
        </is>
      </c>
      <c r="D3061" t="n">
        <v>2</v>
      </c>
      <c r="E3061" t="n">
        <v>2</v>
      </c>
      <c r="F3061">
        <f>HYPERLINK("https://www.reddit.com/r/GERD/comments/de5416/tipshelp/")</f>
        <v/>
      </c>
      <c r="G3061" t="inlineStr">
        <is>
          <t>2019-10-06 09:00:25</t>
        </is>
      </c>
      <c r="H3061" t="inlineStr"/>
    </row>
    <row r="3062">
      <c r="A3062" t="inlineStr">
        <is>
          <t>de562c</t>
        </is>
      </c>
      <c r="B3062" t="inlineStr">
        <is>
          <t>Last night</t>
        </is>
      </c>
      <c r="C3062" t="inlineStr">
        <is>
          <t>I haven't been to Dr yet. But I think I have reflux. I do take protonix. But I was woken up coughing up what tasted like vomit.. It was very acidity and I ended up eating tums and another protonix to help. Any thoughts?</t>
        </is>
      </c>
      <c r="D3062" t="n">
        <v>1</v>
      </c>
      <c r="E3062" t="n">
        <v>1</v>
      </c>
      <c r="F3062">
        <f>HYPERLINK("https://www.reddit.com/r/GERD/comments/de562c/last_night/")</f>
        <v/>
      </c>
      <c r="G3062" t="inlineStr">
        <is>
          <t>2019-10-06 09:04:39</t>
        </is>
      </c>
      <c r="H3062" t="inlineStr"/>
    </row>
    <row r="3063">
      <c r="A3063" t="inlineStr">
        <is>
          <t>de5rah</t>
        </is>
      </c>
      <c r="B3063" t="inlineStr">
        <is>
          <t>Is coffee a no go with reflux?</t>
        </is>
      </c>
      <c r="C3063" t="inlineStr">
        <is>
          <t>I still have a hard time noticing my triggers.  I guess most of my reflux is silent.  I still drink a cup of coffee almost every day.</t>
        </is>
      </c>
      <c r="D3063" t="n">
        <v>10</v>
      </c>
      <c r="E3063" t="n">
        <v>28</v>
      </c>
      <c r="F3063">
        <f>HYPERLINK("https://www.reddit.com/r/GERD/comments/de5rah/is_coffee_a_no_go_with_reflux/")</f>
        <v/>
      </c>
      <c r="G3063" t="inlineStr">
        <is>
          <t>2019-10-06 09:48:02</t>
        </is>
      </c>
      <c r="H3063" t="inlineStr"/>
    </row>
    <row r="3064">
      <c r="A3064" t="inlineStr">
        <is>
          <t>de6lrc</t>
        </is>
      </c>
      <c r="B3064" t="inlineStr">
        <is>
          <t>Dark Chocolate</t>
        </is>
      </c>
      <c r="C3064" t="inlineStr">
        <is>
          <t>So I’ve just read online that one way to help heal an ulcer is from dark chocolate. This was particularly striking because I’ve also hear that chocolate in general is usually a MAJOR trigger from gastritis. I guess what I’m getting at is... how will eating dark chocolate help heal your stomach if it also causes an increase in acid??</t>
        </is>
      </c>
      <c r="D3064" t="n">
        <v>0</v>
      </c>
      <c r="E3064" t="n">
        <v>5</v>
      </c>
      <c r="F3064">
        <f>HYPERLINK("https://www.reddit.com/r/GERD/comments/de6lrc/dark_chocolate/")</f>
        <v/>
      </c>
      <c r="G3064" t="inlineStr">
        <is>
          <t>2019-10-06 10:49:05</t>
        </is>
      </c>
      <c r="H3064" t="inlineStr"/>
    </row>
    <row r="3065">
      <c r="A3065" t="inlineStr">
        <is>
          <t>de7c5z</t>
        </is>
      </c>
      <c r="B3065" t="inlineStr">
        <is>
          <t>Alternative to Zantac</t>
        </is>
      </c>
      <c r="C3065" t="inlineStr">
        <is>
          <t>Hi Everyone. Now that Zantac is in the process of being recalled, does anyone else have an alternative medicine that can treat heartburn right away? I am on heartburn management medications, but sometimes the reflux is so bad immediate relief is needed. I have tried Gaviscon which helps some, but nothing as good as Zantac did/does. Thanks!</t>
        </is>
      </c>
      <c r="D3065" t="n">
        <v>2</v>
      </c>
      <c r="E3065" t="n">
        <v>3</v>
      </c>
      <c r="F3065">
        <f>HYPERLINK("https://www.reddit.com/r/GERD/comments/de7c5z/alternative_to_zantac/")</f>
        <v/>
      </c>
      <c r="G3065" t="inlineStr">
        <is>
          <t>2019-10-06 11:38:13</t>
        </is>
      </c>
      <c r="H3065" t="inlineStr"/>
    </row>
    <row r="3066">
      <c r="A3066" t="inlineStr">
        <is>
          <t>de8c0y</t>
        </is>
      </c>
      <c r="B3066" t="inlineStr">
        <is>
          <t>I just can not eat anything</t>
        </is>
      </c>
      <c r="C3066" t="inlineStr">
        <is>
          <t>For the past week, i've had no appetite and just can't seem to swallow anything. I've tried plain toast, bananas, cereal, chicken, rice and i just can't stomach it. even thinking of food makes me want to puke. Anything i swallow, feels like it's getting stuck in my chest and then i get sharp pains in my chest and a burning sensation in my stomach. I constantly have a sour taste in my mouth too and occasionally, i'll belch and they hurt my chest and taste bad. I also have a phobia of puke and i'm petrified of puking. Anyone have any ideas what i can do? I need to eat something or i'll be really sick and end up in the hospital.</t>
        </is>
      </c>
      <c r="D3066" t="n">
        <v>1</v>
      </c>
      <c r="E3066" t="n">
        <v>0</v>
      </c>
      <c r="F3066">
        <f>HYPERLINK("https://www.reddit.com/r/GERD/comments/de8c0y/i_just_can_not_eat_anything/")</f>
        <v/>
      </c>
      <c r="G3066" t="inlineStr">
        <is>
          <t>2019-10-06 12:50:12</t>
        </is>
      </c>
      <c r="H3066" t="inlineStr"/>
    </row>
    <row r="3067">
      <c r="A3067" t="inlineStr">
        <is>
          <t>de9ipp</t>
        </is>
      </c>
      <c r="B3067" t="inlineStr">
        <is>
          <t>Do symptoms dissapear?</t>
        </is>
      </c>
      <c r="C3067" t="inlineStr">
        <is>
          <t>About a year ago I was diagnosed with gerd. In the last 5 months my symptoms are basically non-existent. I was taking Randitidine but stopped about a week ago bc of the recent news. I drink coffee most mornings and I dont get acidy or have any other symptoms, I get a little heart burn when I eat pizza but that's about it. Do yall think the doctors just misdiagnosed me or has anyone else experienced this?</t>
        </is>
      </c>
      <c r="D3067" t="n">
        <v>4</v>
      </c>
      <c r="E3067" t="n">
        <v>10</v>
      </c>
      <c r="F3067">
        <f>HYPERLINK("https://www.reddit.com/r/GERD/comments/de9ipp/do_symptoms_dissapear/")</f>
        <v/>
      </c>
      <c r="G3067" t="inlineStr">
        <is>
          <t>2019-10-06 14:14:30</t>
        </is>
      </c>
      <c r="H3067" t="inlineStr"/>
    </row>
    <row r="3068">
      <c r="A3068" t="inlineStr">
        <is>
          <t>debzz6</t>
        </is>
      </c>
      <c r="B3068" t="inlineStr">
        <is>
          <t>Constant cycle</t>
        </is>
      </c>
      <c r="C3068" t="inlineStr">
        <is>
          <t>Anyone else in a constant cycle of not being able to breath for 3 or so seconds after eating (only occasionally) but then having a panic attack afterwards and thinking ur gonna fkn die? GERD, I’m real sick of you.</t>
        </is>
      </c>
      <c r="D3068" t="n">
        <v>3</v>
      </c>
      <c r="E3068" t="n">
        <v>0</v>
      </c>
      <c r="F3068">
        <f>HYPERLINK("https://www.reddit.com/r/GERD/comments/debzz6/constant_cycle/")</f>
        <v/>
      </c>
      <c r="G3068" t="inlineStr">
        <is>
          <t>2019-10-06 17:34:57</t>
        </is>
      </c>
      <c r="H3068" t="inlineStr"/>
    </row>
    <row r="3069">
      <c r="A3069" t="inlineStr">
        <is>
          <t>dec9gq</t>
        </is>
      </c>
      <c r="B3069" t="inlineStr">
        <is>
          <t>Can anxiety cause LPR?</t>
        </is>
      </c>
      <c r="C3069" t="inlineStr">
        <is>
          <t>28 year old male. Former collegiate baseball player. Healthy. 
In April, I had my first ever panic attack. Within a week of that, there’s been a mucus in the back of my throat that I can’t shake. I’ve tried tons of different allergy medications as I do have seasonal allergies. After doing research online, it appears LPR could be the root cause of post nasal drip. I clear my throat hundreds of times throughout the day. 
Any input is greatly appreciated.</t>
        </is>
      </c>
      <c r="D3069" t="n">
        <v>5</v>
      </c>
      <c r="E3069" t="n">
        <v>19</v>
      </c>
      <c r="F3069">
        <f>HYPERLINK("https://www.reddit.com/r/GERD/comments/dec9gq/can_anxiety_cause_lpr/")</f>
        <v/>
      </c>
      <c r="G3069" t="inlineStr">
        <is>
          <t>2019-10-06 17:56:27</t>
        </is>
      </c>
      <c r="H3069" t="inlineStr"/>
    </row>
    <row r="3070">
      <c r="A3070" t="inlineStr">
        <is>
          <t>dedahk</t>
        </is>
      </c>
      <c r="B3070" t="inlineStr">
        <is>
          <t>Is this a common thing in GERD?</t>
        </is>
      </c>
      <c r="C3070" t="inlineStr">
        <is>
          <t>Hi.  For the past week or longer now I feel like I have a golf ball in my throat.  Like a air bubble that wont go away.  Mostly shows up after I eat.  I have had it before a while back  maybe once or twice. But now its not leaving. I am assuming its due to acid reflux and started taking antacids  yesterday.  I have had various digestive conditions here and there but this is new and unpleasant it stays almost all day more or less.  Should I be concerned? 
&amp;amp;#x200B;
Thanks.</t>
        </is>
      </c>
      <c r="D3070" t="n">
        <v>1</v>
      </c>
      <c r="E3070" t="n">
        <v>5</v>
      </c>
      <c r="F3070">
        <f>HYPERLINK("https://www.reddit.com/r/GERD/comments/dedahk/is_this_a_common_thing_in_gerd/")</f>
        <v/>
      </c>
      <c r="G3070" t="inlineStr">
        <is>
          <t>2019-10-06 19:26:17</t>
        </is>
      </c>
      <c r="H3070" t="inlineStr"/>
    </row>
    <row r="3071">
      <c r="A3071" t="inlineStr">
        <is>
          <t>deekv7</t>
        </is>
      </c>
      <c r="B3071" t="inlineStr">
        <is>
          <t>Vomiting randomly??</t>
        </is>
      </c>
      <c r="C3071" t="inlineStr">
        <is>
          <t>Hello all~I’m a female aged 22, and I’ve had reflux for most of my life (since I was very young, around 5 or 6 maybe). I apologize in advance for the jumbled nature of this 🤧
I’ve found myself vomiting randomly twice in the past month and am now wondering if it could be from reflux. Example: yesterday I ate around 3 pm, and ate nothing else after that for the rest of the day, then I laid down to sleep at maybe 10pm? Within 30 minutes I suddenly got super nauseous and threw up. Normally my throat doesn’t feel too great after throwing up (lol), but this time the burning was so bad and I was coughing up bloody mucus for a little while afterwards. 
My stomach gets upset quite often but it usually happens instantly, not 7 hours after eating, and I don’t vomit... it usually exits through the other end :’)
But anyways, I’ve never experienced this before, other than the occasional burping up of acid/bile, throwing up is not common for me. Has anyone els3 dealt with something similar???</t>
        </is>
      </c>
      <c r="D3071" t="n">
        <v>2</v>
      </c>
      <c r="E3071" t="n">
        <v>9</v>
      </c>
      <c r="F3071">
        <f>HYPERLINK("https://www.reddit.com/r/GERD/comments/deekv7/vomiting_randomly/")</f>
        <v/>
      </c>
      <c r="G3071" t="inlineStr">
        <is>
          <t>2019-10-06 21:28:02</t>
        </is>
      </c>
      <c r="H3071" t="inlineStr"/>
    </row>
    <row r="3072">
      <c r="A3072" t="inlineStr">
        <is>
          <t>def1te</t>
        </is>
      </c>
      <c r="B3072" t="inlineStr">
        <is>
          <t>Chest pressure/difficulty beathing</t>
        </is>
      </c>
      <c r="C3072" t="inlineStr">
        <is>
          <t>Hey all, I’m a 26 year old male who has been having problems with my stomach and breathing for the past year and half. And I want to see if anyone has the same symptoms because having difficulty breathing is a very scary thing..
I’m a very active person and exercise regularly. It all started about a year and half ago when I would be playing basketball and occasionally I felt like I was gasping for air..I feels like I couldn’t get enough air into my lungs and there’s chest pressure. It actually got really serious where I had to be taken to the ER. Doctors ran some tests and my lungs and heart are all fine. They said I might have gerd and prescribed some meds for it. However this breathing problem has been quite persistent and recently it came back again.
I want to ask you, have any of you experienced anything similar? I know I have stomach problems because of indigestion, feeling of lump in throat, gas, and bloating. But can gerd make you feel like you can’t get enough air especially when you are exercising intensely? 
Thank you, any help is appreciated.</t>
        </is>
      </c>
      <c r="D3072" t="n">
        <v>1</v>
      </c>
      <c r="E3072" t="n">
        <v>13</v>
      </c>
      <c r="F3072">
        <f>HYPERLINK("https://www.reddit.com/r/GERD/comments/def1te/chest_pressuredifficulty_beathing/")</f>
        <v/>
      </c>
      <c r="G3072" t="inlineStr">
        <is>
          <t>2019-10-06 22:18:52</t>
        </is>
      </c>
      <c r="H3072" t="inlineStr"/>
    </row>
    <row r="3073">
      <c r="A3073" t="inlineStr">
        <is>
          <t>deh1jh</t>
        </is>
      </c>
      <c r="B3073" t="inlineStr">
        <is>
          <t>Waking up with stuff in my throat</t>
        </is>
      </c>
      <c r="C3073" t="inlineStr">
        <is>
          <t>Hello,
just a question, because I wake up with stuff in my throat (I guess a lot of people have that) but what irritates me, is that it is white and kinda hard, like liquid protein?... Almost like normal spit..</t>
        </is>
      </c>
      <c r="D3073" t="n">
        <v>1</v>
      </c>
      <c r="E3073" t="n">
        <v>4</v>
      </c>
      <c r="F3073">
        <f>HYPERLINK("https://www.reddit.com/r/GERD/comments/deh1jh/waking_up_with_stuff_in_my_throat/")</f>
        <v/>
      </c>
      <c r="G3073" t="inlineStr">
        <is>
          <t>2019-10-07 02:23:04</t>
        </is>
      </c>
      <c r="H3073" t="inlineStr"/>
    </row>
    <row r="3074">
      <c r="A3074" t="inlineStr">
        <is>
          <t>deiyla</t>
        </is>
      </c>
      <c r="B3074" t="inlineStr">
        <is>
          <t>Acid Reflux/GERD with no heartburn or burning sensation?</t>
        </is>
      </c>
      <c r="C3074" t="inlineStr">
        <is>
          <t>So a couple days ago I went to the hospital for chest pains because I woke up with them. The doctor had said to take omeprazole and these past couple of days I've felt like shit (some if it due to my anxiety). What I've noticed though after being on this subreddit is I've only felt a "burn" in my chest once ever, and it was a day after taking omeprazole. Usually I only feel chest pains, shortness of breath, also being very gassy and belching often. Are these related to acid reflux/gerd? Since most people describe it as heart burn.</t>
        </is>
      </c>
      <c r="D3074" t="n">
        <v>4</v>
      </c>
      <c r="E3074" t="n">
        <v>11</v>
      </c>
      <c r="F3074">
        <f>HYPERLINK("https://www.reddit.com/r/GERD/comments/deiyla/acid_refluxgerd_with_no_heartburn_or_burning/")</f>
        <v/>
      </c>
      <c r="G3074" t="inlineStr">
        <is>
          <t>2019-10-07 05:47:05</t>
        </is>
      </c>
      <c r="H3074" t="inlineStr"/>
    </row>
    <row r="3075">
      <c r="A3075" t="inlineStr">
        <is>
          <t>dejxm3</t>
        </is>
      </c>
      <c r="B3075" t="inlineStr">
        <is>
          <t>First ER trip</t>
        </is>
      </c>
      <c r="C3075" t="inlineStr">
        <is>
          <t>First ER trip last night due to symptoms that were GERD. 250$ and 4 hours only to be told it was GERD is so frustrating. They want me to schedule an endoscopy due to the severity of my inability to swallow after eating certain foods. Anybody have any experience with endoscopys? What info do they provide and with what different solution?</t>
        </is>
      </c>
      <c r="D3075" t="n">
        <v>3</v>
      </c>
      <c r="E3075" t="n">
        <v>4</v>
      </c>
      <c r="F3075">
        <f>HYPERLINK("https://www.reddit.com/r/GERD/comments/dejxm3/first_er_trip/")</f>
        <v/>
      </c>
      <c r="G3075" t="inlineStr">
        <is>
          <t>2019-10-07 07:08:47</t>
        </is>
      </c>
      <c r="H3075" t="inlineStr"/>
    </row>
    <row r="3076">
      <c r="A3076" t="inlineStr">
        <is>
          <t>dek6x4</t>
        </is>
      </c>
      <c r="B3076" t="inlineStr">
        <is>
          <t>GERD as a result of LOW acid content</t>
        </is>
      </c>
      <c r="C3076" t="inlineStr">
        <is>
          <t>Does anyone think their GERD can be a result of a lack of a sufficient quantity of digestive acid?
It seems counterintuitive but.... I get better after eating an orange after meals (promotes secretion of acids), better after Pineapple (bromaline helps also) and my usual burn out sensation pill (calcium/magnesium carbonite) seem to make me worse now because my old brand had Bromaline and other things included but this new brand only has the anti-acid components... made me think.
My GERD is usually worse at nighttime and it wakes me up.
Thanks for any input.</t>
        </is>
      </c>
      <c r="D3076" t="n">
        <v>0</v>
      </c>
      <c r="E3076" t="n">
        <v>4</v>
      </c>
      <c r="F3076">
        <f>HYPERLINK("https://www.reddit.com/r/GERD/comments/dek6x4/gerd_as_a_result_of_low_acid_content/")</f>
        <v/>
      </c>
      <c r="G3076" t="inlineStr">
        <is>
          <t>2019-10-07 07:28:42</t>
        </is>
      </c>
      <c r="H3076" t="inlineStr"/>
    </row>
    <row r="3077">
      <c r="A3077" t="inlineStr">
        <is>
          <t>dekb6q</t>
        </is>
      </c>
      <c r="B3077" t="inlineStr">
        <is>
          <t>Cause of the fullness and bloated feeling?</t>
        </is>
      </c>
      <c r="C3077" t="inlineStr">
        <is>
          <t>Has anyone found research as to what causes the full, bloated feeling? I'm curious if it's due to inflammation, gas, or what. It's a strange thing when you haven't eaten that much and find yourself feeling stuffed hours later as you try to sleep.</t>
        </is>
      </c>
      <c r="D3077" t="n">
        <v>8</v>
      </c>
      <c r="E3077" t="n">
        <v>26</v>
      </c>
      <c r="F3077">
        <f>HYPERLINK("https://www.reddit.com/r/GERD/comments/dekb6q/cause_of_the_fullness_and_bloated_feeling/")</f>
        <v/>
      </c>
      <c r="G3077" t="inlineStr">
        <is>
          <t>2019-10-07 07:37:53</t>
        </is>
      </c>
      <c r="H3077" t="inlineStr"/>
    </row>
    <row r="3078">
      <c r="A3078" t="inlineStr">
        <is>
          <t>deo35e</t>
        </is>
      </c>
      <c r="B3078" t="inlineStr">
        <is>
          <t>Having an Upper Endoscopy Exam Tomorrow</t>
        </is>
      </c>
      <c r="C3078" t="inlineStr">
        <is>
          <t>Little nervous. The doctor told me that I’d be receiving an IV to sedate me. Has anyone here ever had this procedure?</t>
        </is>
      </c>
      <c r="D3078" t="n">
        <v>3</v>
      </c>
      <c r="E3078" t="n">
        <v>18</v>
      </c>
      <c r="F3078">
        <f>HYPERLINK("https://www.reddit.com/r/GERD/comments/deo35e/having_an_upper_endoscopy_exam_tomorrow/")</f>
        <v/>
      </c>
      <c r="G3078" t="inlineStr">
        <is>
          <t>2019-10-07 12:08:41</t>
        </is>
      </c>
      <c r="H3078" t="inlineStr"/>
    </row>
    <row r="3079">
      <c r="A3079" t="inlineStr">
        <is>
          <t>deoagl</t>
        </is>
      </c>
      <c r="B3079" t="inlineStr">
        <is>
          <t>Im going to take my first PPI tomorrow</t>
        </is>
      </c>
      <c r="C3079" t="inlineStr">
        <is>
          <t>Im 23, been putting up with symotoms for 6 weeks now. Im very healthy and have been avoiding acidic foods but have seen 0 improvement. 
The doctor prescribed me 40 mg daily omeprazole for 1 month. Ive been putting off taking them as wanted to cure myself with better food and habits but now i feel I have no choice
Any advice or experience would be great
Feel like im too young to take this medicine long term</t>
        </is>
      </c>
      <c r="D3079" t="n">
        <v>3</v>
      </c>
      <c r="E3079" t="n">
        <v>7</v>
      </c>
      <c r="F3079">
        <f>HYPERLINK("https://www.reddit.com/r/GERD/comments/deoagl/im_going_to_take_my_first_ppi_tomorrow/")</f>
        <v/>
      </c>
      <c r="G3079" t="inlineStr">
        <is>
          <t>2019-10-07 12:23:12</t>
        </is>
      </c>
      <c r="H3079" t="inlineStr"/>
    </row>
    <row r="3080">
      <c r="A3080" t="inlineStr">
        <is>
          <t>deobsl</t>
        </is>
      </c>
      <c r="B3080" t="inlineStr">
        <is>
          <t>Dysphagia/feeling like something is stuck in my chest and throat</t>
        </is>
      </c>
      <c r="C3080" t="inlineStr">
        <is>
          <t>Long story short , I’ve had this for a year and 6 months now. Constant heartburn and indigestion despite prescription. Saw a gastro in June and had an endoscopy about 3 weeks ago. Gastro said he doesn’t think I have GERD but just IBS and gastroscopy showed nothing. I started to feel better for the past 2 months so I stopped taking esomeprazole but a few days ago I’d get a burning wave in my throat whenever I’d belch and feel like there was something in my throat and chest. I started taking esomeprazole again but no change just yet and the feeling of something stuck in there gets worse towards the end of the day. I’ve never had this before. I’m scared I’ll soon not be able to ingest food etc because of dyphagia. I know once you develop it, you don’t really get rid of it. What should my expectations be for the future? I feel depressed and anxious because of this</t>
        </is>
      </c>
      <c r="D3080" t="n">
        <v>7</v>
      </c>
      <c r="E3080" t="n">
        <v>7</v>
      </c>
      <c r="F3080">
        <f>HYPERLINK("https://www.reddit.com/r/GERD/comments/deobsl/dysphagiafeeling_like_something_is_stuck_in_my/")</f>
        <v/>
      </c>
      <c r="G3080" t="inlineStr">
        <is>
          <t>2019-10-07 12:25:34</t>
        </is>
      </c>
      <c r="H3080" t="inlineStr"/>
    </row>
    <row r="3081">
      <c r="A3081" t="inlineStr">
        <is>
          <t>deoq7l</t>
        </is>
      </c>
      <c r="B3081" t="inlineStr">
        <is>
          <t>I feel nearly normal again</t>
        </is>
      </c>
      <c r="C3081" t="inlineStr">
        <is>
          <t>I never thought it would happen, I’ve had frequent bouts of acid reflux and gastritis on and off for the last couple years, but in June of this year it became unbearable. I began to have acid reflux no matter what I ate or drank, and had air hunger which was super scary, no one wants to feel like the can’t breathe. I had my heart and lungs checked and finally had it determined by my doctor to be GERD. I’d be happy to share more but I did 2 months of Omeprazole, during that time I drank no alcohol, no coffee, and did my best to avoid fatty or acidic foods. 
I decided I didn’t want to be on a PPI anymore so I switched to Zantac, I took it for two weeks but it gave my heart palpitations which scared me so I quit the Zantac. My first two weeks after quitting the Zantac I had heartburn and mild air hunger but it was manageable with Antacids and avoiding trigger foods. Now my symptoms are almost 100% gone, I’ve switched to decaf coffee (caffeine has turned out to be a HUGE trigger for my GERD) I’ve added alcohol back in, 1-2 drinks don’t affect me at all, more than that I pay but for just a day or two tops. I drink a lot of water. I avoid having more than one trigger in any individual setting, I.E. if I have greasy pizza I’ll just drink water, if I want alcohol I’ll have a lean mean with protein and veggies. I didn’t do KETO or anything but avoiding bread has seemed to do wonders for me. I sleep with a wedge pillow.
I know we’re all different and what worked for me might not work for everyone, but short aggressive treatment including medication and lifestyle changes worked for me. My symptoms aren’t 100% gone, I still have bad days, but it’s not constant like I dealt with for many months before. I hope that everyone can find something that works for them and makes them feel better.</t>
        </is>
      </c>
      <c r="D3081" t="n">
        <v>24</v>
      </c>
      <c r="E3081" t="n">
        <v>18</v>
      </c>
      <c r="F3081">
        <f>HYPERLINK("https://www.reddit.com/r/GERD/comments/deoq7l/i_feel_nearly_normal_again/")</f>
        <v/>
      </c>
      <c r="G3081" t="inlineStr">
        <is>
          <t>2019-10-07 12:53:41</t>
        </is>
      </c>
      <c r="H3081" t="inlineStr"/>
    </row>
    <row r="3082">
      <c r="A3082" t="inlineStr">
        <is>
          <t>deqdm3</t>
        </is>
      </c>
      <c r="B3082" t="inlineStr">
        <is>
          <t>Endoscopy (UK)</t>
        </is>
      </c>
      <c r="C3082" t="inlineStr">
        <is>
          <t>Hi all. I'm in the UK and have my second endoscopy booked in two days time.
I was given 1mg midazolam for the first one and absolutely was not sedated at all. I couldn't tolerate it and they had to abort it. I found the whole experience incredibly traumatic, spent the rest of the afternoon crying and have cried at every appointment when it's been mentioned since.
The surgeon persuaded me to try again for the second one with "more midazolam", but I am once again crying at the thought. I cannot imagine I will be able to tolerate it, but I wanted to ask if anyone else has had bad experiences in the UK with endoscopies (as I understand, other countries tend to put you under) and if there was anything you/your medics did to help ease the process so you could tolerate it?
Thanks so much!</t>
        </is>
      </c>
      <c r="D3082" t="n">
        <v>2</v>
      </c>
      <c r="E3082" t="n">
        <v>6</v>
      </c>
      <c r="F3082">
        <f>HYPERLINK("https://www.reddit.com/r/GERD/comments/deqdm3/endoscopy_uk/")</f>
        <v/>
      </c>
      <c r="G3082" t="inlineStr">
        <is>
          <t>2019-10-07 14:49:17</t>
        </is>
      </c>
      <c r="H3082" t="inlineStr"/>
    </row>
    <row r="3083">
      <c r="A3083" t="inlineStr">
        <is>
          <t>deqikb</t>
        </is>
      </c>
      <c r="B3083" t="inlineStr">
        <is>
          <t>Best anti acid Foods</t>
        </is>
      </c>
      <c r="C3083" t="inlineStr">
        <is>
          <t>Banana
Oatmeal
AppleCider Vinegar shot with water 
Eat one of these before bed you will be relieved. Also lot of water.</t>
        </is>
      </c>
      <c r="D3083" t="n">
        <v>1</v>
      </c>
      <c r="E3083" t="n">
        <v>1</v>
      </c>
      <c r="F3083">
        <f>HYPERLINK("https://www.reddit.com/r/GERD/comments/deqikb/best_anti_acid_foods/")</f>
        <v/>
      </c>
      <c r="G3083" t="inlineStr">
        <is>
          <t>2019-10-07 14:59:16</t>
        </is>
      </c>
      <c r="H3083" t="inlineStr"/>
    </row>
    <row r="3084">
      <c r="A3084" t="inlineStr">
        <is>
          <t>der0lf</t>
        </is>
      </c>
      <c r="B3084" t="inlineStr">
        <is>
          <t>Heart palpations?</t>
        </is>
      </c>
      <c r="C3084" t="inlineStr">
        <is>
          <t>Does anyone else not really feel like they have heartburn? They just have a swollen stomach which puts pressure on their chest and causes it to feel like their heart is beating fast? Also have indigestion and burp a lot?</t>
        </is>
      </c>
      <c r="D3084" t="n">
        <v>1</v>
      </c>
      <c r="E3084" t="n">
        <v>0</v>
      </c>
      <c r="F3084">
        <f>HYPERLINK("https://www.reddit.com/r/GERD/comments/der0lf/heart_palpations/")</f>
        <v/>
      </c>
      <c r="G3084" t="inlineStr">
        <is>
          <t>2019-10-07 15:36:24</t>
        </is>
      </c>
      <c r="H3084" t="inlineStr"/>
    </row>
    <row r="3085">
      <c r="A3085" t="inlineStr">
        <is>
          <t>des1ix</t>
        </is>
      </c>
      <c r="B3085" t="inlineStr">
        <is>
          <t>LPR symptoms go away almost completely when I wake up, but come back after some minutes.</t>
        </is>
      </c>
      <c r="C3085" t="inlineStr">
        <is>
          <t>Hello everyone, hope everyone is doing great here. I've been sufferig LPR symptoms for the past 2 months and I wanted to get your guys opinion and see if anyone has gone through something similar.
It all started one week before going to college. When I lied down, I felt some pressure on my throat, but when I was standing up, it was fine. Time went by, and I started to feel like my airways were tight throughout the day, making me able to not breath properly (nothing too absurd). 
I started taking PPIs (tried for 3 weeks) because I've had acid reflux in the past (nothing serious) and because my problems related usually went away in 3-4 days. This time, it make 0 effect. I started panicking and called my doctor in my home country. He said that I should go to a doctor here in the US and get an endoscopy done, along with some other tests. However, he made clear that anxiety might be the reason I was feeling like this. 
Fast forward 1 month of these symptoms getting better and worse, the feeling of "having something in my throat" gets different. It was located now 1 inch above the Clavicular North and it made a lot of pressure. Sleeping became an impossible task. I needed to be exhausted to be able to sleep. In addition, it was hard to swallow saliva. 
Yesterday something interesting happened: I had to stay awake during the night because I couldn't sleep, so accidently fell asleep in the train for 30 seconds. The symptoms were gone for around 2 minutes. This is when I remembered that, every time I wake up in the morning, I feel better for around 10 minutes. Maybe it's something related to the nervous system?
Additional info:
-I tried for two weeks an over the counter medication called Natrol (nothing too crazy in it) during all this, it seemed to work for 4 days, but after some time it stopped working. 
-I'm still doing some tests and my chest X-ray says that my lungs are hyperinflated. 
-One day I got so frustrated and nervous at something that I started feeling the acid being released at my stomach. Next morning my whole throat was burning, but it went away the next day. 
-I almost choked on a pill because of the swallowing problem
Thank you in advance!</t>
        </is>
      </c>
      <c r="D3085" t="n">
        <v>3</v>
      </c>
      <c r="E3085" t="n">
        <v>4</v>
      </c>
      <c r="F3085">
        <f>HYPERLINK("https://www.reddit.com/r/GERD/comments/des1ix/lpr_symptoms_go_away_almost_completely_when_i/")</f>
        <v/>
      </c>
      <c r="G3085" t="inlineStr">
        <is>
          <t>2019-10-07 16:58:33</t>
        </is>
      </c>
      <c r="H3085" t="inlineStr"/>
    </row>
    <row r="3086">
      <c r="A3086" t="inlineStr">
        <is>
          <t>det0mh</t>
        </is>
      </c>
      <c r="B3086" t="inlineStr">
        <is>
          <t>Cancer fear LPR</t>
        </is>
      </c>
      <c r="C3086" t="inlineStr">
        <is>
          <t>https://nypost.com/2019/10/07/dying-teacher-pens-own-obit-to-ease-pain-for-her-family/?utm_campaign=iosapp&amp;amp;utm_source=pasteboard_app
Been suffering for years now and ent says I just have mild inflammation. Mostly throat redness.
Anyone else been dealing with reflux for years? Need some reassurance.</t>
        </is>
      </c>
      <c r="D3086" t="n">
        <v>6</v>
      </c>
      <c r="E3086" t="n">
        <v>14</v>
      </c>
      <c r="F3086">
        <f>HYPERLINK("https://www.reddit.com/r/GERD/comments/det0mh/cancer_fear_lpr/")</f>
        <v/>
      </c>
      <c r="G3086" t="inlineStr">
        <is>
          <t>2019-10-07 18:19:26</t>
        </is>
      </c>
      <c r="H3086" t="inlineStr"/>
    </row>
    <row r="3087">
      <c r="A3087" t="inlineStr">
        <is>
          <t>det2b8</t>
        </is>
      </c>
      <c r="B3087" t="inlineStr">
        <is>
          <t>Anyone else have a vitamin b12 deficiency?</t>
        </is>
      </c>
      <c r="C3087" t="inlineStr">
        <is>
          <t>B12 deficiency is very common for people eating vegetarian diets or low meat diets. Low b12 can be quite dangerous and cause a lot of severe symptoms. I recently got a blood test done and discovered low B12 which gave some correlation to some symptoms I’ve been experiencing such as vision issues, sleepiness and tingling sensations. Has anyone else experienced low b12?</t>
        </is>
      </c>
      <c r="D3087" t="n">
        <v>7</v>
      </c>
      <c r="E3087" t="n">
        <v>12</v>
      </c>
      <c r="F3087">
        <f>HYPERLINK("https://www.reddit.com/r/GERD/comments/det2b8/anyone_else_have_a_vitamin_b12_deficiency/")</f>
        <v/>
      </c>
      <c r="G3087" t="inlineStr">
        <is>
          <t>2019-10-07 18:23:20</t>
        </is>
      </c>
      <c r="H3087" t="inlineStr"/>
    </row>
    <row r="3088">
      <c r="A3088" t="inlineStr">
        <is>
          <t>detr9r</t>
        </is>
      </c>
      <c r="B3088" t="inlineStr">
        <is>
          <t>I'm about to run out of my PPI prescription for a week. What can I do to prevent rebound??</t>
        </is>
      </c>
      <c r="C3088" t="inlineStr">
        <is>
          <t>I won't be able to replenish my refill of 40mg pantoprozole magnesium until October 15th. My last pill is for tomorrow. I've been on them since September 7th once daily, so I'm imagining that I'm in range for rebound symptoms now. Is there ANYTHING I can do to make this easier until I can refill? 
Today I was meant to get reassessed by my doc and I was going to suggest tapering off of them, taking less or only taking one every other day. I'm mostly better, still having some signs of gastritis (rib pain and occasional nausea) and LPR (regurgitating tasteless froth 8/10 times I burp :c ) so I want to start coming off them anyway, but not like this lol.
Help is appreciated!</t>
        </is>
      </c>
      <c r="D3088" t="n">
        <v>2</v>
      </c>
      <c r="E3088" t="n">
        <v>12</v>
      </c>
      <c r="F3088">
        <f>HYPERLINK("https://www.reddit.com/r/GERD/comments/detr9r/im_about_to_run_out_of_my_ppi_prescription_for_a/")</f>
        <v/>
      </c>
      <c r="G3088" t="inlineStr">
        <is>
          <t>2019-10-07 19:23:26</t>
        </is>
      </c>
      <c r="H3088" t="inlineStr"/>
    </row>
    <row r="3089">
      <c r="A3089" t="inlineStr">
        <is>
          <t>dex4w0</t>
        </is>
      </c>
      <c r="B3089" t="inlineStr">
        <is>
          <t>I have Barrett's Esophagus and a lot of anxiety</t>
        </is>
      </c>
      <c r="C3089" t="inlineStr">
        <is>
          <t>Hello!
I am a chronic pain sufferer and almost a year ago, I sought out a gastroenterologist to see if my pain was related to my digestive system. My gastroenterologist was doubtful, but suggested that I get an upper endoscopy to check anyways. 
Up until this point, I had no/minor symptoms of GERD and was just experiencing some severe abdominal and back pain, bloating, and some nausea (related to the bloating and pain). 
The upper endoscopy found no real causes to my pain and instead found me something else to worry about- Barrett's Esophagus. 
I have anxiety, which my gastroenterologist thinks could have been a contributing factor to developing this. After all, I'm 21, female, healthy weight, and I don't smoke. 
Recently I have been caught up on the fact that my gastroenterologist told me I'm at a 3% higher risk of developing esophageal cancer than the average person. This hasn't bothered me at all until the last few weeks. Now I can't get it out of my head. 
It doesn't help that I was just emailed by the gastroenterologist office to schedule my next upper endoscopy. 
I haven't been taking my meds as well as I should because I don't experience any symptoms of acid reflux. My gastroenterologist never told me of any diet changes I should make, I've just figured them out through recent obsessive Googling. 
But now I constantly feel a burning in the back of my throat, I'm sure it's mostly anxiety, but it feels like all of the lemons, coffee, chocolate, and alcohol I've been consuming coming back to cause esophageal cancer. 
This is a ridiculous post, I get that. It's 2:30 am right now and I'm just trying to put my anxiety into words. 
So I'm calling tomorrow to schedule an upper endoscopy with another office and maybe make an appointment with someone to talk about these concerns professionally. 
But, in the meantime, what changes should I be making to my lifestyle so that I don't develop esophageal cancer? 
TL;DR: I have a lot of anxiety about developing esophageal cancer. What lifestyle changes can I make now to prevent that from happening?</t>
        </is>
      </c>
      <c r="D3089" t="n">
        <v>2</v>
      </c>
      <c r="E3089" t="n">
        <v>9</v>
      </c>
      <c r="F3089">
        <f>HYPERLINK("https://www.reddit.com/r/GERD/comments/dex4w0/i_have_barretts_esophagus_and_a_lot_of_anxiety/")</f>
        <v/>
      </c>
      <c r="G3089" t="inlineStr">
        <is>
          <t>2019-10-08 01:29:29</t>
        </is>
      </c>
      <c r="H3089" t="inlineStr"/>
    </row>
    <row r="3090">
      <c r="A3090" t="inlineStr">
        <is>
          <t>deyzxx</t>
        </is>
      </c>
      <c r="B3090" t="inlineStr">
        <is>
          <t>rebooting after Nexium?</t>
        </is>
      </c>
      <c r="C3090" t="inlineStr">
        <is>
          <t>I’ve read that Nexium can mess with you gut bacteria. I just started day 1 of 14 with 24 hour Nexium to hopefully see some kind of improvement with the 24/7 mucus in the back of my throat. 
Do I need to do anything to get my stomach back to par in 2 weeks or does time take care of that for me?</t>
        </is>
      </c>
      <c r="D3090" t="n">
        <v>0</v>
      </c>
      <c r="E3090" t="n">
        <v>4</v>
      </c>
      <c r="F3090">
        <f>HYPERLINK("https://www.reddit.com/r/GERD/comments/deyzxx/rebooting_after_nexium/")</f>
        <v/>
      </c>
      <c r="G3090" t="inlineStr">
        <is>
          <t>2019-10-08 05:04:05</t>
        </is>
      </c>
      <c r="H3090" t="inlineStr"/>
    </row>
    <row r="3091">
      <c r="A3091" t="inlineStr">
        <is>
          <t>df00zv</t>
        </is>
      </c>
      <c r="B3091" t="inlineStr">
        <is>
          <t>Is it GERD or something else?</t>
        </is>
      </c>
      <c r="C3091" t="inlineStr">
        <is>
          <t>I have symptoms that looks a lot like GERD - acid feeling in my mouth, heartburn, sometimes I have a feeling like I'm going to throw up (I vomited 3 - 4 times in total). I already visited doctor, so I'm waiting for my endoscopy appointment, wait time is a big pain in the ass here.... I'm taking Esomeprazole 2x40mg for about two weeks now, probiotics, and have Hydrotalcite at hand just in case. I have these symptoms for about a 3 weeks, they started with a diarrhea but that seems to be solved now (to some extend at least). At first, I was really looking for what I'm eating, but this week, I had some pasta with tomato sauce, I started drinking coffee and well... symptoms seems to be the same. They get worse after some completely random foods which should be fine to eat but I won't get anything after coffee. It's also worst in the morning even thou I sleep with my head elevated. I also started chewing my food more and eating slowly - before that I was eating like there is no tomorrow. Other symptoms are couching, sore throat and feeling like there is something in my throat. I had some issues with swallowing but that was during the diarrhea.
I'm a bit confused since symptoms seem to come and go at random, normal triggers for GERD seems to have same effect like any other food.  
I'm also a non-smoker, pretty fit with just a tiny bit of fat (which is located on  my stomach), I lift weights 3 times a week and do cardio at least once per week. On the other hand, I have a sedentary job.
Should I be worried? I'm not really sure if it might be GERD or I just somehow f-ed my stomach. Might it be somehow connected with the diarrhea? I ate very little during that, but I'm not sure how that could cause it.</t>
        </is>
      </c>
      <c r="D3091" t="n">
        <v>3</v>
      </c>
      <c r="E3091" t="n">
        <v>6</v>
      </c>
      <c r="F3091">
        <f>HYPERLINK("https://www.reddit.com/r/GERD/comments/df00zv/is_it_gerd_or_something_else/")</f>
        <v/>
      </c>
      <c r="G3091" t="inlineStr">
        <is>
          <t>2019-10-08 06:33:50</t>
        </is>
      </c>
      <c r="H3091" t="inlineStr"/>
    </row>
    <row r="3092">
      <c r="A3092" t="inlineStr">
        <is>
          <t>df13oc</t>
        </is>
      </c>
      <c r="B3092" t="inlineStr">
        <is>
          <t>My LINX experience, 7 months post op follow up.</t>
        </is>
      </c>
      <c r="C3092" t="inlineStr">
        <is>
          <t>For a reference, here is my original thread prior to the operation: https://www.reddit.com/r/GERD/comments/aqgfsz/going_in_for_linx_procedure_on_march_7th/
I thought I would give my testimonial on here. Since I’m more or less out of recovery and can give an accurate review: 
The LINX has been a godsend to me. I’m entirely cured of GERD and can eat whatever I want. I still have reflux if i take a ton of fish oil supplements, drink hot sauce and throw several cups of coffee on top all at once (I REALLY have to try to even get anything to come up). But its only burp level at best even then.
I’m not gonna lie, recovery can be a bastard, it was difficult and stressful as hell during the first few months, so be prepared for a few months of toughing it out. I had spasms, dysphagia and soreness for about 3 months, the muscle spasms continued into the 6th month, but have now mostly subsided. The dysphagia went away around the third month. The spasms are still there a little bit but they are fading more and more each time they happen.
Life is great now though, I don’t even know i have it. Hey! Sorry for the late response, ive been rather busy with life in general. The LINX has been a godsend to me. Im entirely cured of GERD and can eat whatever i want. I still have reflux if i take a ton of fish oil supplements or drink hot sauce and throw several cups of coffee on top. But its only burp level at best. Im not gonna lie, recovery is a BITCH. So be prepared for a few months of toughing it out. I had spasms, dysphagia and soreness for about 6 months. The dysphagia went away around the third month though. The spasms are still there a little bit but they are fading more and more each time they happen. They’re hardly noticeable.
Life is great now though, I don’t even know i have it.
can eat or drink whatever I want! I’m completely free of proton pump inhibitors for life! I haven’t needed to take a single PPI all year.
If anyone has any questions, I’d be happy to answer =]</t>
        </is>
      </c>
      <c r="D3092" t="n">
        <v>18</v>
      </c>
      <c r="E3092" t="n">
        <v>49</v>
      </c>
      <c r="F3092">
        <f>HYPERLINK("https://www.reddit.com/r/GERD/comments/df13oc/my_linx_experience_7_months_post_op_follow_up/")</f>
        <v/>
      </c>
      <c r="G3092" t="inlineStr">
        <is>
          <t>2019-10-08 07:56:59</t>
        </is>
      </c>
      <c r="H3092" t="inlineStr"/>
    </row>
    <row r="3093">
      <c r="A3093" t="inlineStr">
        <is>
          <t>df1b7h</t>
        </is>
      </c>
      <c r="B3093" t="inlineStr">
        <is>
          <t>acid reflux or just anxiety??</t>
        </is>
      </c>
      <c r="C3093" t="inlineStr">
        <is>
          <t>frequent sharp pains in my chest along with shortness of breathe, feeling like i'm not breathing properly, chest hurts when i take deep breathes, constant feeling like i have something stuck in my chest, and heart palpitations which sometimes feel like they are in my stomach, burning but cold sensation in my chest, complete loss of appetite for a week, cant seem to stomach any food,  nausea but no vomiting, upper back pains in middle of upper back and right shoulder blade, feeling like i have a lump in my throat but feel nothing concerning,  feel very fatigued, belching hurts my back and chest (if i even can belch, most of the times the feeling of needing to is stuck), constantly feel bloated even though ive hardly eaten in a week. 
visited the doctor for the 3rd time yesterday and told me to continue taking nexium 40mg (was previously prescribed pantoprazole but felt like it was doing nothing for me so stopped taking them) and gaviscon at nights and doctor sent a referral letter to a physiotherapist for my back. doctor seems to think it's all down my bad posture while playing video games and just some acid reflux but i feel like she's not taking it seriously when i mentioned the sharp pains in my chest and thats what has me most worried. i wanted to go to the ER but my parents dont believe me too. i dont know what to do to convince my parents that i'm worried. i'm scared that this may end up in me having a endoscopy and i'm petrified of that for the fear of vomiting and gagging. i have blood tests scheduled for the 15th. 
is this GERD or just anxiety making it worse??</t>
        </is>
      </c>
      <c r="D3093" t="n">
        <v>2</v>
      </c>
      <c r="E3093" t="n">
        <v>3</v>
      </c>
      <c r="F3093">
        <f>HYPERLINK("https://www.reddit.com/r/GERD/comments/df1b7h/acid_reflux_or_just_anxiety/")</f>
        <v/>
      </c>
      <c r="G3093" t="inlineStr">
        <is>
          <t>2019-10-08 08:12:01</t>
        </is>
      </c>
      <c r="H3093" t="inlineStr"/>
    </row>
    <row r="3094">
      <c r="A3094" t="inlineStr">
        <is>
          <t>df1lky</t>
        </is>
      </c>
      <c r="B3094" t="inlineStr">
        <is>
          <t>Dizziness from GERD, hiatal hernia, etc.?</t>
        </is>
      </c>
      <c r="C3094" t="inlineStr">
        <is>
          <t>Does anyone feel extra dizzy or off-kilter when they are dealing with acid reflux and other digestive issues? 
The word "dizziness" is misleading because it's not vertigo (I was checked for that), but ever since my symptoms started 5 months ago, I have had ongoing issues with feeling off-balance, lightheaded, almost like I have a bobblehead. 
It gets worse after I eat, and it's not low blood pressure, because I have checked and my blood pressure is fine.
I can't tell if it's my hiatal hernia, LPR, GERD, ineffective esophageal motility, or just the various medications I've started and stopped (PPIs, H2 blockers, everything causes too many side FX) over the past few months.
Once again, just trying to find out if I'm alone here. The doctors always act like you are the only one in the world with your symptoms, which doesn't help the related anxiety.</t>
        </is>
      </c>
      <c r="D3094" t="n">
        <v>4</v>
      </c>
      <c r="E3094" t="n">
        <v>11</v>
      </c>
      <c r="F3094">
        <f>HYPERLINK("https://www.reddit.com/r/GERD/comments/df1lky/dizziness_from_gerd_hiatal_hernia_etc/")</f>
        <v/>
      </c>
      <c r="G3094" t="inlineStr">
        <is>
          <t>2019-10-08 08:33:01</t>
        </is>
      </c>
      <c r="H3094" t="inlineStr"/>
    </row>
    <row r="3095">
      <c r="A3095" t="inlineStr">
        <is>
          <t>df20ed</t>
        </is>
      </c>
      <c r="B3095" t="inlineStr">
        <is>
          <t>How do you deal with breathing issues / chest sensations / palpitations / etc?</t>
        </is>
      </c>
      <c r="C3095" t="inlineStr">
        <is>
          <t>It's not my worst symptom, but it easily causes more distress than the nausea and LPR stuff I've got going on when it does happen, and I'm speaking as an emetophobe who is terrified of vomiting. They tend to be particularly bad about 20 mins after taking a PPI and the panic that follows (right now in fact) makes it worse. I'm scared I'm going to pass out or have a heart attack (even though I know this is very unlikely). 
I find it particularly distracting when I get those flutters or feel air-starved and I tend to wind up in a trap where I'm caught manually breathing, which freaks the everloving hell out of me. 
Anyone have any techniques for combating this sensation? I feel like a hot drink would help soothe me, I'm trying music with headphones now, anything to just not think about breathing and the odd chest sensation. It's making it very difficult to work.</t>
        </is>
      </c>
      <c r="D3095" t="n">
        <v>7</v>
      </c>
      <c r="E3095" t="n">
        <v>26</v>
      </c>
      <c r="F3095">
        <f>HYPERLINK("https://www.reddit.com/r/GERD/comments/df20ed/how_do_you_deal_with_breathing_issues_chest/")</f>
        <v/>
      </c>
      <c r="G3095" t="inlineStr">
        <is>
          <t>2019-10-08 09:02:06</t>
        </is>
      </c>
      <c r="H3095" t="inlineStr"/>
    </row>
    <row r="3096">
      <c r="A3096" t="inlineStr">
        <is>
          <t>df27qm</t>
        </is>
      </c>
      <c r="B3096" t="inlineStr">
        <is>
          <t>Stomach issues :&amp;lt;</t>
        </is>
      </c>
      <c r="C3096" t="inlineStr">
        <is>
          <t>Hello, I'm 23 male, mostly everyday I do struggle with very discomfort in my stomach. I do suffer from GERD and Hiatus Hernia(Hernia is big) and I control them with omeprazole, one pill in the morning. I remember when I was younger at the age of 10 the doctor used to tell my mum to avoid me sauces, greasy food etc, because I used to suffer from heartburn etc. It all went good, until about 4 years ago at the age 18-19 heartburn and acid reflux returned back. Constantly every day, literally. 
By the way, I didn't told you that at the age of 15-19, mostly every weekend(Saturdays) used to hang out with my friends, discos, parties, getting wasted with alcohol. But who doesn't?, really?.  Anyway, at the end of the night mostly I used to end the night by violent vomiting, literally I used to force a lot. Once I always noticed blood in the vomit which it concerned in that moment me a bit but as young teen didn't cared to much after. 
2 years ago I've decided to go to gastroenterologist after constantly heartburn and nausea everyday which I used to treat it by Rennies or Gaviscon for a short time, one after one. As I arrived at the gastroenterolgist he told me to sit down and tells him what symptoms I'm suffering from and I told him from A to Z the symptoms I do feel and also some of the stories that used to happen me that triggers me heartburn etc. He told me to lay down and he checked my stomach with his hands and told me that I do suspect that you also have a hiatus hernia expect acid, so he scheduled me for an endoscopy, biopsy and barium swallow test. 
The day arrived and I was a little excited since he needs to put you in sleep under anesthetic. Anyway, after I woke up he came to me and he said that I have a huge hiatus hernia that can be due the violent vomiting I used to and the biopsy was clean. He scheduled another appointment for the barium swallow test another day and he prescribed me Emazole to take them for 4 weeks( they act super fast more than omeprazole) and supposed everything will be fine, even to control food I eat. If not he told me about a surgery that could fix the hiatus hernia and gerd. 
Barium day arrived, went to do the procedure and the results were fine also. The 4 weeks has passed so I stopped the course of Emazole. After 3 days I started again to feel the same symptoms and the first thing that it came to my mind was to go and buy  Emazole again and that's what I did, again box after box no symptoms. I was super back to normal but with the help of Emazole. 
After some time, symptoms were getting back again but this time more and more, heartburn, acid reflux, nausea, bloating, vomiting, pain in the intestine area, anxiety, headaches, brain fog, fatigue. I've did some research on google and I saw that it can be due gluten intolerance or dairy intolerance. I went to get tested again it showed that I'm gluten and casein sensitive so the doctor recommend me to switch strictly to gluten and dairy free diet till my intestine repair again naturally. That's what I did and literally the symptoms disappeared after some days. To be honest I thought it is a placebo effect but it wasn't! 
One omeprazole(switched to them because Emazole was way to much expensive) in the morning and strictly gluten free and dairy diet. Sometimes slight of heartburn but one gaviscon and it leaves. After a year(this is the year) I've decided to eat something with gluten and that what I did and I didn't get any symptoms and I thought wow my intestines are healed now so I can stick back with gluten again. Till today I'm still eating food that contains gluten but I do follow gluten free diet also. 
But again, I'm getting very discomfort symptoms like nausea, even sometimes I do throw up, pain under the chest which sometimes it travels to chest and makes me panic, heartburn,acid reflux, stomach discomfort, loss of appetite, eat small portions and feel full and pain near the intestines. Even when I drink some alcohol it makes my stomach burns and nauseated that I need to throw up to be relieved. 
I don't know if it's the hiatus hernia that is causing all this symptoms or a more serious condition( I do suffer from health anxiety so I do think the worst scenarios). Should I do another appointment with the gastroenterologist again? Is there someone here who struggle from this or used to? What do you recommend ? Thanks for your time.</t>
        </is>
      </c>
      <c r="D3096" t="n">
        <v>3</v>
      </c>
      <c r="E3096" t="n">
        <v>5</v>
      </c>
      <c r="F3096">
        <f>HYPERLINK("https://www.reddit.com/r/GERD/comments/df27qm/stomach_issues/")</f>
        <v/>
      </c>
      <c r="G3096" t="inlineStr">
        <is>
          <t>2019-10-08 09:16:26</t>
        </is>
      </c>
      <c r="H3096" t="inlineStr"/>
    </row>
    <row r="3097">
      <c r="A3097" t="inlineStr">
        <is>
          <t>df3j5u</t>
        </is>
      </c>
      <c r="B3097" t="inlineStr">
        <is>
          <t>Gluten-free &amp;amp; Dairy-free</t>
        </is>
      </c>
      <c r="C3097" t="inlineStr">
        <is>
          <t>Will going gluten-free help my GERD and gastritis? 
I’ve also seen things that say going dairy free will help. With that being said other websites say that yogurt/dairy/probiotics help heal. I’m very confused!!</t>
        </is>
      </c>
      <c r="D3097" t="n">
        <v>4</v>
      </c>
      <c r="E3097" t="n">
        <v>4</v>
      </c>
      <c r="F3097">
        <f>HYPERLINK("https://www.reddit.com/r/GERD/comments/df3j5u/glutenfree_dairyfree/")</f>
        <v/>
      </c>
      <c r="G3097" t="inlineStr">
        <is>
          <t>2019-10-08 10:50:47</t>
        </is>
      </c>
      <c r="H3097" t="inlineStr"/>
    </row>
    <row r="3098">
      <c r="A3098" t="inlineStr">
        <is>
          <t>df5mx0</t>
        </is>
      </c>
      <c r="B3098" t="inlineStr">
        <is>
          <t>Possible GERD: Acid Reflux, Anxiety, and Sinusitis</t>
        </is>
      </c>
      <c r="C3098" t="inlineStr">
        <is>
          <t>Ok so trying to figure out what’s wrong with me. Let’s start from the beginning. I’m a male 22, not necessarily in shape but a tall and thin individual, 175 lbs 6 2. I’m normally a pretty anxious person but over the years it’s improved. Fast forward to 2019. I get diagnosed with Prostatitis, off and on antibiotics that seem to provide moderate help. So I’ve been depressed and anxious, always worrying about my health for the past 6 or so months. Fast forward to 2 weeks ago. I get a flu shot, haven’t got one In about 10 years but heard this season will be a bad one. So I get one. About 3-5 days later. I get this headache, and feel almost feverish (shown no abnormal temp however). Then I start taking tylenol to help and then DayQuil because I think I’m having mild flu-like symptoms, while also heavily freaking out that I have EEE because of all the news going around while it’s not even recorded in my state, was bit by a mosquito a few days earlier. I take it for 3 days and on the third or so night after immediately taking the DayQuil, I get heartburn. That was really strange to me and I thought I was overdosing on acetaminophen even though I only took about 2500-2750 mg in about a 24 period, I was still freaking out. So I go talk to my dad who’s a doctor and he says my headache which is almost exclusively on my right brow is typical sinusitis. I’ve personally never had a sinus infection, at least not to my knowledge. He took my blood pressure, did an ekg, and took my blood sugar. All perfectly normal except my heart rate, which for me is normally 80-85 resting. It was 115 or so because I was nervous when he took it. He said he wanted to see it down to 60. So here I am freaking out about that. He said don’t let your mind control your body and spiral everything out of control and let it become a horrible cycle. He gave me some propranolol to calm me down and lower my heart rate, Cephalexin for my sinusitis, even though I’m already on Bactrim DS for my prostate, and not to mention most sinus infections are viral not bacterial, but he said it helps, and some Rennie (antacid) for my heartburn that I got. Next day later I’m still worried and freaking out so I take a propranolol. Which while it lowers my heart rate, it slowed my respiratory rate too. Next morning I still feel the same and have a full blown panic attack, feel like I’m having trouble breathing. My sister comes over and gives me a Valium which really calms me down. Here I am today, a lot more calm but still worried about my heartburn/acid reflux that is still there, even after I eat anything acidic/salty/sugary or not (3-4 days since), and still have a mild sinus headache (1 week since). My dad gave me an acid reducer which I just took (Ranitidine) and still on my Bactrim DS for my prostate, along with Centrum for a Multivitamin. My parents and all my friends said don’t freak out, it’s just stress or the changing temps and pressures. Calm down, acid reflux is from you being all worked up and laying down all the time. Called the urologist to see if it’s the Bactrim, they said it’s possible but unlikely because I’ve haven’t had any side effects like that before. My dad said the gastro doctor said to wait a week or so and see if it gets better because acid reflux isn’t worth to be seen over, especially if it’s mild and only been 3-4days. What do you guys think?
Update: I just started today to take Prilosec OTC, a PPI. My dad said he could have got me a prescription also if I wanted. I’ve heard pretty good things, except don’t go past the two weeks unless you see a doctor and are prescribed for it. We’ll see how it works, can’t tell much of a difference a few hours after taking it, but I’m gonna do the once a day 14 day regimen, and I hear it takes 1-4 days to see effects. Sinus headache is much better now, barely noticeable at this point. Also my my parents have a new ultrasound machine at our farm for horses (designed for humans of course). My mom use to be an ultrasound tech and she examined me, specifically my heart, aorta, and liver to make sure they were ok. Everything checked out she said, so that kinda calmed me down. Just need to get this heartburn under control. Again it’s burning in the middle torso, upper left part of chest and goes to the very bottom of my throat with quite a bit of belching. Also have diarrhea but it’s not serious and that could be from a bunch of factors, anxiety, medication, etc. Lastly, not sure if it’s from an ulcer as well making it worse or Lactose Intolerance. Never had an issue before but my sister realized she was when she was 22, I am 22 now; and my dad is and also my dna test says I’m probable to be but I’ve never had issues with Lactose. Thoughts on all this?</t>
        </is>
      </c>
      <c r="D3098" t="n">
        <v>4</v>
      </c>
      <c r="E3098" t="n">
        <v>13</v>
      </c>
      <c r="F3098">
        <f>HYPERLINK("https://www.reddit.com/r/GERD/comments/df5mx0/possible_gerd_acid_reflux_anxiety_and_sinusitis/")</f>
        <v/>
      </c>
      <c r="G3098" t="inlineStr">
        <is>
          <t>2019-10-08 13:22:49</t>
        </is>
      </c>
      <c r="H3098" t="inlineStr"/>
    </row>
    <row r="3099">
      <c r="A3099" t="inlineStr">
        <is>
          <t>df5zrw</t>
        </is>
      </c>
      <c r="B3099" t="inlineStr">
        <is>
          <t>what do you guys do to prevent the disgusting taste in your mouth ?</t>
        </is>
      </c>
      <c r="C3099" t="inlineStr">
        <is>
          <t>for the past week, i've had this horrible disgusting sour taste in my mouth and nothing seems to make it go away. i've been brushing my teeth everyday, i've tried mouthwash and constantly drinking water. it's ruining my appetite to taste food properly aswell as everything just tastes horrible. my tongue also feels like it's burning and i feel like i constantly have phlegm stuck in the back of my mouth too which i cant cough up. 
does anybody have any tips to help with this?</t>
        </is>
      </c>
      <c r="D3099" t="n">
        <v>3</v>
      </c>
      <c r="E3099" t="n">
        <v>3</v>
      </c>
      <c r="F3099">
        <f>HYPERLINK("https://www.reddit.com/r/GERD/comments/df5zrw/what_do_you_guys_do_to_prevent_the_disgusting/")</f>
        <v/>
      </c>
      <c r="G3099" t="inlineStr">
        <is>
          <t>2019-10-08 13:47:41</t>
        </is>
      </c>
      <c r="H3099" t="inlineStr"/>
    </row>
    <row r="3100">
      <c r="A3100" t="inlineStr">
        <is>
          <t>df60jr</t>
        </is>
      </c>
      <c r="B3100" t="inlineStr">
        <is>
          <t>Problem digesting fiber since GERD started?</t>
        </is>
      </c>
      <c r="C3100" t="inlineStr">
        <is>
          <t>Did anyone else start having issues with fiber, only AFTER getting GERD?
I've always eaten a high-fiber diet my entire adult life (I'm 46). Came down with acid reflux 2 months ago. Started Omeprazole 5 weeks ago. Was still fine eating fiber until 2-3 weeks ago - now suddenly I can't touch anything high-fiber without horrible belching and reflux!
It's NOT an issue with carbs (I can still eat white rice, etc) and NOT an issue with gluten (white bread is totally fine).
It's gotta be something about the GERD or the Omeprazole (which generally made me feel much worse, anyway). I've been weaning off the meds, but still can't handle the fiber.
Anyone else experience this, and were you ever able to go back to eating fiber again?</t>
        </is>
      </c>
      <c r="D3100" t="n">
        <v>3</v>
      </c>
      <c r="E3100" t="n">
        <v>6</v>
      </c>
      <c r="F3100">
        <f>HYPERLINK("https://www.reddit.com/r/GERD/comments/df60jr/problem_digesting_fiber_since_gerd_started/")</f>
        <v/>
      </c>
      <c r="G3100" t="inlineStr">
        <is>
          <t>2019-10-08 13:49:11</t>
        </is>
      </c>
      <c r="H3100" t="inlineStr"/>
    </row>
    <row r="3101">
      <c r="A3101" t="inlineStr">
        <is>
          <t>df7u75</t>
        </is>
      </c>
      <c r="B3101" t="inlineStr">
        <is>
          <t>Chest feels constantly uncomfortable but no burning - almost feels as if my lungs and chest are frozen, or like I just ran a whole bunch in freezing cold whether. Is this a GERD symptom?</t>
        </is>
      </c>
      <c r="C3101" t="inlineStr">
        <is>
          <t>I don't have a burning sensation, I don't feel like I have to burp (I actually physically CAN'T burp and have never been able to, unless I basically choke myself like I'm trying to vomit), and I don't have any reflux like symptoms. No nausea, besides the general motion sickness I get. I had this issue for about a month in 2017 and was told by the military doctors that it was likely GERD and they left it at that. I forgot about it once it seemed to disappear, but now it's back with a horrible vengeance. It does get worse during certain parts of the day, but I can't tell if it's due to the food I eat because it's so constant. When it gets really bad, it feels like there's a stabbing very localized pain in my upper chest. Help?
Edit: Damn. Weather\*\*</t>
        </is>
      </c>
      <c r="D3101" t="n">
        <v>8</v>
      </c>
      <c r="E3101" t="n">
        <v>15</v>
      </c>
      <c r="F3101">
        <f>HYPERLINK("https://www.reddit.com/r/GERD/comments/df7u75/chest_feels_constantly_uncomfortable_but_no/")</f>
        <v/>
      </c>
      <c r="G3101" t="inlineStr">
        <is>
          <t>2019-10-08 15:52:40</t>
        </is>
      </c>
      <c r="H3101" t="inlineStr"/>
    </row>
    <row r="3102">
      <c r="A3102" t="inlineStr">
        <is>
          <t>df97cm</t>
        </is>
      </c>
      <c r="B3102" t="inlineStr">
        <is>
          <t>Who also has IBS? Does GERD make your symptoms worse?</t>
        </is>
      </c>
      <c r="C3102" t="inlineStr">
        <is>
          <t>Curious if anyone feels that having GERD makes your IBS symptoms worse...
For those of you who were able to treat your GERD with diet or medication or something else, did your IBS symptoms also improve?</t>
        </is>
      </c>
      <c r="D3102" t="n">
        <v>1</v>
      </c>
      <c r="E3102" t="n">
        <v>1</v>
      </c>
      <c r="F3102">
        <f>HYPERLINK("https://www.reddit.com/r/GERD/comments/df97cm/who_also_has_ibs_does_gerd_make_your_symptoms/")</f>
        <v/>
      </c>
      <c r="G3102" t="inlineStr">
        <is>
          <t>2019-10-08 17:32:54</t>
        </is>
      </c>
      <c r="H3102" t="inlineStr"/>
    </row>
    <row r="3103">
      <c r="A3103" t="inlineStr">
        <is>
          <t>df9xvj</t>
        </is>
      </c>
      <c r="B3103" t="inlineStr">
        <is>
          <t>GERD &amp;amp; Anorexia</t>
        </is>
      </c>
      <c r="C3103" t="inlineStr">
        <is>
          <t>Anyone else have GERD as a symptom of being anorexic? Any tips? I can’t just eat but I know I need to put things in my stomach. Any medications that help? I also abuse laxatives and I’m assuming that makes it worse but I’m not sure how to use laxatives without making my stomach hurt- it’s harder than just stop using them. Hoping I’m not the only one!</t>
        </is>
      </c>
      <c r="D3103" t="n">
        <v>2</v>
      </c>
      <c r="E3103" t="n">
        <v>6</v>
      </c>
      <c r="F3103">
        <f>HYPERLINK("https://www.reddit.com/r/GERD/comments/df9xvj/gerd_anorexia/")</f>
        <v/>
      </c>
      <c r="G3103" t="inlineStr">
        <is>
          <t>2019-10-08 18:30:37</t>
        </is>
      </c>
      <c r="H3103" t="inlineStr"/>
    </row>
    <row r="3104">
      <c r="A3104" t="inlineStr">
        <is>
          <t>dfakxz</t>
        </is>
      </c>
      <c r="B3104" t="inlineStr">
        <is>
          <t>Rebound acid after 1 week of Omeprazole</t>
        </is>
      </c>
      <c r="C3104" t="inlineStr">
        <is>
          <t>Hello, I have been dealing with acid reflux (specifically LPR) for about 2 months now. I've had throat clearing/soreness, mucus in throat, and ear pressure and pain. This all started thanks to a flare up of anxiety that hit me in June. 
In August I went to an ENT and he advised me to try 40mg Omeprazole once a day for 4-6 weeks and call if it didn't help. Well, I made it about 6 days and the Omeprazole was making my anxiety go through the roof, so I stopped taking it. I've been off for about 4 days now and my mental state is much better but I've been feeling burning all over my chest and in my stomach. 
Is this rebound acid? I guess I thought I was safe because I was on it for such a short time :( Will this subside eventually? Will Tums help? I'm planning to call my doctor tomorrow and see if I can get on a different medication. Meanwhile, I have been eating extremely bland foods and drinking only water for the past few days. Thanks for any advice.</t>
        </is>
      </c>
      <c r="D3104" t="n">
        <v>2</v>
      </c>
      <c r="E3104" t="n">
        <v>2</v>
      </c>
      <c r="F3104">
        <f>HYPERLINK("https://www.reddit.com/r/GERD/comments/dfakxz/rebound_acid_after_1_week_of_omeprazole/")</f>
        <v/>
      </c>
      <c r="G3104" t="inlineStr">
        <is>
          <t>2019-10-08 19:23:06</t>
        </is>
      </c>
      <c r="H3104" t="inlineStr"/>
    </row>
    <row r="3105">
      <c r="A3105" t="inlineStr">
        <is>
          <t>dfd5mg</t>
        </is>
      </c>
      <c r="B3105" t="inlineStr">
        <is>
          <t>Acid reflux/cant burp</t>
        </is>
      </c>
      <c r="C3105" t="inlineStr">
        <is>
          <t>Has anyone else had a problem not being able to burp? I also have a constant lump in my throat. It feels like air is trapped there. I see my Gastroenterologist on Thursday and hopefully get this figured out. 
I also have terrible post nasal drip. Can’t seem to get rid of it. 
This is awful.</t>
        </is>
      </c>
      <c r="D3105" t="n">
        <v>3</v>
      </c>
      <c r="E3105" t="n">
        <v>6</v>
      </c>
      <c r="F3105">
        <f>HYPERLINK("https://www.reddit.com/r/GERD/comments/dfd5mg/acid_refluxcant_burp/")</f>
        <v/>
      </c>
      <c r="G3105" t="inlineStr">
        <is>
          <t>2019-10-08 23:34:54</t>
        </is>
      </c>
      <c r="H3105" t="inlineStr"/>
    </row>
    <row r="3106">
      <c r="A3106" t="inlineStr">
        <is>
          <t>dfgg1c</t>
        </is>
      </c>
      <c r="B3106" t="inlineStr">
        <is>
          <t>Gastric Vertigo</t>
        </is>
      </c>
      <c r="C3106" t="inlineStr">
        <is>
          <t>I'm having what I believe is my first case of gastric vertigo. I just feel mild dizziness esp when leaning in certain directions. I'm not losing my balance or anything and it's on and off for a few seconds every few hours. 
Has anybody who been thru this before know how long it lasts? I'm on my 3rd day now.</t>
        </is>
      </c>
      <c r="D3106" t="n">
        <v>3</v>
      </c>
      <c r="E3106" t="n">
        <v>10</v>
      </c>
      <c r="F3106">
        <f>HYPERLINK("https://www.reddit.com/r/GERD/comments/dfgg1c/gastric_vertigo/")</f>
        <v/>
      </c>
      <c r="G3106" t="inlineStr">
        <is>
          <t>2019-10-09 05:39:46</t>
        </is>
      </c>
      <c r="H3106" t="inlineStr"/>
    </row>
    <row r="3107">
      <c r="A3107" t="inlineStr">
        <is>
          <t>dfgy65</t>
        </is>
      </c>
      <c r="B3107" t="inlineStr">
        <is>
          <t>What exactly is the relationship between GERD and gastritis?</t>
        </is>
      </c>
      <c r="C3107" t="inlineStr">
        <is>
          <t>I have both GERD, which I have often been able to mange without medication (lifestyle, diet, ginger, etc) and reoccurring gastritis. I cannot manage gastritis without medication but then once I recover I can go months, or up to a year, without gastritis symptoms till it reappears. So what’s the connection? No h pylori or NSAIDS.
I’ve been dealing with this for 20 years and I’m just 31 years old. I am underweight because of this disease.
TIA</t>
        </is>
      </c>
      <c r="D3107" t="n">
        <v>3</v>
      </c>
      <c r="E3107" t="n">
        <v>14</v>
      </c>
      <c r="F3107">
        <f>HYPERLINK("https://www.reddit.com/r/GERD/comments/dfgy65/what_exactly_is_the_relationship_between_gerd_and/")</f>
        <v/>
      </c>
      <c r="G3107" t="inlineStr">
        <is>
          <t>2019-10-09 06:20:38</t>
        </is>
      </c>
      <c r="H3107" t="inlineStr"/>
    </row>
    <row r="3108">
      <c r="A3108" t="inlineStr">
        <is>
          <t>dfi97d</t>
        </is>
      </c>
      <c r="B3108" t="inlineStr">
        <is>
          <t>Dry throat or something worse?</t>
        </is>
      </c>
      <c r="C3108" t="inlineStr">
        <is>
          <t>DAE feel like, no matter how much they drink after an attack... their throat feels so dry that it burns? Almost as if there’s a “bubble” of some sort blocking the water/milk/juice/beverage from hitting that one spot? Is it a side effect of the GERD attack? I’ve never had this before...</t>
        </is>
      </c>
      <c r="D3108" t="n">
        <v>2</v>
      </c>
      <c r="E3108" t="n">
        <v>1</v>
      </c>
      <c r="F3108">
        <f>HYPERLINK("https://www.reddit.com/r/GERD/comments/dfi97d/dry_throat_or_something_worse/")</f>
        <v/>
      </c>
      <c r="G3108" t="inlineStr">
        <is>
          <t>2019-10-09 08:01:19</t>
        </is>
      </c>
      <c r="H3108" t="inlineStr"/>
    </row>
    <row r="3109">
      <c r="A3109" t="inlineStr">
        <is>
          <t>dfjaow</t>
        </is>
      </c>
      <c r="B3109" t="inlineStr">
        <is>
          <t>Some tips that help me keep the GERD at bay</t>
        </is>
      </c>
      <c r="C3109" t="inlineStr">
        <is>
          <t>Hi everyone,
I understand these tips may not help everyone, some just have it worse than others unfortunately. 
**Some background**: GERD runs in my family. My dad is getting his gallbladder removed, my mom has had a few hospital trips over bad flare ups, and out of 3 siblings, I seem to be the only one heavily affected by GERD like my parents are.
**Story time (feel free to skip)**: Some things I noticed that they consume a lot of are coffee, alcohol, and soda on my mom's end and coffee and deep fried food on my dad's end. Both are not overweight but could still lose a little. I grew up with an extremely poor diet which caught up to me at about 21 when I started drinking heavily on weekends with friends. At first I'd get this weird nauseous feeling even during drinking, not just the night after, and my friends would tell me it's all in my head. I started to avoid certain drinks that I knew would upset my stomach, like hard liquor. Beer was good for a while but then that started getting me sick too. A lot of my problems went away when I stopped drinking around 23. Started getting flare-ups again about a year ago (24) after gaining about 30 lbs. I was drinking way more soda than I used to and took up a habit of drinking starbucks drinks, the cold kind in the bottle. I started getting the worst GERD i've ever experienced throughout last year, bad enough to visit the emergency room a few times only to be told to take TUMS and get over it basically.
**(Tips) for drinks**: I haven't had any bad flare ups in several months since going on a non-restrictive diet. I gave up starbucks drinks completely and opted for a less fattening, less sugary alternative that still tastes amazing. I drink 3 cups of it a day and have no issues. If anyone else is a sweet coffee addict like me, I can definitely give you the recipe, just let me know! I also gave up soda and will drink "Zevia", the grape kind, any time I get a craving for a carbonated sweet drink. It's the best tasting zero calorie drink I've had and after doing some research, found it's not bad for you in other ways. My only complaint is that it can make you feel a bit hungrier.
**(Tips) for food and condiments**: I either go for low fat, no fat, or zero calories. You just have to decide what you're able to stomach and what tastes best to you. Like for sour cream, it tastes disgusting to me when it's zero calories but low fat is still decent, so I do that. I also opt for veggie burgers or if you want to be healthy and you like meat, I would try turkey burgers. They're much lower fat compared to beef. I also use ketchup and mustard over anything else since mustard is 0 calories and ketchup I believe is about 20 calories. I also use lots of seasoning and spices on my meals and try to reduce salt when I can. Lots of salt can be bloating and will give you GERD symptoms. Try to reduce carbs too. They make you way more hungry which will promote eating, bloating, and weight gain. Try to buy whole grain alternatives, it really does help. For snacks I eat plain popcorn and low fat cheezit crackers, which really makes me look forward to meals lol. I try to have 1 "cheat" meal a week. So if you're obsessed with pizza and soda, have it every Friday night so you feel like you're not cutting yourself off completely. Just make sure to eat extra light that day and to drink lots of water!
**(Tips) for weight and exercise**: I think this is pretty much a given in any aspect of a healthy life. Try to stay at a healthy weight and try to squeeze in 3 work out sessions a week. Not only will it keep weight off you and not squeeze against your gut, producing more acid and causing more GERD, but it'll help with anxiety and mood which can also contribute to GERD. 
**(Tips) misc**: As I'm sure you've been told a million times, don't eat right before bed and try to prop some pillows up behind you when you sleep to keep the acid down. This one has really helped with my painful eary-morning flare-ups. I'm not sure if this one helps with GERD, but it at least helps calm my mind and body, but any time I feel bloated and crappy, I'll just go take a hot bath and relax. 
In general, just try to stay as calm as you can, don't get so upset over small things, and try to be happy and enjoy life. GERD can be frustrating to deal with but just know that you have the power to soothe it if you make good choices. The worst flare-ups I get these days now are on "cheat" days and I'm talking just mild nausea. And FYI, I've never taken meds for GERD before, although I did get prescribed them. So there's hope guys!!</t>
        </is>
      </c>
      <c r="D3109" t="n">
        <v>1</v>
      </c>
      <c r="E3109" t="n">
        <v>0</v>
      </c>
      <c r="F3109">
        <f>HYPERLINK("https://www.reddit.com/r/GERD/comments/dfjaow/some_tips_that_help_me_keep_the_gerd_at_bay/")</f>
        <v/>
      </c>
      <c r="G3109" t="inlineStr">
        <is>
          <t>2019-10-09 09:14:45</t>
        </is>
      </c>
      <c r="H3109" t="inlineStr"/>
    </row>
    <row r="3110">
      <c r="A3110" t="inlineStr">
        <is>
          <t>dfjneh</t>
        </is>
      </c>
      <c r="B3110" t="inlineStr">
        <is>
          <t>Today is exactly two years since my Nissen fundoplication!</t>
        </is>
      </c>
      <c r="C3110" t="inlineStr">
        <is>
          <t>After suffering from GERD and regular vomiting of food and acid all day/all night, I had my hiatal hernia repair and Nissen fundoplication surgery exactly two years ago. Which means it's also been two years since I've taken anything for GERD, and since I've had any acid reflux or vomiting. Life is better in every way today, I can eat and drink whatever I want, and I only wish I'd done it sooner.
If you have similar issues, talk to your doctor, get a referral to a gastroenterologist, go through all the tests, and see if you're a candidate for the surgery, or one similar to it. If you go ahead with it, put in the work to find the best-possible surgeon, because that's a huge factor in the success of your surgery. 
Questions? Ask me anything!</t>
        </is>
      </c>
      <c r="D3110" t="n">
        <v>21</v>
      </c>
      <c r="E3110" t="n">
        <v>19</v>
      </c>
      <c r="F3110">
        <f>HYPERLINK("https://www.reddit.com/r/GERD/comments/dfjneh/today_is_exactly_two_years_since_my_nissen/")</f>
        <v/>
      </c>
      <c r="G3110" t="inlineStr">
        <is>
          <t>2019-10-09 09:39:40</t>
        </is>
      </c>
      <c r="H3110" t="inlineStr"/>
    </row>
    <row r="3111">
      <c r="A3111" t="inlineStr">
        <is>
          <t>dfkbrg</t>
        </is>
      </c>
      <c r="B3111" t="inlineStr">
        <is>
          <t>Food allergies and LPR</t>
        </is>
      </c>
      <c r="C3111" t="inlineStr">
        <is>
          <t>Hello,
Those of you who've managed to identify the cause of your LPR, what did it take for you to know which food group was the culprit? 
I've heard of hydrogen breath tests, and of course just trying to eliminate a certain group like dairy. How long did it take?
 I'm trying to cut out dairy but I'm not so sure how long it will take until I see any improvement, if any.</t>
        </is>
      </c>
      <c r="D3111" t="n">
        <v>1</v>
      </c>
      <c r="E3111" t="n">
        <v>1</v>
      </c>
      <c r="F3111">
        <f>HYPERLINK("https://www.reddit.com/r/GERD/comments/dfkbrg/food_allergies_and_lpr/")</f>
        <v/>
      </c>
      <c r="G3111" t="inlineStr">
        <is>
          <t>2019-10-09 10:27:32</t>
        </is>
      </c>
      <c r="H3111" t="inlineStr"/>
    </row>
    <row r="3112">
      <c r="A3112" t="inlineStr">
        <is>
          <t>dflflg</t>
        </is>
      </c>
      <c r="B3112" t="inlineStr">
        <is>
          <t>I have low stomach acidity. 2 questions about Betaine HCL and 1 question about GERD.</t>
        </is>
      </c>
      <c r="C3112" t="inlineStr">
        <is>
          <t>So I have 3 questions.
1) My first question is about my GERD.. I used to experience heartburn whenever I ate too much or foods I wasn't supposed to eat. But lately, for about 2 weeks now, I haven't experienced heartburn a single time. Instead, my throat gets sore and it hurts a bit when I swallow. Sometimes the pain increases immensely, but goes away if I belch. Oh and, I belch and burp **alot**. I did the baking powder test 5 days in a row and I never burped, so I've concluded that I have low stomach acid. Does this mean I didn't have low stomach acid 2 weeks ago? Back when I was experiencing heartburn? Why the sudden change, what has happened?
**tl;dr** - Why do I suddenly experience a sore throat rather than the usual heartburn?
___
And finally, if I start taking Betaine HCL with my meals..
2) Will I be able to go back to eating massive meals like I used to be able to as a child, or do I still have to eat small but frequent meals?
3) Does pH-levels in food matter anymore? Can I go back to eating citrus fruits, tomatoes, caffeine, etc.?
4) Do I still have to think about things like "don't lay down after eating, don't eat too much before sleep, etc."?
___
**tl;dr** - Questions 2-4 rephrased: Can I live my life 100% normally as if I don't have GERD, if I take the correct amount of Betaine HCL for my body daily?</t>
        </is>
      </c>
      <c r="D3112" t="n">
        <v>1</v>
      </c>
      <c r="E3112" t="n">
        <v>0</v>
      </c>
      <c r="F3112">
        <f>HYPERLINK("https://www.reddit.com/r/GERD/comments/dflflg/i_have_low_stomach_acidity_2_questions_about/")</f>
        <v/>
      </c>
      <c r="G3112" t="inlineStr">
        <is>
          <t>2019-10-09 11:45:45</t>
        </is>
      </c>
      <c r="H3112" t="inlineStr"/>
    </row>
    <row r="3113">
      <c r="A3113" t="inlineStr">
        <is>
          <t>dflkpw</t>
        </is>
      </c>
      <c r="B3113" t="inlineStr">
        <is>
          <t>How long is too long to take omeprazole?</t>
        </is>
      </c>
      <c r="C3113" t="inlineStr">
        <is>
          <t>I've been on it for about 2 years and the symptoms seem to be getting much worse developing sleep apnea last year. I have an endoscopy scheduled for the end of the month. Anyone else take this indefinitely? I'm thinking about switching to something else. Any advice?</t>
        </is>
      </c>
      <c r="D3113" t="n">
        <v>1</v>
      </c>
      <c r="E3113" t="n">
        <v>27</v>
      </c>
      <c r="F3113">
        <f>HYPERLINK("https://www.reddit.com/r/GERD/comments/dflkpw/how_long_is_too_long_to_take_omeprazole/")</f>
        <v/>
      </c>
      <c r="G3113" t="inlineStr">
        <is>
          <t>2019-10-09 11:55:55</t>
        </is>
      </c>
      <c r="H3113" t="inlineStr"/>
    </row>
    <row r="3114">
      <c r="A3114" t="inlineStr">
        <is>
          <t>dflpns</t>
        </is>
      </c>
      <c r="B3114" t="inlineStr">
        <is>
          <t>Wondering if these symptoms are common with GERD. Reassurance would sure help</t>
        </is>
      </c>
      <c r="C3114" t="inlineStr">
        <is>
          <t>Been dealing with what at first felt like a lump in my throat.  It came and went quite a bit and was generally inconsistent. This happened about 6-7 weeks ago.
Been dealing with it ever since but it feels achy in the bottom of my neck. Sometimes my throat feels tight. It was mostly happening at night and still does. However I do feel it during the day more now too. In the morning I usually have to clear my throat quite a bit but then its gone.
I've been on Prilosec now for about 3 weeks . It seemed to work some but not really. It's worse than it was the first few weeks. Is anybody else with GERD dealing with this? Mainly the achy and tight bottom of neck. Feels like somebody is pressing on it. 
Just trying to rule out any life threatening issues . I'm 27 so it doesn't seem likely but waiting to get diagnosed for what feels like a lump in your neck is so worrisome.</t>
        </is>
      </c>
      <c r="D3114" t="n">
        <v>2</v>
      </c>
      <c r="E3114" t="n">
        <v>5</v>
      </c>
      <c r="F3114">
        <f>HYPERLINK("https://www.reddit.com/r/GERD/comments/dflpns/wondering_if_these_symptoms_are_common_with_gerd/")</f>
        <v/>
      </c>
      <c r="G3114" t="inlineStr">
        <is>
          <t>2019-10-09 12:05:30</t>
        </is>
      </c>
      <c r="H3114" t="inlineStr"/>
    </row>
    <row r="3115">
      <c r="A3115" t="inlineStr">
        <is>
          <t>dfqkn9</t>
        </is>
      </c>
      <c r="B3115" t="inlineStr">
        <is>
          <t>Day 4 on PPI: massive stomach aches/pain after eating medium rare steak. Think it’s the PPI or just the undercooked steak causing the pain?</t>
        </is>
      </c>
      <c r="C3115" t="inlineStr">
        <is>
          <t>It happened 15 minutes after eating the steak, and now has lasted for 3 hours :/</t>
        </is>
      </c>
      <c r="D3115" t="n">
        <v>1</v>
      </c>
      <c r="E3115" t="n">
        <v>16</v>
      </c>
      <c r="F3115">
        <f>HYPERLINK("https://www.reddit.com/r/GERD/comments/dfqkn9/day_4_on_ppi_massive_stomach_achespain_after/")</f>
        <v/>
      </c>
      <c r="G3115" t="inlineStr">
        <is>
          <t>2019-10-09 18:06:00</t>
        </is>
      </c>
      <c r="H3115" t="inlineStr"/>
    </row>
    <row r="3116">
      <c r="A3116" t="inlineStr">
        <is>
          <t>dfssxw</t>
        </is>
      </c>
      <c r="B3116" t="inlineStr">
        <is>
          <t>Have probiotics helped anyone?</t>
        </is>
      </c>
      <c r="C3116" t="inlineStr">
        <is>
          <t>I started taking a liquid probiotic (Bio-K+ fermented rice blueberry flavor) for a month or two and felt almost instantly better. But when I switched to a powder form (Go Live) I didn’t feel as good and my flare ups were more often. I’m still on the powdered one. 
After some research I found that a lot of people with IBS say one of the best probiotics is Digestive Advantage - Intensive Bowel Support, so I bought it today, but haven’t tried it yet. 
I’m just wondering if anyone has found one they really like that has helped alleviate any of the gerd symptoms. 
I am currently on omeprazole as well and my most common symptoms are chest pain, stomach problems, nausea, loss of appetite.</t>
        </is>
      </c>
      <c r="D3116" t="n">
        <v>1</v>
      </c>
      <c r="E3116" t="n">
        <v>14</v>
      </c>
      <c r="F3116">
        <f>HYPERLINK("https://www.reddit.com/r/GERD/comments/dfssxw/have_probiotics_helped_anyone/")</f>
        <v/>
      </c>
      <c r="G3116" t="inlineStr">
        <is>
          <t>2019-10-09 21:26:09</t>
        </is>
      </c>
      <c r="H3116" t="inlineStr"/>
    </row>
    <row r="3117">
      <c r="A3117" t="inlineStr">
        <is>
          <t>dfv64c</t>
        </is>
      </c>
      <c r="B3117" t="inlineStr">
        <is>
          <t>Feel every morning my stuff in my chest</t>
        </is>
      </c>
      <c r="C3117" t="inlineStr">
        <is>
          <t>Hey, does anyone have that too?every morning I wake up and stand up, I feel the acid going back from my chest into my belly... At first I thought I have really bad Ling water or so.... Is this normal?..</t>
        </is>
      </c>
      <c r="D3117" t="n">
        <v>3</v>
      </c>
      <c r="E3117" t="n">
        <v>4</v>
      </c>
      <c r="F3117">
        <f>HYPERLINK("https://www.reddit.com/r/GERD/comments/dfv64c/feel_every_morning_my_stuff_in_my_chest/")</f>
        <v/>
      </c>
      <c r="G3117" t="inlineStr">
        <is>
          <t>2019-10-10 01:51:47</t>
        </is>
      </c>
      <c r="H3117" t="inlineStr"/>
    </row>
    <row r="3118">
      <c r="A3118" t="inlineStr">
        <is>
          <t>dfwhoh</t>
        </is>
      </c>
      <c r="B3118" t="inlineStr">
        <is>
          <t>I have GERD with low stomach acid. Please help me understand something.</t>
        </is>
      </c>
      <c r="C3118" t="inlineStr">
        <is>
          <t>So I have 4 questions.
1) My first question is about my GERD.. I used to experience heartburn whenever I ate too much or foods I wasn't supposed to eat. But lately, for about 2 weeks now, I haven't experienced heartburn a single time. Instead, my throat gets sore and it hurts a bit when I swallow. Sometimes the pain increases immensely, but goes away if I belch. Oh and, I belch and burp **alot**. I did the baking powder test 5 days in a row and I never burped, so I've concluded that I have low stomach acid. Does this mean I didn't have low stomach acid 2 weeks ago? Back when I was experiencing heartburn? Why the sudden change, what has happened?
**tl;dr** - Why have I, for 2 weeks now, suddenly been experiencing a sore throat &amp;amp; excessive belching rather than the usual heartburn after meals?
___
And finally, if I start taking Betaine HCL with my meals..
2) Will I be able to go back to eating massive meals like I used to be able to as a child, or do I still have to eat small but frequent meals?
3) Does pH-levels in food matter anymore? Can I go back to eating citrus fruits, tomatoes, caffeine, etc.?
4) Do I still have to think about things like "don't lay down after eating, don't eat too much before sleep, etc."?
___
**tl;dr** - Questions 2-4 rephrased: Can I live my life 100% normally as if I don't have GERD, if I take the correct amount of Betaine HCL for my body daily?</t>
        </is>
      </c>
      <c r="D3118" t="n">
        <v>1</v>
      </c>
      <c r="E3118" t="n">
        <v>26</v>
      </c>
      <c r="F3118">
        <f>HYPERLINK("https://www.reddit.com/r/GERD/comments/dfwhoh/i_have_gerd_with_low_stomach_acid_please_help_me/")</f>
        <v/>
      </c>
      <c r="G3118" t="inlineStr">
        <is>
          <t>2019-10-10 04:14:47</t>
        </is>
      </c>
      <c r="H3118" t="inlineStr"/>
    </row>
    <row r="3119">
      <c r="A3119" t="inlineStr">
        <is>
          <t>dfy4ph</t>
        </is>
      </c>
      <c r="B3119" t="inlineStr">
        <is>
          <t>Coffee lovers, have you tried drinking cold brew?</t>
        </is>
      </c>
      <c r="C3119" t="inlineStr">
        <is>
          <t>As someone who’s been a coffee lover capable of drinking 4 shots of espresso in high school and regularly using my beloved Nespresso machine, I was highly disappointed that one of my beloved actives was causing my GERD.
Through further research, I discovered that cold brew is 67% less acidic than hot brewed coffee. Plus the reduced acid makes it healthier for your stomach and teeth. 
I’ve switched over from iced americanos to cold brew coffee these days and haven’t been feeling any symptoms from my GERD. Has anyone else tried this?</t>
        </is>
      </c>
      <c r="D3119" t="n">
        <v>22</v>
      </c>
      <c r="E3119" t="n">
        <v>22</v>
      </c>
      <c r="F3119">
        <f>HYPERLINK("https://www.reddit.com/r/GERD/comments/dfy4ph/coffee_lovers_have_you_tried_drinking_cold_brew/")</f>
        <v/>
      </c>
      <c r="G3119" t="inlineStr">
        <is>
          <t>2019-10-10 06:38:11</t>
        </is>
      </c>
      <c r="H3119" t="inlineStr"/>
    </row>
    <row r="3120">
      <c r="A3120" t="inlineStr">
        <is>
          <t>dfyo44</t>
        </is>
      </c>
      <c r="B3120" t="inlineStr">
        <is>
          <t>GERD friendly ways to eat citrics?</t>
        </is>
      </c>
      <c r="C3120" t="inlineStr">
        <is>
          <t>I want to eat more fruit. But given my likes, the availability where I live, and my chronic acid reflux, I can only eat bananas and apples most of the year. Has anyone found how to eat citrics without getting burning pain, and without turning it into jam?</t>
        </is>
      </c>
      <c r="D3120" t="n">
        <v>2</v>
      </c>
      <c r="E3120" t="n">
        <v>15</v>
      </c>
      <c r="F3120">
        <f>HYPERLINK("https://www.reddit.com/r/GERD/comments/dfyo44/gerd_friendly_ways_to_eat_citrics/")</f>
        <v/>
      </c>
      <c r="G3120" t="inlineStr">
        <is>
          <t>2019-10-10 07:18:47</t>
        </is>
      </c>
      <c r="H3120" t="inlineStr"/>
    </row>
    <row r="3121">
      <c r="A3121" t="inlineStr">
        <is>
          <t>dfytxl</t>
        </is>
      </c>
      <c r="B3121" t="inlineStr">
        <is>
          <t>Tapering off Dexilant</t>
        </is>
      </c>
      <c r="C3121" t="inlineStr">
        <is>
          <t>I’m having a pH study done soon and one of the requirements the doctor would have liked to have is that I don’t take a ppi for a week, however my acid rebound is severe just after a couple hours.  The ppi I currently take is a time release 60mg dose of dexilant.  It’s not like I can cut that into pieces for smaller doses.  I don’t want to try and cut down ppi usage cold turkey.  Has anyone successfully tapered off dexilant?</t>
        </is>
      </c>
      <c r="D3121" t="n">
        <v>3</v>
      </c>
      <c r="E3121" t="n">
        <v>6</v>
      </c>
      <c r="F3121">
        <f>HYPERLINK("https://www.reddit.com/r/GERD/comments/dfytxl/tapering_off_dexilant/")</f>
        <v/>
      </c>
      <c r="G3121" t="inlineStr">
        <is>
          <t>2019-10-10 07:30:42</t>
        </is>
      </c>
      <c r="H3121" t="inlineStr"/>
    </row>
    <row r="3122">
      <c r="A3122" t="inlineStr">
        <is>
          <t>dg28i8</t>
        </is>
      </c>
      <c r="B3122" t="inlineStr">
        <is>
          <t>Pepcid causing vertigo?</t>
        </is>
      </c>
      <c r="C3122" t="inlineStr">
        <is>
          <t>I’ve been on 40mg of Pepcid nightly for about 3-4ish months now (prescribed by doctor) and about a month ago I began experiencing vertigo. I’ve seen 2 different doctors for the vertigo and neither could come up with an explanation. I didn’t even think about Pepcid potentially causing it until now, but you never know! Has anyone had any similar experiences?</t>
        </is>
      </c>
      <c r="D3122" t="n">
        <v>5</v>
      </c>
      <c r="E3122" t="n">
        <v>9</v>
      </c>
      <c r="F3122">
        <f>HYPERLINK("https://www.reddit.com/r/GERD/comments/dg28i8/pepcid_causing_vertigo/")</f>
        <v/>
      </c>
      <c r="G3122" t="inlineStr">
        <is>
          <t>2019-10-10 11:28:46</t>
        </is>
      </c>
      <c r="H3122" t="inlineStr"/>
    </row>
    <row r="3123">
      <c r="A3123" t="inlineStr">
        <is>
          <t>dg4byi</t>
        </is>
      </c>
      <c r="B3123" t="inlineStr">
        <is>
          <t>Unbearable symptoms now constant and hugely affecting my mood. Anybody experienced anything similar?</t>
        </is>
      </c>
      <c r="C3123" t="inlineStr">
        <is>
          <t>So over the past 5 months I've been experiencing worsening painful bloating and an uncomfortable feeling of fullness. It started as a couple of times a week and is now present all day every day. I also gained weight (almost 6kg) and seemed to have water retention despite no change in diet. All my bloods came back normal, negative ca125, negative h.pylori and negative coeliac. The bloating happens on an empty stomach, after I eat, first thing in the morning, last thing at night. It isn't a reaction to anything I eat. I've cut out booze, caffeine, spicy food (waaaa I miss curry), rich tomatoey sauces and basically anything fun and tasty. I don't ever get heartburn but that's probably because of the lansoprazole. I often have a lump in the back of my throat and wake up with a hoarse voice and cough. Basically I feel like nobody will take me seriously but this bloating has a massive effect on my self esteem. I have body dysmorphia as it is so this unexplained weight gain/bloating is driving me insane. I was born with a hiatus hernia so I'm assuming this is the cause - anybody else with a hernia had this incessant bloating no matter if/what they eat? Sorry for the long post I'm just at my wits end and it's a 28 week waiting list for the gastroenterologist...</t>
        </is>
      </c>
      <c r="D3123" t="n">
        <v>7</v>
      </c>
      <c r="E3123" t="n">
        <v>5</v>
      </c>
      <c r="F3123">
        <f>HYPERLINK("https://www.reddit.com/r/GERD/comments/dg4byi/unbearable_symptoms_now_constant_and_hugely/")</f>
        <v/>
      </c>
      <c r="G3123" t="inlineStr">
        <is>
          <t>2019-10-10 13:50:23</t>
        </is>
      </c>
      <c r="H3123" t="inlineStr"/>
    </row>
    <row r="3124">
      <c r="A3124" t="inlineStr">
        <is>
          <t>dg4wvm</t>
        </is>
      </c>
      <c r="B3124" t="inlineStr">
        <is>
          <t>Post nasal drip from gerd</t>
        </is>
      </c>
      <c r="C3124" t="inlineStr">
        <is>
          <t>Ive had aching / tense feeling come and go in my throat and general discomfort that can also be felt in my chest aswell for the last 4 months that can last sometimes up to 3 days but the time it lasts for and breaks between can massively vary. So strange as this literally has just come out of nowhere and i have had post nasal drip joint with this the whole time that causes visible irritation at the back of my throat, i went for a gp appointment and they gave me a steroid nasal spray which hasn't helped at all, has anyone else had nasal drip issues from gerd that causes mucus buildup that can also cause discomfort on chest while breathing?</t>
        </is>
      </c>
      <c r="D3124" t="n">
        <v>3</v>
      </c>
      <c r="E3124" t="n">
        <v>1</v>
      </c>
      <c r="F3124">
        <f>HYPERLINK("https://www.reddit.com/r/GERD/comments/dg4wvm/post_nasal_drip_from_gerd/")</f>
        <v/>
      </c>
      <c r="G3124" t="inlineStr">
        <is>
          <t>2019-10-10 14:32:32</t>
        </is>
      </c>
      <c r="H3124" t="inlineStr"/>
    </row>
    <row r="3125">
      <c r="A3125" t="inlineStr">
        <is>
          <t>dg5pg1</t>
        </is>
      </c>
      <c r="B3125" t="inlineStr">
        <is>
          <t>Anxiety about Barrets Esophagus</t>
        </is>
      </c>
      <c r="C3125" t="inlineStr">
        <is>
          <t>Alright so lately my anxiety has been through the roof about Barrets esophagus. I’ve been dealing with LPR since July and it hasn’t really let up. My main symptoms are annoying post nasal drip, flegm in my throat, frequent throat clearing. I’ve been in 20mg omeprazole 2x a day for the last two weeks and it is helping some. Some days are definitely better than others. 
I called my GI today to see what and endo would cost and they quoted me at about $2,500. My insurance won’t help me out with any of it because my out of pocket is $7,000. So basically I have to come up with $2,500 in order to get the endoscopy, which isn’t possible at all. 
I chewed tobacco for a number of years and also vaped ecig for a couple years. Haven’t done either since all this LPR started. I’ve only had heartburn a couple times in my whole life. All this anxiety about not being able to get his endoscopy to figure out what’s going on is flaring me up and making my symptoms much worse.
My birthday is tomorrow and I’m most likely gunna spend the whole day suffering from panic attacks :(
4 damn months ago I was completely normal. My whole life has been flipped upside down since then and I just want it back :(
Sorry for this huge rant.</t>
        </is>
      </c>
      <c r="D3125" t="n">
        <v>7</v>
      </c>
      <c r="E3125" t="n">
        <v>34</v>
      </c>
      <c r="F3125">
        <f>HYPERLINK("https://www.reddit.com/r/GERD/comments/dg5pg1/anxiety_about_barrets_esophagus/")</f>
        <v/>
      </c>
      <c r="G3125" t="inlineStr">
        <is>
          <t>2019-10-10 15:32:35</t>
        </is>
      </c>
      <c r="H3125" t="inlineStr"/>
    </row>
    <row r="3126">
      <c r="A3126" t="inlineStr">
        <is>
          <t>dgafv1</t>
        </is>
      </c>
      <c r="B3126" t="inlineStr">
        <is>
          <t>PPI medication making my Gerd worse</t>
        </is>
      </c>
      <c r="C3126" t="inlineStr">
        <is>
          <t>I’ll try to keep this short. Hopefully someone can help me. 
Over the past year I developed more frequent heartburn episodes, as before for years I’d only ever get acid reflux and very rarely, sometimes an occasional cough in the night of my head wasn’t propped up enough. 
I went to LA over the summer and I just ate like the worst foods for gerd. Like just fucked me up 😂. And that’s when I first started experiencing that burning feeling and my throat tighten from the acid. So for a week I just ate alkaline foods and didn’t eat before bed and all that jazz and it went away. After that I went back to eating the occasional acidic foods but nothing too much and I was fine. The only thing that got it going again was that I had forgotten and drank tea a couple nights in a row before bed and so it came back. I went to the doctor and they started me on Dexilent 60 mg and that worked really great but then it stopped working very well midway through the month, then they started me on pantoprazole and ive been on it for 2 weeks and omfg it feels like I’m taking meds TO HAVE heartburn! It went from the occasional burn if I had bad habits to being 24/7, I’m constantly burping and the burp gets stuck in my throat often before it comes all the way up and acid gets in my mouth. I’m bloated, I’m constipated (sorry for the tmi). And it doesn’t matter what I eat at all it seems. I was thinking I have EOE but I went for a skin test recently and I don’t eat my allergens or things that make me sick. Benedryl does nothing to subside the symptoms. 
I just really want to stop taking the meds and go back to doing what I was doing before, because these PPIs just make me feel wayyy worse</t>
        </is>
      </c>
      <c r="D3126" t="n">
        <v>5</v>
      </c>
      <c r="E3126" t="n">
        <v>21</v>
      </c>
      <c r="F3126">
        <f>HYPERLINK("https://www.reddit.com/r/GERD/comments/dgafv1/ppi_medication_making_my_gerd_worse/")</f>
        <v/>
      </c>
      <c r="G3126" t="inlineStr">
        <is>
          <t>2019-10-10 22:18:23</t>
        </is>
      </c>
      <c r="H3126" t="inlineStr"/>
    </row>
    <row r="3127">
      <c r="A3127" t="inlineStr">
        <is>
          <t>dgaqiv</t>
        </is>
      </c>
      <c r="B3127" t="inlineStr">
        <is>
          <t>Is it possible to get costochondritis from gerd?</t>
        </is>
      </c>
      <c r="C3127" t="inlineStr">
        <is>
          <t>I have constant ache all over my chest , my sides, and my back. It's so hard to get a Full breath in so I often find my self gasping for air after a while of shallow breathing. When fully laying down, I get extremely sharp pains that causes me to jolt up, so I have resorted to sleeping in a sit like position in my bed. I get popping or bubly and squeezing pain in the left side of my chest. I have slot of gets problems but this feelings are the most uncomfortable and most depressing. Nothing has helped and I have had my heart checked and everything was fine. The only thing noth related to heart that I found from a simple Google search was costochondritis. So my question is, is it possible to get this condition and does anyone else experience these symptoms?.</t>
        </is>
      </c>
      <c r="D3127" t="n">
        <v>1</v>
      </c>
      <c r="E3127" t="n">
        <v>4</v>
      </c>
      <c r="F3127">
        <f>HYPERLINK("https://www.reddit.com/r/GERD/comments/dgaqiv/is_it_possible_to_get_costochondritis_from_gerd/")</f>
        <v/>
      </c>
      <c r="G3127" t="inlineStr">
        <is>
          <t>2019-10-10 22:50:23</t>
        </is>
      </c>
      <c r="H3127" t="inlineStr"/>
    </row>
    <row r="3128">
      <c r="A3128" t="inlineStr">
        <is>
          <t>dgcn8j</t>
        </is>
      </c>
      <c r="B3128" t="inlineStr">
        <is>
          <t>My opinion on GERD &amp;amp; Acid NOT responsible for damage to the esophagus</t>
        </is>
      </c>
      <c r="C3128" t="inlineStr">
        <is>
          <t>I'm not gonna type up a long post because it's unnecessary. I've researched a lot on GERD, Esophagitis, LPR, heartburn, you name it. I've suspected before that acid isn't the issue when it comes to the damage of the esophagus when having an episode of GERD, and I'm not sure why I just came across studies on this, and i'm sure someone in the past has posted about this but read [here](https://www.sciencedaily.com/releases/2009/11/091119111335.htm) . 'Cytokines' aka proteins that make their way into the esophagus with the acid that backs up, end up causing the real damage, not the acid.  So essentially speaking that's probably the reason why PPI's and all other acid suppressors do not correct the issue and many people still have symptoms while taking the meds. This study was from 10 years ago... and they for sure are doing testing on these 'cytokines'. I don't know if it's possible to target &amp;amp; eradicate those proteins from the esophagus using natural resources but, I'm just gonna assume in the near future, they will have meds that specifically target those proteins and remove them from the throat/esophagus. It's only a matter of time</t>
        </is>
      </c>
      <c r="D3128" t="n">
        <v>5</v>
      </c>
      <c r="E3128" t="n">
        <v>19</v>
      </c>
      <c r="F3128">
        <f>HYPERLINK("https://www.reddit.com/r/GERD/comments/dgcn8j/my_opinion_on_gerd_acid_not_responsible_for/")</f>
        <v/>
      </c>
      <c r="G3128" t="inlineStr">
        <is>
          <t>2019-10-11 02:29:07</t>
        </is>
      </c>
      <c r="H3128" t="inlineStr"/>
    </row>
    <row r="3129">
      <c r="A3129" t="inlineStr">
        <is>
          <t>dgczqj</t>
        </is>
      </c>
      <c r="B3129" t="inlineStr">
        <is>
          <t>Nexium causes diarrhea?</t>
        </is>
      </c>
      <c r="C3129" t="inlineStr">
        <is>
          <t>Does anyone experience this unpleasant side effect when taking Nexium? I can't seem to tolerate it too well.</t>
        </is>
      </c>
      <c r="D3129" t="n">
        <v>2</v>
      </c>
      <c r="E3129" t="n">
        <v>1</v>
      </c>
      <c r="F3129">
        <f>HYPERLINK("https://www.reddit.com/r/GERD/comments/dgczqj/nexium_causes_diarrhea/")</f>
        <v/>
      </c>
      <c r="G3129" t="inlineStr">
        <is>
          <t>2019-10-11 03:06:58</t>
        </is>
      </c>
      <c r="H3129" t="inlineStr"/>
    </row>
    <row r="3130">
      <c r="A3130" t="inlineStr">
        <is>
          <t>dgh6ul</t>
        </is>
      </c>
      <c r="B3130" t="inlineStr">
        <is>
          <t>GERD Diet</t>
        </is>
      </c>
      <c r="C3130" t="inlineStr">
        <is>
          <t>Hello, I’m new here but have been struggling w GERD symptoms since May. It’s getting very difficult to live my life, and I’m reaching a desperate state. Have any of you tried the book “The Acid Watcher Diet: A 28-Day Reflux Prevention and Healing Program” by Dr. Jonathan Aviv? If so, I’d like to know your experience with it. 
If not, what tips do you have in regards to a diet to stick to? The expectations are taking their tolls. I feel physically miserable it’s making me mentally weaker as well.</t>
        </is>
      </c>
      <c r="D3130" t="n">
        <v>3</v>
      </c>
      <c r="E3130" t="n">
        <v>12</v>
      </c>
      <c r="F3130">
        <f>HYPERLINK("https://www.reddit.com/r/GERD/comments/dgh6ul/gerd_diet/")</f>
        <v/>
      </c>
      <c r="G3130" t="inlineStr">
        <is>
          <t>2019-10-11 08:58:35</t>
        </is>
      </c>
      <c r="H3130" t="inlineStr"/>
    </row>
    <row r="3131">
      <c r="A3131" t="inlineStr">
        <is>
          <t>dgjjz0</t>
        </is>
      </c>
      <c r="B3131" t="inlineStr">
        <is>
          <t>Getting Restech done</t>
        </is>
      </c>
      <c r="C3131" t="inlineStr">
        <is>
          <t>Due to chronic soreness in my throat, which my ENT believes is due to LPR, I'm getting the pH monitoring done on Monday.  From there I will likely go back to my GI doctor as that is more of  his area.  I had a 3rd scope done this morning and he said my throat was "beet red", but otherwise looked fine with no lumps or anything.  The sore throat started in late August.  I notice it flares up a night.  It's been a real PITA to nail down triggers.  I cut coffee and other common trigger foods out.  We'll see what happens.  I'd rather have regular GERD with symptoms that PPI's fix because silent reflux is much harder to figure out I feel.
Has anyone tried a low acid diet and how long did it take to work?  I tried the Acid Watcher's diet a few weeks ago but stopped.  Wasn't sure if it was doing anything.  Maybe too premature?</t>
        </is>
      </c>
      <c r="D3131" t="n">
        <v>2</v>
      </c>
      <c r="E3131" t="n">
        <v>16</v>
      </c>
      <c r="F3131">
        <f>HYPERLINK("https://www.reddit.com/r/GERD/comments/dgjjz0/getting_restech_done/")</f>
        <v/>
      </c>
      <c r="G3131" t="inlineStr">
        <is>
          <t>2019-10-11 11:55:46</t>
        </is>
      </c>
      <c r="H3131" t="inlineStr"/>
    </row>
    <row r="3132">
      <c r="A3132" t="inlineStr">
        <is>
          <t>dgjnvb</t>
        </is>
      </c>
      <c r="B3132" t="inlineStr">
        <is>
          <t>Trying to Abandon Meds</t>
        </is>
      </c>
      <c r="C3132" t="inlineStr">
        <is>
          <t>About me: About 7 years ago I was diagnosed with a hiatial hernia. It wasn't bad enough to be worth surgical help, but it did cause heartburn/discomfort/burping, and a feeling of fullness. I was prescribed Prilosec (lowest OC dose) and took it daily for the last 7 years. I've since lost 40 lbs (was 220, now closer to 180 and I know weight can have a big effect on reflux), and I thought it may be worth getting off all meds to see if my reflux was still an issue.  
About 2 or 3 months ago I started weaning myself off of prilosec, from 1 a day to 1 every other day, to 1 every 3rd day, to cutting it out altogether. To help with the weaning I started taking ranitidine twice daily (75mg dose). I'm now totally off of prilosec and only take one 75mg dose of ranitidine each evening. I still have some discomfort/reflux if I don't take it.   
Now that ranitidine has disappeared from all my pharmacies, I'm thinking now may be a good time to start the next step and begin cutting it out, since I have about 2 weeks worth of it left. What strategies do y'all recommend? Any diet changes, foods I should add, supplements or drinks I could take, to help this transition and manage the little reflux/indigestion that still exists?   
I imagine I'll live with some heartburn forever considering the hiatial hernia, and will likely more heavily notice it during the holidays, when I eat too much, consume more alcohol, stuff like that, and I'm still not opposed to taking tums when I need it or possibly something like pepcid every now and again (though I've never had it), but I'd like to cut out the medicine as much as possible considering my case has gone from being bad to more minimal. Thoughts? Advice? Tips?</t>
        </is>
      </c>
      <c r="D3132" t="n">
        <v>9</v>
      </c>
      <c r="E3132" t="n">
        <v>10</v>
      </c>
      <c r="F3132">
        <f>HYPERLINK("https://www.reddit.com/r/GERD/comments/dgjnvb/trying_to_abandon_meds/")</f>
        <v/>
      </c>
      <c r="G3132" t="inlineStr">
        <is>
          <t>2019-10-11 12:03:33</t>
        </is>
      </c>
      <c r="H3132" t="inlineStr"/>
    </row>
    <row r="3133">
      <c r="A3133" t="inlineStr">
        <is>
          <t>dgk16s</t>
        </is>
      </c>
      <c r="B3133" t="inlineStr">
        <is>
          <t>Pretty sure I have GERD and would love to drink again</t>
        </is>
      </c>
      <c r="C3133" t="inlineStr">
        <is>
          <t>Hi, long story short, I started noticing id get bloated a lot after eating , 
Stimulant sensitivity shot to an all high when I went from no weekend white, no redbulls, and recently not even green tea.
So I just drank 
Now I can't even do that
I went out to eat Italian about a month ago. I ate food was delicious. 2 hrs later I feel anxiety , my heart's racing, 150/90 at a standstill. I had drank a 12pk the night before got up went to work just fine lunch was fine too. Ambulance says I'm ok hospital wasn't worth the wait so I just go home and try to sleep. I eat my leftovers from the Italian place and same symptoms, come to the conclusion that maybe It was the food and it gave me food poisoning. I recalled feeling a burning sensation in my stomach and heavy bloating. 
Next week I drink my usual Friday 12pk , about 7 beers in and I feel bloated and anxiety type feeling. Blamed the small taste I did of some coke. Probably like 10mg on the tip of my tounge and spit out to verify quality, anyways I call it a night go in early. Next day buy some whiskey and 2 whiskey &amp;amp; cokes in and same shit, and I get this dry mouth , mucus stuck in back of throat feeling, tight chest hard time breathe feeling all damn week till about Thursday. Doctors did everything heart related and concluded everything was healthy and said I have digestive issues. 
It's been about 3 weeks no alcohol , avoiding pizza, minimal red meat, I've seen certain foods that cause situations but I'd like to be able to drink again after a long work week. What gives what diet can I follow for a quick recovery. Is this permanent ? Will I ever not have stomach issues like this ? Do I even have GERD?</t>
        </is>
      </c>
      <c r="D3133" t="n">
        <v>3</v>
      </c>
      <c r="E3133" t="n">
        <v>8</v>
      </c>
      <c r="F3133">
        <f>HYPERLINK("https://www.reddit.com/r/GERD/comments/dgk16s/pretty_sure_i_have_gerd_and_would_love_to_drink/")</f>
        <v/>
      </c>
      <c r="G3133" t="inlineStr">
        <is>
          <t>2019-10-11 12:31:10</t>
        </is>
      </c>
      <c r="H3133" t="inlineStr"/>
    </row>
    <row r="3134">
      <c r="A3134" t="inlineStr">
        <is>
          <t>dgklue</t>
        </is>
      </c>
      <c r="B3134" t="inlineStr">
        <is>
          <t>Wellbutrin caused it all for me</t>
        </is>
      </c>
      <c r="C3134" t="inlineStr">
        <is>
          <t>I started to have nausea and such from esophigitis/GERD last year and couldn’t figure out what the problem was. It turns out it was Wellbutrin that caused it all. I had gone off of it and started drinking more water and healed. Then I started it back up a few days ago and the symptoms returned within days.</t>
        </is>
      </c>
      <c r="D3134" t="n">
        <v>2</v>
      </c>
      <c r="E3134" t="n">
        <v>2</v>
      </c>
      <c r="F3134">
        <f>HYPERLINK("https://www.reddit.com/r/GERD/comments/dgklue/wellbutrin_caused_it_all_for_me/")</f>
        <v/>
      </c>
      <c r="G3134" t="inlineStr">
        <is>
          <t>2019-10-11 13:13:18</t>
        </is>
      </c>
      <c r="H3134" t="inlineStr"/>
    </row>
    <row r="3135">
      <c r="A3135" t="inlineStr">
        <is>
          <t>dglapj</t>
        </is>
      </c>
      <c r="B3135" t="inlineStr">
        <is>
          <t>Low FODMAP diet</t>
        </is>
      </c>
      <c r="C3135" t="inlineStr">
        <is>
          <t>My doctor recommended I try a low FODMAP diet for a couple weeks to help heal my gut and hopefully reduce some GERD symptoms. Wanted to share in case anyone else has tried this diet? I’ve felt some relief over the past few days, which has been nice, but still a ways to go.</t>
        </is>
      </c>
      <c r="D3135" t="n">
        <v>3</v>
      </c>
      <c r="E3135" t="n">
        <v>2</v>
      </c>
      <c r="F3135">
        <f>HYPERLINK("https://www.reddit.com/r/GERD/comments/dglapj/low_fodmap_diet/")</f>
        <v/>
      </c>
      <c r="G3135" t="inlineStr">
        <is>
          <t>2019-10-11 14:05:27</t>
        </is>
      </c>
      <c r="H3135" t="inlineStr"/>
    </row>
    <row r="3136">
      <c r="A3136" t="inlineStr">
        <is>
          <t>dgoigg</t>
        </is>
      </c>
      <c r="B3136" t="inlineStr">
        <is>
          <t>silent reflux or post nasal drip???</t>
        </is>
      </c>
      <c r="C3136" t="inlineStr">
        <is>
          <t>i'm convinced that i may have silent reflux or post nasal drip????  i'm going back to the doctor on tuesday for blood tests and ask him to refer me to a ENT. 
last week, i had very bad acid reflux. gassy chest pains, feeling like a burp was stuck in my chest and couldn't get it out, burning sensation in my stomach, heartburn, nausea, feeling like a lump in my throat and constant mucus in the back of my throat and the need to swallow it down.  i also had very bad upper back pains in the middle of my upper back and right shoulder blade region (assuming this may be from my gallbladder but i'll ask my doctor about that too) 
i went to the doctor 2 times for this and prescribed me PPI's. first few days, i took them and didn't see any difference at all and was taking Gaviscon at night. i stopped taking them after reading that long term effects of PPI's can destroy your stomach and i didnt want to have rebound reflux coming off them too even though, i would be only taking short term. after coming off the PPI, there was a huge improvement. i was able to burp again and eat food again without feeling nauseous and didnt have bad heartburn. 
this week, my throat is starting to get worse. i looked at my throat and it looks as though i have developed strep throat. my throat is inflamed, i have a white spot on my tonsils, it seems as though i have a sore on the back of my throat aswell. i'm also starting to get some ear irritation from this aswell. i'm starting to think that this is caused by the acid coming up my stomach into my throat and the feeling that i have mucus in the back of my throat is still there and i'm always swallowing it down but comes again.  i still have upper back pains but not as bad as before, my stomach is bloated but i have no burning sensation in my stomach unlike before but can sometimes still feel acid bubbling around in my stomach but very hesistant to take the PPI's until i know furtherwise what is wrong. 
only thing ruling out the silent reflux and post nasal drip is change of voice/hoarseness and coughing as i have none of these but my symptoms are very minor. apart of me thinks the upper back pain may be my gallbladder as i know your gallbladder can be associated with acid reflux too but no signs of abdominal pain. 
i changed my diet in the past week after reading gerd friendly meals on google and stuck to making them to try and get better but even before, i didnt have a bad diet and i'm a average weight and still very young. i occasionally had fast food but it wasn't everyday and they never affected me before. i also recently quit smoking. i'm about 3 weeks off the cigarettes. i wasn't a heavy smoker to begin with but it needed to be done and don't have any cravings for them what so ever. 
i would really like a second opinion on what this could be.</t>
        </is>
      </c>
      <c r="D3136" t="n">
        <v>5</v>
      </c>
      <c r="E3136" t="n">
        <v>8</v>
      </c>
      <c r="F3136">
        <f>HYPERLINK("https://www.reddit.com/r/GERD/comments/dgoigg/silent_reflux_or_post_nasal_drip/")</f>
        <v/>
      </c>
      <c r="G3136" t="inlineStr">
        <is>
          <t>2019-10-11 18:32:24</t>
        </is>
      </c>
      <c r="H3136" t="inlineStr"/>
    </row>
    <row r="3137">
      <c r="A3137" t="inlineStr">
        <is>
          <t>dgpdf8</t>
        </is>
      </c>
      <c r="B3137" t="inlineStr">
        <is>
          <t>Hopefully this will help someone else...</t>
        </is>
      </c>
      <c r="C3137" t="inlineStr">
        <is>
          <t>Last February I awoke in the middle of the night with intense burning in my esophagus and stomach pain. Went to the ER because my chest hurt as well and was given Carafate with Pantoprazole and told to follow up with a GI. The following week I saw a GI and was put on Dexilant. A few weeks later I came back and an EGD (upper endsocopy) was done. Grade A esophagitis was found with moderate gastritis. Came back again within a few weeks and an Espophageal Manometry was done which later found that I had 60% of failed swallows, 30% normal, and 10% had breaks &amp;gt;5 cm. 
Sought out a fore-gut specialist surgeon  and was referred to another GI who specialized in motility disorders. Saw the GI and was put on Baclofen for a while. This was supposed to be the plan for about 6 weeks and then if nothing got better testing for surgery would ensue. 
Now between February and June of 2018 I was in and out of the emergency room with stomach pain in my upper right quadrant with chest pain, vomiting bile, unintended weight loss, and reflux. I believe it was 10 visits and a few times they did a CT scan and ultrasound and only found "moderate sludge" which apparently is normal. A few of the times I was told that it was, "in my head" which is complete BS. The second to last time I was at the ER I woke up at 2 am on June 6th with severe sweating, shaking, stomach pain and nausea. Most of the symptoms I've had throughout the whole time, except for the sweating and shaking. I was admitted and given a plethora of meds, nitro, morphine, and reglan. The double dose of morphine made me sleep for a day straight. While in the hospital I told them the pain in my upper right stomach hurt A LOT more than it did before and they just said it was reflux. Three days later I was admitted again and got a competent doctor to finally take a thorough look at everything and found the white blood cell count was elevated and had been the past 4 or 5 visits. I was admitted and a HIDA scan was done and showed that my gallbladder wasn't working and was scheduled for surgery the next morning. When they went in to remove it they found it had perforated and I was leaking gangrene in my body! The surgeon had claimed that the infection had been going on for a few months, ( right around the time I got sick in February) and I was lucky I didn't die. 
After a week, I followed up with my GI and he said that if they had caught it sooner, I probably wouldn't have been in as bad of shape as I was. A Ph study was ordered and found that I was still indeed refluxing even though my symptoms had greatly improved. Went back to the fore-gut surgeon, and decided I wanted to try the least invasive procedure which was the Stretta. At a 6 month follow up manometry, my motility had normalized and my LES and UES pressures were even back and slightly higher than normal which was classified as "EGJOO" (esophageal junction outflow obstruction). I was still having chest discomfort though so another Ph study was ordered, this time a 96 hour study. 
What was interesting was that on the two days without meds, it showed significant reflux. But the two days on meds, I had a normal demeester score of 14.4 which lead them to believe I had esophageal hypersensitivity. My GI started treatment with tricyclic antidepressants which worked! 
I sought out to have the LINX procedure done as I was still having reflux and wanted to decrease the amount of medication I was taking. Had the procedure done in May of this year but found I was still refluxing, just not as bad. Turns out that the LINX is really for people who are earlier in the GERD stage and even not really for people who have had endoluminal procedures such as the Stretta or TIF. 
I'm going back to see the surgeon this coming Thursday on the 17th and will be scheduled for a Nissen. 
I say all of that to say this, there are multiple reasons anyone could be having reflux. Something as simple as gallstones to more complicated like motility disorders, or even functional reasons. Be your own advocate and do your own research if you've felt as it you haven't been given proper attention or are looked over, because only you know how you feel! 
Incidentally, I am going to school for medical research and have learned A LOT along this painful journey so if anyone has any questions, feel free to message and I will help anyway I can.</t>
        </is>
      </c>
      <c r="D3137" t="n">
        <v>19</v>
      </c>
      <c r="E3137" t="n">
        <v>17</v>
      </c>
      <c r="F3137">
        <f>HYPERLINK("https://www.reddit.com/r/GERD/comments/dgpdf8/hopefully_this_will_help_someone_else/")</f>
        <v/>
      </c>
      <c r="G3137" t="inlineStr">
        <is>
          <t>2019-10-11 19:49:51</t>
        </is>
      </c>
      <c r="H3137" t="inlineStr"/>
    </row>
    <row r="3138">
      <c r="A3138" t="inlineStr">
        <is>
          <t>dgw480</t>
        </is>
      </c>
      <c r="B3138" t="inlineStr">
        <is>
          <t>So it turns out I've got acid reflux due to fungal infection of the esophagus probably due to Flovent (asthma inhaler).</t>
        </is>
      </c>
      <c r="C3138" t="inlineStr">
        <is>
          <t>I'm hopefully done for a while with the acid reflux stuff after the anti fungal medication is done. I feel relieved now.</t>
        </is>
      </c>
      <c r="D3138" t="n">
        <v>19</v>
      </c>
      <c r="E3138" t="n">
        <v>33</v>
      </c>
      <c r="F3138">
        <f>HYPERLINK("https://www.reddit.com/r/GERD/comments/dgw480/so_it_turns_out_ive_got_acid_reflux_due_to_fungal/")</f>
        <v/>
      </c>
      <c r="G3138" t="inlineStr">
        <is>
          <t>2019-10-12 07:50:44</t>
        </is>
      </c>
      <c r="H3138" t="inlineStr"/>
    </row>
    <row r="3139">
      <c r="A3139" t="inlineStr">
        <is>
          <t>dgwnx6</t>
        </is>
      </c>
      <c r="B3139" t="inlineStr">
        <is>
          <t>My experiances with GERD</t>
        </is>
      </c>
      <c r="C3139" t="inlineStr">
        <is>
          <t>I was told years ago that I had a condition where I was making too much Stomach Acid. Literally this was how it was described to me, they put me on 40mg of omeprazole (Somac) and I was told to take one of them every day for the rest of my life.
&amp;amp;#x200B;
About 15 years later I get a doctor that says "umm you really shouldn't be popping those like that, they can damage your kidneys" 
&amp;amp;#x200B;
This was the first time I'd heard this and now I've looked around I'm annoyed that none of my doctors have thought to mention it.
The PPI was "working" in that I was getting through the days mostly without much in the way of acid issues but I was starting to develop other issues that was starting to effect my day to day life. 
stuff like:
* cycling between very loose stools and constipation
* increased flatulence (foul as well)
* slowly running out of foods that I could safely eat to minimize these effects
   * I have been eliminating various foods over weeks/months to get a good baseline.
&amp;amp;#x200B;
So I'm now off the PPI (the initial weeks were \*awful\*   PPI rebound is a bitch.
&amp;amp;#x200B;
I now have a daily dose of "Gaviscon" ( Sodium alginate, calcium carbonate, sodium bicarbonate. ) before bed which seems to mostly do the job but whats been the biggest improvement is that I stool movements are back to normal form and regularity! my flatulence has greatly reduced and I can add many of the old foods I had stopped consuming back into my diet no issues.
&amp;amp;#x200B;
I'm now working on my weight as the next step.
I have a BMI of 27.1 so while overweight its entirely realistic that I can drop that back fairly quickly from 94kg to 85 kg.
&amp;amp;#x200B;
I do have a some Questions though:
&amp;amp;#x200B;
How do I drink plenty of water without stirring up the acid?
&amp;amp;#x200B;
I find that when I bend over I tend to get a bit of acid flowing up. nothing that makes me vomit but its been close at times. Is there a good practice to minimize this?</t>
        </is>
      </c>
      <c r="D3139" t="n">
        <v>2</v>
      </c>
      <c r="E3139" t="n">
        <v>10</v>
      </c>
      <c r="F3139">
        <f>HYPERLINK("https://www.reddit.com/r/GERD/comments/dgwnx6/my_experiances_with_gerd/")</f>
        <v/>
      </c>
      <c r="G3139" t="inlineStr">
        <is>
          <t>2019-10-12 08:33:58</t>
        </is>
      </c>
      <c r="H3139" t="inlineStr"/>
    </row>
    <row r="3140">
      <c r="A3140" t="inlineStr">
        <is>
          <t>dgz1rz</t>
        </is>
      </c>
      <c r="B3140" t="inlineStr">
        <is>
          <t>Interesting LPR Discovery</t>
        </is>
      </c>
      <c r="C3140" t="inlineStr">
        <is>
          <t>If I hold a full conversation, my constant clearing of my throat/coughing goes away and I no longer feel the need to clear it. Anyone else have this happen? If so, why does this resolve these symptoms?</t>
        </is>
      </c>
      <c r="D3140" t="n">
        <v>2</v>
      </c>
      <c r="E3140" t="n">
        <v>6</v>
      </c>
      <c r="F3140">
        <f>HYPERLINK("https://www.reddit.com/r/GERD/comments/dgz1rz/interesting_lpr_discovery/")</f>
        <v/>
      </c>
      <c r="G3140" t="inlineStr">
        <is>
          <t>2019-10-12 11:38:48</t>
        </is>
      </c>
      <c r="H3140" t="inlineStr"/>
    </row>
    <row r="3141">
      <c r="A3141" t="inlineStr">
        <is>
          <t>dgzgga</t>
        </is>
      </c>
      <c r="B3141" t="inlineStr">
        <is>
          <t>I thought I was having a heart attack...now I’m in this subreddit. Any advice for the new guy?</t>
        </is>
      </c>
      <c r="C3141" t="inlineStr">
        <is>
          <t>Hey all. 
So early one morning after one of my many bouts of heavy drinking (8 Trulys to be precise), I couldn’t sleep and laid on the couch with the dog from about 2 to 6 am. I felt a pressure in my chest which was entirely new to me. Google and webmd did me no favors to calm my anxiety so I went to urgent care another 2 hours later. 
The doctor didn’t seem too concerned that it was a heart attack, as I’m fairly young, don’t smoke, am not horribly overweight, and exercise regularly. He did however frequently ask if I was having heartburn, which I was not. I got an EKG and everything seemed just peachy there. So he gave me a prescription for Prilosec and a printout about GERD and sent me on my way.
For the remainder of the week it’s been nothing but light meals of bland vegetables, meat, and bread. I did slip and have a couple drinks (which I’m sure didn’t help my condition, but I did help my mood for a little bit). I’ve been doing myself no more favors of reading articles about this condition because it only makes me go to the worst in my head, which is probably unrealistic. 
So here I am now, way more aware of the heartburn I’m having with a less significant pressure pain in my chest, running through all of the shitty scenarios in my head. I do have a follow up appointment with my GP in a week so at least I’ll have some more info then. Hopefully things aren’t as bad as I’ve been compulsively thinking. 
So like the title says, any advice?</t>
        </is>
      </c>
      <c r="D3141" t="n">
        <v>1</v>
      </c>
      <c r="E3141" t="n">
        <v>1</v>
      </c>
      <c r="F3141">
        <f>HYPERLINK("https://www.reddit.com/r/GERD/comments/dgzgga/i_thought_i_was_having_a_heart_attacknow_im_in/")</f>
        <v/>
      </c>
      <c r="G3141" t="inlineStr">
        <is>
          <t>2019-10-12 12:10:19</t>
        </is>
      </c>
      <c r="H3141" t="inlineStr"/>
    </row>
    <row r="3142">
      <c r="A3142" t="inlineStr">
        <is>
          <t>dh0a2c</t>
        </is>
      </c>
      <c r="B3142" t="inlineStr">
        <is>
          <t>Waking up with chest pain and feeling of something at bottom of throat</t>
        </is>
      </c>
      <c r="C3142" t="inlineStr">
        <is>
          <t>Stomach uneasy just wanna puke. Been trying to eat saltines and ginger ale but just want this heartburn gone. Freaking out what do I do now.</t>
        </is>
      </c>
      <c r="D3142" t="n">
        <v>2</v>
      </c>
      <c r="E3142" t="n">
        <v>5</v>
      </c>
      <c r="F3142">
        <f>HYPERLINK("https://www.reddit.com/r/GERD/comments/dh0a2c/waking_up_with_chest_pain_and_feeling_of/")</f>
        <v/>
      </c>
      <c r="G3142" t="inlineStr">
        <is>
          <t>2019-10-12 13:15:59</t>
        </is>
      </c>
      <c r="H3142" t="inlineStr"/>
    </row>
    <row r="3143">
      <c r="A3143" t="inlineStr">
        <is>
          <t>dh0jnc</t>
        </is>
      </c>
      <c r="B3143" t="inlineStr">
        <is>
          <t>Any explanations?</t>
        </is>
      </c>
      <c r="C3143" t="inlineStr">
        <is>
          <t>I’m 21, go to the gym 4-5 times a week, eat well, all around pretty healthy, and don’t drink. About a week ago I started having quite a bit of trouble swallowing, which had me very nervous. Then over that weekend, I started to have this constant bubbling in my throat, feeling like a big lump in my throat, and constant sharp pain in my heart. Went to the doctor, said he believed I have GERD. Visit was pretty quick and I wasn’t very satisfied as I had no explanation as to why this would pop up all of a sudden, have had zero lifestyle changes recently. All I got was a prevacid prescription and told to take twice a day. That was this Tuesday, been taking that and drinking gaviscon four times a day, and really have only had minor improvements. Swallowing is a bit easier, but I still have this occasional sharp pain in my heart that lasts for hours. I’ve got another appointment coming up and I’m hoping I can get more out of this one. Is there anything I can suggest or bring up to the doctor on this visit that may help? Thanks a bunch</t>
        </is>
      </c>
      <c r="D3143" t="n">
        <v>1</v>
      </c>
      <c r="E3143" t="n">
        <v>14</v>
      </c>
      <c r="F3143">
        <f>HYPERLINK("https://www.reddit.com/r/GERD/comments/dh0jnc/any_explanations/")</f>
        <v/>
      </c>
      <c r="G3143" t="inlineStr">
        <is>
          <t>2019-10-12 13:37:19</t>
        </is>
      </c>
      <c r="H3143" t="inlineStr"/>
    </row>
    <row r="3144">
      <c r="A3144" t="inlineStr">
        <is>
          <t>dh1mps</t>
        </is>
      </c>
      <c r="B3144" t="inlineStr">
        <is>
          <t>Shortness of breath?</t>
        </is>
      </c>
      <c r="C3144" t="inlineStr">
        <is>
          <t>Hey guys! I’ve had GERD for a long time, but recently I’ve developed almost constant shortness of breath and it’s causing me a lot of anxiety! Has anyone else experienced this, and does anyone have any ideas on how to help it??</t>
        </is>
      </c>
      <c r="D3144" t="n">
        <v>1</v>
      </c>
      <c r="E3144" t="n">
        <v>18</v>
      </c>
      <c r="F3144">
        <f>HYPERLINK("https://www.reddit.com/r/GERD/comments/dh1mps/shortness_of_breath/")</f>
        <v/>
      </c>
      <c r="G3144" t="inlineStr">
        <is>
          <t>2019-10-12 15:03:16</t>
        </is>
      </c>
      <c r="H3144" t="inlineStr"/>
    </row>
    <row r="3145">
      <c r="A3145" t="inlineStr">
        <is>
          <t>dh3unb</t>
        </is>
      </c>
      <c r="B3145" t="inlineStr">
        <is>
          <t>29M - Sudden shortness of breath, chronic cough, sleep apnea, congested nasal passages</t>
        </is>
      </c>
      <c r="C3145" t="inlineStr">
        <is>
          <t>29M
6'
145lbs
White
Complaint: Chronic cough, mucous coated throat, bitter taste in mouth, shortness of breathe, sleep apnea, chronic nasal congestion
Duration: 3 months
No official diagnosis yet - been waiting on allergy test, endoscopy and pulmonary function test for 1.5 months or so (I do have a family doctor)
Used to smoke and drink on occasion. Haven't done either (aside from maybe 1-2 occasions) in 2+ months. 
One day I had a pretty bad panic / asthma attack (still not actually sure which), after which I continued to suffer bouts of shortness of breathe, panic, etc. The panic has subsided (probably a mental thing) but time has passed and symptoms continue to invade my life despite being prescribed Pantoprazole (in the process of weaning off, as it doesn't seem to be improving anything), Symbicort (still take 2x daily), Avamys and an emergency puffer for when my chest tightness was more random than it seems to be now. 
Based on my symptoms I'm fairly certain I have GERD or more specifically LPR, which is irritating my throat and causing my tonsils / airways to inflame and cause sleep apnea (diagnosed, waiting to get my tonsils out)... which is waking me up at night, destroying my sleep schedule. On top of all this, my nose has been congested for the duration of this nasty spell which exacerbates basically all symptoms and makes things unpleasant in general. I'm wondering if I have a hietal hernia which is causing the blockage / reflux (acid and/or pepsin/enzymes).
Any insight / suggestions / etc? Should I stay on my PPI for now? It seemed to help with the apnea if anything, though I'm not sure how. 
THANK YOU in advance for any input -  this issue is dragging on and I fear that it's only just the beginning.</t>
        </is>
      </c>
      <c r="D3145" t="n">
        <v>10</v>
      </c>
      <c r="E3145" t="n">
        <v>19</v>
      </c>
      <c r="F3145">
        <f>HYPERLINK("https://www.reddit.com/r/GERD/comments/dh3unb/29m_sudden_shortness_of_breath_chronic_cough/")</f>
        <v/>
      </c>
      <c r="G3145" t="inlineStr">
        <is>
          <t>2019-10-12 18:09:53</t>
        </is>
      </c>
      <c r="H3145" t="inlineStr"/>
    </row>
    <row r="3146">
      <c r="A3146" t="inlineStr">
        <is>
          <t>dh48sd</t>
        </is>
      </c>
      <c r="B3146" t="inlineStr">
        <is>
          <t>Dry mouth and eyes</t>
        </is>
      </c>
      <c r="C3146" t="inlineStr">
        <is>
          <t>Are dry eyes and mouth a symptom of LPR or GERD? Mine are extremely dry and I think I could have one of these based on other symptoms.</t>
        </is>
      </c>
      <c r="D3146" t="n">
        <v>2</v>
      </c>
      <c r="E3146" t="n">
        <v>2</v>
      </c>
      <c r="F3146">
        <f>HYPERLINK("https://www.reddit.com/r/GERD/comments/dh48sd/dry_mouth_and_eyes/")</f>
        <v/>
      </c>
      <c r="G3146" t="inlineStr">
        <is>
          <t>2019-10-12 18:45:56</t>
        </is>
      </c>
      <c r="H3146" t="inlineStr"/>
    </row>
    <row r="3147">
      <c r="A3147" t="inlineStr">
        <is>
          <t>dh534t</t>
        </is>
      </c>
      <c r="B3147" t="inlineStr">
        <is>
          <t>Endoscopy Time Frame</t>
        </is>
      </c>
      <c r="C3147" t="inlineStr">
        <is>
          <t>I’m about 2 months in with GERD or possible Esophagitis. I’ve been to urgent care and family doctors multiple times. At the beginning (first two visits) they suspected bronchitis, which I did have. My shortness of breath was so bad I was eating mint cough drops like candy. However, they really should  considered my other symptoms that were not consistent with bronchitis. 
Anyways 3rd time round I actually began being in assumptions of GERD/ Esophagitis after paying attention to symptoms and Googling. I fully expected to be able to get a endoscopy, but no luck. Got PPIs and told to give it a few weeks. No mention of diet, sleeping habits, eating habits, etc...
I see other people in this community having to deal with this shit for 6-8 months before endoscopy. What’s the deal with this? It seems like a harmless examination that would actually diagnose the issue pretty clearly. Why would this not be closer to the first step? I assume health insurance rules may require initial treatments before testing? Just curious what y’all have experienced.</t>
        </is>
      </c>
      <c r="D3147" t="n">
        <v>2</v>
      </c>
      <c r="E3147" t="n">
        <v>7</v>
      </c>
      <c r="F3147">
        <f>HYPERLINK("https://www.reddit.com/r/GERD/comments/dh534t/endoscopy_time_frame/")</f>
        <v/>
      </c>
      <c r="G3147" t="inlineStr">
        <is>
          <t>2019-10-12 20:04:12</t>
        </is>
      </c>
      <c r="H3147" t="inlineStr"/>
    </row>
    <row r="3148">
      <c r="A3148" t="inlineStr">
        <is>
          <t>dh5ys0</t>
        </is>
      </c>
      <c r="B3148" t="inlineStr">
        <is>
          <t>Does something like Miralax help if my LPR is caused by slow digestion/constipation?</t>
        </is>
      </c>
      <c r="C3148" t="inlineStr">
        <is>
          <t xml:space="preserve"> My LPR is a symptom of quitting tranquilizers. I can manage myself with Fish Oil, Vitamin D and B-Complex, however I still get some LPR, especially hours after eating.. I notice after I use the bathroom or eat fiber, my reflux is much better, I feel that digestion is a bit slow but I wonder, if I get something that handles the slow digestion, does that help? Gas-X didn't do much for me, so I'm not really sure.</t>
        </is>
      </c>
      <c r="D3148" t="n">
        <v>3</v>
      </c>
      <c r="E3148" t="n">
        <v>2</v>
      </c>
      <c r="F3148">
        <f>HYPERLINK("https://www.reddit.com/r/GERD/comments/dh5ys0/does_something_like_miralax_help_if_my_lpr_is/")</f>
        <v/>
      </c>
      <c r="G3148" t="inlineStr">
        <is>
          <t>2019-10-12 21:31:01</t>
        </is>
      </c>
      <c r="H3148" t="inlineStr"/>
    </row>
    <row r="3149">
      <c r="A3149" t="inlineStr">
        <is>
          <t>dh6bxo</t>
        </is>
      </c>
      <c r="B3149" t="inlineStr">
        <is>
          <t>White tongue from GERD/LPR</t>
        </is>
      </c>
      <c r="C3149" t="inlineStr">
        <is>
          <t>I’ve had a constant white tongue for about two years now. I’m wondering if this is due to my gerd. I’ve tested negative for thrush and even taken a precautionary course anti fungals. No change. The tongue appears white and almost furry. Has anybody with acid reflux experienced a white tongue?</t>
        </is>
      </c>
      <c r="D3149" t="n">
        <v>2</v>
      </c>
      <c r="E3149" t="n">
        <v>5</v>
      </c>
      <c r="F3149">
        <f>HYPERLINK("https://www.reddit.com/r/GERD/comments/dh6bxo/white_tongue_from_gerdlpr/")</f>
        <v/>
      </c>
      <c r="G3149" t="inlineStr">
        <is>
          <t>2019-10-12 22:09:51</t>
        </is>
      </c>
      <c r="H3149" t="inlineStr"/>
    </row>
    <row r="3150">
      <c r="A3150" t="inlineStr">
        <is>
          <t>dh9gwy</t>
        </is>
      </c>
      <c r="B3150" t="inlineStr">
        <is>
          <t>Can a swollen LINGUAL (not palatine) tonsil on one side be a result of GERD?</t>
        </is>
      </c>
      <c r="C3150" t="inlineStr">
        <is>
          <t>I’ve had tonsillitis on and off since I was in elementary school, and therefore have gotten used to having tonsil stones or sore throats.
Last January, I had another bout of tonsillitis and decided to peer in the far back of my throat with a flashlight. It was there where I realized the base of my tongue under my left palatine tonsil was swollen (lingual tonsil). I just assumed it’d go away and didn’t bother to do anything about it.
I saw an ENT a few months back, mainly inquiring about swollen lymph nodes in my neck. I didn’t even bother asking about the lingual tonsil, because I assumed that everything was fine when he didn’t mention it after putting a camera through my nose. He told me I had GERD, and that was that.
Fast forward to today, the left lingual tonsil is significantly large, whereas the right one is hardly swollen at all. I am getting increasingly more paranoid that it could be something more sinister than just GERD. I have an ENT appointment in two weeks (earliest I could get in), and I’m worried that for whatever reason the doctors missed it and it’s actually something serious.
To reassure my anxious mind, I just wanted to know if GERD could cause swollen lingual tonsils in the first place.</t>
        </is>
      </c>
      <c r="D3150" t="n">
        <v>2</v>
      </c>
      <c r="E3150" t="n">
        <v>1</v>
      </c>
      <c r="F3150">
        <f>HYPERLINK("https://www.reddit.com/r/GERD/comments/dh9gwy/can_a_swollen_lingual_not_palatine_tonsil_on_one/")</f>
        <v/>
      </c>
      <c r="G3150" t="inlineStr">
        <is>
          <t>2019-10-13 04:36:22</t>
        </is>
      </c>
      <c r="H3150" t="inlineStr"/>
    </row>
    <row r="3151">
      <c r="A3151" t="inlineStr">
        <is>
          <t>dhafzd</t>
        </is>
      </c>
      <c r="B3151" t="inlineStr">
        <is>
          <t>Coffee drinking with GERD</t>
        </is>
      </c>
      <c r="C3151" t="inlineStr">
        <is>
          <t>Recently, I saw and read alot about how coffee is a major heartburn trigger and that  people with GERD should avoid it. However, Ive been seeing several posts and hearing alot of people talking about how Cold Brew Coffee does nor or minimizes reflux. So, as a drinker of 4-5 shots of espresso a day ( with mediocre GERD), I decided to drop the espresso shots and try cold brewed coffee for a week. I must emphasize COLD BREW and NOT Iced Americanos, the first day of the week, I had an iced americano and it killed my stomach. Cold Brew on the other hand is much lighter and less acidic, it aldo gives you the same-ish hit as a double espresso shot. So whoever suffers from GERD but also loves his/her daily cup of joe, DEFINETLY try cold brew.</t>
        </is>
      </c>
      <c r="D3151" t="n">
        <v>9</v>
      </c>
      <c r="E3151" t="n">
        <v>9</v>
      </c>
      <c r="F3151">
        <f>HYPERLINK("https://www.reddit.com/r/GERD/comments/dhafzd/coffee_drinking_with_gerd/")</f>
        <v/>
      </c>
      <c r="G3151" t="inlineStr">
        <is>
          <t>2019-10-13 06:15:07</t>
        </is>
      </c>
      <c r="H3151" t="inlineStr"/>
    </row>
    <row r="3152">
      <c r="A3152" t="inlineStr">
        <is>
          <t>dhbw96</t>
        </is>
      </c>
      <c r="B3152" t="inlineStr">
        <is>
          <t>GERD cause stabbing pain in the chest / when you breath?</t>
        </is>
      </c>
      <c r="C3152" t="inlineStr">
        <is>
          <t>I was diagnosed with GERD 5 months ago. I kept feeling like a stabbing pain on the left side of my chest, where my heart is. Scared the hell out of me and I've been to the cardiologist because of it. Had an ekg, blood work, echo, and they said I'm fine but just have a slight arythmia + delayed heartbreat. Totally normal.
&amp;amp;#x200B;
Well, I want to try to get off omperezole so I've bought the OTC kind that is 20mg. I thought I was doing good, but nearly every time I eat now I get this sharp pain in my chest. When I breath in, it's worse. It'll go away after nearly 1.5 hours of being in pain, but it's still so scary!
The GI and cardiologist keep saying it's GERD, and I think it may be, but I have never heard of anyone having these symptoms. Anyone else out there?</t>
        </is>
      </c>
      <c r="D3152" t="n">
        <v>1</v>
      </c>
      <c r="E3152" t="n">
        <v>7</v>
      </c>
      <c r="F3152">
        <f>HYPERLINK("https://www.reddit.com/r/GERD/comments/dhbw96/gerd_cause_stabbing_pain_in_the_chest_when_you/")</f>
        <v/>
      </c>
      <c r="G3152" t="inlineStr">
        <is>
          <t>2019-10-13 08:20:26</t>
        </is>
      </c>
      <c r="H3152" t="inlineStr"/>
    </row>
    <row r="3153">
      <c r="A3153" t="inlineStr">
        <is>
          <t>dhcr46</t>
        </is>
      </c>
      <c r="B3153" t="inlineStr">
        <is>
          <t>20F Gerd, acid reflux, esophagitis, ulcers, and more. Advice?</t>
        </is>
      </c>
      <c r="C3153" t="inlineStr">
        <is>
          <t>4 years ago, from either stress or aspirin I had several ulcers in the lining between my stomach and esophagus.  A nerve must have been pinched because I blacked out amd then after couldnt move the entire right half of my body. I was immediately driven to the hospital. I was there for a week and after several tests they told me about the ulcers. They just gave me medication and sent me on my way. Took another week for me to be able to get up and walk to another room without throwing up. Since then I've tried about 5 other medications(antacids/ ppi's), about 6 endoscopys, diet changes, and other lifestyle changes. I still struggle at least once or twice a week with these intense episodes where randomly my throat will close and I can barely breathe or swallow anything.  It's very painful and the acidity is overwhelming. This is with random foods I've eaten dozens of times including simple things like lettuce, carrots, and certain beans. I've had food allergies amd celiac disease since I was a baby so I'm used to checking labels on EVERYTHING. So naturally I'm aware of what I'm putting into my body to try and reduce my pain. Nothing has helped. It gets so bad I haven't been able to work lately. I try and then my reflux causes me to cough so hard I throw up. I don't know what to do about work anymore. I love my job so it sucks. But I've developed this chronic cough that happens daily that really strains my chest, so the sharp pain gets even worse from GERD. Everytime I try to go to a doctor, all I hear is "just too much acid", or "stress", and my least favorite one, that's most often, "you dont know what youre talking about, youre too young to have something like that ". Everybody just blows me off because they wont take this seriously like I am. Nobody cares, and all I want to do is research and figure out why this is happening. I dont wanna live the rest of my life like this. I still get ulcers in the same exact spots as before, even know i have massive craters in my esophagus. Does anybody have any advice?</t>
        </is>
      </c>
      <c r="D3153" t="n">
        <v>6</v>
      </c>
      <c r="E3153" t="n">
        <v>21</v>
      </c>
      <c r="F3153">
        <f>HYPERLINK("https://www.reddit.com/r/GERD/comments/dhcr46/20f_gerd_acid_reflux_esophagitis_ulcers_and_more/")</f>
        <v/>
      </c>
      <c r="G3153" t="inlineStr">
        <is>
          <t>2019-10-13 09:25:55</t>
        </is>
      </c>
      <c r="H3153" t="inlineStr"/>
    </row>
    <row r="3154">
      <c r="A3154" t="inlineStr">
        <is>
          <t>dhf3tw</t>
        </is>
      </c>
      <c r="B3154" t="inlineStr">
        <is>
          <t>Accidentally ate some trigger food, how do I ease this heartburn?</t>
        </is>
      </c>
      <c r="C3154" t="inlineStr">
        <is>
          <t>So I must have eaten something that triggered my reflux because I suddenly have intense heartburn after eating. That's completely fine, but I was just wondering how I could ease the heartburn? Should I eat/drink anything in particular or is there no way other than pushing through the pain until it goes away?
Currently I'm just slowly walking back and forth but the heartburn keeps coming and going.</t>
        </is>
      </c>
      <c r="D3154" t="n">
        <v>1</v>
      </c>
      <c r="E3154" t="n">
        <v>5</v>
      </c>
      <c r="F3154">
        <f>HYPERLINK("https://www.reddit.com/r/GERD/comments/dhf3tw/accidentally_ate_some_trigger_food_how_do_i_ease/")</f>
        <v/>
      </c>
      <c r="G3154" t="inlineStr">
        <is>
          <t>2019-10-13 12:18:49</t>
        </is>
      </c>
      <c r="H3154" t="inlineStr"/>
    </row>
    <row r="3155">
      <c r="A3155" t="inlineStr">
        <is>
          <t>dhitsf</t>
        </is>
      </c>
      <c r="B3155" t="inlineStr">
        <is>
          <t>Hiatal hernia and marijuana</t>
        </is>
      </c>
      <c r="C3155" t="inlineStr">
        <is>
          <t>Has anyone else experienced a tight pain in your chest/ upper stomach after smoking cannabis? After some research my guess is that it’s the hernia sliding up due to the relaxation of the diaphragm from the cannabis.</t>
        </is>
      </c>
      <c r="D3155" t="n">
        <v>3</v>
      </c>
      <c r="E3155" t="n">
        <v>25</v>
      </c>
      <c r="F3155">
        <f>HYPERLINK("https://www.reddit.com/r/GERD/comments/dhitsf/hiatal_hernia_and_marijuana/")</f>
        <v/>
      </c>
      <c r="G3155" t="inlineStr">
        <is>
          <t>2019-10-13 17:16:31</t>
        </is>
      </c>
      <c r="H3155" t="inlineStr"/>
    </row>
    <row r="3156">
      <c r="A3156" t="inlineStr">
        <is>
          <t>dhiy6v</t>
        </is>
      </c>
      <c r="B3156" t="inlineStr">
        <is>
          <t>Adderall and LPR</t>
        </is>
      </c>
      <c r="C3156" t="inlineStr">
        <is>
          <t>Does adderall impact LPR at all (positive or negative)?</t>
        </is>
      </c>
      <c r="D3156" t="n">
        <v>3</v>
      </c>
      <c r="E3156" t="n">
        <v>6</v>
      </c>
      <c r="F3156">
        <f>HYPERLINK("https://www.reddit.com/r/GERD/comments/dhiy6v/adderall_and_lpr/")</f>
        <v/>
      </c>
      <c r="G3156" t="inlineStr">
        <is>
          <t>2019-10-13 17:27:31</t>
        </is>
      </c>
      <c r="H3156" t="inlineStr"/>
    </row>
    <row r="3157">
      <c r="A3157" t="inlineStr">
        <is>
          <t>dhjyfz</t>
        </is>
      </c>
      <c r="B3157" t="inlineStr">
        <is>
          <t>Anti-inflammatory diet?</t>
        </is>
      </c>
      <c r="C3157" t="inlineStr">
        <is>
          <t>I had developed sleep apnea about a year ago and have had reflux for probably 10 years. I tried Keto diet for about 4 months and for awhile I didn’t need to use the wedge pillow or cpap machine. I started back slowly re introducing carbs into my diet and believe it is what wrecked me.
About a week ago, I slept without the wedge pillow and had serious symptoms from heartburn and reflux. I googled all the top foods to eat on the gerd diet and went to the grocery store. Day one, I ate a banana, a banana Chobani smoothie and chicken noodle soup. That night was terrible. I was so nacreous and I had the worst heart burn. The next morning, I ate oatmeal for breakfast and a banana. My symptoms were insane. I didn’t sleep at all that night as I was so sick from the heartburn and reflux. I ended up in the ER because I was out of options. They gave me a GI cocktail that helped a little but I only helped for maybe an hour. 
The next day I called my buddy who has GERD and sleep apnea and we were talking. He mentioned that his symptoms have all but vanished since he’s been on a low carb diet. He suggested that all the carbs/sugars I was eating was causing inflammation in my stomach. Today I was feeling better. I haven’t eaten any carbs today and made some really good Moroccan chicken with turmeric and ginger. If this works for me I’d like to share this story as I was so depressed and felt seriously hopeless when it was really bad. 
I’m going to be doing all the right stuff IE eating smaller meals, not eating late, sleeping with the wedge, using the cpap AND eating an anti inflammatory diet. I really hope that is the key. Does anyone else believe that a root cause could simply be inflammation? Sorry for the novel. 
God bless!</t>
        </is>
      </c>
      <c r="D3157" t="n">
        <v>7</v>
      </c>
      <c r="E3157" t="n">
        <v>3</v>
      </c>
      <c r="F3157">
        <f>HYPERLINK("https://www.reddit.com/r/GERD/comments/dhjyfz/antiinflammatory_diet/")</f>
        <v/>
      </c>
      <c r="G3157" t="inlineStr">
        <is>
          <t>2019-10-13 18:57:38</t>
        </is>
      </c>
      <c r="H3157" t="inlineStr"/>
    </row>
    <row r="3158">
      <c r="A3158" t="inlineStr">
        <is>
          <t>dhk9a2</t>
        </is>
      </c>
      <c r="B3158" t="inlineStr">
        <is>
          <t>In a few sentences describe your GERD chest pain. Looking to compare and contrast the symptom as the term “chest pain” can be vauge.</t>
        </is>
      </c>
      <c r="C3158" t="inlineStr">
        <is>
          <t>My chest pain is more of a discomfort, almost as if it is wrapped up. Sometimes I’ll get little zingers in the center behind sternum. Rib cage and diaphragm areas have a dull ache to them.</t>
        </is>
      </c>
      <c r="D3158" t="n">
        <v>1</v>
      </c>
      <c r="E3158" t="n">
        <v>2</v>
      </c>
      <c r="F3158">
        <f>HYPERLINK("https://www.reddit.com/r/GERD/comments/dhk9a2/in_a_few_sentences_describe_your_gerd_chest_pain/")</f>
        <v/>
      </c>
      <c r="G3158" t="inlineStr">
        <is>
          <t>2019-10-13 19:25:16</t>
        </is>
      </c>
      <c r="H3158" t="inlineStr"/>
    </row>
    <row r="3159">
      <c r="A3159" t="inlineStr">
        <is>
          <t>dhlscl</t>
        </is>
      </c>
      <c r="B3159" t="inlineStr">
        <is>
          <t>Running out of options.</t>
        </is>
      </c>
      <c r="C3159" t="inlineStr">
        <is>
          <t>I’m 25 yo female. I’ve been on prilosec twice a day for about 5-6 months. I tried weaning off and nothing helped. I’m NOT overweight. What should I avoid in my diet. I don’t think I should be having this bad of gerd being this young. I don’t drink at all or smoke. I have 2-3 coffees a day because I’m in nursing school and it keeps me sane .is this possibly from when I was a binge alcohol drinker from age 13-20 yo.... :( I’m sober now. I have an egd scheduled all the way in December :/ . Any advice would help thanks and please be nice I don’t usually post.</t>
        </is>
      </c>
      <c r="D3159" t="n">
        <v>3</v>
      </c>
      <c r="E3159" t="n">
        <v>12</v>
      </c>
      <c r="F3159">
        <f>HYPERLINK("https://www.reddit.com/r/GERD/comments/dhlscl/running_out_of_options/")</f>
        <v/>
      </c>
      <c r="G3159" t="inlineStr">
        <is>
          <t>2019-10-13 21:54:16</t>
        </is>
      </c>
      <c r="H3159" t="inlineStr"/>
    </row>
    <row r="3160">
      <c r="A3160" t="inlineStr">
        <is>
          <t>dhm8m7</t>
        </is>
      </c>
      <c r="B3160" t="inlineStr">
        <is>
          <t>Acid and Base Both Hurt?</t>
        </is>
      </c>
      <c r="C3160" t="inlineStr">
        <is>
          <t>I rarely get heartburn... maybe one evening every 3 months or so (it used to be a lot worse). But when I do, sometimes it's a puzzling kind! A little baking soda in water (very diluted) often fails to help, and a little more can make it worse. But I've read that sometimes the problem is too *little* acid, so I've tried a little lemon juice in water afterward. But *that sometimes makes it worse too!* Tonight I've bounced back and forth, a sip of this, a sip of that. Nothing is helping. Guys, they can't both be true. Either the problem is too much acid or too much base. Scientifically, *one* of them should help... but they don't. Anyone else ever had this?</t>
        </is>
      </c>
      <c r="D3160" t="n">
        <v>2</v>
      </c>
      <c r="E3160" t="n">
        <v>13</v>
      </c>
      <c r="F3160">
        <f>HYPERLINK("https://www.reddit.com/r/GERD/comments/dhm8m7/acid_and_base_both_hurt/")</f>
        <v/>
      </c>
      <c r="G3160" t="inlineStr">
        <is>
          <t>2019-10-13 22:42:21</t>
        </is>
      </c>
      <c r="H3160" t="inlineStr"/>
    </row>
    <row r="3161">
      <c r="A3161" t="inlineStr">
        <is>
          <t>dhno4o</t>
        </is>
      </c>
      <c r="B3161" t="inlineStr">
        <is>
          <t>Why is linx the way to go?</t>
        </is>
      </c>
      <c r="C3161" t="inlineStr">
        <is>
          <t>Found this while browsing:.
http://agaperspectives.gastro.org/is-linx-the-way-to-go-for-gerd-surgery-yes/#respond
He raises a few good points.. Some might find this helpful.</t>
        </is>
      </c>
      <c r="D3161" t="n">
        <v>11</v>
      </c>
      <c r="E3161" t="n">
        <v>22</v>
      </c>
      <c r="F3161">
        <f>HYPERLINK("https://www.reddit.com/r/GERD/comments/dhno4o/why_is_linx_the_way_to_go/")</f>
        <v/>
      </c>
      <c r="G3161" t="inlineStr">
        <is>
          <t>2019-10-14 01:26:49</t>
        </is>
      </c>
      <c r="H3161" t="inlineStr"/>
    </row>
    <row r="3162">
      <c r="A3162" t="inlineStr">
        <is>
          <t>dhqqoq</t>
        </is>
      </c>
      <c r="B3162" t="inlineStr">
        <is>
          <t>Weening off omeprazole</t>
        </is>
      </c>
      <c r="C3162" t="inlineStr">
        <is>
          <t>Alright so I’ve been taking 20mg omeprazole 2x a day for the last 2.5 weeks. I’m not sure if they are doing much for my LPR and feel like they’re causing me chest pains now at times. The capsules also feel like they don’t fully go down my throat half the time that I take them and cause me a bunch of discomfort in my throat for about an hour and a half after taking them.  
How should I ween off these? I’ve been thinking about stopping there capsules all together and switching to he hard tablets to see if that makes a difference, but I also don’t want to keep taking these if they aren’t doing much for my LPR, which was my only problem before I ever started these things.</t>
        </is>
      </c>
      <c r="D3162" t="n">
        <v>2</v>
      </c>
      <c r="E3162" t="n">
        <v>12</v>
      </c>
      <c r="F3162">
        <f>HYPERLINK("https://www.reddit.com/r/GERD/comments/dhqqoq/weening_off_omeprazole/")</f>
        <v/>
      </c>
      <c r="G3162" t="inlineStr">
        <is>
          <t>2019-10-14 06:42:51</t>
        </is>
      </c>
      <c r="H3162" t="inlineStr"/>
    </row>
    <row r="3163">
      <c r="A3163" t="inlineStr">
        <is>
          <t>dhr1rv</t>
        </is>
      </c>
      <c r="B3163" t="inlineStr">
        <is>
          <t>Does anyone have LPR but no cough at all? Could it be something else?</t>
        </is>
      </c>
      <c r="C3163" t="inlineStr">
        <is>
          <t>Diagnosed as LPR, could possibly have nerve damage. I notice that tell tale signs of the two are chronic cough, but I don’t have a cough. Have everything else of the post nasal drip, tightness between adams apple/chin area. Could it be something else thats not LPR? Endoscope showed Bile in stomach</t>
        </is>
      </c>
      <c r="D3163" t="n">
        <v>2</v>
      </c>
      <c r="E3163" t="n">
        <v>6</v>
      </c>
      <c r="F3163">
        <f>HYPERLINK("https://www.reddit.com/r/GERD/comments/dhr1rv/does_anyone_have_lpr_but_no_cough_at_all_could_it/")</f>
        <v/>
      </c>
      <c r="G3163" t="inlineStr">
        <is>
          <t>2019-10-14 07:07:17</t>
        </is>
      </c>
      <c r="H3163" t="inlineStr"/>
    </row>
    <row r="3164">
      <c r="A3164" t="inlineStr">
        <is>
          <t>dhs6hi</t>
        </is>
      </c>
      <c r="B3164" t="inlineStr">
        <is>
          <t>Worse when I get upset</t>
        </is>
      </c>
      <c r="C3164" t="inlineStr">
        <is>
          <t>Hey,
So my GERD symptoms have improved ans I can't tell if its mainly diet change, medication, working out or loosning out the muscels around my stomach. Anyways, it seems like it flares up, at least I get a few symptoms [alot of phlegm and a tight chest etc.] if someone upset me. Not if I cry because I'm sad about something, but if another person makes me distressed. I.e. when my father doesnt understand that I have food limitations, or friends need to be there as an emotional support when I dont have the energy to. 
Does this make sense and can anyone relate?
Im just trying to figure out if me being distressed can be a trigger or if there's anything else going on:)</t>
        </is>
      </c>
      <c r="D3164" t="n">
        <v>2</v>
      </c>
      <c r="E3164" t="n">
        <v>17</v>
      </c>
      <c r="F3164">
        <f>HYPERLINK("https://www.reddit.com/r/GERD/comments/dhs6hi/worse_when_i_get_upset/")</f>
        <v/>
      </c>
      <c r="G3164" t="inlineStr">
        <is>
          <t>2019-10-14 08:30:52</t>
        </is>
      </c>
      <c r="H3164" t="inlineStr"/>
    </row>
    <row r="3165">
      <c r="A3165" t="inlineStr">
        <is>
          <t>dhsts0</t>
        </is>
      </c>
      <c r="B3165" t="inlineStr">
        <is>
          <t>My fiancé is suffering from GERD</t>
        </is>
      </c>
      <c r="C3165" t="inlineStr">
        <is>
          <t>Do any of you guys have diet recommendations?</t>
        </is>
      </c>
      <c r="D3165" t="n">
        <v>1</v>
      </c>
      <c r="E3165" t="n">
        <v>0</v>
      </c>
      <c r="F3165">
        <f>HYPERLINK("https://www.reddit.com/r/GERD/comments/dhsts0/my_fiancé_is_suffering_from_gerd/")</f>
        <v/>
      </c>
      <c r="G3165" t="inlineStr">
        <is>
          <t>2019-10-14 09:15:41</t>
        </is>
      </c>
      <c r="H3165" t="inlineStr"/>
    </row>
    <row r="3166">
      <c r="A3166" t="inlineStr">
        <is>
          <t>dhtpw0</t>
        </is>
      </c>
      <c r="B3166" t="inlineStr">
        <is>
          <t>Silent refux experience - coughing up phlegm</t>
        </is>
      </c>
      <c r="C3166" t="inlineStr">
        <is>
          <t>Hello,
I wake up with some amount of acid in my throat almost every morning for a long time now(&amp;gt;1 year). There's some inflammation as per the endoscopy and my doctor has me on medicine which isn't helping a lot.
I'm trying elimination but some foods make it worse but there's no food(or set of foods) which when eliminated completely cures my reflux. My only symptom is that I wake up with acid in my throat and throat inflammation - never have heartburn.
When I eat chilli or onion or other Indian spices(I'm Indian) (or high fat foods), I cough up phlegm - very wet cough. I wanted to know if a) someone has done something to help with this b) is avoiding these foods the only way to go c) is that making my reflux worse by affecting healing or it's just an uncomfortable sensation?
I hope I can get some answers because it's very hard for me to eat most foods here.
Thanks for your help.</t>
        </is>
      </c>
      <c r="D3166" t="n">
        <v>1</v>
      </c>
      <c r="E3166" t="n">
        <v>1</v>
      </c>
      <c r="F3166">
        <f>HYPERLINK("https://www.reddit.com/r/GERD/comments/dhtpw0/silent_refux_experience_coughing_up_phlegm/")</f>
        <v/>
      </c>
      <c r="G3166" t="inlineStr">
        <is>
          <t>2019-10-14 10:16:47</t>
        </is>
      </c>
      <c r="H3166" t="inlineStr"/>
    </row>
    <row r="3167">
      <c r="A3167" t="inlineStr">
        <is>
          <t>dhv6cp</t>
        </is>
      </c>
      <c r="B3167" t="inlineStr">
        <is>
          <t>Prilosec since I was 19 years old. Should I be concerned if I use it the ready of my life?</t>
        </is>
      </c>
      <c r="C3167" t="inlineStr">
        <is>
          <t>It’s so helpful to see a reddit sub on this. And like somebody had posted that I read, it’s sad GERD isn’t taken more seriously. But yeah, my question is basically as stated. 
I’ve been taking Prilosec for 10 years now. I want to stop, I live an active and healthy life, but I also want to enjoy a drink or two a day and not worry about what I eat so that it causes such discomfort. Prilosec has worked very well, I have absolutely no issues when I’m on. Do I need to feel guilty about taking it for the rest of my life, or feel nervous that it’ll eventually kill me one day?</t>
        </is>
      </c>
      <c r="D3167" t="n">
        <v>4</v>
      </c>
      <c r="E3167" t="n">
        <v>22</v>
      </c>
      <c r="F3167">
        <f>HYPERLINK("https://www.reddit.com/r/GERD/comments/dhv6cp/prilosec_since_i_was_19_years_old_should_i_be/")</f>
        <v/>
      </c>
      <c r="G3167" t="inlineStr">
        <is>
          <t>2019-10-14 11:57:39</t>
        </is>
      </c>
      <c r="H3167" t="inlineStr"/>
    </row>
    <row r="3168">
      <c r="A3168" t="inlineStr">
        <is>
          <t>dhvs1c</t>
        </is>
      </c>
      <c r="B3168" t="inlineStr">
        <is>
          <t>Zantac recall</t>
        </is>
      </c>
      <c r="C3168" t="inlineStr">
        <is>
          <t>Just wanted to share since I didn’t see it here yet. 
https://www.fda.gov/drugs/drug-safety-and-availability/questions-and-answers-ndma-impurities-ranitidine-commonly-known-zantac</t>
        </is>
      </c>
      <c r="D3168" t="n">
        <v>0</v>
      </c>
      <c r="E3168" t="n">
        <v>1</v>
      </c>
      <c r="F3168">
        <f>HYPERLINK("https://www.reddit.com/r/GERD/comments/dhvs1c/zantac_recall/")</f>
        <v/>
      </c>
      <c r="G3168" t="inlineStr">
        <is>
          <t>2019-10-14 12:37:50</t>
        </is>
      </c>
      <c r="H3168" t="inlineStr"/>
    </row>
    <row r="3169">
      <c r="A3169" t="inlineStr">
        <is>
          <t>dhxvrm</t>
        </is>
      </c>
      <c r="B3169" t="inlineStr">
        <is>
          <t>Ever get chestpain for weeks on gerd??</t>
        </is>
      </c>
      <c r="C3169" t="inlineStr">
        <is>
          <t>Chestpain . 3 days later after being on protonix. They just send me home when I go to urgent care ir hospital. Send me home with protonix urgent care did. But still not an ekg to rule out my heart. Have anxiety and semi high blood pressure as well so yeah it freaks me out. This gerd sucks it's literally thru my whole chest.. and I cant help but think I hope this isnt something wrong with my heart because the pain normally on the left side slightly sometimes in right. But going to try and make. Doctors appt in two days because they just give me meds for gerd so hoping its just that. Just I never had it this bad.. I cant sleep. I cant eat without paniac from the food. Everytime I do eat I can only eat so little before I feel nausea where I feel like it gonna come up but it doesnt. I've had chestpain before due to gerd but never this bad wtf.. no heart attack symons just shortness of breathe for like 2 weeks now but I also got anxiety. Did ice packs tums and aloe vera juice and nothing is helping. My protonix is keeping the acid down but still feel in back of throat. But its worst it's ever been where I was in toilet trying to bark up every meal to feel better. So the pill probablly has alot to fix and repair in my stomach. Going to try some ginger essential oil on chest and tummy as well.  Any people who can relate feels great.. I need to know it's not my heart.  Sick of forcing myself out house to get checked to get sent home. Even with heart rate 133 they dont do ekgs. They used to</t>
        </is>
      </c>
      <c r="D3169" t="n">
        <v>2</v>
      </c>
      <c r="E3169" t="n">
        <v>4</v>
      </c>
      <c r="F3169">
        <f>HYPERLINK("https://www.reddit.com/r/GERD/comments/dhxvrm/ever_get_chestpain_for_weeks_on_gerd/")</f>
        <v/>
      </c>
      <c r="G3169" t="inlineStr">
        <is>
          <t>2019-10-14 15:01:06</t>
        </is>
      </c>
      <c r="H3169" t="inlineStr"/>
    </row>
    <row r="3170">
      <c r="A3170" t="inlineStr">
        <is>
          <t>dhy1rc</t>
        </is>
      </c>
      <c r="B3170" t="inlineStr">
        <is>
          <t>please help if you can</t>
        </is>
      </c>
      <c r="C3170" t="inlineStr">
        <is>
          <t>For anyone who have had trouble swallowing properly or at all because of acid reflux, what did or do you do to help or solve the situation? What did you do to finally be able to swallow and eat and drink normally again?</t>
        </is>
      </c>
      <c r="D3170" t="n">
        <v>2</v>
      </c>
      <c r="E3170" t="n">
        <v>8</v>
      </c>
      <c r="F3170">
        <f>HYPERLINK("https://www.reddit.com/r/GERD/comments/dhy1rc/please_help_if_you_can/")</f>
        <v/>
      </c>
      <c r="G3170" t="inlineStr">
        <is>
          <t>2019-10-14 15:12:46</t>
        </is>
      </c>
      <c r="H3170" t="inlineStr"/>
    </row>
    <row r="3171">
      <c r="A3171" t="inlineStr">
        <is>
          <t>dhyuqn</t>
        </is>
      </c>
      <c r="B3171" t="inlineStr">
        <is>
          <t>Is anyone on baclofen?</t>
        </is>
      </c>
      <c r="C3171" t="inlineStr">
        <is>
          <t>Background:
I (14 M) have delt with bad reflux my whole life. I took prevacid in the mornings for as long as I could remember, with it eventually being upped to twice a day. Whenever I was 12, my mom decided that my gastroenterologist wasn't that good, so I switched to a different one. She did a scope and immediately pointed out how the previous doctor missed my loose LES. She even looked at my old two scopes and pointed out where the problem was.
The first thing she did was swap me from prevacid twice a day to 7.5mg baclofen 3 times a day 20-40 minutes before meals. About a year later I went to 10mg three times a day, which is what I take today.
My question to you is: has anyone taken baclofen for GERD/been recommended it? I can't find much information about it and I like knowing what's happening in my body, at least a little bit.</t>
        </is>
      </c>
      <c r="D3171" t="n">
        <v>1</v>
      </c>
      <c r="E3171" t="n">
        <v>5</v>
      </c>
      <c r="F3171">
        <f>HYPERLINK("https://www.reddit.com/r/GERD/comments/dhyuqn/is_anyone_on_baclofen/")</f>
        <v/>
      </c>
      <c r="G3171" t="inlineStr">
        <is>
          <t>2019-10-14 16:11:36</t>
        </is>
      </c>
      <c r="H3171" t="inlineStr"/>
    </row>
    <row r="3172">
      <c r="A3172" t="inlineStr">
        <is>
          <t>di0uff</t>
        </is>
      </c>
      <c r="B3172" t="inlineStr">
        <is>
          <t>Stomach cramps</t>
        </is>
      </c>
      <c r="C3172" t="inlineStr">
        <is>
          <t>Hey guys, do you get stomach cramps in ur left side and central mostly?</t>
        </is>
      </c>
      <c r="D3172" t="n">
        <v>4</v>
      </c>
      <c r="E3172" t="n">
        <v>3</v>
      </c>
      <c r="F3172">
        <f>HYPERLINK("https://www.reddit.com/r/GERD/comments/di0uff/stomach_cramps/")</f>
        <v/>
      </c>
      <c r="G3172" t="inlineStr">
        <is>
          <t>2019-10-14 18:53:36</t>
        </is>
      </c>
      <c r="H3172" t="inlineStr"/>
    </row>
    <row r="3173">
      <c r="A3173" t="inlineStr">
        <is>
          <t>di1c8z</t>
        </is>
      </c>
      <c r="B3173" t="inlineStr">
        <is>
          <t>Just one day</t>
        </is>
      </c>
      <c r="C3173" t="inlineStr">
        <is>
          <t>I just want one damn day of not feeling sick. I’m just over it. I want to eat and drink what I want and lay how I want and not feel like shit.</t>
        </is>
      </c>
      <c r="D3173" t="n">
        <v>39</v>
      </c>
      <c r="E3173" t="n">
        <v>14</v>
      </c>
      <c r="F3173">
        <f>HYPERLINK("https://www.reddit.com/r/GERD/comments/di1c8z/just_one_day/")</f>
        <v/>
      </c>
      <c r="G3173" t="inlineStr">
        <is>
          <t>2019-10-14 19:34:43</t>
        </is>
      </c>
      <c r="H3173" t="inlineStr"/>
    </row>
    <row r="3174">
      <c r="A3174" t="inlineStr">
        <is>
          <t>di4i36</t>
        </is>
      </c>
      <c r="B3174" t="inlineStr">
        <is>
          <t>How does mustard NOT cause heartburn, or any symptoms ?</t>
        </is>
      </c>
      <c r="C3174" t="inlineStr">
        <is>
          <t>I'm not sure but I feel like Mustard is VERY underrated in terms of heartburn/GERD. I just had a steak with mustard as a dipping sauce (very weird I know) I've just been really messing with mustard lately, with mainly burgers but I decided to take it out for a spin on the steak. Gave me zero negative affects, zero heartburn, zero symptoms all around.... if anything I feel so good after any meal that includes mustard... anyone else ? I read online it's good for preventing heartburn and it helps with stomach acid. I might continue to have mustard regularly because I feel like it's helping a LOT. Super random I know but worth the try</t>
        </is>
      </c>
      <c r="D3174" t="n">
        <v>1</v>
      </c>
      <c r="E3174" t="n">
        <v>0</v>
      </c>
      <c r="F3174">
        <f>HYPERLINK("https://www.reddit.com/r/GERD/comments/di4i36/how_does_mustard_not_cause_heartburn_or_any/")</f>
        <v/>
      </c>
      <c r="G3174" t="inlineStr">
        <is>
          <t>2019-10-15 00:48:37</t>
        </is>
      </c>
      <c r="H3174" t="inlineStr"/>
    </row>
    <row r="3175">
      <c r="A3175" t="inlineStr">
        <is>
          <t>di4zu5</t>
        </is>
      </c>
      <c r="B3175" t="inlineStr">
        <is>
          <t>Gaviscon Advance</t>
        </is>
      </c>
      <c r="C3175" t="inlineStr">
        <is>
          <t>So my Gaviscon Advance tablets come in from Amazon tomorrow, but I’m a little disheartened from seeing that they aren’t as effective as the liquid. I only ordered the tablets not the liquid because the liquid was going to take 3 weeks to deliver, and I’m suffering pretty bad. Does anyone know where I can get the liquid with a fast shipping time ? Thanks.</t>
        </is>
      </c>
      <c r="D3175" t="n">
        <v>1</v>
      </c>
      <c r="E3175" t="n">
        <v>6</v>
      </c>
      <c r="F3175">
        <f>HYPERLINK("https://www.reddit.com/r/GERD/comments/di4zu5/gaviscon_advance/")</f>
        <v/>
      </c>
      <c r="G3175" t="inlineStr">
        <is>
          <t>2019-10-15 01:45:23</t>
        </is>
      </c>
      <c r="H3175" t="inlineStr"/>
    </row>
    <row r="3176">
      <c r="A3176" t="inlineStr">
        <is>
          <t>di5ub8</t>
        </is>
      </c>
      <c r="B3176" t="inlineStr">
        <is>
          <t>Gerd has ruined my ability to work. Symptoms increase when I sit on my ergonomic computer chair</t>
        </is>
      </c>
      <c r="C3176" t="inlineStr">
        <is>
          <t>Hello all, I've just bought a expensive ergonomic chair as the prev chair ( gaming chair ) was causing me breathing issues.
Preview of it(chinese imported btw): https://www.daraz.pk/products/-i105826947-s1253458411.html?dsource=share&amp;amp;laz_share_info=2083844_103_100_1033991_1475693_null&amp;amp;laz_token=9363ef30fd7458d0dae37c1d543d6495
This chair worked good for half a month and then I noticed this chair started giving me shallow breathing + acid rising up in throat, dizziness and bad mood whenever I sit on this chair. 
(Whats strange is that I don't get these symptoms on other chairs, only my computer chairs where i do stressful tasks?!)
I don't understand the logic of the symptoms and this is making me crazy as well, as I've switched so many chairs and even bought a cheap chair similar to this but without headrest and a longer lumbar curve.
One possibility is that my mind is playing tricks as I do freelancing at home so most tasks are usually stressful.
Is it the chair or is it me? Is this chair ergonomic enough? It has everything. Ive seen people sit on crappier chairs such plastic without headrest etc. Yet they don't get such issues.
Please help me out. I have to handle few client works and the symptoms are making it very painful</t>
        </is>
      </c>
      <c r="D3176" t="n">
        <v>6</v>
      </c>
      <c r="E3176" t="n">
        <v>13</v>
      </c>
      <c r="F3176">
        <f>HYPERLINK("https://www.reddit.com/r/GERD/comments/di5ub8/gerd_has_ruined_my_ability_to_work_symptoms/")</f>
        <v/>
      </c>
      <c r="G3176" t="inlineStr">
        <is>
          <t>2019-10-15 03:17:16</t>
        </is>
      </c>
      <c r="H3176" t="inlineStr"/>
    </row>
    <row r="3177">
      <c r="A3177" t="inlineStr">
        <is>
          <t>di7y4y</t>
        </is>
      </c>
      <c r="B3177" t="inlineStr">
        <is>
          <t>Sore throat , intense pain for 15 days now(maybe silent reflux)?</t>
        </is>
      </c>
      <c r="C3177" t="inlineStr">
        <is>
          <t>Hi, It started with I pressume was  a simple cold, later treated it with abtibiotics , ( nothing works )can it be silent reflux? Im a 24 year old male, not smoker, just a very ocassionaly drinker, and weight lifter , with an average fit body , my throat hurts like hell since 15 days ago, never had any stomach , esophagus symptom in my life, did your throat pain dissapear somehow? How you do it? Please help this taking a toll on me, I just asked for "vacations" in my work and stoped going to the gym to treat this,I want to resume my live fast as possible, any advice? Thank you in advance, and sorry for the english.</t>
        </is>
      </c>
      <c r="D3177" t="n">
        <v>5</v>
      </c>
      <c r="E3177" t="n">
        <v>1</v>
      </c>
      <c r="F3177">
        <f>HYPERLINK("https://www.reddit.com/r/GERD/comments/di7y4y/sore_throat_intense_pain_for_15_days_nowmaybe/")</f>
        <v/>
      </c>
      <c r="G3177" t="inlineStr">
        <is>
          <t>2019-10-15 06:31:35</t>
        </is>
      </c>
      <c r="H3177" t="inlineStr"/>
    </row>
    <row r="3178">
      <c r="A3178" t="inlineStr">
        <is>
          <t>dia1rr</t>
        </is>
      </c>
      <c r="B3178" t="inlineStr">
        <is>
          <t>Sudden sharp extreme esophageal pain that left me screaming in pain for ~40 minutes.</t>
        </is>
      </c>
      <c r="C3178" t="inlineStr">
        <is>
          <t>I'm diagnosed with GERD and lately I've been experiencing a sore throat and excessive belching instead of heartburn (for about 1 month now).
Suddenly, about an hour ago, I felt this extreme sharp pain in my esophagus (where I usually feel heartburn but it's not exactly heartburn, it's a different new kind of intense pain).
The pain increases to the point where I'm screaming if I breathe all the way in. I've spent the last 40 minutes just screaming off the top of my lungs, but about 10 minutes ago it calmed down a bit.
I'm **very** afraid/worried, this past hour has been hell for me. I don't know what to do. Please, any help would be appreciated. I'm still experiencing an immense pain but it's the worst when I breathe, so I'm trying to breathe as little as possible and that only increases my tenseness/worry.
___
*"Talk to your doctor"*: I'm looking for immediate help. I went to the ER a month ago when this whole thing started, they gave me an appointment weeks later, then referred me to another doctor weeks later, and now they've told me to wait until yet ANOTHER doctor contacts me so we can talk about setting an appointment.
In other words, I went to the doctor when I had a sore throat and told them I was worried that it might get worse. One month later, exactly what I thought would happen has happened - it's gotten worse and they haven't done shit other than stall.
___
Has anyone been through this? Do you have any advice on what to do?</t>
        </is>
      </c>
      <c r="D3178" t="n">
        <v>3</v>
      </c>
      <c r="E3178" t="n">
        <v>9</v>
      </c>
      <c r="F3178">
        <f>HYPERLINK("https://www.reddit.com/r/GERD/comments/dia1rr/sudden_sharp_extreme_esophageal_pain_that_left_me/")</f>
        <v/>
      </c>
      <c r="G3178" t="inlineStr">
        <is>
          <t>2019-10-15 09:07:56</t>
        </is>
      </c>
      <c r="H3178" t="inlineStr"/>
    </row>
    <row r="3179">
      <c r="A3179" t="inlineStr">
        <is>
          <t>dia33z</t>
        </is>
      </c>
      <c r="B3179" t="inlineStr">
        <is>
          <t>My GERD story</t>
        </is>
      </c>
      <c r="C3179" t="inlineStr">
        <is>
          <t>At age 30 I was diagnosed with a small Hiatal Hernia, GERD, Barrett's esophagus, and LPR by upper endoscopy. I decided to get the endoscopy due to chronic halitosis and a chronic sore throat that allergy medicine and antibiotics couldn't solve. I'm in shape, don't drink or smoke but I was always a very pukey baby and I believe my symptoms began then.
Since being diagnosed I was prescribed a PPI but it was a little rough on my stomach so, they moved me to zantac which I felt helped with the LPR and was easy to tolerate. However, a few days later it was recalled. Now, I'm nervous about taking any PPI or H2 medicines. I feel a bit stuck on how make progress. I've recently started eating mostly prebiotic foods which I've realized help and lessen my symptoms. I would like to have surgery for the hernia but my doctor blew it off because it's too small. Has anyone had a successful surgery for a small hiatal hernia with barrett's esophagus?</t>
        </is>
      </c>
      <c r="D3179" t="n">
        <v>4</v>
      </c>
      <c r="E3179" t="n">
        <v>5</v>
      </c>
      <c r="F3179">
        <f>HYPERLINK("https://www.reddit.com/r/GERD/comments/dia33z/my_gerd_story/")</f>
        <v/>
      </c>
      <c r="G3179" t="inlineStr">
        <is>
          <t>2019-10-15 09:10:40</t>
        </is>
      </c>
      <c r="H3179" t="inlineStr"/>
    </row>
    <row r="3180">
      <c r="A3180" t="inlineStr">
        <is>
          <t>dibbpc</t>
        </is>
      </c>
      <c r="B3180" t="inlineStr">
        <is>
          <t>GERD flair up for the last five days.</t>
        </is>
      </c>
      <c r="C3180" t="inlineStr">
        <is>
          <t>This is the worst. Bad muscle cramps and heartburn. I have decided I am just going to stop eating for a couple of days. I went to the doctor and got a different PPI but it has not helped yet, it has only been two days.</t>
        </is>
      </c>
      <c r="D3180" t="n">
        <v>3</v>
      </c>
      <c r="E3180" t="n">
        <v>6</v>
      </c>
      <c r="F3180">
        <f>HYPERLINK("https://www.reddit.com/r/GERD/comments/dibbpc/gerd_flair_up_for_the_last_five_days/")</f>
        <v/>
      </c>
      <c r="G3180" t="inlineStr">
        <is>
          <t>2019-10-15 10:34:59</t>
        </is>
      </c>
      <c r="H3180" t="inlineStr"/>
    </row>
    <row r="3181">
      <c r="A3181" t="inlineStr">
        <is>
          <t>dibd8x</t>
        </is>
      </c>
      <c r="B3181" t="inlineStr">
        <is>
          <t>Is endostim still a thing?</t>
        </is>
      </c>
      <c r="C3181" t="inlineStr">
        <is>
          <t>I see no recent news or data about it when I search for it online. The website is still up, but it seems like it hasn't been touched since 2017. I'm just like at a loss.... I was seriously considering this, but I don't know anymore. Anyone know if the company went bankrupt or is now defunct or something?</t>
        </is>
      </c>
      <c r="D3181" t="n">
        <v>3</v>
      </c>
      <c r="E3181" t="n">
        <v>2</v>
      </c>
      <c r="F3181">
        <f>HYPERLINK("https://www.reddit.com/r/GERD/comments/dibd8x/is_endostim_still_a_thing/")</f>
        <v/>
      </c>
      <c r="G3181" t="inlineStr">
        <is>
          <t>2019-10-15 10:37:53</t>
        </is>
      </c>
      <c r="H3181" t="inlineStr"/>
    </row>
    <row r="3182">
      <c r="A3182" t="inlineStr">
        <is>
          <t>dibiu2</t>
        </is>
      </c>
      <c r="B3182" t="inlineStr">
        <is>
          <t>Stressful work is proportional to increased GERD symptoms</t>
        </is>
      </c>
      <c r="C3182" t="inlineStr">
        <is>
          <t>Hello, earlier I made a post about how I'm going crazy and not being able to adjust to any chair as they all give me weird GERD symptoms whenever I sit &amp;amp; do stressful computer work on those chairs - I just wasted money on a new chair  today (a stool, as I've already an ergonomic chair and can't afford another!) and I've no symptoms FOR NOW when sitting.
&amp;amp;#x200B;
However as soon as the stressful work started I could feel the symptoms coming a bit. Thanks to the earlier post responses, decided to find out connection between work and GERD - Googled and found out work stress is actually responsible for many of the symptoms! Link: [https://www.businessinsider.com/signs-your-work-is-stressing-you-out-even-if-it-doesnt-feel-like-it-2016-9](https://www.businessinsider.com/signs-your-work-is-stressing-you-out-even-if-it-doesnt-feel-like-it-2016-9)
&amp;amp;#x200B;
 I work as a freelancer doing web dev, graphic design + content writing. Those of you with stressful careers, how do you manage your GERD?</t>
        </is>
      </c>
      <c r="D3182" t="n">
        <v>27</v>
      </c>
      <c r="E3182" t="n">
        <v>11</v>
      </c>
      <c r="F3182">
        <f>HYPERLINK("https://www.reddit.com/r/GERD/comments/dibiu2/stressful_work_is_proportional_to_increased_gerd/")</f>
        <v/>
      </c>
      <c r="G3182" t="inlineStr">
        <is>
          <t>2019-10-15 10:48:39</t>
        </is>
      </c>
      <c r="H3182" t="inlineStr"/>
    </row>
    <row r="3183">
      <c r="A3183" t="inlineStr">
        <is>
          <t>dic0r7</t>
        </is>
      </c>
      <c r="B3183" t="inlineStr">
        <is>
          <t>Metoclopramide life saver</t>
        </is>
      </c>
      <c r="C3183" t="inlineStr">
        <is>
          <t>After 5 months of worsening bloating/fullness/lump in the back of my throat/trouble swallowing that had become a constant thing, I've finally been prescribed a drug that helps. If your symptoms are unrelated to particular foods/eating this may help you. This whole time I thought this illness was my fault and ended up cutting out booze, fat, caffeine, dairy etc. to no avail. After 2 doses of metoclopramide my bloating has all but gone. Just sharing incase anybody else has been fobbed off by clinicians for months and also not found changing their diet helps. I got sick with people telling me to go gluten/dairy free and not believing when I said I'd tried and it hadn't made any difference. After almost heading to A&amp;amp;E on Friday night with severe bloating and pain, I'm like a new woman. I def have an underlying motility issue but this medication makes life bearable until I have my investigations. I really hope this can help somebody else :)</t>
        </is>
      </c>
      <c r="D3183" t="n">
        <v>4</v>
      </c>
      <c r="E3183" t="n">
        <v>9</v>
      </c>
      <c r="F3183">
        <f>HYPERLINK("https://www.reddit.com/r/GERD/comments/dic0r7/metoclopramide_life_saver/")</f>
        <v/>
      </c>
      <c r="G3183" t="inlineStr">
        <is>
          <t>2019-10-15 11:22:08</t>
        </is>
      </c>
      <c r="H3183" t="inlineStr"/>
    </row>
    <row r="3184">
      <c r="A3184" t="inlineStr">
        <is>
          <t>dic55k</t>
        </is>
      </c>
      <c r="B3184" t="inlineStr">
        <is>
          <t>Unbearable chest pain</t>
        </is>
      </c>
      <c r="C3184" t="inlineStr">
        <is>
          <t>Just for reference I’m a 23 year old male but over the summer for the first time I had this chest pain that was KILLING me. I went to the ER and it went away the doctors said everything was fine it was probably heartburn I went to a cardiologist they said everything was fine and it really didn’t happen again a few days ago the same pain came back but quickly. Then last night it came back for HOURs i was nervous I could t sleep was up till 4 AM I just wanna know if anyone had any tips or tricks? Does this also happen to other people? It doesn’t even feel like heart burn it feels like my chest is literally hurting</t>
        </is>
      </c>
      <c r="D3184" t="n">
        <v>10</v>
      </c>
      <c r="E3184" t="n">
        <v>4</v>
      </c>
      <c r="F3184">
        <f>HYPERLINK("https://www.reddit.com/r/GERD/comments/dic55k/unbearable_chest_pain/")</f>
        <v/>
      </c>
      <c r="G3184" t="inlineStr">
        <is>
          <t>2019-10-15 11:30:47</t>
        </is>
      </c>
      <c r="H3184" t="inlineStr"/>
    </row>
    <row r="3185">
      <c r="A3185" t="inlineStr">
        <is>
          <t>didek7</t>
        </is>
      </c>
      <c r="B3185" t="inlineStr">
        <is>
          <t>Other GERD symptoms</t>
        </is>
      </c>
      <c r="C3185" t="inlineStr">
        <is>
          <t>Hi everyone,
Does anyone have any other GERD symptoms than the usual ones?
I seem to get pins and needles all over my body and fatigue when my reflux gets bad. I can not find anything comparable online, and my doc does not know what it is.. also I usually have muscle aches for no reason.</t>
        </is>
      </c>
      <c r="D3185" t="n">
        <v>1</v>
      </c>
      <c r="E3185" t="n">
        <v>7</v>
      </c>
      <c r="F3185">
        <f>HYPERLINK("https://www.reddit.com/r/GERD/comments/didek7/other_gerd_symptoms/")</f>
        <v/>
      </c>
      <c r="G3185" t="inlineStr">
        <is>
          <t>2019-10-15 12:56:00</t>
        </is>
      </c>
      <c r="H3185" t="inlineStr"/>
    </row>
    <row r="3186">
      <c r="A3186" t="inlineStr">
        <is>
          <t>didic8</t>
        </is>
      </c>
      <c r="B3186" t="inlineStr">
        <is>
          <t>Do I have GERD?</t>
        </is>
      </c>
      <c r="C3186" t="inlineStr">
        <is>
          <t>So for about two weeks now I've been feeling extremely hungry almost constantly and belching. I have been eating regularly most days but sometimes a busy schedule prohibits eating in the day but always have a meal at 6/7 for dinner. I drink a fair amount of water and believe I have indigestion. I've taken Rennies (I'm from the UK) but they don't seem to be doing anything and started having some indigestion oral drinking medicine for a few days and it feels better but I'm still burping a lot and feeling hungry. 
As a side note I am quite stressed out as I've got a busy year of university and an operation for a an unrelated issue in just other two weeks.
Does anyone have any insight? All is appreciated</t>
        </is>
      </c>
      <c r="D3186" t="n">
        <v>0</v>
      </c>
      <c r="E3186" t="n">
        <v>2</v>
      </c>
      <c r="F3186">
        <f>HYPERLINK("https://www.reddit.com/r/GERD/comments/didic8/do_i_have_gerd/")</f>
        <v/>
      </c>
      <c r="G3186" t="inlineStr">
        <is>
          <t>2019-10-15 13:02:55</t>
        </is>
      </c>
      <c r="H3186" t="inlineStr"/>
    </row>
    <row r="3187">
      <c r="A3187" t="inlineStr">
        <is>
          <t>didsdr</t>
        </is>
      </c>
      <c r="B3187" t="inlineStr">
        <is>
          <t>Please help</t>
        </is>
      </c>
      <c r="C3187" t="inlineStr">
        <is>
          <t>Ok not sure if this is the right place so I'll delete if it's not allowed. But I need some advice for my boyfriend please. Hes had this feeling in his chest/bottom of his ribcage like theres something stuck? And its painful at night, he feels like he needs to burp but nothings happening. 
Hes tried omeprazole, it didnt work just gave him a rash then the doctor gave him ranitidine? I think it's called and that's currently not doing anything. 
Is there anything at home we can try ? Not sure if it makes a difference but were in the UK.</t>
        </is>
      </c>
      <c r="D3187" t="n">
        <v>1</v>
      </c>
      <c r="E3187" t="n">
        <v>6</v>
      </c>
      <c r="F3187">
        <f>HYPERLINK("https://www.reddit.com/r/GERD/comments/didsdr/please_help/")</f>
        <v/>
      </c>
      <c r="G3187" t="inlineStr">
        <is>
          <t>2019-10-15 13:21:28</t>
        </is>
      </c>
      <c r="H3187" t="inlineStr"/>
    </row>
    <row r="3188">
      <c r="A3188" t="inlineStr">
        <is>
          <t>die52e</t>
        </is>
      </c>
      <c r="B3188" t="inlineStr">
        <is>
          <t>Question on symptoms</t>
        </is>
      </c>
      <c r="C3188" t="inlineStr">
        <is>
          <t>I was diagnosed with Gerd about two years ago and told to take Zantac when I feel it.. now my symptoms are as severe as some, I just get this need to burp and nothing I do suffices it and it’s always at night.. lately though I’ve been getting this feeling like dizziness (not quite that) or like my equilibrium is off for a split second then it goes away or my right ear feels odd. Has anyone felt something similar?</t>
        </is>
      </c>
      <c r="D3188" t="n">
        <v>3</v>
      </c>
      <c r="E3188" t="n">
        <v>3</v>
      </c>
      <c r="F3188">
        <f>HYPERLINK("https://www.reddit.com/r/GERD/comments/die52e/question_on_symptoms/")</f>
        <v/>
      </c>
      <c r="G3188" t="inlineStr">
        <is>
          <t>2019-10-15 13:44:42</t>
        </is>
      </c>
      <c r="H3188" t="inlineStr"/>
    </row>
    <row r="3189">
      <c r="A3189" t="inlineStr">
        <is>
          <t>difwtq</t>
        </is>
      </c>
      <c r="B3189" t="inlineStr">
        <is>
          <t>GERD flaring up suddenly</t>
        </is>
      </c>
      <c r="C3189" t="inlineStr">
        <is>
          <t>So my GERD has been crazy these past week, my current doctor has prescribed me Omeprezole 20mg. But so far I get stomach pain and nausea everytime I take one, I used to be on it for 2 years back in 2017 but due to the same symptoms I got off it and switched to pepcid. I'm starting to think that surgery maybe a good option once I move to NJ next week because I'm trying everything to no avail.</t>
        </is>
      </c>
      <c r="D3189" t="n">
        <v>4</v>
      </c>
      <c r="E3189" t="n">
        <v>6</v>
      </c>
      <c r="F3189">
        <f>HYPERLINK("https://www.reddit.com/r/GERD/comments/difwtq/gerd_flaring_up_suddenly/")</f>
        <v/>
      </c>
      <c r="G3189" t="inlineStr">
        <is>
          <t>2019-10-15 15:48:02</t>
        </is>
      </c>
      <c r="H3189" t="inlineStr"/>
    </row>
    <row r="3190">
      <c r="A3190" t="inlineStr">
        <is>
          <t>difxac</t>
        </is>
      </c>
      <c r="B3190" t="inlineStr">
        <is>
          <t>Weird effects from GERD</t>
        </is>
      </c>
      <c r="C3190" t="inlineStr">
        <is>
          <t>I've been having this pain/burning in my upper chest below my clavicles for a couple months. It got worse a few weeks ago and also affected by armpit region and sometimes made my jawline feel weird.  It got me scared. After researching a bit it looked like GERD or LPRD.  
Recently I started having muscle twitching in my pectoral muscles that comes and goes. I started Prilosec about 10 days ago (started 1/day but moved up to 2/day a couple days ago).  I also take Pepcid and Tums. After a week, things seemed to be getting better, but today I'm having the crazy twitching and that odd feeling in my jawline again. 
I've not seen much about these symptoms. Has anyone experienced anything like this?</t>
        </is>
      </c>
      <c r="D3190" t="n">
        <v>1</v>
      </c>
      <c r="E3190" t="n">
        <v>2</v>
      </c>
      <c r="F3190">
        <f>HYPERLINK("https://www.reddit.com/r/GERD/comments/difxac/weird_effects_from_gerd/")</f>
        <v/>
      </c>
      <c r="G3190" t="inlineStr">
        <is>
          <t>2019-10-15 15:49:01</t>
        </is>
      </c>
      <c r="H3190" t="inlineStr"/>
    </row>
    <row r="3191">
      <c r="A3191" t="inlineStr">
        <is>
          <t>digt8j</t>
        </is>
      </c>
      <c r="B3191" t="inlineStr">
        <is>
          <t>Can PPis reduce/ eliminate bad breath because of GERD? If not what can do it ?</t>
        </is>
      </c>
      <c r="C3191" t="inlineStr">
        <is>
          <t>Any advice ?</t>
        </is>
      </c>
      <c r="D3191" t="n">
        <v>4</v>
      </c>
      <c r="E3191" t="n">
        <v>3</v>
      </c>
      <c r="F3191">
        <f>HYPERLINK("https://www.reddit.com/r/GERD/comments/digt8j/can_ppis_reduce_eliminate_bad_breath_because_of/")</f>
        <v/>
      </c>
      <c r="G3191" t="inlineStr">
        <is>
          <t>2019-10-15 16:55:05</t>
        </is>
      </c>
      <c r="H3191" t="inlineStr"/>
    </row>
    <row r="3192">
      <c r="A3192" t="inlineStr">
        <is>
          <t>dij7gw</t>
        </is>
      </c>
      <c r="B3192" t="inlineStr">
        <is>
          <t>Recent EGD and Polyps</t>
        </is>
      </c>
      <c r="C3192" t="inlineStr">
        <is>
          <t>Well, I had my first EGD done this week and apparently I am a polyp making machine, as my GI doctor put it. I go back next week for a follow up and results from the polyps. Is it common to have a lot of polyps because of GERD? 
I have been on PPIs for almost 12 years now (off and on at first). I can't say I'm not a little nervous because of the amount he found.</t>
        </is>
      </c>
      <c r="D3192" t="n">
        <v>2</v>
      </c>
      <c r="E3192" t="n">
        <v>2</v>
      </c>
      <c r="F3192">
        <f>HYPERLINK("https://www.reddit.com/r/GERD/comments/dij7gw/recent_egd_and_polyps/")</f>
        <v/>
      </c>
      <c r="G3192" t="inlineStr">
        <is>
          <t>2019-10-15 20:09:56</t>
        </is>
      </c>
      <c r="H3192" t="inlineStr"/>
    </row>
    <row r="3193">
      <c r="A3193" t="inlineStr">
        <is>
          <t>dil9wz</t>
        </is>
      </c>
      <c r="B3193" t="inlineStr">
        <is>
          <t>Surprised at my weight loss (and yet still feels like I'm overweight)</t>
        </is>
      </c>
      <c r="C3193" t="inlineStr">
        <is>
          <t>I'm a 5'2 south east asian female. My GERD symptoms started in September. As far I remember my weight had always been somewhere near 140lbs. That is overweight. I look and feel overweight. I went to a gastroenterologist clinic last October 7 and steppes on a weighing scale. It registered 121 lbs. I asked the secretary if the weighing scale is broken and she laughed. When I went home, I stepped on an old weighing scale and poofed, 141 lbs, which I expect.
Today, I stepped on the weighing scale again. I then realized that that it is not calibrated to zero but in 20 lbs. So I adjusted the calibration back to zero and boom, 123 lbs.
My weight is now in the 123lbs and yet I still feel sluggish and no energy. I thought that having a normal weight for my height will give me more energy but apparently it does not.
Since I quit coffee, what can I have that will give me energy?</t>
        </is>
      </c>
      <c r="D3193" t="n">
        <v>1</v>
      </c>
      <c r="E3193" t="n">
        <v>1</v>
      </c>
      <c r="F3193">
        <f>HYPERLINK("https://www.reddit.com/r/GERD/comments/dil9wz/surprised_at_my_weight_loss_and_yet_still_feels/")</f>
        <v/>
      </c>
      <c r="G3193" t="inlineStr">
        <is>
          <t>2019-10-15 23:28:12</t>
        </is>
      </c>
      <c r="H3193" t="inlineStr"/>
    </row>
    <row r="3194">
      <c r="A3194" t="inlineStr">
        <is>
          <t>dimswr</t>
        </is>
      </c>
      <c r="B3194" t="inlineStr">
        <is>
          <t>Dull back pain after eating</t>
        </is>
      </c>
      <c r="C3194" t="inlineStr">
        <is>
          <t>I’ve made an appointment to see my Gp as it seems every time i eat something im getting a dull back pain that lasts about 5-10 mins. Has anyone experienced this?
For a few weeks before i was getting a sesnsation that food was causing pain as it was going down my throat/ tube into my stomach but that just lasted while the food was going down, that seems to have stopped now and has been replaced by the back pain.</t>
        </is>
      </c>
      <c r="D3194" t="n">
        <v>11</v>
      </c>
      <c r="E3194" t="n">
        <v>12</v>
      </c>
      <c r="F3194">
        <f>HYPERLINK("https://www.reddit.com/r/GERD/comments/dimswr/dull_back_pain_after_eating/")</f>
        <v/>
      </c>
      <c r="G3194" t="inlineStr">
        <is>
          <t>2019-10-16 02:26:51</t>
        </is>
      </c>
      <c r="H3194" t="inlineStr"/>
    </row>
    <row r="3195">
      <c r="A3195" t="inlineStr">
        <is>
          <t>dio6xl</t>
        </is>
      </c>
      <c r="B3195" t="inlineStr">
        <is>
          <t>Triggers go straight to the heart and arm - is it your basic GERD?</t>
        </is>
      </c>
      <c r="C3195" t="inlineStr">
        <is>
          <t>About five months ago, I started having symptoms that felt like a heart attack -- dull pain in left arm, left chest, right over the heart and down the arm. Since then I have had tons of medical tests and have ruled out anything terrible, but I now know that I have a hiatal hernia, ineffective esophageal motility, and possibly GERD (still haven't had a pH test for that).
I have since quit coffee, nicotine, acidic foods, and went on a mostly anti-inflammatory diet. Also taking measures to manage stress and anxiety such as yoga and acupuncture and diaphragm breathing. Things have improved a bit, but not entirely. The soreness comes and goes with all sorts of random triggers (along with swallowing and digestion issues). I also tried a PPI (which made things worse because now I have stomach issues, too), so I stopped that after a couple months.
This morning I had a very stressful moment with a home renovation project and broke down, headed to the gas station, and had a few drags off a cigarette. I also had two cups of coffee.
Well, now the soreness is right back in that original spot -- directly in my left chest and left arm. At this point it feels more like arthritis than a burning or anything like that. It's like the triggers are a constant reminder that I need to live like a Buddhist monk -- no bad habits, no acidic food, no stress...
Does this sound like your basic acid reflux, or does it sound like something else is going on? It is such a prominent spot -- directly in the left side/arm, and nowhere else, that it seems like there is an ulcer or a tear or something. But I got checked for H Pylori and the test was negative.
Since I haven't been officially diagnosed with GERD, I'm still not sure that is the extent of it.</t>
        </is>
      </c>
      <c r="D3195" t="n">
        <v>1</v>
      </c>
      <c r="E3195" t="n">
        <v>3</v>
      </c>
      <c r="F3195">
        <f>HYPERLINK("https://www.reddit.com/r/GERD/comments/dio6xl/triggers_go_straight_to_the_heart_and_arm_is_it/")</f>
        <v/>
      </c>
      <c r="G3195" t="inlineStr">
        <is>
          <t>2019-10-16 04:50:52</t>
        </is>
      </c>
      <c r="H3195" t="inlineStr"/>
    </row>
    <row r="3196">
      <c r="A3196" t="inlineStr">
        <is>
          <t>dir272</t>
        </is>
      </c>
      <c r="B3196" t="inlineStr">
        <is>
          <t>When are your symptoms the worst?</t>
        </is>
      </c>
      <c r="C3196" t="inlineStr">
        <is>
          <t>I find my symptoms are the worst when i wake up (and im hungry) and when im hungry at night. This causes a acid feeling in my throat and nausea</t>
        </is>
      </c>
      <c r="D3196" t="n">
        <v>1</v>
      </c>
      <c r="E3196" t="n">
        <v>5</v>
      </c>
      <c r="F3196">
        <f>HYPERLINK("https://www.reddit.com/r/GERD/comments/dir272/when_are_your_symptoms_the_worst/")</f>
        <v/>
      </c>
      <c r="G3196" t="inlineStr">
        <is>
          <t>2019-10-16 08:40:46</t>
        </is>
      </c>
      <c r="H3196" t="inlineStr"/>
    </row>
    <row r="3197">
      <c r="A3197" t="inlineStr">
        <is>
          <t>ditim3</t>
        </is>
      </c>
      <c r="B3197" t="inlineStr">
        <is>
          <t>I feel hungry even though I just ate</t>
        </is>
      </c>
      <c r="C3197" t="inlineStr">
        <is>
          <t>Read title. Does anyone else get this? I feel the hunger/empty sensation in my stomach, shortly after I have already ate. Why is that? Can extra stomach acid mimic hunger?</t>
        </is>
      </c>
      <c r="D3197" t="n">
        <v>1</v>
      </c>
      <c r="E3197" t="n">
        <v>4</v>
      </c>
      <c r="F3197">
        <f>HYPERLINK("https://www.reddit.com/r/GERD/comments/ditim3/i_feel_hungry_even_though_i_just_ate/")</f>
        <v/>
      </c>
      <c r="G3197" t="inlineStr">
        <is>
          <t>2019-10-16 11:30:45</t>
        </is>
      </c>
      <c r="H3197" t="inlineStr"/>
    </row>
    <row r="3198">
      <c r="A3198" t="inlineStr">
        <is>
          <t>divuzw</t>
        </is>
      </c>
      <c r="B3198" t="inlineStr">
        <is>
          <t>So basically LPR has no cure , any succesfull story about it?</t>
        </is>
      </c>
      <c r="C3198" t="inlineStr">
        <is>
          <t>I tried everything and I still have a sore burning painfull throat , it almost feel like im always having a flu without fever or tiredness, my throat burns like hell , it just came one day and never goes away, any succesful story abour lpr? Sorry for the rant but im very depressed and hopeless,that with some personals factors in my life makes me feel very sad , can't stand it anymore, im sure that this constant burning sensations is gping to affect my laringe and im going to end in a worst situation, I live in a third world country so my doctor appointment is in 2 months</t>
        </is>
      </c>
      <c r="D3198" t="n">
        <v>16</v>
      </c>
      <c r="E3198" t="n">
        <v>32</v>
      </c>
      <c r="F3198">
        <f>HYPERLINK("https://www.reddit.com/r/GERD/comments/divuzw/so_basically_lpr_has_no_cure_any_succesfull_story/")</f>
        <v/>
      </c>
      <c r="G3198" t="inlineStr">
        <is>
          <t>2019-10-16 14:09:50</t>
        </is>
      </c>
      <c r="H3198" t="inlineStr"/>
    </row>
    <row r="3199">
      <c r="A3199" t="inlineStr">
        <is>
          <t>divzc3</t>
        </is>
      </c>
      <c r="B3199" t="inlineStr">
        <is>
          <t>How to Treat Frequent Belching</t>
        </is>
      </c>
      <c r="C3199" t="inlineStr">
        <is>
          <t>I had reflux and duodenal ulcer with a positive present h pylori. It comes with shortness of breathe and have been burping like 50 times a day for 45 days+. There is also elevated heart rate and tachycardia when taking antibiotic for long days. 
ECG and Echo shows all is well with the heart.
I treated the h pylori infection with triple therapy medications and 8 days.
After a month, i still tested positive to h pylori, no more shortness of breathe and still frequent burping like 50+ a day.
What could be the causing this frequent burping?
How do I get rid of the benching?
What was responsible for the short breathe?
Took gascol for 30 days still no difference as burping continues.</t>
        </is>
      </c>
      <c r="D3199" t="n">
        <v>1</v>
      </c>
      <c r="E3199" t="n">
        <v>2</v>
      </c>
      <c r="F3199">
        <f>HYPERLINK("https://www.reddit.com/r/GERD/comments/divzc3/how_to_treat_frequent_belching/")</f>
        <v/>
      </c>
      <c r="G3199" t="inlineStr">
        <is>
          <t>2019-10-16 14:18:18</t>
        </is>
      </c>
      <c r="H3199" t="inlineStr"/>
    </row>
    <row r="3200">
      <c r="A3200" t="inlineStr">
        <is>
          <t>diw07o</t>
        </is>
      </c>
      <c r="B3200" t="inlineStr">
        <is>
          <t>Terrible Hangovers?</t>
        </is>
      </c>
      <c r="C3200" t="inlineStr">
        <is>
          <t>Hey everyone. 
Little background: I’ve had GERD for 6 years. I am 24 years old. But I have been a heavy drinker/smoker since I was 16. I only smoked cigarettes for 4 years but from age 16, anytime I didn’t smoke cigarettes I was heavy on dipping tobacco. I quit dip a couple of months ago.
But, since about the end of June this year, my hangovers have been UNBEARABLE. Yes binge drinking is not good, but I used to be able to live life the next day. Now I am crippled in bed with severe nausea/chest pain every time I drink more than 6 beers. Even when I have a few drinks my stomach is still in knots. It is just such a sour feeling the whole day until I go to sleep the next night. My GI did find a hiatal hernia a year ago during a scope and I’m thinking maybe it got worse. 
Anyone else experience something similar?</t>
        </is>
      </c>
      <c r="D3200" t="n">
        <v>1</v>
      </c>
      <c r="E3200" t="n">
        <v>2</v>
      </c>
      <c r="F3200">
        <f>HYPERLINK("https://www.reddit.com/r/GERD/comments/diw07o/terrible_hangovers/")</f>
        <v/>
      </c>
      <c r="G3200" t="inlineStr">
        <is>
          <t>2019-10-16 14:19:57</t>
        </is>
      </c>
      <c r="H3200" t="inlineStr"/>
    </row>
    <row r="3201">
      <c r="A3201" t="inlineStr">
        <is>
          <t>diydjr</t>
        </is>
      </c>
      <c r="B3201" t="inlineStr">
        <is>
          <t>Upper endo Anesthesia side effects?</t>
        </is>
      </c>
      <c r="C3201" t="inlineStr">
        <is>
          <t>I've felt fatigued, have trouble concentrating &amp;amp; have vertigo since my procedure. Anyone else have any of this? It started 2 days after &amp;amp; has lasted about a week so far.</t>
        </is>
      </c>
      <c r="D3201" t="n">
        <v>1</v>
      </c>
      <c r="E3201" t="n">
        <v>1</v>
      </c>
      <c r="F3201">
        <f>HYPERLINK("https://www.reddit.com/r/GERD/comments/diydjr/upper_endo_anesthesia_side_effects/")</f>
        <v/>
      </c>
      <c r="G3201" t="inlineStr">
        <is>
          <t>2019-10-16 17:18:09</t>
        </is>
      </c>
      <c r="H3201" t="inlineStr"/>
    </row>
    <row r="3202">
      <c r="A3202" t="inlineStr">
        <is>
          <t>diyru5</t>
        </is>
      </c>
      <c r="B3202" t="inlineStr">
        <is>
          <t>New antacid?</t>
        </is>
      </c>
      <c r="C3202" t="inlineStr">
        <is>
          <t>So I was at the store the other day and i saw an antacid I've never tried before. Its Alka-Seltzer ultra strength heartburn relief chews. I've used normal alka-seltzer in the past, but cant use it anymore because the aspirin is bad to take with ulcers. These chews dont have aspirin, its calcium Carbonate. So far they've worked great. Anybody else have any experience with them?</t>
        </is>
      </c>
      <c r="D3202" t="n">
        <v>2</v>
      </c>
      <c r="E3202" t="n">
        <v>1</v>
      </c>
      <c r="F3202">
        <f>HYPERLINK("https://www.reddit.com/r/GERD/comments/diyru5/new_antacid/")</f>
        <v/>
      </c>
      <c r="G3202" t="inlineStr">
        <is>
          <t>2019-10-16 17:51:00</t>
        </is>
      </c>
      <c r="H3202" t="inlineStr"/>
    </row>
    <row r="3203">
      <c r="A3203" t="inlineStr">
        <is>
          <t>dizdyl</t>
        </is>
      </c>
      <c r="B3203" t="inlineStr">
        <is>
          <t>Steak on PPI?</t>
        </is>
      </c>
      <c r="C3203" t="inlineStr">
        <is>
          <t>I tried eating a steak the other day, and it felt like it was in my stomach for a while. Like overly long. I wonder if I am having trouble digesting it because of the lack of stomach acid. If so, would supplementing apple cider vinegar or betaine hcl before I eat one help?</t>
        </is>
      </c>
      <c r="D3203" t="n">
        <v>3</v>
      </c>
      <c r="E3203" t="n">
        <v>8</v>
      </c>
      <c r="F3203">
        <f>HYPERLINK("https://www.reddit.com/r/GERD/comments/dizdyl/steak_on_ppi/")</f>
        <v/>
      </c>
      <c r="G3203" t="inlineStr">
        <is>
          <t>2019-10-16 18:42:58</t>
        </is>
      </c>
      <c r="H3203" t="inlineStr"/>
    </row>
    <row r="3204">
      <c r="A3204" t="inlineStr">
        <is>
          <t>dizgra</t>
        </is>
      </c>
      <c r="B3204" t="inlineStr">
        <is>
          <t>Ranitidine vs Famotidine</t>
        </is>
      </c>
      <c r="C3204" t="inlineStr">
        <is>
          <t>Until the hubbub with ranitidine is figured out, my GI switched me to famotidine. I asked him about side effects and he said they're minimal except to watch alcohol consumption more closely. I'm not a heavy drinker but I was curious if anyone else has heard this. 
What's your overall experience with famotidine?</t>
        </is>
      </c>
      <c r="D3204" t="n">
        <v>2</v>
      </c>
      <c r="E3204" t="n">
        <v>5</v>
      </c>
      <c r="F3204">
        <f>HYPERLINK("https://www.reddit.com/r/GERD/comments/dizgra/ranitidine_vs_famotidine/")</f>
        <v/>
      </c>
      <c r="G3204" t="inlineStr">
        <is>
          <t>2019-10-16 18:49:18</t>
        </is>
      </c>
      <c r="H3204" t="inlineStr"/>
    </row>
    <row r="3205">
      <c r="A3205" t="inlineStr">
        <is>
          <t>dizrkh</t>
        </is>
      </c>
      <c r="B3205" t="inlineStr">
        <is>
          <t>Elevating mattress using pillows?</t>
        </is>
      </c>
      <c r="C3205" t="inlineStr">
        <is>
          <t>I cant find info on this and its frustrating me. I cant afford 200 bucks for a dumb wedge pillow and risers wouldnt work with my bed frame I dont think. Is it ok to use a large pillow like a body pillow to elevate the mattress or could that cause back problems? Im already having issues with my back and dont want it worse. I dont know how else to elevate it to keep from having a sore throat in the morning.</t>
        </is>
      </c>
      <c r="D3205" t="n">
        <v>2</v>
      </c>
      <c r="E3205" t="n">
        <v>10</v>
      </c>
      <c r="F3205">
        <f>HYPERLINK("https://www.reddit.com/r/GERD/comments/dizrkh/elevating_mattress_using_pillows/")</f>
        <v/>
      </c>
      <c r="G3205" t="inlineStr">
        <is>
          <t>2019-10-16 19:14:35</t>
        </is>
      </c>
      <c r="H3205" t="inlineStr"/>
    </row>
    <row r="3206">
      <c r="A3206" t="inlineStr">
        <is>
          <t>dj2zjp</t>
        </is>
      </c>
      <c r="B3206" t="inlineStr">
        <is>
          <t>This sub needs a sidebar of proven treatments for GERD/LPR that are unknown.</t>
        </is>
      </c>
      <c r="C3206" t="inlineStr">
        <is>
          <t>I've been browsing this subreddit and noticed the vast majority of comments do not include RefluxBand and Gaviscon Advance (alginate) as viable treatments for GERD.
&amp;amp;#x200B;
**Refluxband** is a device that you wear while sleeping that is supposed to prevent UES. This is built to keep acid from going into your throat. It is FDA-approved with a lot of testimonials. There are probably studies out there supporting this device.  
**Gaviscon Advance (Alginate)** is not FDA-approved but it's sold across the pond in the United Kingdom. It's not the same as Gaviscon Advance in the United States, which is just a glorified Antacid (or beta-blocker, whichever.) Since this isn't available in the US, you have to order from Amazon and it's quite expensive and takes a bit of time to ship. I paid $30 and my experience is that this is extremely helpful. Studies have supported the function of this medicine, as it creates a foam barrier at the top of your stomach with each dose. You're supposed to take a dose after every meal and right before bed. The studies proved that this medicine actually reduces the amount of acid reflux but it's effectiveness gradually decreases as each dosage gets worn out (or becomes digested.) As I said, for me this has helped a lot.
If anybody in the sub has other recommendations with real research studies proving their effectiveness, please share. The traditional methods have not worked for the majority of us. Right now I am still on PPIs, occasionally taking Tums, listening to the gastro's advice on eating cucumbers and watermelon to reduce pepsin, and taking Gaviscon Advance (Alginate) multiple times a day. My goal, like many of you, is to wake up without feeling like my throat is burning. I've noticed it has also impacted my voice and I get dry mouth a lot, which is horrible. My next move is to try the Refluxband when I return to the US (only ships to US and Canada) and see how that works. If it doesn't I'll probably consider getting a procedure done to strengthen/fix the LES, but I'd rather exhaust other options if they are backed by science.</t>
        </is>
      </c>
      <c r="D3206" t="n">
        <v>6</v>
      </c>
      <c r="E3206" t="n">
        <v>1</v>
      </c>
      <c r="F3206">
        <f>HYPERLINK("https://www.reddit.com/r/GERD/comments/dj2zjp/this_sub_needs_a_sidebar_of_proven_treatments_for/")</f>
        <v/>
      </c>
      <c r="G3206" t="inlineStr">
        <is>
          <t>2019-10-17 00:36:48</t>
        </is>
      </c>
      <c r="H3206" t="inlineStr"/>
    </row>
    <row r="3207">
      <c r="A3207" t="inlineStr">
        <is>
          <t>dj46a2</t>
        </is>
      </c>
      <c r="B3207" t="inlineStr">
        <is>
          <t>How do many Overweight /obese people NOT have gerd?</t>
        </is>
      </c>
      <c r="C3207" t="inlineStr">
        <is>
          <t>I was just thinking this, I have multiple overweight friends, and then there's me who has Gerd but is barely cutting off at the weight i'm supposed to be....  
&amp;amp;#x200B;
Which leads me to believe that gerd has nothing to do with weight &amp;amp; is 99.9% chance a mechanical issue.  Anyone else ever think this ?</t>
        </is>
      </c>
      <c r="D3207" t="n">
        <v>22</v>
      </c>
      <c r="E3207" t="n">
        <v>70</v>
      </c>
      <c r="F3207">
        <f>HYPERLINK("https://www.reddit.com/r/GERD/comments/dj46a2/how_do_many_overweight_obese_people_not_have_gerd/")</f>
        <v/>
      </c>
      <c r="G3207" t="inlineStr">
        <is>
          <t>2019-10-17 02:58:30</t>
        </is>
      </c>
      <c r="H3207" t="inlineStr"/>
    </row>
    <row r="3208">
      <c r="A3208" t="inlineStr">
        <is>
          <t>dj4que</t>
        </is>
      </c>
      <c r="B3208" t="inlineStr">
        <is>
          <t>Some possible New treatment or cure for GERD (with reference)</t>
        </is>
      </c>
      <c r="C3208" t="inlineStr">
        <is>
          <t>I was just doing some research per usual before I knockout, and I came across this Tumblr Web page. It's called "All About LPR". Anyway, I found something about a new treatment that's being used in Italy only apparently by a company called 'Aurora". 
&amp;amp;#x200B;
This is from their website, and it has the references as well (From 2018). 
&amp;amp;#x200B;
I tried to do further research on the 'E Gastryal' Compound, but NO WHERE online has anything to really say about it other than their website. After reading about it the mechanism has to do with reversing an inflammatory response for reflux.... which makes total sense of course, and it also mentions tissue repair. But of course, it's not available in the U.S &amp;amp; just about no major blog or website mentions anything about this treatment. I don't know if I'm late to the party but according to their website it seems promising...   I just find it amusing that no one has coverage on this.
&amp;amp;#x200B;
I found a link to purchase but I can't tell if this is the correct one [here](https://www.fenixlife.it/product/esofaril/)
Also, this is their official website HERE [The maker of the drug](http://www.auroralicensing.com/human-division/) 
&amp;amp;#x200B;
Let me know what y'all think ? Super weird seeing this for the first time, and it's been a year and no one has mentioned much... 
&amp;amp;#x200B;
# [A NEW MEDICATION](https://allaboutlpr.tumblr.com/post/185521726242/a-new-medication)
Let me begin by telling you that this new medication does not appear to be available in the U.S. This blog is based on a publication by researchers at the Center of Regenerative Medicine in Genoa, Italy.
This medication is Marial, which they state “is effective in the treatment of gastroesophageal reflux disease and also of laryngopharyngeal reflux.” It is aimed at the body’s inflammatory response to reflux which they regard as a “potential protective event and not only harmful.” They refer specifically to mechanisms involved in tissue repair, which allows “ new therapeutic approaches.”
The scientists describe a new compound, named E-Gastryal that “has been proved to effectively relieve the discomfort caused by gastric reflux, preventing and alleviating the injury to mucous membranes. In fact, this compound is able to actively regenerate the damaged tissue…”
Combining E-Gastryal with magnesium alginate - a popular ingredient for relieving heartburn- results in Marial. It has been introduced into the market in Italy, and is made by Aurora, Milan, Italy. This is reminiscent of Gaviscon, the most concentrated form being available in Europe but not in the U.S.
Aragona SE, Mereghetti G, Ciprandi G. Gastric Reflux: The Therapeutic Role of Marial. Journal of Biological Regulators and Homeostatic Agents 2018, 32(4): 969-972.</t>
        </is>
      </c>
      <c r="D3208" t="n">
        <v>5</v>
      </c>
      <c r="E3208" t="n">
        <v>4</v>
      </c>
      <c r="F3208">
        <f>HYPERLINK("https://www.reddit.com/r/GERD/comments/dj4que/some_possible_new_treatment_or_cure_for_gerd_with/")</f>
        <v/>
      </c>
      <c r="G3208" t="inlineStr">
        <is>
          <t>2019-10-17 03:59:10</t>
        </is>
      </c>
      <c r="H3208" t="inlineStr"/>
    </row>
    <row r="3209">
      <c r="A3209" t="inlineStr">
        <is>
          <t>dj5oxh</t>
        </is>
      </c>
      <c r="B3209" t="inlineStr">
        <is>
          <t>Does anyone else wakeup with GERD/Chest issues</t>
        </is>
      </c>
      <c r="C3209" t="inlineStr">
        <is>
          <t>I wake up, and when getting in the shower I nearly immediately start having "chest pain." SO ANNOYING because I don't eat after 6pm the previous nights and wake up at 6am. Anyone else chest pain as soon as they wake up?</t>
        </is>
      </c>
      <c r="D3209" t="n">
        <v>2</v>
      </c>
      <c r="E3209" t="n">
        <v>5</v>
      </c>
      <c r="F3209">
        <f>HYPERLINK("https://www.reddit.com/r/GERD/comments/dj5oxh/does_anyone_else_wakeup_with_gerdchest_issues/")</f>
        <v/>
      </c>
      <c r="G3209" t="inlineStr">
        <is>
          <t>2019-10-17 05:28:56</t>
        </is>
      </c>
      <c r="H3209" t="inlineStr"/>
    </row>
    <row r="3210">
      <c r="A3210" t="inlineStr">
        <is>
          <t>dj5t9q</t>
        </is>
      </c>
      <c r="B3210" t="inlineStr">
        <is>
          <t>GERD affecting career/career causing GERD?</t>
        </is>
      </c>
      <c r="C3210" t="inlineStr">
        <is>
          <t>So, 1 year ago I finally got hired at a job I had wanted for forever. Ever since I have been struggling with GERD, big time. I used to be a waitress and now I have a desk job. When I was a server I had GERD symptoms in the middle of the night occasionally ... like once every couple of months. Now, it seems to be mostly constant. I thought I had it under control for the last couple of months. Anyway, do you guys ever get it so bad that you have to call off work? Have you ever had to switch jobs because of it? My job is quite stressful but I like it and don’t feel ready to go to a different job. But I feel if I was doing something where I wasn’t sitting and dealing with the high stress situations my health issues wouldn’t be so bad. I’ve also started having high blood pressure since starting this job.</t>
        </is>
      </c>
      <c r="D3210" t="n">
        <v>2</v>
      </c>
      <c r="E3210" t="n">
        <v>7</v>
      </c>
      <c r="F3210">
        <f>HYPERLINK("https://www.reddit.com/r/GERD/comments/dj5t9q/gerd_affecting_careercareer_causing_gerd/")</f>
        <v/>
      </c>
      <c r="G3210" t="inlineStr">
        <is>
          <t>2019-10-17 05:38:57</t>
        </is>
      </c>
      <c r="H3210" t="inlineStr"/>
    </row>
    <row r="3211">
      <c r="A3211" t="inlineStr">
        <is>
          <t>dj615i</t>
        </is>
      </c>
      <c r="B3211" t="inlineStr">
        <is>
          <t>Anxiety after having whey protein and carbs</t>
        </is>
      </c>
      <c r="C3211" t="inlineStr">
        <is>
          <t>Just felt bloated after having some whey protein and  rice flakes 
Felt bloated with subtle pain in chest area. 
Uncomfortable feeling changed to anxiety 
Currently sitting in upright position to relieve anxiety and bloating 
Was hungry and did not eat much 
You never know when anxiety hits due to the bloating. Makes you scared to eat
I Am always scared to eat these days 
I don’t know if it is anxiety causing GERD or GERD causing anxiety 
Have anxiety for past 2-3 years</t>
        </is>
      </c>
      <c r="D3211" t="n">
        <v>1</v>
      </c>
      <c r="E3211" t="n">
        <v>0</v>
      </c>
      <c r="F3211">
        <f>HYPERLINK("https://www.reddit.com/r/GERD/comments/dj615i/anxiety_after_having_whey_protein_and_carbs/")</f>
        <v/>
      </c>
      <c r="G3211" t="inlineStr">
        <is>
          <t>2019-10-17 05:58:02</t>
        </is>
      </c>
      <c r="H3211" t="inlineStr"/>
    </row>
    <row r="3212">
      <c r="A3212" t="inlineStr">
        <is>
          <t>dj71am</t>
        </is>
      </c>
      <c r="B3212" t="inlineStr">
        <is>
          <t>Anyone else have trouble sleeping?</t>
        </is>
      </c>
      <c r="C3212" t="inlineStr">
        <is>
          <t>I've only had GERD/LPR symptoms for 2 months, but since then, I don't think I've had a refreshing night of sleep. I'm probably averaging 5 hours with multiple awakenings, even though with reflux symptoms have been mild at most. I've gone through all the sleep tips and some nights I reach 6 or 7 hours, yet I still, feel terrible. I don't know the likelihood of sleep apnea (I haven't woken up gasping for air or choking), but I'm still gonna ask my doc to get a sleep study done. Honestly, if I could just get solid sleep ...</t>
        </is>
      </c>
      <c r="D3212" t="n">
        <v>2</v>
      </c>
      <c r="E3212" t="n">
        <v>2</v>
      </c>
      <c r="F3212">
        <f>HYPERLINK("https://www.reddit.com/r/GERD/comments/dj71am/anyone_else_have_trouble_sleeping/")</f>
        <v/>
      </c>
      <c r="G3212" t="inlineStr">
        <is>
          <t>2019-10-17 07:19:05</t>
        </is>
      </c>
      <c r="H3212" t="inlineStr"/>
    </row>
    <row r="3213">
      <c r="A3213" t="inlineStr">
        <is>
          <t>dj7jom</t>
        </is>
      </c>
      <c r="B3213" t="inlineStr">
        <is>
          <t>Has anyone experienced hair loss on a ppi?</t>
        </is>
      </c>
      <c r="C3213" t="inlineStr">
        <is>
          <t>Been on protonix for 4 months now and my nails are super brittle and I feel like my hair is falling out more than normal. The doctor told me to take calcium, but it’s not helping much. Has this happened to anyone else?</t>
        </is>
      </c>
      <c r="D3213" t="n">
        <v>1</v>
      </c>
      <c r="E3213" t="n">
        <v>5</v>
      </c>
      <c r="F3213">
        <f>HYPERLINK("https://www.reddit.com/r/GERD/comments/dj7jom/has_anyone_experienced_hair_loss_on_a_ppi/")</f>
        <v/>
      </c>
      <c r="G3213" t="inlineStr">
        <is>
          <t>2019-10-17 07:57:17</t>
        </is>
      </c>
      <c r="H3213" t="inlineStr"/>
    </row>
    <row r="3214">
      <c r="A3214" t="inlineStr">
        <is>
          <t>dj8fnw</t>
        </is>
      </c>
      <c r="B3214" t="inlineStr">
        <is>
          <t>Intermittent Fasting</t>
        </is>
      </c>
      <c r="C3214" t="inlineStr">
        <is>
          <t>I'm doing intermittent fasting right now. I don't eat until 2 pm. Does anyone know if I take my PPI and then 30 min later activate it with a cup of coffee does that break my fast? I've been looking all over the internet and can't find a consistent answer. I know the coffee is fine but is the pill okay? It's lansoprazole if that helps.</t>
        </is>
      </c>
      <c r="D3214" t="n">
        <v>1</v>
      </c>
      <c r="E3214" t="n">
        <v>4</v>
      </c>
      <c r="F3214">
        <f>HYPERLINK("https://www.reddit.com/r/GERD/comments/dj8fnw/intermittent_fasting/")</f>
        <v/>
      </c>
      <c r="G3214" t="inlineStr">
        <is>
          <t>2019-10-17 09:02:03</t>
        </is>
      </c>
      <c r="H3214" t="inlineStr"/>
    </row>
    <row r="3215">
      <c r="A3215" t="inlineStr">
        <is>
          <t>dj9ekx</t>
        </is>
      </c>
      <c r="B3215" t="inlineStr">
        <is>
          <t>Doctor appt advice</t>
        </is>
      </c>
      <c r="C3215" t="inlineStr">
        <is>
          <t>Does anyone have any tips on how to make sure to get the best help when going to see the doctor to get help for GERD? I live in the US. But I don’t have much experience with going to doctors due to my family and I have no experience getting good help or having good experiences with doctors. What would be the best way to get good help for this?? When I went to the doctor years ago and they diagnosed me with GERD they gave me omeprazole but that doesn’t work anymore. But I want to make sure I can get a real answer because it sounds like “too much acid” isn’t just the only issue with GERD. Like you guys also, I don’t want to just take a pill my whole life to solve this either.</t>
        </is>
      </c>
      <c r="D3215" t="n">
        <v>2</v>
      </c>
      <c r="E3215" t="n">
        <v>3</v>
      </c>
      <c r="F3215">
        <f>HYPERLINK("https://www.reddit.com/r/GERD/comments/dj9ekx/doctor_appt_advice/")</f>
        <v/>
      </c>
      <c r="G3215" t="inlineStr">
        <is>
          <t>2019-10-17 10:09:34</t>
        </is>
      </c>
      <c r="H3215" t="inlineStr"/>
    </row>
    <row r="3216">
      <c r="A3216" t="inlineStr">
        <is>
          <t>dj9klw</t>
        </is>
      </c>
      <c r="B3216" t="inlineStr">
        <is>
          <t>Nonsensical Symptoms</t>
        </is>
      </c>
      <c r="C3216" t="inlineStr">
        <is>
          <t>Hi,
This is my first post on this forum, hope everyone is doing well. Posting because I have going on 6 years of symptoms now, and some of them seem crazy, wondered if anyone has had similar experience or insight.
37yo male, was diagnosed with GERD 6 years ago. Endoscopy 3 years ago found hiatal hernia and h.pylori. Heavy acid reflux sometimes, plus chest pains, racing heart beat, shortness of breath. I’ve been checked out by cardiology twice, who observed the arrhythmias but found no cardiac cause. Pulmonologist suspected early COPD for a while but turned out it’s asthma, aggravated by the reflux, with a productive cough (I have recently stopped smoking).
One of my main symptoms is fleeting pain in my left hand or lower arm, usually lasting a few seconds, often after walking up stairs or other exertion, or after a cigarette. Hence the trips round cardiology. Many doctors have told me there’s no way a stomach issue can be causing this, yet today I’ve been very gassy and my left little finger feels like it’s in a vice.
I was on various PPIs for 5 years. I stopped them for a few weeks for a test and found in many ways I felt much better, especially the hand and arm pain. When I tried to go back on omeprazole, the pain came back quite severely, along with insomnia, twitching, no kinds of fun. Currently taking ranitidine, which is not as effective at controlling the acid, but I seem to get less side effects.
Does any of this ring any bells? The symptoms are fairly constant, and very vague, so I’m often very worried about other causes that maybe have been missed so far, but then a day like today - bowel turmoil plus my finger killing me - comes along and reminds me there’s a connection. I, and every doctor I’ve tried to raise it with, remain stumped...</t>
        </is>
      </c>
      <c r="D3216" t="n">
        <v>1</v>
      </c>
      <c r="E3216" t="n">
        <v>6</v>
      </c>
      <c r="F3216">
        <f>HYPERLINK("https://www.reddit.com/r/GERD/comments/dj9klw/nonsensical_symptoms/")</f>
        <v/>
      </c>
      <c r="G3216" t="inlineStr">
        <is>
          <t>2019-10-17 10:21:38</t>
        </is>
      </c>
      <c r="H3216" t="inlineStr"/>
    </row>
    <row r="3217">
      <c r="A3217" t="inlineStr">
        <is>
          <t>dja3y1</t>
        </is>
      </c>
      <c r="B3217" t="inlineStr">
        <is>
          <t>Advice for possible diagnoses</t>
        </is>
      </c>
      <c r="C3217" t="inlineStr">
        <is>
          <t>I've been having a lot of breathing issues lately sinus  and asthma related. My ENT suggested I could have silent reflux because I told him I've been having a lot of clear mucus in the back of my throat that tends to increase after eating or drinking something. The only other symptoms I have are chest tightness/breathing discomfort.
Basically he gave me 20mg of Prilosec twice a day along with a sheet of foods to avoid. Being that I'm a college student I have a pretty poor diet and consume caffiene, dairy, and greasy foods everyday along with a lot of alcohol. Honestly I dont know if this is just asthma or if its Gerd or both. 
So basically I need advice on the easiest least effort way to test if this could be Gerd making my life hell. Because I cant change my entire diet around the small chance it could be Gerd. I was thinking just cutting out caffiene and alcohol first along with my medicine and seeing if makes a difference and then going from there? Any advice or insight would be appreciated</t>
        </is>
      </c>
      <c r="D3217" t="n">
        <v>1</v>
      </c>
      <c r="E3217" t="n">
        <v>1</v>
      </c>
      <c r="F3217">
        <f>HYPERLINK("https://www.reddit.com/r/GERD/comments/dja3y1/advice_for_possible_diagnoses/")</f>
        <v/>
      </c>
      <c r="G3217" t="inlineStr">
        <is>
          <t>2019-10-17 11:01:20</t>
        </is>
      </c>
      <c r="H3217" t="inlineStr"/>
    </row>
    <row r="3218">
      <c r="A3218" t="inlineStr">
        <is>
          <t>djafca</t>
        </is>
      </c>
      <c r="B3218" t="inlineStr">
        <is>
          <t>Does Zoloft cause GERD flair ups?</t>
        </is>
      </c>
      <c r="C3218" t="inlineStr">
        <is>
          <t>Long story short, iv been on Zoloft for anxiety for a few months (very low dose) and it seems to help. But I've also been getting more GERD chest pains recently. Had an Endoscopy yesterday, and apparently everything looked healthy (still waiting on biopsy results). Could these two be related? Wtf am I going to take for anxiety now if it is the culprit?</t>
        </is>
      </c>
      <c r="D3218" t="n">
        <v>1</v>
      </c>
      <c r="E3218" t="n">
        <v>2</v>
      </c>
      <c r="F3218">
        <f>HYPERLINK("https://www.reddit.com/r/GERD/comments/djafca/does_zoloft_cause_gerd_flair_ups/")</f>
        <v/>
      </c>
      <c r="G3218" t="inlineStr">
        <is>
          <t>2019-10-17 11:23:54</t>
        </is>
      </c>
      <c r="H3218" t="inlineStr"/>
    </row>
    <row r="3219">
      <c r="A3219" t="inlineStr">
        <is>
          <t>djam62</t>
        </is>
      </c>
      <c r="B3219" t="inlineStr">
        <is>
          <t>Addicted to food and battling with Gastritis</t>
        </is>
      </c>
      <c r="C3219" t="inlineStr">
        <is>
          <t>I am starting to realize I may have an addiction to food,I literally go to bed thinking about food and wake up thinking about what I am going to eat. It is so hard because sometimes I can see myself binging really hard on food,and also treating it as a way to cope with certain unpleasant moments. 
I am taking Omeprazole daily,digestive enzymes once in a while and Plasil whenever I feel nauseous. 
It is honestly such a struggle because on top of that I am an athlete and a higly active person on all aspects of my life,so being without eating is a no no.
I feel so hopeless sometimes because it causes me great discomfort,I seriously cannot understand how competitive eaters manage to do what they do,when I have days where I feel sick if I have a smoothie,where somedays I will literally ravage thru the entire isle buying and eating food.
Food occupies my mind every.single.day.</t>
        </is>
      </c>
      <c r="D3219" t="n">
        <v>5</v>
      </c>
      <c r="E3219" t="n">
        <v>1</v>
      </c>
      <c r="F3219">
        <f>HYPERLINK("https://www.reddit.com/r/GERD/comments/djam62/addicted_to_food_and_battling_with_gastritis/")</f>
        <v/>
      </c>
      <c r="G3219" t="inlineStr">
        <is>
          <t>2019-10-17 11:37:56</t>
        </is>
      </c>
      <c r="H3219" t="inlineStr"/>
    </row>
    <row r="3220">
      <c r="A3220" t="inlineStr">
        <is>
          <t>djbeto</t>
        </is>
      </c>
      <c r="B3220" t="inlineStr">
        <is>
          <t>Did the sore throat ever goes away in LPR/GERD</t>
        </is>
      </c>
      <c r="C3220" t="inlineStr">
        <is>
          <t>I can't stand this anymore , I feel my throat burning since 15 days ago non stop, did the intense burning sensation ever goes away? I dont know if I have LPR my doctor appointment is in 2 months, but I have nasal congestion and intense burning throat , look like one case of it.the question is, in this illnes, can you breath and feel normal again atleas someday?</t>
        </is>
      </c>
      <c r="D3220" t="n">
        <v>2</v>
      </c>
      <c r="E3220" t="n">
        <v>5</v>
      </c>
      <c r="F3220">
        <f>HYPERLINK("https://www.reddit.com/r/GERD/comments/djbeto/did_the_sore_throat_ever_goes_away_in_lprgerd/")</f>
        <v/>
      </c>
      <c r="G3220" t="inlineStr">
        <is>
          <t>2019-10-17 12:34:49</t>
        </is>
      </c>
      <c r="H3220" t="inlineStr"/>
    </row>
    <row r="3221">
      <c r="A3221" t="inlineStr">
        <is>
          <t>djcabh</t>
        </is>
      </c>
      <c r="B3221" t="inlineStr">
        <is>
          <t>You might want to hear this for some motivation</t>
        </is>
      </c>
      <c r="C3221" t="inlineStr">
        <is>
          <t>Gonna take a long break from reddit &amp;amp; 'GERD' for a while, and try my best not to come back to it. I know it isn't all that simple but I truly believe it's possible for this 'disease' to disappear. It's no surprise to me that my Gerd/LPR was induced at my most stressful time in life &amp;amp; when I was worrying/thinking about 'health' the most. I will be moving forward believing there's nothing wrong with me &amp;amp; will tell my self everyday that ill be healing, slowly. Not giving this 'disease' a single second more of my life, anytime symptoms arise ill remain calm &amp;amp; meditate. Not much more for me to say, if you want to hate on this post and have disbelief in your own body's way of healing itself, then so be it. Yes ill continue to take Nexium to fulfill the time needed to properly heal. Remember your mind is a remarkable thing &amp;amp; scientists no little to nothing about your gut/brain. So ill take the chances to mentally fix the issue, slowly but surely. Hopefully I could spread some positivity to people, and if not I hope this helped you some how. 
Mods delete if not allowed. Good luck hope everyone heals because, you certainly can.</t>
        </is>
      </c>
      <c r="D3221" t="n">
        <v>34</v>
      </c>
      <c r="E3221" t="n">
        <v>21</v>
      </c>
      <c r="F3221">
        <f>HYPERLINK("https://www.reddit.com/r/GERD/comments/djcabh/you_might_want_to_hear_this_for_some_motivation/")</f>
        <v/>
      </c>
      <c r="G3221" t="inlineStr">
        <is>
          <t>2019-10-17 13:34:12</t>
        </is>
      </c>
      <c r="H3221" t="inlineStr"/>
    </row>
    <row r="3222">
      <c r="A3222" t="inlineStr">
        <is>
          <t>djfmwt</t>
        </is>
      </c>
      <c r="B3222" t="inlineStr">
        <is>
          <t>Let your body heal , stop stressing about this.</t>
        </is>
      </c>
      <c r="C3222" t="inlineStr">
        <is>
          <t>First  I don't even know if I have LPR (have sore throat and post nasal drip since 15 days ago typical symptoms of LPR)  ,also im hypocondriac, and im diagnosed with ocd since childhooh what a combination , funny thing is that my ocd is 100% controled ,and the only thing that worked for me after 1 year of feeling bad an depressed was not caring about it or reading about it,another anecdote is that sometime ago my brother adquired the " Meliere disease"  which supposodely is chronic,anyway he just ride it and after 2 months of constant vomit an vertigo he is completely fine and never ever had it again, (more than 5 years ago) the majority of us had these pains because of anxiety /stress episodes in our lifes, like another poster here said, let you mind heal and your body will do it too, my advice is stop reading or streesing about GERD or any topic relate to this, obviously keep your medication/diet in check,but just stop reading these sub, or googling non stop about it, im out of here, wish me luck, and remember, you will be just fine.
Sorry for the english, not my language</t>
        </is>
      </c>
      <c r="D3222" t="n">
        <v>0</v>
      </c>
      <c r="E3222" t="n">
        <v>0</v>
      </c>
      <c r="F3222">
        <f>HYPERLINK("https://www.reddit.com/r/GERD/comments/djfmwt/let_your_body_heal_stop_stressing_about_this/")</f>
        <v/>
      </c>
      <c r="G3222" t="inlineStr">
        <is>
          <t>2019-10-17 17:48:00</t>
        </is>
      </c>
      <c r="H3222" t="inlineStr"/>
    </row>
    <row r="3223">
      <c r="A3223" t="inlineStr">
        <is>
          <t>djfnb6</t>
        </is>
      </c>
      <c r="B3223" t="inlineStr">
        <is>
          <t>PPI withdrawal info</t>
        </is>
      </c>
      <c r="C3223" t="inlineStr">
        <is>
          <t>Took a course 30mg/day for 6 weeks for gastritis, which went away. Currently on week 9 since stopping PPI, still having indigestion and rebound reflux. It really sucks.
How long did it take for your rebound reflux to subside after stopping PPI completely?
I stopped cold turkey BTW.
Thanks-</t>
        </is>
      </c>
      <c r="D3223" t="n">
        <v>3</v>
      </c>
      <c r="E3223" t="n">
        <v>5</v>
      </c>
      <c r="F3223">
        <f>HYPERLINK("https://www.reddit.com/r/GERD/comments/djfnb6/ppi_withdrawal_info/")</f>
        <v/>
      </c>
      <c r="G3223" t="inlineStr">
        <is>
          <t>2019-10-17 17:48:55</t>
        </is>
      </c>
      <c r="H3223" t="inlineStr"/>
    </row>
    <row r="3224">
      <c r="A3224" t="inlineStr">
        <is>
          <t>djgyw5</t>
        </is>
      </c>
      <c r="B3224" t="inlineStr">
        <is>
          <t>Back Pain?</t>
        </is>
      </c>
      <c r="C3224" t="inlineStr">
        <is>
          <t>Lately I’ve been having REALLY bad pain in my upper back and shoulders and sometimes it wraps around to my ribs. Does anyone else experience this with GERD / LPR?</t>
        </is>
      </c>
      <c r="D3224" t="n">
        <v>3</v>
      </c>
      <c r="E3224" t="n">
        <v>2</v>
      </c>
      <c r="F3224">
        <f>HYPERLINK("https://www.reddit.com/r/GERD/comments/djgyw5/back_pain/")</f>
        <v/>
      </c>
      <c r="G3224" t="inlineStr">
        <is>
          <t>2019-10-17 19:35:06</t>
        </is>
      </c>
      <c r="H3224" t="inlineStr"/>
    </row>
    <row r="3225">
      <c r="A3225" t="inlineStr">
        <is>
          <t>djihst</t>
        </is>
      </c>
      <c r="B3225" t="inlineStr">
        <is>
          <t>Anyone have any luck treating Post Nasal Drip with Omeprazole?</t>
        </is>
      </c>
      <c r="C3225" t="inlineStr">
        <is>
          <t>Throughout the past couple years, I've had LPR off and on. Lately I've been having extremely bad post nasal drip with a sore throat (sometimes swallowing/spitting up HUGE balls of phlegm). I originally thought it was allergies, but no allergy medicine has made any difference at all, which makes me think it's LPR. I just started taking Omeprazole and I'm on my second day of taking it, I'm just curious if anyone else who has had my symptoms has had any luck treating it with Omeprazole.</t>
        </is>
      </c>
      <c r="D3225" t="n">
        <v>2</v>
      </c>
      <c r="E3225" t="n">
        <v>1</v>
      </c>
      <c r="F3225">
        <f>HYPERLINK("https://www.reddit.com/r/GERD/comments/djihst/anyone_have_any_luck_treating_post_nasal_drip/")</f>
        <v/>
      </c>
      <c r="G3225" t="inlineStr">
        <is>
          <t>2019-10-17 21:45:52</t>
        </is>
      </c>
      <c r="H3225" t="inlineStr"/>
    </row>
    <row r="3226">
      <c r="A3226" t="inlineStr">
        <is>
          <t>djkhsj</t>
        </is>
      </c>
      <c r="B3226" t="inlineStr">
        <is>
          <t>So I took the baking soda test three times this week</t>
        </is>
      </c>
      <c r="C3226" t="inlineStr">
        <is>
          <t>On average, took me close to an hour to burp. 
What’s the deal??</t>
        </is>
      </c>
      <c r="D3226" t="n">
        <v>1</v>
      </c>
      <c r="E3226" t="n">
        <v>0</v>
      </c>
      <c r="F3226">
        <f>HYPERLINK("https://www.reddit.com/r/GERD/comments/djkhsj/so_i_took_the_baking_soda_test_three_times_this/")</f>
        <v/>
      </c>
      <c r="G3226" t="inlineStr">
        <is>
          <t>2019-10-18 01:25:18</t>
        </is>
      </c>
      <c r="H3226" t="inlineStr"/>
    </row>
    <row r="3227">
      <c r="A3227" t="inlineStr">
        <is>
          <t>djlyqg</t>
        </is>
      </c>
      <c r="B3227" t="inlineStr">
        <is>
          <t>What is the throat pain like?</t>
        </is>
      </c>
      <c r="C3227" t="inlineStr">
        <is>
          <t>So, I am currently treating for gastritis with PPIs and a corrected diet, but in the beginning before seeing a doctor I wasn’t sure if I had developed gastritis or GERD following a psychological crisis, so I joined both communities. I still have symptoms of GERD or at the very least some reflux going on that I’ve never had before. I have some strange pains and I wanna know if they’re similar to what other GERD-sufferers are dealing with. 
The pain is not what I’d expect - it feels almost like a muscle cramp. It starts in the deepest part of my collarbone, usually on the left side shortly after eating certain foods like dairy (an old trigger for bloating) or pasta (which never used to bother me). Sometimes it goes up the side of my neck/windpipe or chills out around either tonsil. Not the tonsils themselves, just the parts of my neck surrounding the area. And again this pain is like...a muscle headache. Not soreness or scratchiness. 
It isn’t always triggered by food - sometimes it’s triggered by not eating. I wake up with it sometimes for example, in the morning. I’ve been avoiding eating passed 8pm (we go to bed around midnight). 
I’ve also got some post-nasal drip going on and ringing in my ears, pretty constant. Is this super common with GERD?</t>
        </is>
      </c>
      <c r="D3227" t="n">
        <v>5</v>
      </c>
      <c r="E3227" t="n">
        <v>5</v>
      </c>
      <c r="F3227">
        <f>HYPERLINK("https://www.reddit.com/r/GERD/comments/djlyqg/what_is_the_throat_pain_like/")</f>
        <v/>
      </c>
      <c r="G3227" t="inlineStr">
        <is>
          <t>2019-10-18 04:11:58</t>
        </is>
      </c>
      <c r="H3227" t="inlineStr"/>
    </row>
    <row r="3228">
      <c r="A3228" t="inlineStr">
        <is>
          <t>djmgmh</t>
        </is>
      </c>
      <c r="B3228" t="inlineStr">
        <is>
          <t>Pepcid question</t>
        </is>
      </c>
      <c r="C3228" t="inlineStr">
        <is>
          <t>Has anyone experienced any strange side effects from Pepcid? I am transitioning from Zantac to Pepcid and I swear Pepcid is making me feel flu-ish and anxiety but my doctor said he has never heard of that before!</t>
        </is>
      </c>
      <c r="D3228" t="n">
        <v>3</v>
      </c>
      <c r="E3228" t="n">
        <v>9</v>
      </c>
      <c r="F3228">
        <f>HYPERLINK("https://www.reddit.com/r/GERD/comments/djmgmh/pepcid_question/")</f>
        <v/>
      </c>
      <c r="G3228" t="inlineStr">
        <is>
          <t>2019-10-18 04:59:38</t>
        </is>
      </c>
      <c r="H3228" t="inlineStr"/>
    </row>
    <row r="3229">
      <c r="A3229" t="inlineStr">
        <is>
          <t>djq45l</t>
        </is>
      </c>
      <c r="B3229" t="inlineStr">
        <is>
          <t>All types of milk are triggering my reflux. Why?</t>
        </is>
      </c>
      <c r="C3229" t="inlineStr">
        <is>
          <t>Dairy, almond, soy, maybe coconut milk too but I only have tried it in a rice pastry.
Goat milk didnt seem to give me any problem but I only tried a little so I'm not sure.</t>
        </is>
      </c>
      <c r="D3229" t="n">
        <v>7</v>
      </c>
      <c r="E3229" t="n">
        <v>11</v>
      </c>
      <c r="F3229">
        <f>HYPERLINK("https://www.reddit.com/r/GERD/comments/djq45l/all_types_of_milk_are_triggering_my_reflux_why/")</f>
        <v/>
      </c>
      <c r="G3229" t="inlineStr">
        <is>
          <t>2019-10-18 09:41:21</t>
        </is>
      </c>
      <c r="H3229" t="inlineStr"/>
    </row>
    <row r="3230">
      <c r="A3230" t="inlineStr">
        <is>
          <t>djqikh</t>
        </is>
      </c>
      <c r="B3230" t="inlineStr">
        <is>
          <t>Sundried vs. Regular tomatoes</t>
        </is>
      </c>
      <c r="C3230" t="inlineStr">
        <is>
          <t>So I know tomatoes are bad for acid reflux but what about sundried tomatoes? I read online that they are alkaline but does that mean they don't cause acid reflux?</t>
        </is>
      </c>
      <c r="D3230" t="n">
        <v>1</v>
      </c>
      <c r="E3230" t="n">
        <v>5</v>
      </c>
      <c r="F3230">
        <f>HYPERLINK("https://www.reddit.com/r/GERD/comments/djqikh/sundried_vs_regular_tomatoes/")</f>
        <v/>
      </c>
      <c r="G3230" t="inlineStr">
        <is>
          <t>2019-10-18 10:09:27</t>
        </is>
      </c>
      <c r="H3230" t="inlineStr"/>
    </row>
    <row r="3231">
      <c r="A3231" t="inlineStr">
        <is>
          <t>djqthm</t>
        </is>
      </c>
      <c r="B3231" t="inlineStr">
        <is>
          <t>Sufferers of throat pains because of LPR/GERD, did your pain is in both sides or only one side of your throat?</t>
        </is>
      </c>
      <c r="C3231" t="inlineStr">
        <is>
          <t>My symptoms are:
* post nasal drip 
* chronic sore burning feeling in one side of my throat since 16 days ago
* nasal congestion 
Since I live in  a third world country and my doctor appointment is in 6 months, and can't afford a private one , I need to sort this out, maybe it isn't lpr becausr the pain is just in one side of my throat, if it were the acid obviously my throat will be burned in both sides no? Give me your opinion please.</t>
        </is>
      </c>
      <c r="D3231" t="n">
        <v>6</v>
      </c>
      <c r="E3231" t="n">
        <v>8</v>
      </c>
      <c r="F3231">
        <f>HYPERLINK("https://www.reddit.com/r/GERD/comments/djqthm/sufferers_of_throat_pains_because_of_lprgerd_did/")</f>
        <v/>
      </c>
      <c r="G3231" t="inlineStr">
        <is>
          <t>2019-10-18 10:31:07</t>
        </is>
      </c>
      <c r="H3231" t="inlineStr"/>
    </row>
    <row r="3232">
      <c r="A3232" t="inlineStr">
        <is>
          <t>djscrc</t>
        </is>
      </c>
      <c r="B3232" t="inlineStr">
        <is>
          <t>A couple of tips that helped me through some bad heartburn.</t>
        </is>
      </c>
      <c r="C3232" t="inlineStr">
        <is>
          <t>1.) If you have seasonal allergies get allergy tested the worst of my heartburn was mainly due to foods that cross reacted to my grass allergy. 
2.) if you can an endoscopy get an endoscopy to rule anything and everything out, mainly hernias and anything nasty that may be lurking in the background.
3) bloods. Get your routines done. And most importantly get your vitamins checked, I was b12, Iron and vitamin d deficient I had no idea and these can cause a whole host of issues including heartburn. 
4)food diary. Rule things out.
5) water at room temperature. Not ice cold. Room temperature is ideal. 
6)tests for coeliac disease, ibs/ibd, and h pylori infection. 
7) maintain your anxiety. 
8) prop your bed up if you get it worse at night.
Hopefully this helps anyone that may read it.</t>
        </is>
      </c>
      <c r="D3232" t="n">
        <v>30</v>
      </c>
      <c r="E3232" t="n">
        <v>13</v>
      </c>
      <c r="F3232">
        <f>HYPERLINK("https://www.reddit.com/r/GERD/comments/djscrc/a_couple_of_tips_that_helped_me_through_some_bad/")</f>
        <v/>
      </c>
      <c r="G3232" t="inlineStr">
        <is>
          <t>2019-10-18 12:18:04</t>
        </is>
      </c>
      <c r="H3232" t="inlineStr"/>
    </row>
    <row r="3233">
      <c r="A3233" t="inlineStr">
        <is>
          <t>djtuvg</t>
        </is>
      </c>
      <c r="B3233" t="inlineStr">
        <is>
          <t>3+ Day Coffee Symptoms - Normal GERD or Something Else?</t>
        </is>
      </c>
      <c r="C3233" t="inlineStr">
        <is>
          <t>After several months of healing primarily with PPIs and Gaviscon Advance, I had been feeling pretty great. So I tried a cup of coffee, something I used to love but gave up for several months. Big mistake.
Rapidly afterwards I felt a clenched, raw sensation in the middle of my chest and a shortness of breath sensation. Only the feeling didn't go away - it persisted for 3+ days, gradually getting weaker. Before, heartburn-esque sensations would only last a few hours...never this long.
Has anyone else experienced the lingering central chest pain for this long? Part of me wonders if it's GERD, but another wonders if I've developed some kind of allergy/reaction to coffee or caffeine that is tightening things up, and if I'm barking up the wrong tree with GERD? I should note that I have had other potential trigger foods like onions and tomatoes recently without any issues - for whatever reason, coffee hits me hard, and 9 months ago I was able to have it every morning without consequence.</t>
        </is>
      </c>
      <c r="D3233" t="n">
        <v>2</v>
      </c>
      <c r="E3233" t="n">
        <v>5</v>
      </c>
      <c r="F3233">
        <f>HYPERLINK("https://www.reddit.com/r/GERD/comments/djtuvg/3_day_coffee_symptoms_normal_gerd_or_something/")</f>
        <v/>
      </c>
      <c r="G3233" t="inlineStr">
        <is>
          <t>2019-10-18 14:06:11</t>
        </is>
      </c>
      <c r="H3233" t="inlineStr"/>
    </row>
    <row r="3234">
      <c r="A3234" t="inlineStr">
        <is>
          <t>djtzz8</t>
        </is>
      </c>
      <c r="B3234" t="inlineStr">
        <is>
          <t>Effective LPR treatment</t>
        </is>
      </c>
      <c r="C3234" t="inlineStr">
        <is>
          <t>I was diagnosed with LPR about 3 months ago. PPIs were the doctors only suggestion for treatment which I followed for about 2 months with little improvement. I started looking into diet and gut health as possible sources of the issue. I decided to ween off PPIs and add a sizable amount of fermented food to my diet. Within two weeks I was nearly symptom free. For those out there struggling, look into how your gut microbiome might play a role in GERD. It helped me out immensely.</t>
        </is>
      </c>
      <c r="D3234" t="n">
        <v>6</v>
      </c>
      <c r="E3234" t="n">
        <v>27</v>
      </c>
      <c r="F3234">
        <f>HYPERLINK("https://www.reddit.com/r/GERD/comments/djtzz8/effective_lpr_treatment/")</f>
        <v/>
      </c>
      <c r="G3234" t="inlineStr">
        <is>
          <t>2019-10-18 14:16:54</t>
        </is>
      </c>
      <c r="H3234" t="inlineStr"/>
    </row>
    <row r="3235">
      <c r="A3235" t="inlineStr">
        <is>
          <t>djuxue</t>
        </is>
      </c>
      <c r="B3235" t="inlineStr">
        <is>
          <t>I’m so tired!!!!!</t>
        </is>
      </c>
      <c r="C3235" t="inlineStr">
        <is>
          <t>I’ve had GERD since I was about 12. I’m 21 now and a senior in college and it seems to have gotten worse. I have constant shortness of breath and back / rib pain. Does anyone else experience this/ have any advice or words of encouragement?? I’m so tired of all of these symptoms and wish they would just go away!! You wouldn’t think acid could affect so many aspects of your life but it’s SO hard, and when I talk to others about it they’re like “take a tums”. It’s so frustrating.</t>
        </is>
      </c>
      <c r="D3235" t="n">
        <v>3</v>
      </c>
      <c r="E3235" t="n">
        <v>4</v>
      </c>
      <c r="F3235">
        <f>HYPERLINK("https://www.reddit.com/r/GERD/comments/djuxue/im_so_tired/")</f>
        <v/>
      </c>
      <c r="G3235" t="inlineStr">
        <is>
          <t>2019-10-18 15:29:07</t>
        </is>
      </c>
      <c r="H3235" t="inlineStr"/>
    </row>
    <row r="3236">
      <c r="A3236" t="inlineStr">
        <is>
          <t>djwtvx</t>
        </is>
      </c>
      <c r="B3236" t="inlineStr">
        <is>
          <t>Throat burning</t>
        </is>
      </c>
      <c r="C3236" t="inlineStr">
        <is>
          <t>I ate some medium spicy food (nothing too crazy - I have definitely eaten spicier food with gerd in the past and the symptoms weren’t this bad) and it feels like my throat is burning right at the entrance to my mouth. Like it feels like it’s completely on fire and I’m producing a lot of mucus. Ik this is my gerd, But is there anything I can do to stop this?</t>
        </is>
      </c>
      <c r="D3236" t="n">
        <v>2</v>
      </c>
      <c r="E3236" t="n">
        <v>2</v>
      </c>
      <c r="F3236">
        <f>HYPERLINK("https://www.reddit.com/r/GERD/comments/djwtvx/throat_burning/")</f>
        <v/>
      </c>
      <c r="G3236" t="inlineStr">
        <is>
          <t>2019-10-18 18:02:01</t>
        </is>
      </c>
      <c r="H3236" t="inlineStr"/>
    </row>
    <row r="3237">
      <c r="A3237" t="inlineStr">
        <is>
          <t>djy0ut</t>
        </is>
      </c>
      <c r="B3237" t="inlineStr">
        <is>
          <t>Would a Albuterol Sulfate inhaler affect my GERD?</t>
        </is>
      </c>
      <c r="C3237" t="inlineStr">
        <is>
          <t>I tried to Google a bit, and couldn't find much information. I've had my symptoms under control lately and I'm always super cautious about what I put into my body lol. Thanks in advance.</t>
        </is>
      </c>
      <c r="D3237" t="n">
        <v>1</v>
      </c>
      <c r="E3237" t="n">
        <v>1</v>
      </c>
      <c r="F3237">
        <f>HYPERLINK("https://www.reddit.com/r/GERD/comments/djy0ut/would_a_albuterol_sulfate_inhaler_affect_my_gerd/")</f>
        <v/>
      </c>
      <c r="G3237" t="inlineStr">
        <is>
          <t>2019-10-18 19:51:56</t>
        </is>
      </c>
      <c r="H3237" t="inlineStr"/>
    </row>
    <row r="3238">
      <c r="A3238" t="inlineStr">
        <is>
          <t>dk01ei</t>
        </is>
      </c>
      <c r="B3238" t="inlineStr">
        <is>
          <t>LPR - will i ever be able to return to a normal diet?</t>
        </is>
      </c>
      <c r="C3238" t="inlineStr">
        <is>
          <t>I’ve been suffering from LPR for about 4 months now, and while low acid diet + avoiding alcohol does seem to help, it really sucks to think that I will need to be so careful about my diet for the rest of my life. I’ve read some research papers which state that It takes at least 6months of diet+medication until you can expect the symptoms to resolve... Will I be able to slowly reintroduce normal foods back into my diet once my throat/larynx has healed? I have a strong liking for spicy food, and am used to indulging alcohol almost every weekend. It seems pretty unrealistic to me that I will have to stay sober on all sorts of social events, when I used to be able to drink/eat anything with zero negative effects.</t>
        </is>
      </c>
      <c r="D3238" t="n">
        <v>5</v>
      </c>
      <c r="E3238" t="n">
        <v>27</v>
      </c>
      <c r="F3238">
        <f>HYPERLINK("https://www.reddit.com/r/GERD/comments/dk01ei/lpr_will_i_ever_be_able_to_return_to_a_normal_diet/")</f>
        <v/>
      </c>
      <c r="G3238" t="inlineStr">
        <is>
          <t>2019-10-18 23:32:30</t>
        </is>
      </c>
      <c r="H3238" t="inlineStr"/>
    </row>
    <row r="3239">
      <c r="A3239" t="inlineStr">
        <is>
          <t>dk2cpx</t>
        </is>
      </c>
      <c r="B3239" t="inlineStr">
        <is>
          <t>Did your asthma-like symptoms clear up?</t>
        </is>
      </c>
      <c r="C3239" t="inlineStr">
        <is>
          <t>I know that GERD often makes us appear to have asthma, when prior to GERD we never had it. I've been prescribed inhalers that never worked, and taken pulmonary tests all showing that I do not have issues with my lungs. GERD was the final diagnosis.
Yet, at face value, it looks like I have asthma. I have a slight wheeze and the very end of my breath, which is more noticible with forced exhalation, and I have a chronic cough.
I am in the military, and the wheezing is the same but a little louder after workouts, which I try to hide because I don't want people to think I have asthma. Never had an asthma attack, and actually, during exercise I find a relief from my breathing-related symptoms as my lungs and airways open up.
I just started the journey of eliminating triggers from my diet, double dosing Omneprazole, and making the other nessesary lifestyle changes such as not eating before bed and eating smaller meals, but for those of you GERD veterans, did your asthma-like symptoms clear up after you started your journey? Am I doomed to have wheezing and a chronic cough forever?</t>
        </is>
      </c>
      <c r="D3239" t="n">
        <v>1</v>
      </c>
      <c r="E3239" t="n">
        <v>2</v>
      </c>
      <c r="F3239">
        <f>HYPERLINK("https://www.reddit.com/r/GERD/comments/dk2cpx/did_your_asthmalike_symptoms_clear_up/")</f>
        <v/>
      </c>
      <c r="G3239" t="inlineStr">
        <is>
          <t>2019-10-19 04:10:08</t>
        </is>
      </c>
      <c r="H3239" t="inlineStr"/>
    </row>
    <row r="3240">
      <c r="A3240" t="inlineStr">
        <is>
          <t>dk5u20</t>
        </is>
      </c>
      <c r="B3240" t="inlineStr">
        <is>
          <t>Has anyone had any success with otc ppis?</t>
        </is>
      </c>
      <c r="C3240" t="inlineStr">
        <is>
          <t>I’ve had reflux issues for years (heartburn, hiccups, stomach cramps, burping, gas, regurgitation, etc) but more recently I’ve been experiencing LPR symptoms that started with the right side of my throat getting irritated/sore when I sang high notes. Now my vocal chords feel swollen, sometimes I feel like I have a lump in my throat, and it’s like my voice can’t handle high notes I’ve previously been able to hit no problem, and my voice stamina is just gone. 
I don’t have insurance, so I was wondering if any of you have had success with OTC PPI meds or any other home remedies, cause this shit is driving crazy, and triggering anxiety which in-turn is making it worse.</t>
        </is>
      </c>
      <c r="D3240" t="n">
        <v>3</v>
      </c>
      <c r="E3240" t="n">
        <v>5</v>
      </c>
      <c r="F3240">
        <f>HYPERLINK("https://www.reddit.com/r/GERD/comments/dk5u20/has_anyone_had_any_success_with_otc_ppis/")</f>
        <v/>
      </c>
      <c r="G3240" t="inlineStr">
        <is>
          <t>2019-10-19 09:14:52</t>
        </is>
      </c>
      <c r="H3240" t="inlineStr"/>
    </row>
    <row r="3241">
      <c r="A3241" t="inlineStr">
        <is>
          <t>dk6fgd</t>
        </is>
      </c>
      <c r="B3241" t="inlineStr">
        <is>
          <t>How did your GERD started?</t>
        </is>
      </c>
      <c r="C3241" t="inlineStr">
        <is>
          <t>I just need some answers, I've been having acid reflux constantly, non stop for  a week and I have never in my life experienced something like that... and I was wondering if this would be GERD starting...
I went to the doctor, they gave me some H2 bloquers to see how I might react and I've been so far so good, but I wonder if my life will be like this ... until I drop dead or if it's just because a week before this happened I've been eating like shit and drinking lots of coffee and having anxiety and it's just going to be temporal...
The pills now help, but this is hell...</t>
        </is>
      </c>
      <c r="D3241" t="n">
        <v>3</v>
      </c>
      <c r="E3241" t="n">
        <v>7</v>
      </c>
      <c r="F3241">
        <f>HYPERLINK("https://www.reddit.com/r/GERD/comments/dk6fgd/how_did_your_gerd_started/")</f>
        <v/>
      </c>
      <c r="G3241" t="inlineStr">
        <is>
          <t>2019-10-19 09:58:50</t>
        </is>
      </c>
      <c r="H3241" t="inlineStr"/>
    </row>
    <row r="3242">
      <c r="A3242" t="inlineStr">
        <is>
          <t>dk6yz7</t>
        </is>
      </c>
      <c r="B3242" t="inlineStr">
        <is>
          <t>Abdominal pain from microwave foods?</t>
        </is>
      </c>
      <c r="C3242" t="inlineStr">
        <is>
          <t>There are foods that I eat that do not bother me when they are freshly cooked. But if I refrigerate them and microwave them the next day, they either give me stomach cramps or regurgitation.
Am I the only one?</t>
        </is>
      </c>
      <c r="D3242" t="n">
        <v>3</v>
      </c>
      <c r="E3242" t="n">
        <v>2</v>
      </c>
      <c r="F3242">
        <f>HYPERLINK("https://www.reddit.com/r/GERD/comments/dk6yz7/abdominal_pain_from_microwave_foods/")</f>
        <v/>
      </c>
      <c r="G3242" t="inlineStr">
        <is>
          <t>2019-10-19 10:38:07</t>
        </is>
      </c>
      <c r="H3242" t="inlineStr"/>
    </row>
    <row r="3243">
      <c r="A3243" t="inlineStr">
        <is>
          <t>dk7yza</t>
        </is>
      </c>
      <c r="B3243" t="inlineStr">
        <is>
          <t>I am at a loss at what is going on.</t>
        </is>
      </c>
      <c r="C3243" t="inlineStr">
        <is>
          <t>I was diagnosed with acid reflux probably about five years ago. I was put on Prilosec 20 mg once a day at night and have been taking that for that many years. 
Last Wednesday night I had the worst stomach attack that I think I've had in a long time. I was sitting in a chair all of a sudden I got very nauseous, disoriented &amp;amp; very sweaty. 
Some nights when I get this, I can go and take some Pepto-Bismol and lay down and the pain goes away in about 15 minutes. But this time, the pain lasted for 3 hours. Pepto wasn't doing anything. I went to the ER because I knew something else was going on.
Because I was disoriented I don't really remember what the doctor said, but he said that he wanted to change up my medicines. So he has me taking Prilosec and zantac right now. Zantac 300. He wants me to come off of the Prilosec in a week.
What is driving me nuts and I need some help with, is that I've had a lack of appetite since Thursday morning. Thursday and Friday I barely ate anything except for water. Today I have had a breakfast bar and I made myself eat a bowl of oatmeal. I'm constantly nauseous and I constantly have this minty taste in the back of my throat that kinda burns. The taste in the back of my throat I have gathered to be acid, but I don't know why it's minty. 
Has anyone else had a severe gerd attack and had this last days afterward?
Could the minty taste in the back of my throat be because I'm taking two stomach medicines?
I have an appointment with a GI specialist on Friday for my IBS, but I'm definitely going to talk to him about this as well.
I also have an anxiety disorder that was recently made a lot worse with taking Wellbutrin. So me worrying about this is counter productive. I just need to know if what I'm going through is normal and if I'll be okay.</t>
        </is>
      </c>
      <c r="D3243" t="n">
        <v>6</v>
      </c>
      <c r="E3243" t="n">
        <v>15</v>
      </c>
      <c r="F3243">
        <f>HYPERLINK("https://www.reddit.com/r/GERD/comments/dk7yza/i_am_at_a_loss_at_what_is_going_on/")</f>
        <v/>
      </c>
      <c r="G3243" t="inlineStr">
        <is>
          <t>2019-10-19 11:53:23</t>
        </is>
      </c>
      <c r="H3243" t="inlineStr"/>
    </row>
    <row r="3244">
      <c r="A3244" t="inlineStr">
        <is>
          <t>dk8uru</t>
        </is>
      </c>
      <c r="B3244" t="inlineStr">
        <is>
          <t>Food before bed</t>
        </is>
      </c>
      <c r="C3244" t="inlineStr">
        <is>
          <t>I have to eat food before bed to take some medications. But eating before bed aggravates GERD. Any suggestions?</t>
        </is>
      </c>
      <c r="D3244" t="n">
        <v>4</v>
      </c>
      <c r="E3244" t="n">
        <v>7</v>
      </c>
      <c r="F3244">
        <f>HYPERLINK("https://www.reddit.com/r/GERD/comments/dk8uru/food_before_bed/")</f>
        <v/>
      </c>
      <c r="G3244" t="inlineStr">
        <is>
          <t>2019-10-19 13:00:10</t>
        </is>
      </c>
      <c r="H3244" t="inlineStr"/>
    </row>
    <row r="3245">
      <c r="A3245" t="inlineStr">
        <is>
          <t>dk9s3a</t>
        </is>
      </c>
      <c r="B3245" t="inlineStr">
        <is>
          <t>Is this GERD?</t>
        </is>
      </c>
      <c r="C3245" t="inlineStr">
        <is>
          <t>So about 8 months ago I started getting frequent throat clearing due to excessive mucus build up in my throat, doctors told me that it was bronchitis and would go away on its own but it didn't I still have it to this day. Fast forward I now started getting a ticklish sort of cough since like 3 weeks ago but it has gotten somewhat better and heart palpations (which also gotten better) along with belching (3-4 times mainly at different intervals) after eating small snacks or even from just drinking water and sometimes I don't get the belching but it occurs often... I do not feel any heartburns at all but I sometimes do feel an acidic feeling in my chest after burping but not always.. I've also been experiencing a loss of appetite and haven't been eating like usual....I've also been feeling the urge to swallow more than often I'm not sure why but it just happens... 
Could this be GERD?</t>
        </is>
      </c>
      <c r="D3245" t="n">
        <v>1</v>
      </c>
      <c r="E3245" t="n">
        <v>1</v>
      </c>
      <c r="F3245">
        <f>HYPERLINK("https://www.reddit.com/r/GERD/comments/dk9s3a/is_this_gerd/")</f>
        <v/>
      </c>
      <c r="G3245" t="inlineStr">
        <is>
          <t>2019-10-19 14:11:57</t>
        </is>
      </c>
      <c r="H3245" t="inlineStr"/>
    </row>
    <row r="3246">
      <c r="A3246" t="inlineStr">
        <is>
          <t>dkckiq</t>
        </is>
      </c>
      <c r="B3246" t="inlineStr">
        <is>
          <t>Recent Endoscopy, Stressed Waiting For Results</t>
        </is>
      </c>
      <c r="C3246" t="inlineStr">
        <is>
          <t>I recently had an EGD performed this past Wednesday for difficulty swallowing, upper stomach pain, and reflux symptoms. I had one performed 3.5 years ago with no significant findings, but this time I am a little more suspicious. The after care sheet said “no worrisome findings” but multiple biopsies were taken so we are still waiting on the results. The doctor did take multiple pictures and wrote what he did find, and he noted “erythema and irregular z line” in my esophagus, and it looked quite red. He also noted a “ring” in the GE junction, and subtle ringed appearance of the mucosa in entire esophagus. 
I know I shouldn’t google, but I do, and I keep reading about irregular Z lines and Barrett’s esophagus. I am quite concerned, as that, to me, would be a worrisome finding. I am trying not to worry until the biopsy results come in, but I was wondering if anyone has had similar findings, and if some clarification could be provided. Thank you!</t>
        </is>
      </c>
      <c r="D3246" t="n">
        <v>8</v>
      </c>
      <c r="E3246" t="n">
        <v>8</v>
      </c>
      <c r="F3246">
        <f>HYPERLINK("https://www.reddit.com/r/GERD/comments/dkckiq/recent_endoscopy_stressed_waiting_for_results/")</f>
        <v/>
      </c>
      <c r="G3246" t="inlineStr">
        <is>
          <t>2019-10-19 17:54:53</t>
        </is>
      </c>
      <c r="H3246" t="inlineStr"/>
    </row>
    <row r="3247">
      <c r="A3247" t="inlineStr">
        <is>
          <t>dke0ho</t>
        </is>
      </c>
      <c r="B3247" t="inlineStr">
        <is>
          <t>Survey: Who is experiencing Bad Breath with Gastritis ?</t>
        </is>
      </c>
      <c r="C3247" t="inlineStr">
        <is>
          <t>It is ruining my social life, even during eating something light. That's because I have Chronic Gastritis since I was 10 (I am 27 now).
People usually don't tell me, and I know it from how their act instead. But the good news is I am almost healed thanks to yoga and osteopathy (which I recommend a LOT because it restores stomach mobility) and acid reducers.
By the end of 2019, it should be gone I think.
What about you ?</t>
        </is>
      </c>
      <c r="D3247" t="n">
        <v>3</v>
      </c>
      <c r="E3247" t="n">
        <v>10</v>
      </c>
      <c r="F3247">
        <f>HYPERLINK("https://www.reddit.com/r/GERD/comments/dke0ho/survey_who_is_experiencing_bad_breath_with/")</f>
        <v/>
      </c>
      <c r="G3247" t="inlineStr">
        <is>
          <t>2019-10-19 20:01:21</t>
        </is>
      </c>
      <c r="H3247" t="inlineStr"/>
    </row>
    <row r="3248">
      <c r="A3248" t="inlineStr">
        <is>
          <t>dkfloz</t>
        </is>
      </c>
      <c r="B3248" t="inlineStr">
        <is>
          <t>Gastritis, Esophagitis, Duodenitis</t>
        </is>
      </c>
      <c r="C3248" t="inlineStr">
        <is>
          <t>any thoughts about cayenne pepper helping boost strength to fight this problem i have been having for the last 3 months?
and how would i incorporate the peppers?
Been dealing with
-abdominal pain
-acid reflux
-gerd/heartburn
-nausea
-constipation
-loss of appetite
-bloating 
i have been on medications since the start and my body seems to be getting used to them so they aren’t really working as well as before:</t>
        </is>
      </c>
      <c r="D3248" t="n">
        <v>2</v>
      </c>
      <c r="E3248" t="n">
        <v>4</v>
      </c>
      <c r="F3248">
        <f>HYPERLINK("https://www.reddit.com/r/GERD/comments/dkfloz/gastritis_esophagitis_duodenitis/")</f>
        <v/>
      </c>
      <c r="G3248" t="inlineStr">
        <is>
          <t>2019-10-19 22:39:43</t>
        </is>
      </c>
      <c r="H3248" t="inlineStr"/>
    </row>
    <row r="3249">
      <c r="A3249" t="inlineStr">
        <is>
          <t>dkhz4s</t>
        </is>
      </c>
      <c r="B3249" t="inlineStr">
        <is>
          <t>New to GERD and I feel anxious.</t>
        </is>
      </c>
      <c r="C3249" t="inlineStr">
        <is>
          <t>Hi. I’ve been diagnosed with GERD two weeks ago. I’m a 25 year old female and I have always loved food, which makes this very difficult for me now.
I first had the attack after attending a party and ate a lot the whole day. Before going home, I had milktea and cheesecake for dessert and experienced the worst heartburn ever. I thought it was heart attack. Fast forward to few days later, again I cannot breathe while I was at work. I got rushed to the ER and got diagnosed. I’m on omeprazole for 2 weeks, one tablet before breakfast. So far, the doctor said nothing else aside from usual (diet change, quit smoking and zero caffeine).
Lately, I’ve been experiencing stuffy nose. When I wake up and when I go to bed mostly. But I don’t have colds. I’m afraid it is LPR and my omeprazole is not working (since I take it once a day only). 
I have health anxiety and it has mostly contributed to my GERD. The past month, I’ve always been anxious at work. Last August, we had an earthquake and while at work, I would often feel silently anxious while sitting at my desk between 3-5PM and if I can’t take it anymore, I’d go out and smoke.
Ever since the first attack, I have stopped smoking. I’m quitting it completely because I was convinced then that I have problems in my lungs and heart when it was actually caused by GERD.
I’m so scared of anything that could happen. I am so scared of developing cancers and complications and such. I’m so scared of being dependent to medicines just to function normally as a human being.
Could I really die because of this? 😞 Do you have suggestions on how I could save myself? I’m always anxious and trying to change my diet now. I rarely eat rice anymore (I’m Asian so yes it is difficult to eat with no rice).
Please help me soothe myself I am really anxious right now and tell me if there’s a way I could survive this. 
Thank you.</t>
        </is>
      </c>
      <c r="D3249" t="n">
        <v>6</v>
      </c>
      <c r="E3249" t="n">
        <v>49</v>
      </c>
      <c r="F3249">
        <f>HYPERLINK("https://www.reddit.com/r/GERD/comments/dkhz4s/new_to_gerd_and_i_feel_anxious/")</f>
        <v/>
      </c>
      <c r="G3249" t="inlineStr">
        <is>
          <t>2019-10-20 03:35:16</t>
        </is>
      </c>
      <c r="H3249" t="inlineStr"/>
    </row>
    <row r="3250">
      <c r="A3250" t="inlineStr">
        <is>
          <t>dkj338</t>
        </is>
      </c>
      <c r="B3250" t="inlineStr">
        <is>
          <t>Bloating light chest feeling feeling in head</t>
        </is>
      </c>
      <c r="C3250" t="inlineStr">
        <is>
          <t>Whenever i bloat I get light chest pain, jaw pain all the way to the head and feel different 
I can see my stomach bloated  and tight 
Is this GERD or something else 
I feel my blood pressure up 
Going to doctor tomorrow</t>
        </is>
      </c>
      <c r="D3250" t="n">
        <v>1</v>
      </c>
      <c r="E3250" t="n">
        <v>14</v>
      </c>
      <c r="F3250">
        <f>HYPERLINK("https://www.reddit.com/r/GERD/comments/dkj338/bloating_light_chest_feeling_feeling_in_head/")</f>
        <v/>
      </c>
      <c r="G3250" t="inlineStr">
        <is>
          <t>2019-10-20 05:38:47</t>
        </is>
      </c>
      <c r="H3250" t="inlineStr"/>
    </row>
    <row r="3251">
      <c r="A3251" t="inlineStr">
        <is>
          <t>dkp3q2</t>
        </is>
      </c>
      <c r="B3251" t="inlineStr">
        <is>
          <t>Do normal people have LPR/GERD symptoms once in a while?</t>
        </is>
      </c>
      <c r="C3251" t="inlineStr">
        <is>
          <t>With normal I mean that it is normal to reflux once in a while without being chronic like gerd/lpr patients?</t>
        </is>
      </c>
      <c r="D3251" t="n">
        <v>6</v>
      </c>
      <c r="E3251" t="n">
        <v>10</v>
      </c>
      <c r="F3251">
        <f>HYPERLINK("https://www.reddit.com/r/GERD/comments/dkp3q2/do_normal_people_have_lprgerd_symptoms_once_in_a/")</f>
        <v/>
      </c>
      <c r="G3251" t="inlineStr">
        <is>
          <t>2019-10-20 13:13:18</t>
        </is>
      </c>
      <c r="H3251" t="inlineStr"/>
    </row>
    <row r="3252">
      <c r="A3252" t="inlineStr">
        <is>
          <t>dkrlll</t>
        </is>
      </c>
      <c r="B3252" t="inlineStr">
        <is>
          <t>Burning in Throat but not Chest?</t>
        </is>
      </c>
      <c r="C3252" t="inlineStr">
        <is>
          <t>So yeah I get a lot of burning in my throat. It also hurts to talk, I have to strain to use my voice at some point. 
I burp a lot. I think I'm swallowing air. 
I saw an ENT who said my throat looked fine and gave me omeprazole. 
I can't take it because it interacts with a current med, but I just tried some Nexium. Will see if it works.</t>
        </is>
      </c>
      <c r="D3252" t="n">
        <v>9</v>
      </c>
      <c r="E3252" t="n">
        <v>3</v>
      </c>
      <c r="F3252">
        <f>HYPERLINK("https://www.reddit.com/r/GERD/comments/dkrlll/burning_in_throat_but_not_chest/")</f>
        <v/>
      </c>
      <c r="G3252" t="inlineStr">
        <is>
          <t>2019-10-20 16:17:05</t>
        </is>
      </c>
      <c r="H3252" t="inlineStr"/>
    </row>
    <row r="3253">
      <c r="A3253" t="inlineStr">
        <is>
          <t>dksibg</t>
        </is>
      </c>
      <c r="B3253" t="inlineStr">
        <is>
          <t>Pain in collarbone?</t>
        </is>
      </c>
      <c r="C3253" t="inlineStr">
        <is>
          <t>I get a pain in my collarbone on both the left and right side, particularly after eating dairy, SPECIFICALLY ice cream (which makes me bloaty sometimes). It's primarily on the left side, right next to where there's a thin neck tendon, but sometimes it moved to the right side of my collarbone. 
It's like a 1/2 / 10 on the pain scale, but it's super distracting. 
I'm currently treating gastritis with PPIs, and have been for a month. The nasuea rears its head once in a while, but I'm doing a lot better than I was a month ago. Ice cream seems to still be a trigger for this pain though and I'm getting worried it's not related to anything I'm treating. 
Curious, GERD sufferers - is this a pain anyone can relate to? 
Thanks! &amp;lt;33</t>
        </is>
      </c>
      <c r="D3253" t="n">
        <v>2</v>
      </c>
      <c r="E3253" t="n">
        <v>2</v>
      </c>
      <c r="F3253">
        <f>HYPERLINK("https://www.reddit.com/r/GERD/comments/dksibg/pain_in_collarbone/")</f>
        <v/>
      </c>
      <c r="G3253" t="inlineStr">
        <is>
          <t>2019-10-20 17:30:58</t>
        </is>
      </c>
      <c r="H3253" t="inlineStr"/>
    </row>
    <row r="3254">
      <c r="A3254" t="inlineStr">
        <is>
          <t>dkufou</t>
        </is>
      </c>
      <c r="B3254" t="inlineStr">
        <is>
          <t>GERD makes it so hard to be social.</t>
        </is>
      </c>
      <c r="C3254" t="inlineStr">
        <is>
          <t>I'll go out  with my friends, and like tonight, get tempted and eat up eating food that is fried (a big trigger for me). Now I'm trying to sleep, and BAM reflux. People on a diet get a cheat meal every once in a while, but not us I guess....</t>
        </is>
      </c>
      <c r="D3254" t="n">
        <v>18</v>
      </c>
      <c r="E3254" t="n">
        <v>18</v>
      </c>
      <c r="F3254">
        <f>HYPERLINK("https://www.reddit.com/r/GERD/comments/dkufou/gerd_makes_it_so_hard_to_be_social/")</f>
        <v/>
      </c>
      <c r="G3254" t="inlineStr">
        <is>
          <t>2019-10-20 20:16:15</t>
        </is>
      </c>
      <c r="H3254" t="inlineStr"/>
    </row>
    <row r="3255">
      <c r="A3255" t="inlineStr">
        <is>
          <t>dkv9yn</t>
        </is>
      </c>
      <c r="B3255" t="inlineStr">
        <is>
          <t>Can a panic attack develop into gerd?</t>
        </is>
      </c>
      <c r="C3255" t="inlineStr">
        <is>
          <t>Ok so basically, I was perfectly normal. I had no issues. Nothing wrong with me. One day I had my first ever panic attack (Don't want to say how, kinda embarrassing). After that panic attack, thats when my gerd started (1-2 months ago). Now Im feeling so good. I can eat literally anything I want and get very minimal or no reflux. I get ocassional problems like chest pains, heart palpitations, and head pressure, but for the most part I feel amazing. My question is can a sudden panic attack temporarily weaken something in the digestive system causing gerd?. I feel so good that maybe in another month or 2 I might be completely cured, crazy.</t>
        </is>
      </c>
      <c r="D3255" t="n">
        <v>2</v>
      </c>
      <c r="E3255" t="n">
        <v>4</v>
      </c>
      <c r="F3255">
        <f>HYPERLINK("https://www.reddit.com/r/GERD/comments/dkv9yn/can_a_panic_attack_develop_into_gerd/")</f>
        <v/>
      </c>
      <c r="G3255" t="inlineStr">
        <is>
          <t>2019-10-20 21:34:13</t>
        </is>
      </c>
      <c r="H3255" t="inlineStr"/>
    </row>
    <row r="3256">
      <c r="A3256" t="inlineStr">
        <is>
          <t>dkvv3q</t>
        </is>
      </c>
      <c r="B3256" t="inlineStr">
        <is>
          <t>I hate GERD</t>
        </is>
      </c>
      <c r="C3256" t="inlineStr">
        <is>
          <t>I don’t think there’s anything more dehumanizing than being on your hands and knees puking 🥺🤢</t>
        </is>
      </c>
      <c r="D3256" t="n">
        <v>30</v>
      </c>
      <c r="E3256" t="n">
        <v>8</v>
      </c>
      <c r="F3256">
        <f>HYPERLINK("https://www.reddit.com/r/GERD/comments/dkvv3q/i_hate_gerd/")</f>
        <v/>
      </c>
      <c r="G3256" t="inlineStr">
        <is>
          <t>2019-10-20 22:34:03</t>
        </is>
      </c>
      <c r="H3256" t="inlineStr"/>
    </row>
    <row r="3257">
      <c r="A3257" t="inlineStr">
        <is>
          <t>dkw1ul</t>
        </is>
      </c>
      <c r="B3257" t="inlineStr">
        <is>
          <t>Acidity if I delay eating by a few minutes</t>
        </is>
      </c>
      <c r="C3257" t="inlineStr">
        <is>
          <t>Weird condition. I don’t typically get acidity from most foods I eat and I can consume some alcohols like gin, vodka, whiskey etc (not beer however). The thing which causes me the most problem is timeliness coupled with morning acidity. My body is sensitive to an extent where even if I delay eating by 5 minutes when I feel hunger pangs, I get stomach lining irritation. If I delay by 10-15 minutes, I get proper reflux in the throat (burns my throat). At times when I wake up in the morning, I have hunger pangs coupled with acidic feelings. 
This has caused me numerous issues - can’t get up later than normal, difficult to manage changing time zones due to travel, dst, etc
I am mostly on a vegan diet except for yogurt. I take PPIs / H2  Blockers occasionally with Gaviscon thrown in once in a while. 
Anyone else having similar issues? Any thoughts or recommendations please?</t>
        </is>
      </c>
      <c r="D3257" t="n">
        <v>1</v>
      </c>
      <c r="E3257" t="n">
        <v>4</v>
      </c>
      <c r="F3257">
        <f>HYPERLINK("https://www.reddit.com/r/GERD/comments/dkw1ul/acidity_if_i_delay_eating_by_a_few_minutes/")</f>
        <v/>
      </c>
      <c r="G3257" t="inlineStr">
        <is>
          <t>2019-10-20 22:54:14</t>
        </is>
      </c>
      <c r="H3257" t="inlineStr"/>
    </row>
    <row r="3258">
      <c r="A3258" t="inlineStr">
        <is>
          <t>dkx9by</t>
        </is>
      </c>
      <c r="B3258" t="inlineStr">
        <is>
          <t>What is one of your go to safe meals for GERD?</t>
        </is>
      </c>
      <c r="C3258" t="inlineStr">
        <is>
          <t>I’m really struggling to find meals I can make on a budget (poor uni student). I have almost constant acid reflux and suspect I could have LPR because of the “throat closing/clogged” feeling I get whenever I eat. 
Before anyone asks, I’m working on things with my doctor already!</t>
        </is>
      </c>
      <c r="D3258" t="n">
        <v>3</v>
      </c>
      <c r="E3258" t="n">
        <v>16</v>
      </c>
      <c r="F3258">
        <f>HYPERLINK("https://www.reddit.com/r/GERD/comments/dkx9by/what_is_one_of_your_go_to_safe_meals_for_gerd/")</f>
        <v/>
      </c>
      <c r="G3258" t="inlineStr">
        <is>
          <t>2019-10-21 01:08:54</t>
        </is>
      </c>
      <c r="H3258" t="inlineStr"/>
    </row>
    <row r="3259">
      <c r="A3259" t="inlineStr">
        <is>
          <t>dkydmx</t>
        </is>
      </c>
      <c r="B3259" t="inlineStr">
        <is>
          <t>Could I have GERD? Only 1 symptom, doctor couldn't really tell</t>
        </is>
      </c>
      <c r="C3259" t="inlineStr">
        <is>
          <t>So i dont feel any pain after eating, I don't get any heartburns. The only thing that I have is a big amount of both white foamy phlegm and clear transparent phlegm. My doctor told me that it could be GERD but seems unlikely to me. I don't drink any coffee, alcohol or sugar drinks (used to drinks tons of black tea tho). I eat spicy food on a daily basis but usually with fresh, not spicy fruits and vegetables. 
I don't have an active lifestyle, most of the time i spend behind the computer screen, age is 19, located in eastern europe if that's of any help. 
I'm also not obese.</t>
        </is>
      </c>
      <c r="D3259" t="n">
        <v>2</v>
      </c>
      <c r="E3259" t="n">
        <v>5</v>
      </c>
      <c r="F3259">
        <f>HYPERLINK("https://www.reddit.com/r/GERD/comments/dkydmx/could_i_have_gerd_only_1_symptom_doctor_couldnt/")</f>
        <v/>
      </c>
      <c r="G3259" t="inlineStr">
        <is>
          <t>2019-10-21 03:13:35</t>
        </is>
      </c>
      <c r="H3259" t="inlineStr"/>
    </row>
    <row r="3260">
      <c r="A3260" t="inlineStr">
        <is>
          <t>dkyexb</t>
        </is>
      </c>
      <c r="B3260" t="inlineStr">
        <is>
          <t>They tried giving me zantac which been recalling lmao..</t>
        </is>
      </c>
      <c r="C3260" t="inlineStr">
        <is>
          <t>Doctors arent up to date on shit they even prescribe anymore.. I was having really bad heartburn tonight I took a beet root extract 500 mg capsule and poof heartburn gone. Nothing has worked for me except for this.. omg if this works forever I'll be golden.. I stopped my protonix for high blood pressure today...</t>
        </is>
      </c>
      <c r="D3260" t="n">
        <v>0</v>
      </c>
      <c r="E3260" t="n">
        <v>10</v>
      </c>
      <c r="F3260">
        <f>HYPERLINK("https://www.reddit.com/r/GERD/comments/dkyexb/they_tried_giving_me_zantac_which_been_recalling/")</f>
        <v/>
      </c>
      <c r="G3260" t="inlineStr">
        <is>
          <t>2019-10-21 03:17:27</t>
        </is>
      </c>
      <c r="H3260" t="inlineStr"/>
    </row>
    <row r="3261">
      <c r="A3261" t="inlineStr">
        <is>
          <t>dkyu4u</t>
        </is>
      </c>
      <c r="B3261" t="inlineStr">
        <is>
          <t>Problems when you DRINK any liquid ?</t>
        </is>
      </c>
      <c r="C3261" t="inlineStr">
        <is>
          <t>So does anyone else have a MAJOR problem when drinking liquid? For example. Drinking a smoothie , or a frap, or milk whatever the case maybe, usually on heavier drinks, I guess sometimes with water too. It just feels as if my stomach is just bloated the second I drink liquid, not sure how to explain any better than this, but yeah it just feels like it gets stuck right at the brim of my stomach... . I'm starting to suspect low stomach acid but i don't want to just assume. I already went to a gastro for difficulty swallowing and food feeling 'stuck', got biopsied and scoped and I had mild gastritis &amp;amp; esophagitis, two months back. Symptoms got way better after taking 2 nexiums a day. But this situation with the liquid is weird to me, and me having silent reflux in general, just seems suspiciously close to having low stomach acid.</t>
        </is>
      </c>
      <c r="D3261" t="n">
        <v>11</v>
      </c>
      <c r="E3261" t="n">
        <v>5</v>
      </c>
      <c r="F3261">
        <f>HYPERLINK("https://www.reddit.com/r/GERD/comments/dkyu4u/problems_when_you_drink_any_liquid/")</f>
        <v/>
      </c>
      <c r="G3261" t="inlineStr">
        <is>
          <t>2019-10-21 04:00:02</t>
        </is>
      </c>
      <c r="H3261" t="inlineStr"/>
    </row>
    <row r="3262">
      <c r="A3262" t="inlineStr">
        <is>
          <t>dkzm02</t>
        </is>
      </c>
      <c r="B3262" t="inlineStr">
        <is>
          <t>Pain in upper back</t>
        </is>
      </c>
      <c r="C3262" t="inlineStr">
        <is>
          <t>With GERD is it possible to get a knot like feeling in upper back? Sometimes it goes lower but happens random. Also having almost a split second like stabbing around the left breast towards the middle. I was told acid can backup and cause this at times but wondering if anyone else had these issues. Thanks</t>
        </is>
      </c>
      <c r="D3262" t="n">
        <v>5</v>
      </c>
      <c r="E3262" t="n">
        <v>18</v>
      </c>
      <c r="F3262">
        <f>HYPERLINK("https://www.reddit.com/r/GERD/comments/dkzm02/pain_in_upper_back/")</f>
        <v/>
      </c>
      <c r="G3262" t="inlineStr">
        <is>
          <t>2019-10-21 05:11:02</t>
        </is>
      </c>
      <c r="H3262" t="inlineStr"/>
    </row>
    <row r="3263">
      <c r="A3263" t="inlineStr">
        <is>
          <t>dl0fb2</t>
        </is>
      </c>
      <c r="B3263" t="inlineStr">
        <is>
          <t>Hi I was diagnosed with Gerd. I have some questions</t>
        </is>
      </c>
      <c r="C3263" t="inlineStr">
        <is>
          <t>Hi, sorry I am not English so apologies if you see any mistakes in my writing
I have been diagnosed of mild Gerd after a upper gastroscopy. I don't have so much heartburn feeling but I can feel how the acid comes up to my throat often and I have nausea as well mixed with a lump feeling in the troat
My question is, is nausea a common symptom as a consecuence of Gerd?</t>
        </is>
      </c>
      <c r="D3263" t="n">
        <v>3</v>
      </c>
      <c r="E3263" t="n">
        <v>3</v>
      </c>
      <c r="F3263">
        <f>HYPERLINK("https://www.reddit.com/r/GERD/comments/dl0fb2/hi_i_was_diagnosed_with_gerd_i_have_some_questions/")</f>
        <v/>
      </c>
      <c r="G3263" t="inlineStr">
        <is>
          <t>2019-10-21 06:18:04</t>
        </is>
      </c>
      <c r="H3263" t="inlineStr"/>
    </row>
    <row r="3264">
      <c r="A3264" t="inlineStr">
        <is>
          <t>dl1fhv</t>
        </is>
      </c>
      <c r="B3264" t="inlineStr">
        <is>
          <t>21 years of age teen seeking for surgery option for Gerd ( TIF, Nissen, Stretta) . Happy to hear any opinion</t>
        </is>
      </c>
      <c r="C3264" t="inlineStr">
        <is>
          <t>I have been experiencing GERD for nearly a year now. It came when I was having a terrible lifestyle last year cause i was smoking pot and inhale too deep( I inhale a lot of shitty stuff and cough a lot when I did those stuff). At first i experienced dry cough every single night when i lied down, it came to the point where i thought i have asthma and i even bought an inhaler for that, then suddenly it stopped.
 Then came the series of bad breath and tooth + gum decayed and still going from then to today. I experienced a few series of serious panic attacks when I tried pot again ( i think I almost died). But right now my main problem is heartburn and gum bleeding + bad breath + throat pain and PPIs don't seem to help me like at any point since I had GERD. I am considering a solution for this because I can't live like this anymore. 
It kills my attitude to living like a normal person and gave me dramatic anxiety issues. It hard for me to sleep at night even if i eat anything or not the previous night then it would still be pretty shitty the morning after. The last time I had an endoscopy they said that theres no scar on my esophagus and im planning to do another endoscopy to check if I had hiatal hernia( I strongly think that I have one because I have heartburn almost 24/7 and I can almost feel that my LES never seems to shut properly to prevent acid to come up. 
I am considering any kind of surgery but i don't know if I should go on long term PPIs first as i heard a lot of side effects on those. I heard about TIF and have been doing research about it ever since but I found little information about so i just want to hear the opinion of anyone if they have done it before. Plus I heard Stretta is a minimally invasive procedure as well so if anyone went through it please share your knowledge as well. Nissen is kind of like my last option because of the side effects</t>
        </is>
      </c>
      <c r="D3264" t="n">
        <v>4</v>
      </c>
      <c r="E3264" t="n">
        <v>7</v>
      </c>
      <c r="F3264">
        <f>HYPERLINK("https://www.reddit.com/r/GERD/comments/dl1fhv/21_years_of_age_teen_seeking_for_surgery_option/")</f>
        <v/>
      </c>
      <c r="G3264" t="inlineStr">
        <is>
          <t>2019-10-21 07:34:55</t>
        </is>
      </c>
      <c r="H3264" t="inlineStr"/>
    </row>
    <row r="3265">
      <c r="A3265" t="inlineStr">
        <is>
          <t>dl2blw</t>
        </is>
      </c>
      <c r="B3265" t="inlineStr">
        <is>
          <t>Stomach pain post upper endoscopy</t>
        </is>
      </c>
      <c r="C3265" t="inlineStr">
        <is>
          <t>Hi all!  Would the biopsy taken during an upper endoscopy cause some minor stomach pain over the next couple of days?  It seems normal, but I can’t find anything about it online.  Pain isn’t too severe, maybe a 2/3 out of 10.</t>
        </is>
      </c>
      <c r="D3265" t="n">
        <v>3</v>
      </c>
      <c r="E3265" t="n">
        <v>19</v>
      </c>
      <c r="F3265">
        <f>HYPERLINK("https://www.reddit.com/r/GERD/comments/dl2blw/stomach_pain_post_upper_endoscopy/")</f>
        <v/>
      </c>
      <c r="G3265" t="inlineStr">
        <is>
          <t>2019-10-21 08:39:33</t>
        </is>
      </c>
      <c r="H3265" t="inlineStr"/>
    </row>
    <row r="3266">
      <c r="A3266" t="inlineStr">
        <is>
          <t>dl30gg</t>
        </is>
      </c>
      <c r="B3266" t="inlineStr">
        <is>
          <t>Can flu make GERD worse?</t>
        </is>
      </c>
      <c r="C3266" t="inlineStr">
        <is>
          <t>I have flu like symptoms for about two weeks now (headache, nausea, fatigue, occasional fever). At first it worsen my asthma and dust mite allergy symptoms (difficult breathing, tight throat, coughing mucus), which got better after increasing asthma and allergy meds and especially buying ioniser. I didn't have allergy problems for about 2 years before that. But then my gerd got worse (heartburn, difficult swallowing, sore throat , lump in throat, a lot of saliva). The symptoms come and go, just like my fever, nausea, headache.</t>
        </is>
      </c>
      <c r="D3266" t="n">
        <v>3</v>
      </c>
      <c r="E3266" t="n">
        <v>3</v>
      </c>
      <c r="F3266">
        <f>HYPERLINK("https://www.reddit.com/r/GERD/comments/dl30gg/can_flu_make_gerd_worse/")</f>
        <v/>
      </c>
      <c r="G3266" t="inlineStr">
        <is>
          <t>2019-10-21 09:28:26</t>
        </is>
      </c>
      <c r="H3266" t="inlineStr"/>
    </row>
    <row r="3267">
      <c r="A3267" t="inlineStr">
        <is>
          <t>dl4356</t>
        </is>
      </c>
      <c r="B3267" t="inlineStr">
        <is>
          <t>Anxiety/gerd correlation</t>
        </is>
      </c>
      <c r="C3267" t="inlineStr">
        <is>
          <t>Hello all. After reading through a lot of these posts I have realized a handful of gerd sufferers also suffer from anxiety. I myself have always had a number of stomach issues as well as an anxiety disorder that seem to work in unison to effectively make me feel like crap. It’s almost a situation of what came first the chicken or the egg. Does my anxiety cause my reflux, or does my reflux cause my anxiety. A lot of my symptoms are listed as some of the most common symptoms of BOTH disorders. Chest pain, trouble breathing/air hunger, generally feeling unwell. 
I guess the purpose of the post is to open up a conversation with people who have both anxiety and gerd symptoms to hear what you feel is the cause of either for yourself, as well as ways that have helped you manage it. Did your reflux get better if your anxiety got better? Did your anxiety get better if your reflux got better?</t>
        </is>
      </c>
      <c r="D3267" t="n">
        <v>10</v>
      </c>
      <c r="E3267" t="n">
        <v>21</v>
      </c>
      <c r="F3267">
        <f>HYPERLINK("https://www.reddit.com/r/GERD/comments/dl4356/anxietygerd_correlation/")</f>
        <v/>
      </c>
      <c r="G3267" t="inlineStr">
        <is>
          <t>2019-10-21 10:44:39</t>
        </is>
      </c>
      <c r="H3267" t="inlineStr"/>
    </row>
    <row r="3268">
      <c r="A3268" t="inlineStr">
        <is>
          <t>dl5bga</t>
        </is>
      </c>
      <c r="B3268" t="inlineStr">
        <is>
          <t>Is it just me or has this sub skyrocketed?</t>
        </is>
      </c>
      <c r="C3268" t="inlineStr">
        <is>
          <t>Maybe it’s been a stressful few months for everyone?</t>
        </is>
      </c>
      <c r="D3268" t="n">
        <v>30</v>
      </c>
      <c r="E3268" t="n">
        <v>14</v>
      </c>
      <c r="F3268">
        <f>HYPERLINK("https://www.reddit.com/r/GERD/comments/dl5bga/is_it_just_me_or_has_this_sub_skyrocketed/")</f>
        <v/>
      </c>
      <c r="G3268" t="inlineStr">
        <is>
          <t>2019-10-21 12:12:02</t>
        </is>
      </c>
      <c r="H3268" t="inlineStr"/>
    </row>
    <row r="3269">
      <c r="A3269" t="inlineStr">
        <is>
          <t>dl6bfh</t>
        </is>
      </c>
      <c r="B3269" t="inlineStr">
        <is>
          <t>Did losing weight help?</t>
        </is>
      </c>
      <c r="C3269" t="inlineStr">
        <is>
          <t>Hello! 
I only have been suffering from acid reflux since early this year. And I’ve had BAD episodes. Almost feels like I’m choking sometimes. I went to see the doc for it, she immediately prescribed me PPIs for a month. Said if that doesn’t help, they will do a scope and see what’s going on. She said that Losing weight helps a lot of the time.
I’m not really big but I am overweight and I carry most of the weight in my stomach.
She thinks if I lose significant amount of weight, it will help me! 
My question is, have you lost weight and did it illuminate symptoms and basically make it go away?</t>
        </is>
      </c>
      <c r="D3269" t="n">
        <v>3</v>
      </c>
      <c r="E3269" t="n">
        <v>15</v>
      </c>
      <c r="F3269">
        <f>HYPERLINK("https://www.reddit.com/r/GERD/comments/dl6bfh/did_losing_weight_help/")</f>
        <v/>
      </c>
      <c r="G3269" t="inlineStr">
        <is>
          <t>2019-10-21 13:22:09</t>
        </is>
      </c>
      <c r="H3269" t="inlineStr"/>
    </row>
    <row r="3270">
      <c r="A3270" t="inlineStr">
        <is>
          <t>dl6tvj</t>
        </is>
      </c>
      <c r="B3270" t="inlineStr">
        <is>
          <t>Safe way to treat heartburn during pregnancy?</t>
        </is>
      </c>
      <c r="C3270" t="inlineStr">
        <is>
          <t>I have severe heartburn due to being pregnant. My doctor gave me a list of OTC safe meds I can take, but I took a couple (TUMS and Zantac) and they didn't help. Plus I would prefer to treat my heartburn naturally
I know there are some supplements I can take like papaya enzymes, but everything has some warning on it for pregnant women if it hasn't been tested by the FDA. And I heard also papaya can cause miscarriage or birth defects so it scares me to think about taking it. Do you know any safe and natural ways to treat heartburn? I fee pretty sick and miserable</t>
        </is>
      </c>
      <c r="D3270" t="n">
        <v>3</v>
      </c>
      <c r="E3270" t="n">
        <v>3</v>
      </c>
      <c r="F3270">
        <f>HYPERLINK("https://www.reddit.com/r/GERD/comments/dl6tvj/safe_way_to_treat_heartburn_during_pregnancy/")</f>
        <v/>
      </c>
      <c r="G3270" t="inlineStr">
        <is>
          <t>2019-10-21 13:57:52</t>
        </is>
      </c>
      <c r="H3270" t="inlineStr"/>
    </row>
    <row r="3271">
      <c r="A3271" t="inlineStr">
        <is>
          <t>dl6xfe</t>
        </is>
      </c>
      <c r="B3271" t="inlineStr">
        <is>
          <t>Acid Reflux and a sensation like something is stuck in my throat. HELP</t>
        </is>
      </c>
      <c r="C3271" t="inlineStr">
        <is>
          <t>Hi. Last few weeks my acid reflux flared up again but this time with a new symptom.  Like  something is stuck in my throat . I went and bought Omeprazone 20mg and took the 14 day course,  some time on day 6 it went away and I was happy but then it came back again and now I can bearly eat anything because I feel that thing when i swollow. And also discomfort right in the center below my rib cage.  And I do have a hiatal hernia. Has any one had that lump feeling and how long did it take to go away and what did you do? Thanks.</t>
        </is>
      </c>
      <c r="D3271" t="n">
        <v>4</v>
      </c>
      <c r="E3271" t="n">
        <v>6</v>
      </c>
      <c r="F3271">
        <f>HYPERLINK("https://www.reddit.com/r/GERD/comments/dl6xfe/acid_reflux_and_a_sensation_like_something_is/")</f>
        <v/>
      </c>
      <c r="G3271" t="inlineStr">
        <is>
          <t>2019-10-21 14:04:19</t>
        </is>
      </c>
      <c r="H3271" t="inlineStr"/>
    </row>
    <row r="3272">
      <c r="A3272" t="inlineStr">
        <is>
          <t>dl9c3z</t>
        </is>
      </c>
      <c r="B3272" t="inlineStr">
        <is>
          <t>Soft palate/upper throat aches from LPR when speaking?</t>
        </is>
      </c>
      <c r="C3272" t="inlineStr">
        <is>
          <t>Does anyone get this? It comes and goes, and but when it’s here it’s awful. Feels like you just spoke for 3 hours straight with the amount of fatigue that’s present. 
If my PPI doesn’t clear this up soon, I think tricyclics are the move. So exhausting to have to think about my voice/throat every time I talk :/</t>
        </is>
      </c>
      <c r="D3272" t="n">
        <v>3</v>
      </c>
      <c r="E3272" t="n">
        <v>5</v>
      </c>
      <c r="F3272">
        <f>HYPERLINK("https://www.reddit.com/r/GERD/comments/dl9c3z/soft_palateupper_throat_aches_from_lpr_when/")</f>
        <v/>
      </c>
      <c r="G3272" t="inlineStr">
        <is>
          <t>2019-10-21 16:58:25</t>
        </is>
      </c>
      <c r="H3272" t="inlineStr"/>
    </row>
    <row r="3273">
      <c r="A3273" t="inlineStr">
        <is>
          <t>dlamch</t>
        </is>
      </c>
      <c r="B3273" t="inlineStr">
        <is>
          <t>Switched from Zantac to Pepcid</t>
        </is>
      </c>
      <c r="C3273" t="inlineStr">
        <is>
          <t>Have been constipated since, trouble passing gas.  What gives?</t>
        </is>
      </c>
      <c r="D3273" t="n">
        <v>3</v>
      </c>
      <c r="E3273" t="n">
        <v>8</v>
      </c>
      <c r="F3273">
        <f>HYPERLINK("https://www.reddit.com/r/GERD/comments/dlamch/switched_from_zantac_to_pepcid/")</f>
        <v/>
      </c>
      <c r="G3273" t="inlineStr">
        <is>
          <t>2019-10-21 18:36:46</t>
        </is>
      </c>
      <c r="H3273" t="inlineStr"/>
    </row>
    <row r="3274">
      <c r="A3274" t="inlineStr">
        <is>
          <t>dlb8hb</t>
        </is>
      </c>
      <c r="B3274" t="inlineStr">
        <is>
          <t>Teeth</t>
        </is>
      </c>
      <c r="C3274" t="inlineStr">
        <is>
          <t>I’m really tired of all this acid destroying my teeth and gums. I brush my teeth daily and use a prescription grade toothpaste that has extra fluoride. But I’ve had a couple teeth pulled over the last years and am currently having severe tooth and gum pain after a recent bout of sickness. I’m just sick and tired of GERDs ruining everything even my smile.</t>
        </is>
      </c>
      <c r="D3274" t="n">
        <v>10</v>
      </c>
      <c r="E3274" t="n">
        <v>14</v>
      </c>
      <c r="F3274">
        <f>HYPERLINK("https://www.reddit.com/r/GERD/comments/dlb8hb/teeth/")</f>
        <v/>
      </c>
      <c r="G3274" t="inlineStr">
        <is>
          <t>2019-10-21 19:24:50</t>
        </is>
      </c>
      <c r="H3274" t="inlineStr"/>
    </row>
    <row r="3275">
      <c r="A3275" t="inlineStr">
        <is>
          <t>dlc2rb</t>
        </is>
      </c>
      <c r="B3275" t="inlineStr">
        <is>
          <t>Passing bloody mucus type thing</t>
        </is>
      </c>
      <c r="C3275" t="inlineStr">
        <is>
          <t>I've been having problems with acid reflux lately. I passed stool when I woke up and it was quite liquid. I didn't see any blood in it. I ate some oatmeal and a banana with whipped cream. A few hours later, I went to the bathroom and this thing came out, without anything solid: 
https://i.imgur.com/dbHp0yd.jpg
https://i.imgur.com/myC8nNR.jpg
https://i.imgur.com/lON8joT.jpg
It didn't smell like waste at all. It has more of a chemical-type odor. 
Has anyone here had anything similar?</t>
        </is>
      </c>
      <c r="D3275" t="n">
        <v>1</v>
      </c>
      <c r="E3275" t="n">
        <v>4</v>
      </c>
      <c r="F3275">
        <f>HYPERLINK("https://www.reddit.com/r/GERD/comments/dlc2rb/passing_bloody_mucus_type_thing/")</f>
        <v/>
      </c>
      <c r="G3275" t="inlineStr">
        <is>
          <t>2019-10-21 20:35:32</t>
        </is>
      </c>
      <c r="H3275" t="inlineStr"/>
    </row>
    <row r="3276">
      <c r="A3276" t="inlineStr">
        <is>
          <t>dlcca5</t>
        </is>
      </c>
      <c r="B3276" t="inlineStr">
        <is>
          <t>Root beer and/or Apple Sauce?</t>
        </is>
      </c>
      <c r="C3276" t="inlineStr">
        <is>
          <t xml:space="preserve"> By no means am i saying they're a cure or a definite solution but one thing that almost always quells my gerd for at least a couple minutes is root beer.  I assume it has something to do with both the carbonation and formula but when I'm having a really painful day usually ill get a root beer and sip on it throughout the night. 
Also I've heard good things about applesauce.  I was skeptical at first but my manager swore it helped her survive the heartburn from her pregnancy.  For me personally (being a not so pregnant biological male) it hasn't done me many favors but it does kinda numb the pain for like a minute or two. 
Either of these solutions help you guys at all? Also i wouldn't suggest consuming both at once.  Ew.</t>
        </is>
      </c>
      <c r="D3276" t="n">
        <v>1</v>
      </c>
      <c r="E3276" t="n">
        <v>0</v>
      </c>
      <c r="F3276">
        <f>HYPERLINK("https://www.reddit.com/r/GERD/comments/dlcca5/root_beer_andor_apple_sauce/")</f>
        <v/>
      </c>
      <c r="G3276" t="inlineStr">
        <is>
          <t>2019-10-21 20:59:29</t>
        </is>
      </c>
      <c r="H3276" t="inlineStr"/>
    </row>
    <row r="3277">
      <c r="A3277" t="inlineStr">
        <is>
          <t>dldo8h</t>
        </is>
      </c>
      <c r="B3277" t="inlineStr">
        <is>
          <t>Need some help</t>
        </is>
      </c>
      <c r="C3277" t="inlineStr">
        <is>
          <t>I’ve been dealing with Gerd for over a year and for the last few weeks my jaw will get extremely stiff. Does anyone else get this symptom?
Also how much medication is the usual GERD patient on? I’m 165lbs and am on Dexilant, sulfucrate and Zantac and don’t seem to notice much of a difference.</t>
        </is>
      </c>
      <c r="D3277" t="n">
        <v>3</v>
      </c>
      <c r="E3277" t="n">
        <v>1</v>
      </c>
      <c r="F3277">
        <f>HYPERLINK("https://www.reddit.com/r/GERD/comments/dldo8h/need_some_help/")</f>
        <v/>
      </c>
      <c r="G3277" t="inlineStr">
        <is>
          <t>2019-10-21 23:07:42</t>
        </is>
      </c>
      <c r="H3277" t="inlineStr"/>
    </row>
    <row r="3278">
      <c r="A3278" t="inlineStr">
        <is>
          <t>dlf23a</t>
        </is>
      </c>
      <c r="B3278" t="inlineStr">
        <is>
          <t>Is it safe to eat seafood?</t>
        </is>
      </c>
      <c r="C3278" t="inlineStr">
        <is>
          <t>I mean, like prawns, shrimps, clams, oysters, etc? :) Any input would be very helpful!</t>
        </is>
      </c>
      <c r="D3278" t="n">
        <v>2</v>
      </c>
      <c r="E3278" t="n">
        <v>14</v>
      </c>
      <c r="F3278">
        <f>HYPERLINK("https://www.reddit.com/r/GERD/comments/dlf23a/is_it_safe_to_eat_seafood/")</f>
        <v/>
      </c>
      <c r="G3278" t="inlineStr">
        <is>
          <t>2019-10-22 01:42:48</t>
        </is>
      </c>
      <c r="H3278" t="inlineStr"/>
    </row>
    <row r="3279">
      <c r="A3279" t="inlineStr">
        <is>
          <t>dlf46v</t>
        </is>
      </c>
      <c r="B3279" t="inlineStr">
        <is>
          <t>Vitamin D deficiency.</t>
        </is>
      </c>
      <c r="C3279" t="inlineStr">
        <is>
          <t>Can vitamin D deficiency cause GERD? I just had my blood tested for vitamins and I'm vitamin D deficient (other vitamins are good). It's probably because I avoid the sun, ever since I had melanoma.</t>
        </is>
      </c>
      <c r="D3279" t="n">
        <v>5</v>
      </c>
      <c r="E3279" t="n">
        <v>19</v>
      </c>
      <c r="F3279">
        <f>HYPERLINK("https://www.reddit.com/r/GERD/comments/dlf46v/vitamin_d_deficiency/")</f>
        <v/>
      </c>
      <c r="G3279" t="inlineStr">
        <is>
          <t>2019-10-22 01:50:14</t>
        </is>
      </c>
      <c r="H3279" t="inlineStr"/>
    </row>
    <row r="3280">
      <c r="A3280" t="inlineStr">
        <is>
          <t>dlfiqd</t>
        </is>
      </c>
      <c r="B3280" t="inlineStr">
        <is>
          <t>What would be your next step ?</t>
        </is>
      </c>
      <c r="C3280" t="inlineStr">
        <is>
          <t>Already been to ENT, already been to Gastro, got biopsies/imaging on everything possible with no explanation besides gastritis &amp;amp; esophagitis . Which both are probably gone at this point (took nexium for two months) because the symptoms are no longer there (for the esophagitis &amp;amp; gastritis) 
&amp;amp;#x200B;
My main, main main symptom, is Silent Reflux related. It seems as if my esophageal sphincter CAN'T stay closed, and I also have an issue with liquid swallowing. It being when I drink liquid it just seems to get knotted up or sort of a weird reaction where it sits at the top of my stomach and feels like a brick. AND not to mention, most of my reflux issues ONLY come when I involve liquid with anything, it's almost as if I can't drink liquids without having reflux at this point. Which is why I can't have anything acidic EVER, hence the reason I only drink water. I don't know if I have a motility issue , or literally don't know at all, and don't know what the next step would be to figure it out. 
&amp;amp;#x200B;
I'm currently doing a Carnivore / Keto diet which seems to help but definitely not helping that weird swallowing/bloating issue when I consume liquids.  Any help I can get from someone, or anything having issues with liquid as well ?</t>
        </is>
      </c>
      <c r="D3280" t="n">
        <v>1</v>
      </c>
      <c r="E3280" t="n">
        <v>0</v>
      </c>
      <c r="F3280">
        <f>HYPERLINK("https://www.reddit.com/r/GERD/comments/dlfiqd/what_would_be_your_next_step/")</f>
        <v/>
      </c>
      <c r="G3280" t="inlineStr">
        <is>
          <t>2019-10-22 02:37:46</t>
        </is>
      </c>
      <c r="H3280" t="inlineStr"/>
    </row>
    <row r="3281">
      <c r="A3281" t="inlineStr">
        <is>
          <t>dlfrz8</t>
        </is>
      </c>
      <c r="B3281" t="inlineStr">
        <is>
          <t>Let's take a brief moment &amp;amp; let this sink in</t>
        </is>
      </c>
      <c r="C3281" t="inlineStr">
        <is>
          <t>I would just like to point out the fact that, A) There is no cure for gerd or a way of completely at least maintaining this tragedy of a 'disease'. But, but .... B) They have basically a cure/treatment for HIV/AIDS that in other words keeps people alive for, basically until they eventually die of old age or whatever else.   But hey, Gerd crew! We have 'NEXIUM', that barely even works. Just felt like pointing this out, ya I know no correlation but, the fact that a once DEADLY disease is contained yet they can't figure out how to properly fix GERD for most sufferers, or at least SOME sufferers, is a joke to me.</t>
        </is>
      </c>
      <c r="D3281" t="n">
        <v>1</v>
      </c>
      <c r="E3281" t="n">
        <v>0</v>
      </c>
      <c r="F3281">
        <f>HYPERLINK("https://www.reddit.com/r/GERD/comments/dlfrz8/lets_take_a_brief_moment_let_this_sink_in/")</f>
        <v/>
      </c>
      <c r="G3281" t="inlineStr">
        <is>
          <t>2019-10-22 03:07:28</t>
        </is>
      </c>
      <c r="H3281" t="inlineStr"/>
    </row>
    <row r="3282">
      <c r="A3282" t="inlineStr">
        <is>
          <t>dlg92o</t>
        </is>
      </c>
      <c r="B3282" t="inlineStr">
        <is>
          <t>Heartburn Treatment | Gastroesophageal reflux disease (GERD) Specialist in Ahmedabad Gujarat India</t>
        </is>
      </c>
      <c r="C3282" t="inlineStr">
        <is>
          <t>Gastroesophageal reflux or GERD, is the presence of stomach contents in the esophagus. A weakened valve between the esophagus and stomach allows gastric contents to irritate the esophagus. Visit - Adroit Centre &amp;amp; consult with Dr. Chirag Thakkar for the[treatment of Acid reflux.](https://www.drchiragthakkar.com/digestive-surgery/heartburn-gerd-hiatus-hernia/)</t>
        </is>
      </c>
      <c r="D3282" t="n">
        <v>0</v>
      </c>
      <c r="E3282" t="n">
        <v>1</v>
      </c>
      <c r="F3282">
        <f>HYPERLINK("https://www.reddit.com/r/GERD/comments/dlg92o/heartburn_treatment_gastroesophageal_reflux/")</f>
        <v/>
      </c>
      <c r="G3282" t="inlineStr">
        <is>
          <t>2019-10-22 03:57:59</t>
        </is>
      </c>
      <c r="H3282" t="inlineStr"/>
    </row>
    <row r="3283">
      <c r="A3283" t="inlineStr">
        <is>
          <t>dlhjix</t>
        </is>
      </c>
      <c r="B3283" t="inlineStr">
        <is>
          <t>how to reduce burning stomach feeling?</t>
        </is>
      </c>
      <c r="C3283" t="inlineStr">
        <is>
          <t>Hey guys, I have suspected gastritis or an ulcer and i've been on a ppi (Dexilant)for a little over a month now. Nausea is alot better now but I still get a burning feeling in my gut quite often.
Any tips to relieve this?</t>
        </is>
      </c>
      <c r="D3283" t="n">
        <v>4</v>
      </c>
      <c r="E3283" t="n">
        <v>24</v>
      </c>
      <c r="F3283">
        <f>HYPERLINK("https://www.reddit.com/r/GERD/comments/dlhjix/how_to_reduce_burning_stomach_feeling/")</f>
        <v/>
      </c>
      <c r="G3283" t="inlineStr">
        <is>
          <t>2019-10-22 05:55:57</t>
        </is>
      </c>
      <c r="H3283" t="inlineStr"/>
    </row>
    <row r="3284">
      <c r="A3284" t="inlineStr">
        <is>
          <t>dliik3</t>
        </is>
      </c>
      <c r="B3284" t="inlineStr">
        <is>
          <t>Is Peanut Butter a trigger for some of you?</t>
        </is>
      </c>
      <c r="C3284" t="inlineStr">
        <is>
          <t>Peanut Butter reportedly has a pH of 6.3 so not very acidic, but I eat some every morning and I'm seriously starting to wonder if this could be causing me my LPR. I'm gonna try oatmeal for a while and see if there's a change.</t>
        </is>
      </c>
      <c r="D3284" t="n">
        <v>9</v>
      </c>
      <c r="E3284" t="n">
        <v>19</v>
      </c>
      <c r="F3284">
        <f>HYPERLINK("https://www.reddit.com/r/GERD/comments/dliik3/is_peanut_butter_a_trigger_for_some_of_you/")</f>
        <v/>
      </c>
      <c r="G3284" t="inlineStr">
        <is>
          <t>2019-10-22 07:13:59</t>
        </is>
      </c>
      <c r="H3284" t="inlineStr"/>
    </row>
    <row r="3285">
      <c r="A3285" t="inlineStr">
        <is>
          <t>dlkdp7</t>
        </is>
      </c>
      <c r="B3285" t="inlineStr">
        <is>
          <t>Remedies for LPR relief??</t>
        </is>
      </c>
      <c r="C3285" t="inlineStr">
        <is>
          <t>My throat is super sore every time I swallow or yawn. I keep having the urgency to cough. I started taking Famotidine 2 nights ago, once a day before bedtime. 
It hurts so bad it’s driving me nuts please help me 😩</t>
        </is>
      </c>
      <c r="D3285" t="n">
        <v>1</v>
      </c>
      <c r="E3285" t="n">
        <v>11</v>
      </c>
      <c r="F3285">
        <f>HYPERLINK("https://www.reddit.com/r/GERD/comments/dlkdp7/remedies_for_lpr_relief/")</f>
        <v/>
      </c>
      <c r="G3285" t="inlineStr">
        <is>
          <t>2019-10-22 09:29:57</t>
        </is>
      </c>
      <c r="H3285" t="inlineStr"/>
    </row>
    <row r="3286">
      <c r="A3286" t="inlineStr">
        <is>
          <t>dlld6b</t>
        </is>
      </c>
      <c r="B3286" t="inlineStr">
        <is>
          <t>Nausea and fatigue</t>
        </is>
      </c>
      <c r="C3286" t="inlineStr">
        <is>
          <t>The chronic digestive problems really get me because of how sensitive my body is to nausea. I had a few bad days of pain due to GERD issues and today they're a bit better but I'm super nauseous and tired. I'm well aware that my gut health correlates strongly with my general life so I just wish there was a way to feel more comfortable :(
Anyone have any advice to deal with nausea and general malaise? I've tried tea and acupressure and soft food (stew and noodles and not anything too spicy or triggering), but there are days I still feel very ill. 
Thanks everyone  ❤️</t>
        </is>
      </c>
      <c r="D3286" t="n">
        <v>2</v>
      </c>
      <c r="E3286" t="n">
        <v>1</v>
      </c>
      <c r="F3286">
        <f>HYPERLINK("https://www.reddit.com/r/GERD/comments/dlld6b/nausea_and_fatigue/")</f>
        <v/>
      </c>
      <c r="G3286" t="inlineStr">
        <is>
          <t>2019-10-22 10:38:11</t>
        </is>
      </c>
      <c r="H3286" t="inlineStr"/>
    </row>
    <row r="3287">
      <c r="A3287" t="inlineStr">
        <is>
          <t>dlldwz</t>
        </is>
      </c>
      <c r="B3287" t="inlineStr">
        <is>
          <t>UPDATE ABOUT LPR (Long post sorry!)</t>
        </is>
      </c>
      <c r="C3287" t="inlineStr">
        <is>
          <t>Alright it’s been a few weeks I wanna update ya’ll on my symptoms in case you have anxiety and have LPR like me. SORRY for long post see TL; DR below.
So along with not being able to swallow, constant choking, unable to eat, feeling a HUGE lump in throat, being hoarse, feeling weird cold sensation in my chest, tightness in my chest, post nasal drip, being unable to breathe, lightheadedness, diminished sense of taste and smell, being unable to sleep or eat—-I realized I had a loss of sensation (pain, temperature, touch) told my psych he said see a neurologist and turns out I’m completely healthy but my PTSD or Anxiety or something is like making my body dissociate to protect me from something idk just wanted to add Incase someone’s in a similar situation.
Now with what I’ve done since being diagnosed and what’s changed. 
Alright so I started the Acid Watcher’s Diet ——did the healing phase and now I’m on the maintenance phase and most likely gonna stay there. 
I can eat, swallow and I don’t feel the lump as much anymore, I can breathe better, I still get post nasal drip but it’s not as much as it was before. 
I started practicing diaphragmic breathing, I take a multi vitamin, D3 and a B12 methyl vitamin. I use mouth wash for dry mouth and dry mouth lozenges, I drink Essentia, take long walks after I eat. I’m on sertraline which has helped my mental health stuff which has improved my stomach stuff. I take Slippery Elm when my voice starts to get hoarse. Um lost a tiny bit of weight still got a lot  more to go. I use a tongue scraper every morning and now my loss of sensation is improving a little bit too. I had baked a cake for someone’s bday the other day I had no reflux symptoms when I ate a slice so that’s a lot of improvement. Hope it only gets better from here. Gonna see my ENT this Friday wish me luck.
TL; DR 
Along with LPR symptoms, my whole body feels kinda numb. What helped my LPR symptoms was diet change, taking vitamins, seeing a psych, exercise and most importantly TIME.</t>
        </is>
      </c>
      <c r="D3287" t="n">
        <v>14</v>
      </c>
      <c r="E3287" t="n">
        <v>13</v>
      </c>
      <c r="F3287">
        <f>HYPERLINK("https://www.reddit.com/r/GERD/comments/dlldwz/update_about_lpr_long_post_sorry/")</f>
        <v/>
      </c>
      <c r="G3287" t="inlineStr">
        <is>
          <t>2019-10-22 10:39:33</t>
        </is>
      </c>
      <c r="H3287" t="inlineStr"/>
    </row>
    <row r="3288">
      <c r="A3288" t="inlineStr">
        <is>
          <t>dlnreq</t>
        </is>
      </c>
      <c r="B3288" t="inlineStr">
        <is>
          <t>My First Real Experience With GERD :(</t>
        </is>
      </c>
      <c r="C3288" t="inlineStr">
        <is>
          <t>First, I want to apologize for this post, as it is more of venting than anything helpful. Other than an acid reflux episode that I had about 6 years ago, I’ve never had any kind of GERD issues, ever. Even that episode only lasted about two weeks, I think. So, I never minded the type of foods that I ate. In terms of GERD triggering foods, I used to eat all of them. I was eating salsa and peppers with every meal of the day, I had a glass of wine every other day, sometimes two during the weekend. But I do mind my weight a bit, I’m at most 10 to 20 pounds overweight; I’m 5’7  male and weight 160 lbs. 
&amp;amp;#x200B;
Last month I was celebrating my anniversary and drank and ate a little more than the usual. By the end of the month, I went to a concert and I had some nachos, four beers, and two margaritas. Again, I didn’t think anything of it since I never had any GERD issues. I was yelling to the top of my lungs at the concert, just having the time of my life. Well, the next day I had a bit of a sore throat, I figured I was catching a cold. I stopped drinking alcohol, but continued to eat spicy foods all day because we had visitors from overseas. As the week progressed, my neck started feeling tighter. I realized it wasn’t a cold, so figured I was straining during my singing practice. Again, I continued to eat spicy and fatty foods, even right before bedtime. 
&amp;amp;#x200B;
By the following Monday, I felt like I had a ball stuck in my throat and my chest was on fire. The first thing I did, was to adopt a bland diet and stop my intermiten fasting (I do 14 hours fasting). I’ve basically been eating oatmeal, bananas, almonds, vegetables, chicken (no seasonings), and fruits like melons. I also purchased Prilosec, which started to help by the following day. I had a physical scheduled with my doc so I told him what was going on with me. He prescribed 40mg pills of Protonix, which have been helping a lot. My symptoms are almost nonexistent now, with the exception of my throat. Rather than feeling like there’s a ball stuck in my throat, it just feels like I have a small bubble or small burp stuck in my throat now. The feeling comes and goes throughout the day. I also tend to burp a little more than the usual. Anyways, my doctor didn’t think much of it since I don’t have GERD issues on a regular basis. 
&amp;amp;#x200B;
Today was a bit different. I woke up with a little of an irritated throat and decided to drink a little organic honey. I don’t know if it was the honey from today or the avocado from yesterday, but two hours later I started to feel that warmth feeling in my chest that I felt a few weeks ago before it felt like my chest was on fire. Thankfully, it hasn’t gotten any worse than that today. 
&amp;amp;#x200B;
I’m just so damn frustrated with this feeling. I’m not used to being sick this long. Usually I’ll get a cold at most and a few days later I am as good as new. I’m hoping I didn’t screw my body up for good. I’ve been reading that people that have GERD symptoms two days a week or more have chronic GERD. I hope this is just some kind of flare up and not chronic GERD because life will be a lot less fun like this. I feel terrible when my wife and daughters want to go eat out and I’m like, “yea let’s go, let’s find a place that sells good salads without dressing.” Then my wife remembers and she says, “oh sorry baby, I forgot about the GERD, let’s just eat at home.” I feel like crap because I feel like I’m holding them back from enjoying some fun food. And as stupid as it sounds, it feels worse because they are so understanding. It’s been three weeks since this whole ordeal started, one of those weeks I kept eating bad because I thought I was just getting a common cold. I really hope this is not permanent. Ah, this is so frustrating. Anyways, thank you all for listening and I’m sorry for going on and on and on lol.</t>
        </is>
      </c>
      <c r="D3288" t="n">
        <v>2</v>
      </c>
      <c r="E3288" t="n">
        <v>5</v>
      </c>
      <c r="F3288">
        <f>HYPERLINK("https://www.reddit.com/r/GERD/comments/dlnreq/my_first_real_experience_with_gerd/")</f>
        <v/>
      </c>
      <c r="G3288" t="inlineStr">
        <is>
          <t>2019-10-22 13:18:41</t>
        </is>
      </c>
      <c r="H3288" t="inlineStr"/>
    </row>
    <row r="3289">
      <c r="A3289" t="inlineStr">
        <is>
          <t>dlqmhc</t>
        </is>
      </c>
      <c r="B3289" t="inlineStr">
        <is>
          <t>Allergies mimicking LPR/gerd?</t>
        </is>
      </c>
      <c r="C3289" t="inlineStr">
        <is>
          <t>Anyone ever get tested/treated for allergies that ended up curing their reflux?
My main issue is chronic inflammed sore throat. Had a pH study in the past that was normal, but trigger foods (choco, caffeine, tomato sauce etc) make it feel worse.</t>
        </is>
      </c>
      <c r="D3289" t="n">
        <v>2</v>
      </c>
      <c r="E3289" t="n">
        <v>1</v>
      </c>
      <c r="F3289">
        <f>HYPERLINK("https://www.reddit.com/r/GERD/comments/dlqmhc/allergies_mimicking_lprgerd/")</f>
        <v/>
      </c>
      <c r="G3289" t="inlineStr">
        <is>
          <t>2019-10-22 16:36:51</t>
        </is>
      </c>
      <c r="H3289" t="inlineStr"/>
    </row>
    <row r="3290">
      <c r="A3290" t="inlineStr">
        <is>
          <t>dlt7t2</t>
        </is>
      </c>
      <c r="B3290" t="inlineStr">
        <is>
          <t>Now I'm nauseous</t>
        </is>
      </c>
      <c r="C3290" t="inlineStr">
        <is>
          <t>I've had GERD for years now, but nausea has never been a common symptom for me.  Is it possible to suddenly develop new symptoms for GERD after years? It's been hitting me hard since the beginning of October.  Going to talk to me doctor about it, but wondering if anyone has had any similar experiences?</t>
        </is>
      </c>
      <c r="D3290" t="n">
        <v>5</v>
      </c>
      <c r="E3290" t="n">
        <v>22</v>
      </c>
      <c r="F3290">
        <f>HYPERLINK("https://www.reddit.com/r/GERD/comments/dlt7t2/now_im_nauseous/")</f>
        <v/>
      </c>
      <c r="G3290" t="inlineStr">
        <is>
          <t>2019-10-22 20:04:10</t>
        </is>
      </c>
      <c r="H3290" t="inlineStr"/>
    </row>
    <row r="3291">
      <c r="A3291" t="inlineStr">
        <is>
          <t>dlt9m9</t>
        </is>
      </c>
      <c r="B3291" t="inlineStr">
        <is>
          <t>GERD or not?</t>
        </is>
      </c>
      <c r="C3291" t="inlineStr">
        <is>
          <t>I hardly have sour burps, never have heartburn, and don't get nauseous, but I do burp excessively (mostly after dinner) either out of habit or because my throat feels uncomfortable. My burps typically aren't natural; I force the air out myself because if I don't, my throat feels tight (trapped gas, my imagination, Idk?). Sometimes my throat starts to burn and on occasions some water goes back up my throat. When I'm not paying attention / busy or if I'm lying down in bed resting, my throat feels better and I burp less. I also have less gas depending on what and how much I eat.
Does this still sound like GERD or another problem?</t>
        </is>
      </c>
      <c r="D3291" t="n">
        <v>1</v>
      </c>
      <c r="E3291" t="n">
        <v>4</v>
      </c>
      <c r="F3291">
        <f>HYPERLINK("https://www.reddit.com/r/GERD/comments/dlt9m9/gerd_or_not/")</f>
        <v/>
      </c>
      <c r="G3291" t="inlineStr">
        <is>
          <t>2019-10-22 20:08:20</t>
        </is>
      </c>
      <c r="H3291" t="inlineStr"/>
    </row>
    <row r="3292">
      <c r="A3292" t="inlineStr">
        <is>
          <t>dlvy4e</t>
        </is>
      </c>
      <c r="B3292" t="inlineStr">
        <is>
          <t>Anxiety attacks and acid reflux</t>
        </is>
      </c>
      <c r="C3292" t="inlineStr">
        <is>
          <t>So I have been having pain in my throat for 1 year feels like needles picking the back of my upper throat it’s honestly the worst pain I was told by an ENT it’s lpr and I have to watch my diet but when it flares up the pain is so unbearable does anyone else’s experience this it’s a nightmare I feel like I can’t breath at time</t>
        </is>
      </c>
      <c r="D3292" t="n">
        <v>7</v>
      </c>
      <c r="E3292" t="n">
        <v>5</v>
      </c>
      <c r="F3292">
        <f>HYPERLINK("https://www.reddit.com/r/GERD/comments/dlvy4e/anxiety_attacks_and_acid_reflux/")</f>
        <v/>
      </c>
      <c r="G3292" t="inlineStr">
        <is>
          <t>2019-10-23 00:49:54</t>
        </is>
      </c>
      <c r="H3292" t="inlineStr"/>
    </row>
    <row r="3293">
      <c r="A3293" t="inlineStr">
        <is>
          <t>dlw3nq</t>
        </is>
      </c>
      <c r="B3293" t="inlineStr">
        <is>
          <t>So, I changed my eating habits and found what works</t>
        </is>
      </c>
      <c r="C3293" t="inlineStr">
        <is>
          <t>For me it is:
Morning: one slice of bread
Lunch : one slice of bread
Evening: one slice of bread
Everything else leads to symptoms...
Ps: fuck reflux!</t>
        </is>
      </c>
      <c r="D3293" t="n">
        <v>32</v>
      </c>
      <c r="E3293" t="n">
        <v>29</v>
      </c>
      <c r="F3293">
        <f>HYPERLINK("https://www.reddit.com/r/GERD/comments/dlw3nq/so_i_changed_my_eating_habits_and_found_what_works/")</f>
        <v/>
      </c>
      <c r="G3293" t="inlineStr">
        <is>
          <t>2019-10-23 01:08:45</t>
        </is>
      </c>
      <c r="H3293" t="inlineStr"/>
    </row>
    <row r="3294">
      <c r="A3294" t="inlineStr">
        <is>
          <t>dlwjnd</t>
        </is>
      </c>
      <c r="B3294" t="inlineStr">
        <is>
          <t>Reflux Esophagitis , ANYONE ?</t>
        </is>
      </c>
      <c r="C3294" t="inlineStr">
        <is>
          <t>Hey guys. I don’t see people too often on here with Esophagitis. I have non erosive, ‘mild’ Esophagitis, according to an endoscopy from two months ago. Apparently not irritated enough for my doctor to not even prescribe PPI or even recommend it... 
I’m trying to figure out what the hell to do to have a completely healed non problematic esophagus / throat.  I can eat and drink most things without an issue, but simple things like black pepper can immediately inflame my Esophagus, not for very long... for a few minutes. Anyway, my main symptom was difficulty swallowing, food wouldn’t get stuck but I’d definitely feel everything going down and it felt like it would squeeze through. Which is why I got the endo. Anyway, I took Nexium for about 2 months (2 a day) and it helped but it feels like it stopped doing its job, and it never really restores swallowing to being perfect, a lot better than before but I’d say 60-70% ‘normal’ .
Anyone else on the same boat ? Like what the HELL am I supposed to do to fully heal this... 
And by the way, I NEVER get heartburn, I only get ‘reflux’ into my larynx / pharynx. Mainly silent reflux symptoms, usually mild &amp;amp; main symptom the swallowing issue 
Help a guy out or something🎃</t>
        </is>
      </c>
      <c r="D3294" t="n">
        <v>6</v>
      </c>
      <c r="E3294" t="n">
        <v>1</v>
      </c>
      <c r="F3294">
        <f>HYPERLINK("https://www.reddit.com/r/GERD/comments/dlwjnd/reflux_esophagitis_anyone/")</f>
        <v/>
      </c>
      <c r="G3294" t="inlineStr">
        <is>
          <t>2019-10-23 02:03:12</t>
        </is>
      </c>
      <c r="H3294" t="inlineStr"/>
    </row>
    <row r="3295">
      <c r="A3295" t="inlineStr">
        <is>
          <t>dly89r</t>
        </is>
      </c>
      <c r="B3295" t="inlineStr">
        <is>
          <t>Breathless as stomach bloated as dull feeling in heart and head. Is it gerd ?</t>
        </is>
      </c>
      <c r="C3295" t="inlineStr">
        <is>
          <t>Even after heart rate has come down after I breathed deep and harder , do feel something in the chest area 
Have appointment tomorrow with doctor</t>
        </is>
      </c>
      <c r="D3295" t="n">
        <v>2</v>
      </c>
      <c r="E3295" t="n">
        <v>3</v>
      </c>
      <c r="F3295">
        <f>HYPERLINK("https://www.reddit.com/r/GERD/comments/dly89r/breathless_as_stomach_bloated_as_dull_feeling_in/")</f>
        <v/>
      </c>
      <c r="G3295" t="inlineStr">
        <is>
          <t>2019-10-23 04:58:28</t>
        </is>
      </c>
      <c r="H3295" t="inlineStr"/>
    </row>
    <row r="3296">
      <c r="A3296" t="inlineStr">
        <is>
          <t>dlzou8</t>
        </is>
      </c>
      <c r="B3296" t="inlineStr">
        <is>
          <t>Excessive Gas</t>
        </is>
      </c>
      <c r="C3296" t="inlineStr">
        <is>
          <t>Appreciate some feedback on my situation from the more experienced residents of this subreddit. I get heartburn/acid reflux at night time, recently I've found that whenever I poop last thing before going to bed the heartburn/acid reflux is easier to deal with. Which leads me to believe my GERD could be because of excessive build up of gas which then pushes the contents of my bowels upwards. Any solutions you guys recommend to stop this build up of gas permanently?  Any and all replies welcome. Peace!</t>
        </is>
      </c>
      <c r="D3296" t="n">
        <v>2</v>
      </c>
      <c r="E3296" t="n">
        <v>3</v>
      </c>
      <c r="F3296">
        <f>HYPERLINK("https://www.reddit.com/r/GERD/comments/dlzou8/excessive_gas/")</f>
        <v/>
      </c>
      <c r="G3296" t="inlineStr">
        <is>
          <t>2019-10-23 06:57:47</t>
        </is>
      </c>
      <c r="H3296" t="inlineStr"/>
    </row>
    <row r="3297">
      <c r="A3297" t="inlineStr">
        <is>
          <t>dm3lxx</t>
        </is>
      </c>
      <c r="B3297" t="inlineStr">
        <is>
          <t>What's your ppi dosage?</t>
        </is>
      </c>
      <c r="C3297" t="inlineStr">
        <is>
          <t>I don't know if I take a lot or it is on the low end? I am going for 40mg to 60 mg pantoprazole per day now..</t>
        </is>
      </c>
      <c r="D3297" t="n">
        <v>5</v>
      </c>
      <c r="E3297" t="n">
        <v>23</v>
      </c>
      <c r="F3297">
        <f>HYPERLINK("https://www.reddit.com/r/GERD/comments/dm3lxx/whats_your_ppi_dosage/")</f>
        <v/>
      </c>
      <c r="G3297" t="inlineStr">
        <is>
          <t>2019-10-23 11:40:20</t>
        </is>
      </c>
      <c r="H3297" t="inlineStr"/>
    </row>
    <row r="3298">
      <c r="A3298" t="inlineStr">
        <is>
          <t>dm404y</t>
        </is>
      </c>
      <c r="B3298" t="inlineStr">
        <is>
          <t>Does anyone have experience with bronchitis from LPR/GERD? :(</t>
        </is>
      </c>
      <c r="C3298" t="inlineStr">
        <is>
          <t>Hello 
Recently I’ve been going through a lot of stress because I’m in university, and also my diet has been pretty poor due to lack of time and the stress. I’m otherwise really fit and work out often so I always thought I was fine. 
I was diagnosed with GERD sometimes last year because I had a burning sensation were the two collarbones meet and it wouldn’t go away. I was told to take omezaprol for a month or so and keep my diet in check and I haven’t had any issues until now. 
I guess it crept up on me because I didn’t feel the same sensation however looking back on it I’ve been burping like crazy these past couple of weeks, however I’ve experience no heartburn. 
I’m starting to think I have LPR or silent reflux because I’ve had a dry cough for the past month or so and wheezing. If it was viral bronchitis my understanding is that it would have passed by now so I’m wondering if me neglecting my diet has caused me to have the LPR and causing this constant throat clearing, dry cough, and wheezing. It’s in that same exact spot however, where the breast ones meet. 
I’m most likely going to schedule and appointment in two weeks if taking the omezaprol doesn’t help again, but I was wondering if anyone else has had experience with this. 
I’m prone to anxiety so even though I’m probably not in dire trouble I feel really awful about this. :/</t>
        </is>
      </c>
      <c r="D3298" t="n">
        <v>4</v>
      </c>
      <c r="E3298" t="n">
        <v>7</v>
      </c>
      <c r="F3298">
        <f>HYPERLINK("https://www.reddit.com/r/GERD/comments/dm404y/does_anyone_have_experience_with_bronchitis_from/")</f>
        <v/>
      </c>
      <c r="G3298" t="inlineStr">
        <is>
          <t>2019-10-23 12:07:18</t>
        </is>
      </c>
      <c r="H3298" t="inlineStr"/>
    </row>
    <row r="3299">
      <c r="A3299" t="inlineStr">
        <is>
          <t>dm4v6k</t>
        </is>
      </c>
      <c r="B3299" t="inlineStr">
        <is>
          <t>Recent success report</t>
        </is>
      </c>
      <c r="C3299" t="inlineStr">
        <is>
          <t>I wanted to share what has worked for me recently as I've gotten some significant relief in the last week after about 8 weeks of discomfort and unintentional weight loss. GERD left me feeling generally very tired and interrupted my lifestyle quite a bit so I'm fucking thrilled to have some success to report. My symptoms were largely in my upper throat rather than in my chest and it was wreaking havoc on my singing voice. I also felt a sense of extreme fullness and bloating when I hadn't eaten much or anything.
1. First I read Dr. Aviv's Acid Watcher Diet. The main takeaway from this was that acidic foods (apple cider vinegar was a big one) actually trigger the pepsin that ends up getting into your esophagus (when you have gerd) and starts eating away at your tissues. 
2. This helped but didn't totally fix things so I began looking into other stomach issues and purchased two things. A soil based probiotic that I read about here (RightBiotics RX) and Mastic Gum supplements. This was in case my issues were related to bacterial overgrowth. Mastic Gum has been shown to be effective at combating H. Pylori. \*\*I was never tested to determine if I had SIBO or H. Pylori or whatever. I was just self diagnosing and using safe supplements optimistically. I'll continue using these until they run out and then monitor the situation.
3. Hiatal hernia! This is what I believe caused the problem to begin with. I was waking up at 5:30am and drinking coffee and working on music when the problem started. I think being hunched over my guitar and singing with my stomach clenched caused by stomach to get pushed into my diaphragm. I found a lot of massage techniques and even purchased the Pam Fox tutorial. I'm not sure I would have bought the tutorial or not, but the main idea here was to practice diaphragmatic breathing and gently massage the stomach (under the left ribs) downward. I got a LOT of relief when I did this. Very quickly too. Thinking I had found the solution I had coffee and buffalo wings in the same day and set myself back a bit. This showed me that my upper digestive tract is still a little wrecked and I need to repair things.
4. The most recent things I added were Pepzin GI which I found here on Reddit in the gastritis forum, and a vitamin B complex. Honestly I don't remember how these were supposed to work and don't want to do all of the searching again. Basically these were geared toward repairing an inflamed, damaged upper digestive tract.
So with all of these things it's hard to point to one or any one remedy. I wanted to try a multi-pronged approach as long as they did not impede each other and make recovery take any longer. The one thing that I KNOW had a big effect was the issue of hiatal hernia. The effect was so acute and noticeable that it was undeniable. I've been able to have a few beers lately and don't feel ridiculously full after eating. I also feel an increase in my energy levels which I didn't realize were so low - until they came back. I can't wait to get back into a regular routine with coffee and the occasional spicy foods. Everyone's case is very different I've learned because there are so many factors at play with your gut and esophagus. Best of luck! Hope this helps someone.</t>
        </is>
      </c>
      <c r="D3299" t="n">
        <v>21</v>
      </c>
      <c r="E3299" t="n">
        <v>9</v>
      </c>
      <c r="F3299">
        <f>HYPERLINK("https://www.reddit.com/r/GERD/comments/dm4v6k/recent_success_report/")</f>
        <v/>
      </c>
      <c r="G3299" t="inlineStr">
        <is>
          <t>2019-10-23 13:06:28</t>
        </is>
      </c>
      <c r="H3299" t="inlineStr"/>
    </row>
    <row r="3300">
      <c r="A3300" t="inlineStr">
        <is>
          <t>dm62kh</t>
        </is>
      </c>
      <c r="B3300" t="inlineStr">
        <is>
          <t>Baking Soda to reduce acidity.</t>
        </is>
      </c>
      <c r="C3300" t="inlineStr">
        <is>
          <t>Anyone here use baking soda to reduce acidity?
I have been reading up about it and it looks promising as an alternative to drugs in reducing  acidity.</t>
        </is>
      </c>
      <c r="D3300" t="n">
        <v>3</v>
      </c>
      <c r="E3300" t="n">
        <v>15</v>
      </c>
      <c r="F3300">
        <f>HYPERLINK("https://www.reddit.com/r/GERD/comments/dm62kh/baking_soda_to_reduce_acidity/")</f>
        <v/>
      </c>
      <c r="G3300" t="inlineStr">
        <is>
          <t>2019-10-23 14:26:45</t>
        </is>
      </c>
      <c r="H3300" t="inlineStr"/>
    </row>
    <row r="3301">
      <c r="A3301" t="inlineStr">
        <is>
          <t>dm6em0</t>
        </is>
      </c>
      <c r="B3301" t="inlineStr">
        <is>
          <t>gastroscopy - Helicobacter pylori</t>
        </is>
      </c>
      <c r="C3301" t="inlineStr">
        <is>
          <t>Hello,
I have undergone gastroscopy.
Apart from the usual GERD, they told me I have helicobacter in my gut and prescribed antibiotics.
Later i found out that it should be pretty common. I would like to avoid taking unnecessary meds as I dont have any problems with my stomach (the exam was due to other symptoms which arent related, it was more of a blindshot).
Id like to ask you, has anyone had positive helicobacter pylori? Did the doc tell you you must get rid of it?
thank you</t>
        </is>
      </c>
      <c r="D3301" t="n">
        <v>2</v>
      </c>
      <c r="E3301" t="n">
        <v>6</v>
      </c>
      <c r="F3301">
        <f>HYPERLINK("https://www.reddit.com/r/GERD/comments/dm6em0/gastroscopy_helicobacter_pylori/")</f>
        <v/>
      </c>
      <c r="G3301" t="inlineStr">
        <is>
          <t>2019-10-23 14:49:59</t>
        </is>
      </c>
      <c r="H3301" t="inlineStr"/>
    </row>
    <row r="3302">
      <c r="A3302" t="inlineStr">
        <is>
          <t>dm9pde</t>
        </is>
      </c>
      <c r="B3302" t="inlineStr">
        <is>
          <t>LINX procedure</t>
        </is>
      </c>
      <c r="C3302" t="inlineStr">
        <is>
          <t>Has anyone had a kind procedure done? My GI doctor recommended it however it seems fairly and haven't found a lot of people talking about how it went or what it's like.</t>
        </is>
      </c>
      <c r="D3302" t="n">
        <v>6</v>
      </c>
      <c r="E3302" t="n">
        <v>8</v>
      </c>
      <c r="F3302">
        <f>HYPERLINK("https://www.reddit.com/r/GERD/comments/dm9pde/linx_procedure/")</f>
        <v/>
      </c>
      <c r="G3302" t="inlineStr">
        <is>
          <t>2019-10-23 19:02:37</t>
        </is>
      </c>
      <c r="H3302" t="inlineStr"/>
    </row>
    <row r="3303">
      <c r="A3303" t="inlineStr">
        <is>
          <t>dmalvo</t>
        </is>
      </c>
      <c r="B3303" t="inlineStr">
        <is>
          <t>Russian translation for PPI website?</t>
        </is>
      </c>
      <c r="C3303" t="inlineStr">
        <is>
          <t>Hey, [this](https://www.gastroscan.ru/literature/authors/1861) website is the only one I could find where they properly explain how PPIs heal; 
&amp;amp;#x200B;
&amp;gt;The ideal level of suppression of gastric secretion for most acid-dependent diseases is believed to be such that the pH in the stomach is kept above 4.0 for 16 hours per day or more. However, each of the acid-dependent diseases has its own critical level.
&amp;amp;#x200B;
But the automatic translator can't help me out with the charts (especially curious about figure 1) I would love to learn more, if any fellow GERD sufferers can read Russian I think we'd all really appreciate some insight :)</t>
        </is>
      </c>
      <c r="D3303" t="n">
        <v>1</v>
      </c>
      <c r="E3303" t="n">
        <v>0</v>
      </c>
      <c r="F3303">
        <f>HYPERLINK("https://www.reddit.com/r/GERD/comments/dmalvo/russian_translation_for_ppi_website/")</f>
        <v/>
      </c>
      <c r="G3303" t="inlineStr">
        <is>
          <t>2019-10-23 20:22:03</t>
        </is>
      </c>
      <c r="H3303" t="inlineStr"/>
    </row>
    <row r="3304">
      <c r="A3304" t="inlineStr">
        <is>
          <t>dmaxb7</t>
        </is>
      </c>
      <c r="B3304" t="inlineStr">
        <is>
          <t>Lipitor and GERD</t>
        </is>
      </c>
      <c r="C3304" t="inlineStr">
        <is>
          <t>Has anyone stopped taking lipitor after getting bad reflux from it? If you have what alternatives or methods did you take? I am asking since I got bad reflux after taking it a couple of times. That and I am taking omeprazole.</t>
        </is>
      </c>
      <c r="D3304" t="n">
        <v>1</v>
      </c>
      <c r="E3304" t="n">
        <v>1</v>
      </c>
      <c r="F3304">
        <f>HYPERLINK("https://www.reddit.com/r/GERD/comments/dmaxb7/lipitor_and_gerd/")</f>
        <v/>
      </c>
      <c r="G3304" t="inlineStr">
        <is>
          <t>2019-10-23 20:51:53</t>
        </is>
      </c>
      <c r="H3304" t="inlineStr"/>
    </row>
    <row r="3305">
      <c r="A3305" t="inlineStr">
        <is>
          <t>dmbsn2</t>
        </is>
      </c>
      <c r="B3305" t="inlineStr">
        <is>
          <t>Healing The GUT [VLOG] - My Journey with Acid Reflux, GERD, Gasritis</t>
        </is>
      </c>
      <c r="C3305" t="inlineStr">
        <is>
          <t>Hey guys,
Just quick introduction. 
My name is Sim, 29 years of age and I'm from Australia, Melbourne.
I have been on the path of healing my own chronic inflammation and auto-immune like symptoms for the last 8 years.
Ironically I have been teaching body movement and health optimization for quite a few years.
After being asked many times I have decided to create a VLOG about my journey to healing my health in hope of inspiring the wider community and anyone who has been in the same shoes.
I am an avid student, teacher and practitioner of movement training, nutrition, the topic of sleep, mindfulness and optimizing life for health and longevity.
I understand how tough taking responsibility for your health can be and figuring out what to do and what not to do.
I share this in hope of providing you guys with some useful information to begin or enhance your journey to healing.
Here is the link to my first VLOG on YouTube - [https://www.youtube.com/watch?v=GgpZilMqL7s](https://www.youtube.com/watch?v=GgpZilMqL7s)
With much love,
Sim</t>
        </is>
      </c>
      <c r="D3305" t="n">
        <v>0</v>
      </c>
      <c r="E3305" t="n">
        <v>0</v>
      </c>
      <c r="F3305">
        <f>HYPERLINK("https://www.reddit.com/r/GERD/comments/dmbsn2/healing_the_gut_vlog_my_journey_with_acid_reflux/")</f>
        <v/>
      </c>
      <c r="G3305" t="inlineStr">
        <is>
          <t>2019-10-23 22:19:04</t>
        </is>
      </c>
      <c r="H3305" t="inlineStr"/>
    </row>
    <row r="3306">
      <c r="A3306" t="inlineStr">
        <is>
          <t>dmc66x</t>
        </is>
      </c>
      <c r="B3306" t="inlineStr">
        <is>
          <t>Why are all the pills for GERD delayed release when a common symptom of GERD/contributing factor is dysphagia/motility problems respectively?</t>
        </is>
      </c>
      <c r="C3306" t="inlineStr">
        <is>
          <t>I tried weaning off of omeprazole and it was a nightmare. Constant, severe pain and throat problems. Am temporarily back on hoping to wean more gently this time, but frustrated by the half hour I spend trying to choke the pill down every night. I have tried every trick in the book and none work because these tablets are horse pills. They start to dissolve the minute liquid or my tongue touches them which means they’re supposed to be less effective or totally useless depending on how bad it is, I guess.
Has anyone found a solution to this?</t>
        </is>
      </c>
      <c r="D3306" t="n">
        <v>2</v>
      </c>
      <c r="E3306" t="n">
        <v>5</v>
      </c>
      <c r="F3306">
        <f>HYPERLINK("https://www.reddit.com/r/GERD/comments/dmc66x/why_are_all_the_pills_for_gerd_delayed_release/")</f>
        <v/>
      </c>
      <c r="G3306" t="inlineStr">
        <is>
          <t>2019-10-23 23:01:09</t>
        </is>
      </c>
      <c r="H3306" t="inlineStr"/>
    </row>
    <row r="3307">
      <c r="A3307" t="inlineStr">
        <is>
          <t>dmcoot</t>
        </is>
      </c>
      <c r="B3307" t="inlineStr">
        <is>
          <t>Chest pressure near the Xiphoid process (diaphragm/bottom of sternum)</t>
        </is>
      </c>
      <c r="C3307" t="inlineStr">
        <is>
          <t>I have a “about 1cm HH” diagnose 11/2018, recently diagnosed with LPR but got that under control and the throat symptoms went away, my only complaint now is the bloating, gas fullness feeling and shortness of breath it causes. If you know where you Xiphoid process is that’s exactly where my fullness and pain in, if not google that process but it’s the very bottom of the sternum. Anyone else have something similar?</t>
        </is>
      </c>
      <c r="D3307" t="n">
        <v>2</v>
      </c>
      <c r="E3307" t="n">
        <v>0</v>
      </c>
      <c r="F3307">
        <f>HYPERLINK("https://www.reddit.com/r/GERD/comments/dmcoot/chest_pressure_near_the_xiphoid_process/")</f>
        <v/>
      </c>
      <c r="G3307" t="inlineStr">
        <is>
          <t>2019-10-23 23:59:36</t>
        </is>
      </c>
      <c r="H3307" t="inlineStr"/>
    </row>
    <row r="3308">
      <c r="A3308" t="inlineStr">
        <is>
          <t>dmcph3</t>
        </is>
      </c>
      <c r="B3308" t="inlineStr">
        <is>
          <t>Progress and near normal breathing (at last)</t>
        </is>
      </c>
      <c r="C3308" t="inlineStr">
        <is>
          <t>I have have major issues with breathing through leaky gut/gerd for over 6 months. With strict diet if the following i feel i am finally getting back to normal and am back in the driving seat and feeling in control of my body again.
So here is what i have done which i am going to strongly recommend . 
Diet
Caffeine free
Alcohol free (more less 95% reduction with a bit of wriggle room)
Dairy free (95% less)
Good probiotics
Reduce carbs
Gluten free (more or less with some sourghdough bread on occassions) 
Bone broth (home made and organic bones only) 
Alkaline water (highly recommended so read up on it for helping lpr) 
Wedge pillow 
Baths
Try and reduce stress and get decent sleep
I never smoked anyway but definitely stop that
Choose life boys.</t>
        </is>
      </c>
      <c r="D3308" t="n">
        <v>9</v>
      </c>
      <c r="E3308" t="n">
        <v>3</v>
      </c>
      <c r="F3308">
        <f>HYPERLINK("https://www.reddit.com/r/GERD/comments/dmcph3/progress_and_near_normal_breathing_at_last/")</f>
        <v/>
      </c>
      <c r="G3308" t="inlineStr">
        <is>
          <t>2019-10-24 00:02:06</t>
        </is>
      </c>
      <c r="H3308" t="inlineStr"/>
    </row>
    <row r="3309">
      <c r="A3309" t="inlineStr">
        <is>
          <t>dmcsmw</t>
        </is>
      </c>
      <c r="B3309" t="inlineStr">
        <is>
          <t>What to expect from sedated endoscopy?</t>
        </is>
      </c>
      <c r="C3309" t="inlineStr">
        <is>
          <t>Hi all first time posting here. So I was scheduled for a transnasal endoscopy Monday this week but as soon as the drug sprayed into my nose dripped down to my throat I vomited up and made a mess of the screening room, which is unbelievable given that the nasal route is supposed to be better tolerated. The examiner told me to just get refund and go home. Given that I couldn’t tolerate both methods (failed a regular endo in the same fashion years back) I made another appointment with a GERD specialist and this time I will ask for a sedated one.
Now onto my symptoms. Severe belching potentially owing to anxiety from severe belching. This cycle of cause causes the cause is killing me for the past week. Also one swallow of spicy or greasy food, or coffee/strong tea, or some other whoknowswhat, opens the hell portal in my stomach. Now I am stuck with vegetables, nuts and plain lean meat, and my esophagus feels like clogged toilet from the gas that burps back out nonstop. I was kind of OK before all this, had my bad days but nothing unmanageable. But with this new episode of symptoms I can’t shake off the possibly of ulcers or infection.
So I am interested to know if the sedation is safe. I heard cases where people don’t wake up from it...</t>
        </is>
      </c>
      <c r="D3309" t="n">
        <v>6</v>
      </c>
      <c r="E3309" t="n">
        <v>11</v>
      </c>
      <c r="F3309">
        <f>HYPERLINK("https://www.reddit.com/r/GERD/comments/dmcsmw/what_to_expect_from_sedated_endoscopy/")</f>
        <v/>
      </c>
      <c r="G3309" t="inlineStr">
        <is>
          <t>2019-10-24 00:11:52</t>
        </is>
      </c>
      <c r="H3309" t="inlineStr"/>
    </row>
    <row r="3310">
      <c r="A3310" t="inlineStr">
        <is>
          <t>dmekcz</t>
        </is>
      </c>
      <c r="B3310" t="inlineStr">
        <is>
          <t>GERD &amp;amp; the nervous system</t>
        </is>
      </c>
      <c r="C3310" t="inlineStr">
        <is>
          <t>https://www.ncbi.nlm.nih.gov/m/pubmed/25271357/
Hey everyone! I’m sure I’m not the only one who does research almost every night on GERD. But has anyone came across the fact that GERD just might be caused by a nervous system reaction that basically roots from our brain? 
Think about it. If you drink water or eat something right now, your UES has to open in order to intake the liquid or food. It’s a motion your brain tells that specific muscle to relax so that the contents can pass through. So in other words, our brains are basically telling the UES, to just relax it self for basically no reason. We’re not eating 24/7 are we? So why would the UES open unless there was nerve damage or a logical explanation why our brain is having this error. 
Maybe I’m late to the party on this info but it makes a lot of sense.  It bothers me that this information was available for decades but no one is giving enough of a **** to research &amp;amp; come to the conclusion of how to fix that particular nerve or functional issue.  Thoughts ?</t>
        </is>
      </c>
      <c r="D3310" t="n">
        <v>33</v>
      </c>
      <c r="E3310" t="n">
        <v>40</v>
      </c>
      <c r="F3310">
        <f>HYPERLINK("https://www.reddit.com/r/GERD/comments/dmekcz/gerd_the_nervous_system/")</f>
        <v/>
      </c>
      <c r="G3310" t="inlineStr">
        <is>
          <t>2019-10-24 03:40:14</t>
        </is>
      </c>
      <c r="H3310" t="inlineStr"/>
    </row>
    <row r="3311">
      <c r="A3311" t="inlineStr">
        <is>
          <t>dmftxj</t>
        </is>
      </c>
      <c r="B3311" t="inlineStr">
        <is>
          <t>Just had an endoscopy. Got afraid and uncomfortable for a second</t>
        </is>
      </c>
      <c r="C3311" t="inlineStr">
        <is>
          <t>Oh my it was just a minute or two but got scared!! Then relaxed a little 
When it’s your first time it is always so damn frightening</t>
        </is>
      </c>
      <c r="D3311" t="n">
        <v>1</v>
      </c>
      <c r="E3311" t="n">
        <v>1</v>
      </c>
      <c r="F3311">
        <f>HYPERLINK("https://www.reddit.com/r/GERD/comments/dmftxj/just_had_an_endoscopy_got_afraid_and/")</f>
        <v/>
      </c>
      <c r="G3311" t="inlineStr">
        <is>
          <t>2019-10-24 05:40:42</t>
        </is>
      </c>
      <c r="H3311" t="inlineStr"/>
    </row>
    <row r="3312">
      <c r="A3312" t="inlineStr">
        <is>
          <t>dmfyrg</t>
        </is>
      </c>
      <c r="B3312" t="inlineStr">
        <is>
          <t>Upper stomach pain</t>
        </is>
      </c>
      <c r="C3312" t="inlineStr">
        <is>
          <t>Every couple of months I get pain above my belly button that lasts 2-5 days it varies. I do get heartburn a couple times a week. Doctor's have said it's acid related but they haven't done anything tests. The stomach pains are getting more frequent and I'm worried about whether or not it really is GERD. 
Is several day long stomach pain a symptom of GERD? Anyone have this issue? I think mine might be GERD but triggered by anxiety perhaps</t>
        </is>
      </c>
      <c r="D3312" t="n">
        <v>5</v>
      </c>
      <c r="E3312" t="n">
        <v>3</v>
      </c>
      <c r="F3312">
        <f>HYPERLINK("https://www.reddit.com/r/GERD/comments/dmfyrg/upper_stomach_pain/")</f>
        <v/>
      </c>
      <c r="G3312" t="inlineStr">
        <is>
          <t>2019-10-24 05:52:18</t>
        </is>
      </c>
      <c r="H3312" t="inlineStr"/>
    </row>
    <row r="3313">
      <c r="A3313" t="inlineStr">
        <is>
          <t>dmgnz7</t>
        </is>
      </c>
      <c r="B3313" t="inlineStr">
        <is>
          <t>Whenever I stop using PPIs, I get post nasal drip. Any remedies?</t>
        </is>
      </c>
      <c r="C3313" t="inlineStr">
        <is>
          <t>This is the 2nd time I stopped drinking PPI. Then tonight, lo and behold, my nose is getting stuffy again.
To anyone who experiences this after quitring PPI, how long will this last? Do you just deal with it? How?</t>
        </is>
      </c>
      <c r="D3313" t="n">
        <v>1</v>
      </c>
      <c r="E3313" t="n">
        <v>2</v>
      </c>
      <c r="F3313">
        <f>HYPERLINK("https://www.reddit.com/r/GERD/comments/dmgnz7/whenever_i_stop_using_ppis_i_get_post_nasal_drip/")</f>
        <v/>
      </c>
      <c r="G3313" t="inlineStr">
        <is>
          <t>2019-10-24 06:48:49</t>
        </is>
      </c>
      <c r="H3313" t="inlineStr"/>
    </row>
    <row r="3314">
      <c r="A3314" t="inlineStr">
        <is>
          <t>dmgxpo</t>
        </is>
      </c>
      <c r="B3314" t="inlineStr">
        <is>
          <t>Diagnosed with gerd ibs and anxiety</t>
        </is>
      </c>
      <c r="C3314" t="inlineStr">
        <is>
          <t>Mild  reflux is what doctor said.
Put on meds for 3 weeks and then revisit</t>
        </is>
      </c>
      <c r="D3314" t="n">
        <v>4</v>
      </c>
      <c r="E3314" t="n">
        <v>8</v>
      </c>
      <c r="F3314">
        <f>HYPERLINK("https://www.reddit.com/r/GERD/comments/dmgxpo/diagnosed_with_gerd_ibs_and_anxiety/")</f>
        <v/>
      </c>
      <c r="G3314" t="inlineStr">
        <is>
          <t>2019-10-24 07:09:33</t>
        </is>
      </c>
      <c r="H3314" t="inlineStr"/>
    </row>
    <row r="3315">
      <c r="A3315" t="inlineStr">
        <is>
          <t>dmihcv</t>
        </is>
      </c>
      <c r="B3315" t="inlineStr">
        <is>
          <t>Food Allergies</t>
        </is>
      </c>
      <c r="C3315" t="inlineStr">
        <is>
          <t>Has anybody struggled with GERD only to realise it was a food allergy causing symptoms all along? i realise if that was the case they are likely not in this sub anymore, but worth a shot.
TIA</t>
        </is>
      </c>
      <c r="D3315" t="n">
        <v>1</v>
      </c>
      <c r="E3315" t="n">
        <v>3</v>
      </c>
      <c r="F3315">
        <f>HYPERLINK("https://www.reddit.com/r/GERD/comments/dmihcv/food_allergies/")</f>
        <v/>
      </c>
      <c r="G3315" t="inlineStr">
        <is>
          <t>2019-10-24 09:02:00</t>
        </is>
      </c>
      <c r="H3315" t="inlineStr"/>
    </row>
    <row r="3316">
      <c r="A3316" t="inlineStr">
        <is>
          <t>dmkax0</t>
        </is>
      </c>
      <c r="B3316" t="inlineStr">
        <is>
          <t>Any news on Endostim?</t>
        </is>
      </c>
      <c r="C3316" t="inlineStr">
        <is>
          <t>I was doing some research on this therapy but can't find any recent news about it from the company website.  Last update was in 2017.  Anyone know about how the clinical trial is going?</t>
        </is>
      </c>
      <c r="D3316" t="n">
        <v>3</v>
      </c>
      <c r="E3316" t="n">
        <v>6</v>
      </c>
      <c r="F3316">
        <f>HYPERLINK("https://www.reddit.com/r/GERD/comments/dmkax0/any_news_on_endostim/")</f>
        <v/>
      </c>
      <c r="G3316" t="inlineStr">
        <is>
          <t>2019-10-24 11:12:59</t>
        </is>
      </c>
      <c r="H3316" t="inlineStr"/>
    </row>
    <row r="3317">
      <c r="A3317" t="inlineStr">
        <is>
          <t>dmkrll</t>
        </is>
      </c>
      <c r="B3317" t="inlineStr">
        <is>
          <t>Chronic left chest pain</t>
        </is>
      </c>
      <c r="C3317" t="inlineStr">
        <is>
          <t>Anyone been having this?  I went to the ER and they IVd me Nexium and said it's GERD and maybe IBS.</t>
        </is>
      </c>
      <c r="D3317" t="n">
        <v>2</v>
      </c>
      <c r="E3317" t="n">
        <v>4</v>
      </c>
      <c r="F3317">
        <f>HYPERLINK("https://www.reddit.com/r/GERD/comments/dmkrll/chronic_left_chest_pain/")</f>
        <v/>
      </c>
      <c r="G3317" t="inlineStr">
        <is>
          <t>2019-10-24 11:44:57</t>
        </is>
      </c>
      <c r="H3317" t="inlineStr"/>
    </row>
    <row r="3318">
      <c r="A3318" t="inlineStr">
        <is>
          <t>dmlcee</t>
        </is>
      </c>
      <c r="B3318" t="inlineStr">
        <is>
          <t>Blood In Phlegm in the morning</t>
        </is>
      </c>
      <c r="C3318" t="inlineStr">
        <is>
          <t>Anyone have blood in your Phlegm in the morning? I do not cough it out i noticed that I kinda clear my throat or bring mucus out there some blood mixed in there but only in the morning for like 5 minutes in the restroom brushing my teeth.</t>
        </is>
      </c>
      <c r="D3318" t="n">
        <v>1</v>
      </c>
      <c r="E3318" t="n">
        <v>4</v>
      </c>
      <c r="F3318">
        <f>HYPERLINK("https://www.reddit.com/r/GERD/comments/dmlcee/blood_in_phlegm_in_the_morning/")</f>
        <v/>
      </c>
      <c r="G3318" t="inlineStr">
        <is>
          <t>2019-10-24 12:27:34</t>
        </is>
      </c>
      <c r="H3318" t="inlineStr"/>
    </row>
    <row r="3319">
      <c r="A3319" t="inlineStr">
        <is>
          <t>dmlkku</t>
        </is>
      </c>
      <c r="B3319" t="inlineStr">
        <is>
          <t>Steroids triggered my GERD the worst I've ever seen</t>
        </is>
      </c>
      <c r="C3319" t="inlineStr">
        <is>
          <t>I get GERD on and off about ever 2 years.  I injected test-e 500mg and took 3 armidex and my GERD came back worse than ever.  I normally needed 20mg of Nexium when I previously had GERD and now 40mg is not enough.
I'm sharing my experience here because I didn't have GERD for 2 years until I tried steroids.  And now it's back horribly (well it was horrible before too).
I'm getting my second endoscopy done in 2 weeks so I'll report back with what the issue is. I had one previously but it came out good.
I'm wondering if it's related to DHT / Estrogen / Test changes in the body. I didn't not use steroids before and had GERD that would go away after a few months on Nexium. I'm not opposed to steroids, I'll try them again in the future.  It could have been the high stress / anxiety instead.</t>
        </is>
      </c>
      <c r="D3319" t="n">
        <v>3</v>
      </c>
      <c r="E3319" t="n">
        <v>3</v>
      </c>
      <c r="F3319">
        <f>HYPERLINK("https://www.reddit.com/r/GERD/comments/dmlkku/steroids_triggered_my_gerd_the_worst_ive_ever_seen/")</f>
        <v/>
      </c>
      <c r="G3319" t="inlineStr">
        <is>
          <t>2019-10-24 12:43:04</t>
        </is>
      </c>
      <c r="H3319" t="inlineStr"/>
    </row>
    <row r="3320">
      <c r="A3320" t="inlineStr">
        <is>
          <t>dmmtw6</t>
        </is>
      </c>
      <c r="B3320" t="inlineStr">
        <is>
          <t>Omeprazole side effects?</t>
        </is>
      </c>
      <c r="C3320" t="inlineStr">
        <is>
          <t>Does anyone else get a nasty tasting gunky phlegm in their roar after taking omeprazole. This past week and a half I notice the nasty gunky phlegm in my throat about an hour and a half after I take it in the morning, and this stays will me almost all day. Yesterday I took ranitidine in the morning instead of my omeprazole didn’t have the nasty tasting phlegm. But once I took my night dose of omeprazole I did. 
I’ve been taking 20mg 2x a day for the last month and never experienced this before starting them. My digestion has also been wrecked and I am so gassy and literally smell like I’m rotting.</t>
        </is>
      </c>
      <c r="D3320" t="n">
        <v>1</v>
      </c>
      <c r="E3320" t="n">
        <v>5</v>
      </c>
      <c r="F3320">
        <f>HYPERLINK("https://www.reddit.com/r/GERD/comments/dmmtw6/omeprazole_side_effects/")</f>
        <v/>
      </c>
      <c r="G3320" t="inlineStr">
        <is>
          <t>2019-10-24 14:07:51</t>
        </is>
      </c>
      <c r="H3320" t="inlineStr"/>
    </row>
    <row r="3321">
      <c r="A3321" t="inlineStr">
        <is>
          <t>dmn75n</t>
        </is>
      </c>
      <c r="B3321" t="inlineStr">
        <is>
          <t>Do certain exercises or movements cause flare up?</t>
        </is>
      </c>
      <c r="C3321" t="inlineStr">
        <is>
          <t>I had to file away paper work at work today. I had to put the paper work in boxes, this involved a lot of bending and lifting. I noticed after almost an hour of filing that my acid reflux was flaring up and then I started to get an upset stomach. Could this be because of the bending?</t>
        </is>
      </c>
      <c r="D3321" t="n">
        <v>0</v>
      </c>
      <c r="E3321" t="n">
        <v>6</v>
      </c>
      <c r="F3321">
        <f>HYPERLINK("https://www.reddit.com/r/GERD/comments/dmn75n/do_certain_exercises_or_movements_cause_flare_up/")</f>
        <v/>
      </c>
      <c r="G3321" t="inlineStr">
        <is>
          <t>2019-10-24 14:33:39</t>
        </is>
      </c>
      <c r="H3321" t="inlineStr"/>
    </row>
    <row r="3322">
      <c r="A3322" t="inlineStr">
        <is>
          <t>dmoy8x</t>
        </is>
      </c>
      <c r="B3322" t="inlineStr">
        <is>
          <t>Does anyone else have a puffy, red pharynx and tonsillar hypertrophy?</t>
        </is>
      </c>
      <c r="C3322" t="inlineStr">
        <is>
          <t>I have some mysterious undiagnosed condition that’s seriously fucking up my life right now. My doctors keep saying I probably have GERD, but I’m highly doubtful because I don’t feel any acid reflux furthermore I’ve already been undergoing acid reflux treatment for a long time based off my doctor’s recommendations
My primary symptoms are:
- the back of my throat has these red, puffy streaks. It looks like cobblestone throat on steroids.
- my tonsils are constantly enlarged, and evolving. 
- I have all these weird lumps of flesh growing in my pharynx below my palatine tonsils
- constant burping because I can’t swallow properly due to all this shit growing in my throat
- constant fatigue, occasional headache
These don’t really seem like symptoms of GERD to me but that’s what my doctors say. Does anyone else have similar symptoms?</t>
        </is>
      </c>
      <c r="D3322" t="n">
        <v>11</v>
      </c>
      <c r="E3322" t="n">
        <v>11</v>
      </c>
      <c r="F3322">
        <f>HYPERLINK("https://www.reddit.com/r/GERD/comments/dmoy8x/does_anyone_else_have_a_puffy_red_pharynx_and/")</f>
        <v/>
      </c>
      <c r="G3322" t="inlineStr">
        <is>
          <t>2019-10-24 16:36:37</t>
        </is>
      </c>
      <c r="H3322" t="inlineStr"/>
    </row>
    <row r="3323">
      <c r="A3323" t="inlineStr">
        <is>
          <t>dmqvxi</t>
        </is>
      </c>
      <c r="B3323" t="inlineStr">
        <is>
          <t>Irregular z line and erythema</t>
        </is>
      </c>
      <c r="C3323" t="inlineStr">
        <is>
          <t>Hey everyone! I recently got an endoscopy because I was on birth control and it made me vomit a lot.... I stopped and developed symptoms like my stomach burning and rare chest pain.
They said during my procedure they found and took biopsies for all of these -
- Biopsy taken from upper esophagus to exclude eosinophilic esophagitis 
- Erythema and irregular z line in the gastroesophaegal junction compatible with esophagitis 
- Mild Erythema in antrum consistent with gastritis 
- Normal mucosa in the second part of duodenum
Has anyone had similar results or have any information? They gave me no explanation on what they found but said stick to a GERD diet and I will get results in two weeks and they called for a check up in one month. I was prescribed two tablets of Famotidine 40mg a day.
I also have pictures if that helps. Thank you so much!</t>
        </is>
      </c>
      <c r="D3323" t="n">
        <v>3</v>
      </c>
      <c r="E3323" t="n">
        <v>1</v>
      </c>
      <c r="F3323">
        <f>HYPERLINK("https://www.reddit.com/r/GERD/comments/dmqvxi/irregular_z_line_and_erythema/")</f>
        <v/>
      </c>
      <c r="G3323" t="inlineStr">
        <is>
          <t>2019-10-24 19:23:02</t>
        </is>
      </c>
      <c r="H3323" t="inlineStr"/>
    </row>
    <row r="3324">
      <c r="A3324" t="inlineStr">
        <is>
          <t>dmr7pe</t>
        </is>
      </c>
      <c r="B3324" t="inlineStr">
        <is>
          <t>partying</t>
        </is>
      </c>
      <c r="C3324" t="inlineStr">
        <is>
          <t>Any alcohols that are better than others? even with GERD we all deserve a good time🥶</t>
        </is>
      </c>
      <c r="D3324" t="n">
        <v>1</v>
      </c>
      <c r="E3324" t="n">
        <v>16</v>
      </c>
      <c r="F3324">
        <f>HYPERLINK("https://www.reddit.com/r/GERD/comments/dmr7pe/partying/")</f>
        <v/>
      </c>
      <c r="G3324" t="inlineStr">
        <is>
          <t>2019-10-24 19:52:49</t>
        </is>
      </c>
      <c r="H3324" t="inlineStr"/>
    </row>
    <row r="3325">
      <c r="A3325" t="inlineStr">
        <is>
          <t>dmtg0l</t>
        </is>
      </c>
      <c r="B3325" t="inlineStr">
        <is>
          <t>Meds that stop esophageal spasms as needed, not taken daily?</t>
        </is>
      </c>
      <c r="C3325" t="inlineStr">
        <is>
          <t>I have extremely painful esophageal spasms about once a month that can last up to 12 hours.  Because they only happen occasionally, I don’t think I need to be on any kind of daily med, especially since I’m already on several for unrelated conditions which makes drug interactions a nightmare. Spironolactone specifically would interfere with some of the typical meds used for ES. I’m wondering if doctors prescribe quick fixes for cases like mine, which aren’t linked to a GERD diagnosis (I know I’m posting in the GERD sub, but I figured this was the only place that would know anything about ES...). I am currently on Prilosec and it did help with my acid reflux, but I’m still experiencing spasms. These spasms only ever occur at night (probably because I’m lying down), and as such, they’re extremely disruptive- I can only suck down so much peppermint before I start wanting to sleep, and by the time I’ve recovered from peppermint dosing, the effect has worn off and I’m in pain again before I can try to fall asleep. 
I had some klonopin left over from a past surgery (completely unrelated to the throat or chest or head area), so I’ve tried taking half of one of those, to no effect. Wondering if there’s anything similar a sane doctor would prescribe me.</t>
        </is>
      </c>
      <c r="D3325" t="n">
        <v>2</v>
      </c>
      <c r="E3325" t="n">
        <v>8</v>
      </c>
      <c r="F3325">
        <f>HYPERLINK("https://www.reddit.com/r/GERD/comments/dmtg0l/meds_that_stop_esophageal_spasms_as_needed_not/")</f>
        <v/>
      </c>
      <c r="G3325" t="inlineStr">
        <is>
          <t>2019-10-24 23:34:24</t>
        </is>
      </c>
      <c r="H3325" t="inlineStr"/>
    </row>
    <row r="3326">
      <c r="A3326" t="inlineStr">
        <is>
          <t>dmz1cj</t>
        </is>
      </c>
      <c r="B3326" t="inlineStr">
        <is>
          <t>I am finally off omeprazole</t>
        </is>
      </c>
      <c r="C3326" t="inlineStr">
        <is>
          <t>Hi all. I've been taking omeprazole every day for a little over a year. Like many in this sub, I was very worried I'd have to take it every day for the rest of my life - a burden I had a hard time accepting. However, despite previous attempts to quit, I always came back to it; it was the only thing that worked for my constant burping, acid reflux, and heartburn. About a month ago I decided to start weaning off *slowly*. For two weeks I took it every other day. It was rough, and I was definitely experiencing some rebound reflux. The off days were killer, and my heartburn was worse than it ever was, even before starting the omeprazole. However, at the end of the two weeks it started to get a little better, so by the third week I was able to take it every three days. Week four I took it just twice in a week. And this week I am off omeprazole and have little to no side effects! I am on day five of no omeprazole and I feel normal again **\*knock on wood\***. I am really hoping I can continue like this. I know our bodies all work differently and that the root causes of this awful disease are vastly different between all of us, but I wanted to share this little success with anyone who has considered weaning off the medication. The rebound is real, and I do believe, as many of us know/speculate, that the medication actually makes our acid production heavier/worse.   
Anyone else have any success stories weaning off the meds? Did you return to them?</t>
        </is>
      </c>
      <c r="D3326" t="n">
        <v>33</v>
      </c>
      <c r="E3326" t="n">
        <v>20</v>
      </c>
      <c r="F3326">
        <f>HYPERLINK("https://www.reddit.com/r/GERD/comments/dmz1cj/i_am_finally_off_omeprazole/")</f>
        <v/>
      </c>
      <c r="G3326" t="inlineStr">
        <is>
          <t>2019-10-25 08:28:20</t>
        </is>
      </c>
      <c r="H3326" t="inlineStr"/>
    </row>
    <row r="3327">
      <c r="A3327" t="inlineStr">
        <is>
          <t>dmzd00</t>
        </is>
      </c>
      <c r="B3327" t="inlineStr">
        <is>
          <t>Sick of this, I'm getting surgery</t>
        </is>
      </c>
      <c r="C3327" t="inlineStr">
        <is>
          <t>I've looked a bit into this and i think i prefer linx. If it goes wrong.... Can i have nissen after? Can you go nissen and then linx if nissen goes wrong?
People talk about a loose LES. It feels like i don't even have one and if i hung upside down my food would fall out. This HH must have got bigger.
I feel trapped in this horrible pain and discomfort.
Any advice would help. Im 33 and want a procedure to last until i die.
Im scared of surgery due to all the horror stories. I do really try not to worry and most of the day i don't. When i sleep i feel so sad and can't sleep.
I wish i looked after myself more growing up. I used to say i had an iron stomach. The amount of shit i put in it.
Why can't they figure out a proper cure for the les or hernia. Surely they will sort something in the future?
Please can someone be my herniated hero and show me the way x</t>
        </is>
      </c>
      <c r="D3327" t="n">
        <v>3</v>
      </c>
      <c r="E3327" t="n">
        <v>15</v>
      </c>
      <c r="F3327">
        <f>HYPERLINK("https://www.reddit.com/r/GERD/comments/dmzd00/sick_of_this_im_getting_surgery/")</f>
        <v/>
      </c>
      <c r="G3327" t="inlineStr">
        <is>
          <t>2019-10-25 08:52:21</t>
        </is>
      </c>
      <c r="H3327" t="inlineStr"/>
    </row>
    <row r="3328">
      <c r="A3328" t="inlineStr">
        <is>
          <t>dn1buz</t>
        </is>
      </c>
      <c r="B3328" t="inlineStr">
        <is>
          <t>Cobblestoning 80% GONE</t>
        </is>
      </c>
      <c r="C3328" t="inlineStr">
        <is>
          <t>Hey just came back from my ENT follow up appointment he scoped me and saw significant improvements!!! I’m so excited just little but longer and I won’t have the other symptoms!! I had no idea I’d be able to solve this just with diet alone.</t>
        </is>
      </c>
      <c r="D3328" t="n">
        <v>5</v>
      </c>
      <c r="E3328" t="n">
        <v>7</v>
      </c>
      <c r="F3328">
        <f>HYPERLINK("https://www.reddit.com/r/GERD/comments/dn1buz/cobblestoning_80_gone/")</f>
        <v/>
      </c>
      <c r="G3328" t="inlineStr">
        <is>
          <t>2019-10-25 11:10:14</t>
        </is>
      </c>
      <c r="H3328" t="inlineStr"/>
    </row>
    <row r="3329">
      <c r="A3329" t="inlineStr">
        <is>
          <t>dn1g9p</t>
        </is>
      </c>
      <c r="B3329" t="inlineStr">
        <is>
          <t>Does anybody else dry heave?</t>
        </is>
      </c>
      <c r="C3329" t="inlineStr">
        <is>
          <t>So I’m on omeprazole and it’s been pretty good so far, but some days reflux just happens, and when it does it’s particularly bad. Usually resulting in me going to the bathroom and dry heaving, and I say dry heaving because I’m definitely going through the motions of throwing up, I feel like stuff should be coming up, but it never does, just gas. It sucks but I usually feel a lot better after this. Does anybody else experience this? Any advice with him to deal with it that doesn’t involve doing that?</t>
        </is>
      </c>
      <c r="D3329" t="n">
        <v>10</v>
      </c>
      <c r="E3329" t="n">
        <v>6</v>
      </c>
      <c r="F3329">
        <f>HYPERLINK("https://www.reddit.com/r/GERD/comments/dn1g9p/does_anybody_else_dry_heave/")</f>
        <v/>
      </c>
      <c r="G3329" t="inlineStr">
        <is>
          <t>2019-10-25 11:18:31</t>
        </is>
      </c>
      <c r="H3329" t="inlineStr"/>
    </row>
    <row r="3330">
      <c r="A3330" t="inlineStr">
        <is>
          <t>dn4463</t>
        </is>
      </c>
      <c r="B3330" t="inlineStr">
        <is>
          <t>Horrible pain from possible ulcer</t>
        </is>
      </c>
      <c r="C3330" t="inlineStr">
        <is>
          <t>My doctor and the doctor at the ER think I have a esophageal ulcer, and prescribed me sucralfate and Prilosec while we wait for an appointment with a GI and an endoscopy. In the meantime however I still find eating so unbelievably painful that sometimes even the smallest bite of something brings me to the floor. What can I do? Even water is pretty painful. I work a heavy labor job and I can’t sustain myself on three or four bites of food a day but I can’t push through the pain, it feels like my throat is going to close If I try. So what other things could I do? I’m also talking just about any food. I can’t eat yams, oatmeal, any meat, any drink besides 1 tea out of countless drinks we tried, and I can’t eat anything that crunches literally at all. I can’t bear the pain of anything with even a little bit of texture
Thank you!</t>
        </is>
      </c>
      <c r="D3330" t="n">
        <v>3</v>
      </c>
      <c r="E3330" t="n">
        <v>1</v>
      </c>
      <c r="F3330">
        <f>HYPERLINK("https://www.reddit.com/r/GERD/comments/dn4463/horrible_pain_from_possible_ulcer/")</f>
        <v/>
      </c>
      <c r="G3330" t="inlineStr">
        <is>
          <t>2019-10-25 14:28:02</t>
        </is>
      </c>
      <c r="H3330" t="inlineStr"/>
    </row>
    <row r="3331">
      <c r="A3331" t="inlineStr">
        <is>
          <t>dn8epe</t>
        </is>
      </c>
      <c r="B3331" t="inlineStr">
        <is>
          <t>GERD and flying</t>
        </is>
      </c>
      <c r="C3331" t="inlineStr">
        <is>
          <t>I'm flying to Italy tomorrow for my honeymoon and I have some anxiety about flying. I'm also 6'6 which doesnt help and have GERD so I'm wondering what i can do to help alleviate potential acid in my chest. I already have my emergency kit of tums, gas-x, inhalers, and famotidine.
Does anyone have any suggestions/experiences?</t>
        </is>
      </c>
      <c r="D3331" t="n">
        <v>3</v>
      </c>
      <c r="E3331" t="n">
        <v>5</v>
      </c>
      <c r="F3331">
        <f>HYPERLINK("https://www.reddit.com/r/GERD/comments/dn8epe/gerd_and_flying/")</f>
        <v/>
      </c>
      <c r="G3331" t="inlineStr">
        <is>
          <t>2019-10-25 20:22:50</t>
        </is>
      </c>
      <c r="H3331" t="inlineStr"/>
    </row>
    <row r="3332">
      <c r="A3332" t="inlineStr">
        <is>
          <t>dn8vsz</t>
        </is>
      </c>
      <c r="B3332" t="inlineStr">
        <is>
          <t>Gonna go on antibiotics.</t>
        </is>
      </c>
      <c r="C3332" t="inlineStr">
        <is>
          <t>I can’t book an appointment for my gastro yet and I need to go on co-amoxiclav due to complications with my root canal and was wondering if anyone has been on this medication and if I can take probiotics and antacids with it?</t>
        </is>
      </c>
      <c r="D3332" t="n">
        <v>2</v>
      </c>
      <c r="E3332" t="n">
        <v>0</v>
      </c>
      <c r="F3332">
        <f>HYPERLINK("https://www.reddit.com/r/GERD/comments/dn8vsz/gonna_go_on_antibiotics/")</f>
        <v/>
      </c>
      <c r="G3332" t="inlineStr">
        <is>
          <t>2019-10-25 21:07:50</t>
        </is>
      </c>
      <c r="H3332" t="inlineStr"/>
    </row>
    <row r="3333">
      <c r="A3333" t="inlineStr">
        <is>
          <t>dnawsi</t>
        </is>
      </c>
      <c r="B3333" t="inlineStr">
        <is>
          <t>Anecdotal test with sea salt to treat symptom</t>
        </is>
      </c>
      <c r="C3333" t="inlineStr">
        <is>
          <t>So I was reading online from a blog, and wanted to try something out as I was of course having an episode of GERD. No heart burn, but I was feeling the burps coming up , from the burgers I just had, hiccups bloating, breathing issues from feeling ‘full’. 
I read on the website about ‘sea salt’ increasing stomach acid production, and as a test I just mixed some in water and drank it. Symptoms subsided. 
Super anecdotal and obviously very temporary I know... but yeah, could be a coincidence. I know low stomach acid in younger people is super rare, but has anyone else tried this?  Or with apple cider vinegar ? I’m too scared to do it with ACV because I’m not trying to burn my throat. I wanted to buy the capsules but idk how I feel about it, pretty skeptical</t>
        </is>
      </c>
      <c r="D3333" t="n">
        <v>1</v>
      </c>
      <c r="E3333" t="n">
        <v>3</v>
      </c>
      <c r="F3333">
        <f>HYPERLINK("https://www.reddit.com/r/GERD/comments/dnawsi/anecdotal_test_with_sea_salt_to_treat_symptom/")</f>
        <v/>
      </c>
      <c r="G3333" t="inlineStr">
        <is>
          <t>2019-10-26 01:00:27</t>
        </is>
      </c>
      <c r="H3333" t="inlineStr"/>
    </row>
    <row r="3334">
      <c r="A3334" t="inlineStr">
        <is>
          <t>dnd2ge</t>
        </is>
      </c>
      <c r="B3334" t="inlineStr">
        <is>
          <t>How to Get Rid of Constant Burping</t>
        </is>
      </c>
      <c r="C3334" t="inlineStr">
        <is>
          <t>Been plagued with constant burping for a couple of months now. Burping like 50+ daily. It kinda reduced to -35 lately.
I have done only blood test for h pylori which was present and been on PPI and antibiotics on and off. Currently not taking any medication because the only symptoms is burping.
Was having difficulty in breathing before it has ceased. Looks like there was anxiety too which I have treated.
The issue is just the crazy burping.
What could be the issue and how can I put that behind me quickly.
Thanks for your help.</t>
        </is>
      </c>
      <c r="D3334" t="n">
        <v>8</v>
      </c>
      <c r="E3334" t="n">
        <v>8</v>
      </c>
      <c r="F3334">
        <f>HYPERLINK("https://www.reddit.com/r/GERD/comments/dnd2ge/how_to_get_rid_of_constant_burping/")</f>
        <v/>
      </c>
      <c r="G3334" t="inlineStr">
        <is>
          <t>2019-10-26 05:11:04</t>
        </is>
      </c>
      <c r="H3334" t="inlineStr"/>
    </row>
    <row r="3335">
      <c r="A3335" t="inlineStr">
        <is>
          <t>dnd6rj</t>
        </is>
      </c>
      <c r="B3335" t="inlineStr">
        <is>
          <t>Tips and Diet</t>
        </is>
      </c>
      <c r="C3335" t="inlineStr">
        <is>
          <t>Hello, I started my diet daily with banana. Then, I also took apple juice with aloe vera slices. Because I am Asian, I eat rice with fried chicken and salad. I also include other fruits like watermelon. When sleep, elevate your head with pillow, sleep more on left side. Chew every food thoroughly  more than 30 times. Dont lie down after eating for 3 hours. Exercise slowly by walking. Drink water 30 minutes after eating. Avoid eating tomatoes, chocolate, dairy.</t>
        </is>
      </c>
      <c r="D3335" t="n">
        <v>5</v>
      </c>
      <c r="E3335" t="n">
        <v>9</v>
      </c>
      <c r="F3335">
        <f>HYPERLINK("https://www.reddit.com/r/GERD/comments/dnd6rj/tips_and_diet/")</f>
        <v/>
      </c>
      <c r="G3335" t="inlineStr">
        <is>
          <t>2019-10-26 05:23:42</t>
        </is>
      </c>
      <c r="H3335" t="inlineStr"/>
    </row>
    <row r="3336">
      <c r="A3336" t="inlineStr">
        <is>
          <t>dng8sj</t>
        </is>
      </c>
      <c r="B3336" t="inlineStr">
        <is>
          <t>Anyone else need tums immediately after eating?</t>
        </is>
      </c>
      <c r="C3336" t="inlineStr">
        <is>
          <t>I'm doing an elimination diet and feel very suspicious about some foods possibly causing some allergic reaction on top of gerd, if not completely, but in the mean time I lean towards gerd because antacids and stuff like pepcid/tums/Omeprazole seem to help the most with my symptoms.
That being said, sometimes after I eat I get a lump in my throat and feel short it breath and tums lately seem to cure it almost immediately. I'm curious if anyone else has had this experience and what you night have found out.
Thanks.</t>
        </is>
      </c>
      <c r="D3336" t="n">
        <v>3</v>
      </c>
      <c r="E3336" t="n">
        <v>5</v>
      </c>
      <c r="F3336">
        <f>HYPERLINK("https://www.reddit.com/r/GERD/comments/dng8sj/anyone_else_need_tums_immediately_after_eating/")</f>
        <v/>
      </c>
      <c r="G3336" t="inlineStr">
        <is>
          <t>2019-10-26 09:38:08</t>
        </is>
      </c>
      <c r="H3336" t="inlineStr"/>
    </row>
    <row r="3337">
      <c r="A3337" t="inlineStr">
        <is>
          <t>dngrzb</t>
        </is>
      </c>
      <c r="B3337" t="inlineStr">
        <is>
          <t>I don't know what to do besides cry.</t>
        </is>
      </c>
      <c r="C3337" t="inlineStr">
        <is>
          <t>I've been on 20 mg of pantoprazole for the past two weeks yet I still get a burning throat. Is this normal? 
I've been eating as bland as I can.  When I went to my primary care dr he looked in my throat and was like "yep you have acid reflux. I'm gonna put you on some medication. And you have to eat nutritious foods," and that's it. I had to do all my research on my own. My throat burns and my ears burn. I have been fine for the past week yet today I ate a gluten free English muffin and I believe that's what started my burning throat again. (So those are out :() I dunno if I can take it anymore. I feel like my primary care dr just wanted me out of there, but I feel like I need to talk to someone else. Should I contact an ENT or a gastroenterologist? I have insurance that allows me to just make an appt anywhere without a PCM referral. Thanks for any responses.</t>
        </is>
      </c>
      <c r="D3337" t="n">
        <v>14</v>
      </c>
      <c r="E3337" t="n">
        <v>28</v>
      </c>
      <c r="F3337">
        <f>HYPERLINK("https://www.reddit.com/r/GERD/comments/dngrzb/i_dont_know_what_to_do_besides_cry/")</f>
        <v/>
      </c>
      <c r="G3337" t="inlineStr">
        <is>
          <t>2019-10-26 10:16:57</t>
        </is>
      </c>
      <c r="H3337" t="inlineStr"/>
    </row>
    <row r="3338">
      <c r="A3338" t="inlineStr">
        <is>
          <t>dnibly</t>
        </is>
      </c>
      <c r="B3338" t="inlineStr">
        <is>
          <t>Worse after going gluten and sugar free.</t>
        </is>
      </c>
      <c r="C3338" t="inlineStr">
        <is>
          <t>I started gluten free and sugar free diet 10 days ago and my reflux got worse. I feel it constantly, even though I avoid my usual trigger foods. Anyone experienced something similar?</t>
        </is>
      </c>
      <c r="D3338" t="n">
        <v>6</v>
      </c>
      <c r="E3338" t="n">
        <v>23</v>
      </c>
      <c r="F3338">
        <f>HYPERLINK("https://www.reddit.com/r/GERD/comments/dnibly/worse_after_going_gluten_and_sugar_free/")</f>
        <v/>
      </c>
      <c r="G3338" t="inlineStr">
        <is>
          <t>2019-10-26 12:13:53</t>
        </is>
      </c>
      <c r="H3338" t="inlineStr"/>
    </row>
    <row r="3339">
      <c r="A3339" t="inlineStr">
        <is>
          <t>dniuf4</t>
        </is>
      </c>
      <c r="B3339" t="inlineStr">
        <is>
          <t>After 4 antagonizing months I feel normal again.</t>
        </is>
      </c>
      <c r="C3339" t="inlineStr">
        <is>
          <t>My reflux started in May and when I first started experiencing the symptoms I thought I was having a stroke. But after countless trips to the ER and cardiologist I came to the conclusion that I had some level of acid reflux which was being triggered by foods high in fat. Even though it was hard cutting out “junk food” and switching to a bland diet for a couple weeks I now feel amazing. Now I almost never feel the symptoms of reflux unless I eat something like chocolate or mayonnaise which is a HUGE trigger. I can now even eat some of my favourite foods such as a mcdonalds, pizza and chips (in moderation of course!). Of course i also take ranitidine at night before I sleep even though I feel like I don’t have to take it and sometimes almost forget to. If y’all have any questions please drop them below I would love to answer them and always remember there’s always hope even if your mind tells you there isn’t.</t>
        </is>
      </c>
      <c r="D3339" t="n">
        <v>3</v>
      </c>
      <c r="E3339" t="n">
        <v>7</v>
      </c>
      <c r="F3339">
        <f>HYPERLINK("https://www.reddit.com/r/GERD/comments/dniuf4/after_4_antagonizing_months_i_feel_normal_again/")</f>
        <v/>
      </c>
      <c r="G3339" t="inlineStr">
        <is>
          <t>2019-10-26 12:53:39</t>
        </is>
      </c>
      <c r="H3339" t="inlineStr"/>
    </row>
    <row r="3340">
      <c r="A3340" t="inlineStr">
        <is>
          <t>dnjk2a</t>
        </is>
      </c>
      <c r="B3340" t="inlineStr">
        <is>
          <t>This sound like GERD to you folks?</t>
        </is>
      </c>
      <c r="C3340" t="inlineStr">
        <is>
          <t>So I'm nearly 5 months of absolute misery without any ideas from multiple doctors. I was hoping you guys might help, I'm so desperate.   
Symptoms:  
* **Breathing issues:** I'm constantly short of breath, where talking is particularly taxing, but working out and running feels fine. My chest feels tight and almost numb when trying to take a deep breath. My breath ceiling feels short, like I take take a full one. I've had a pulmonary function test which some "some possible signs of mild asthma", but after trying both Albuterol for days, then Alvesco for 4 weeks, nothing improved, so asthma seems out. I also had a chest x-ray which was normal, 2 EKG's and a cardio stress test, all normal.
* **Nausea / flu like feeling:** This comes in goes in varying degrees of severity, but I have a constant "sick" feeling for lack of a better word. I just feel ill 24/7. Nothing I eat changes this feeling. I tried the AIP diet (an anti-inflammatory diet, similar to GERD diets I've seen) for 1 month , no changes.
* **Stomach bloating:** I've lost over 20lbs since this all started 5 months ago, but my stomach has been consistently bloated, day and night unaffected by what I eat or any bowl movements. Just constantly bloated. 
* **Sleeplessness:** I wake up after about 5 hrs of sleep feeling hot flashes, slightly anxious, but mostly ill. Heart is usually beating faster than normal. 
This has become really disruptive to everything in my life at this point. One doc insisted it was all anxiety despite me repeatedly insisting none of this started with any anxiety at all. Of course now I am anxious because I'm so miserable and don't know what this is. I have appointments set up to discuss this with my doc in a few weeks, but feel like I cant take another day of this.
Any of this sound like it could be explained by a gut issue? Can one have GERD without it being affected by food at all? I  eat very clean 90% of the time, cheating a bit on weekends, and drink plenty of water and am in good physical shape. I don't smoke and haven drank in months (only on weekends when I did). I've tested spicy, fatty nasty fast food, nothing changes anything.
Any help appreciated!</t>
        </is>
      </c>
      <c r="D3340" t="n">
        <v>0</v>
      </c>
      <c r="E3340" t="n">
        <v>11</v>
      </c>
      <c r="F3340">
        <f>HYPERLINK("https://www.reddit.com/r/GERD/comments/dnjk2a/this_sound_like_gerd_to_you_folks/")</f>
        <v/>
      </c>
      <c r="G3340" t="inlineStr">
        <is>
          <t>2019-10-26 13:49:39</t>
        </is>
      </c>
      <c r="H3340" t="inlineStr"/>
    </row>
    <row r="3341">
      <c r="A3341" t="inlineStr">
        <is>
          <t>dnobly</t>
        </is>
      </c>
      <c r="B3341" t="inlineStr">
        <is>
          <t>LPR symptoms update - Famotidine twice a day</t>
        </is>
      </c>
      <c r="C3341" t="inlineStr">
        <is>
          <t>Hey y’all, so I went to my GI on Wednesday and he told me to take the medicine my ENT gave me (Famotidine) and to take it twice a day if I want faster relief. I’ve also been stacking my pillows so I can sleep more upright, and don’t go to bed until 3-4 hours after I eat. Haven’t been eating well for the record, but I probably should and will start tomorrow. 
My throat is no longer in crazy pain like before (it hurt sooo bad just to swallow or yawn - it was terrible). Now there’s just this annoying feeling, more towards on the right side - idk if that means anything, like there’s something stuck in my throat. Which from what I know is also a symptom but I’ll take it over the pain. Hopefully this goes away by next week because I have to be ready for my surgery. Not sure if it would affect the anesthesia/tubes they put in the throat. I don’t gasp for air or anything like that, but I def think my nose gets congested more when I have an LPR flare up so I don’t breathe as well. I could be overthinking but I hope it’s not a huge issue smh</t>
        </is>
      </c>
      <c r="D3341" t="n">
        <v>3</v>
      </c>
      <c r="E3341" t="n">
        <v>10</v>
      </c>
      <c r="F3341">
        <f>HYPERLINK("https://www.reddit.com/r/GERD/comments/dnobly/lpr_symptoms_update_famotidine_twice_a_day/")</f>
        <v/>
      </c>
      <c r="G3341" t="inlineStr">
        <is>
          <t>2019-10-26 20:47:17</t>
        </is>
      </c>
      <c r="H3341" t="inlineStr"/>
    </row>
    <row r="3342">
      <c r="A3342" t="inlineStr">
        <is>
          <t>dnomdh</t>
        </is>
      </c>
      <c r="B3342" t="inlineStr">
        <is>
          <t>This sucks</t>
        </is>
      </c>
      <c r="C3342" t="inlineStr">
        <is>
          <t>It's every day. I get extremely nauseated but nothing happens except belching. Pepto and gaviscon help for a while. I change it up and don't use both in the same day. Does anyone recommend anything that works well for the majority of the day? Preferably OTC.</t>
        </is>
      </c>
      <c r="D3342" t="n">
        <v>5</v>
      </c>
      <c r="E3342" t="n">
        <v>6</v>
      </c>
      <c r="F3342">
        <f>HYPERLINK("https://www.reddit.com/r/GERD/comments/dnomdh/this_sucks/")</f>
        <v/>
      </c>
      <c r="G3342" t="inlineStr">
        <is>
          <t>2019-10-26 21:17:57</t>
        </is>
      </c>
      <c r="H3342" t="inlineStr"/>
    </row>
    <row r="3343">
      <c r="A3343" t="inlineStr">
        <is>
          <t>dnot60</t>
        </is>
      </c>
      <c r="B3343" t="inlineStr">
        <is>
          <t>Sore throat when I wake up, what helped you? (NO MEDICATION TALK)</t>
        </is>
      </c>
      <c r="C3343" t="inlineStr">
        <is>
          <t>Only natural talk like raising bed, not eating close to bed, drinking lots of water, certain foods to eat/avoid, and all that stuff. Thanks!</t>
        </is>
      </c>
      <c r="D3343" t="n">
        <v>3</v>
      </c>
      <c r="E3343" t="n">
        <v>7</v>
      </c>
      <c r="F3343">
        <f>HYPERLINK("https://www.reddit.com/r/GERD/comments/dnot60/sore_throat_when_i_wake_up_what_helped_you_no/")</f>
        <v/>
      </c>
      <c r="G3343" t="inlineStr">
        <is>
          <t>2019-10-26 21:37:36</t>
        </is>
      </c>
      <c r="H3343" t="inlineStr"/>
    </row>
    <row r="3344">
      <c r="A3344" t="inlineStr">
        <is>
          <t>dnroty</t>
        </is>
      </c>
      <c r="B3344" t="inlineStr">
        <is>
          <t>Today is my birthday and I have GERD.</t>
        </is>
      </c>
      <c r="C3344" t="inlineStr">
        <is>
          <t>And I won’t be able to celebrate much because I got GERD. My boyfriend has GERD and is scheduled to have Endoscopy next week and I am also worried. Having GERD really changed my life from being great then the next second I go to the ER and life’s never going to be the same. It’s going to be my birthday that I will eat nothing but fruits and veggies. No pizza or spaghetti around.
Haha. I feel sad and worried, especially for my boyfriend who has been suffering a lot lately, and I am so anxious until he gets that endoscopy. I hope nothing is wrong. That’s my only wish for now.</t>
        </is>
      </c>
      <c r="D3344" t="n">
        <v>8</v>
      </c>
      <c r="E3344" t="n">
        <v>9</v>
      </c>
      <c r="F3344">
        <f>HYPERLINK("https://www.reddit.com/r/GERD/comments/dnroty/today_is_my_birthday_and_i_have_gerd/")</f>
        <v/>
      </c>
      <c r="G3344" t="inlineStr">
        <is>
          <t>2019-10-27 03:44:04</t>
        </is>
      </c>
      <c r="H3344" t="inlineStr"/>
    </row>
    <row r="3345">
      <c r="A3345" t="inlineStr">
        <is>
          <t>dns3vh</t>
        </is>
      </c>
      <c r="B3345" t="inlineStr">
        <is>
          <t>Bananas a Trigger For Anybody Else?</t>
        </is>
      </c>
      <c r="C3345" t="inlineStr">
        <is>
          <t>I'm not terribly observant, but the last few times I've had a banana... I start getting symptoms. I actually assumed it was something ELSE, but this last time.... I said, Holy Shit, It Was Definitely That Banana!!!!
Anybody else had a banana as a trigger?</t>
        </is>
      </c>
      <c r="D3345" t="n">
        <v>5</v>
      </c>
      <c r="E3345" t="n">
        <v>9</v>
      </c>
      <c r="F3345">
        <f>HYPERLINK("https://www.reddit.com/r/GERD/comments/dns3vh/bananas_a_trigger_for_anybody_else/")</f>
        <v/>
      </c>
      <c r="G3345" t="inlineStr">
        <is>
          <t>2019-10-27 04:34:46</t>
        </is>
      </c>
      <c r="H3345" t="inlineStr"/>
    </row>
    <row r="3346">
      <c r="A3346" t="inlineStr">
        <is>
          <t>dnue1u</t>
        </is>
      </c>
      <c r="B3346" t="inlineStr">
        <is>
          <t>GERD and SIBO connection?</t>
        </is>
      </c>
      <c r="C3346" t="inlineStr">
        <is>
          <t>Hi 
Does anyone have any information on the connection between GERD and SIBO( small intestine bacterial overgrowth)? Well, aside from PPI meds decreasing stomach acid to such an extent that it leads to SIBO. I was diagnosed with GERD about 3 years ago and put on PPIs. The PPIs made everything worse, and now that I've gone off them I've been diagnosed with SIBO. Lucky me. Any info would be greatly appreciated!</t>
        </is>
      </c>
      <c r="D3346" t="n">
        <v>4</v>
      </c>
      <c r="E3346" t="n">
        <v>12</v>
      </c>
      <c r="F3346">
        <f>HYPERLINK("https://www.reddit.com/r/GERD/comments/dnue1u/gerd_and_sibo_connection/")</f>
        <v/>
      </c>
      <c r="G3346" t="inlineStr">
        <is>
          <t>2019-10-27 07:56:21</t>
        </is>
      </c>
      <c r="H3346" t="inlineStr"/>
    </row>
    <row r="3347">
      <c r="A3347" t="inlineStr">
        <is>
          <t>dnuji7</t>
        </is>
      </c>
      <c r="B3347" t="inlineStr">
        <is>
          <t>Safe to go back to a PPI for a couple of weeks?</t>
        </is>
      </c>
      <c r="C3347" t="inlineStr">
        <is>
          <t>Hi all,
Due to job stress and other factors, my acid reflux has returned after being dormant for around two years. (I discovered the root cause &amp;amp; have been able to keep it under control.)
I was on 40-80 mg of Pantoprazole per day for 5 years. For 6 months, I struggled to wean myself off of them &amp;amp; eventually did.
I want to keep this recent bat of acid reflux under control before it gets worse...it can deteriorate quite rapidly. Would it be safe to go back on the PPI’s just for a couple of weeks? Or will my body become dependent on them again? I really struggled with vitamin deficiency/other side effects before due to long term use.
Thanks all. :)</t>
        </is>
      </c>
      <c r="D3347" t="n">
        <v>1</v>
      </c>
      <c r="E3347" t="n">
        <v>12</v>
      </c>
      <c r="F3347">
        <f>HYPERLINK("https://www.reddit.com/r/GERD/comments/dnuji7/safe_to_go_back_to_a_ppi_for_a_couple_of_weeks/")</f>
        <v/>
      </c>
      <c r="G3347" t="inlineStr">
        <is>
          <t>2019-10-27 08:06:28</t>
        </is>
      </c>
      <c r="H3347" t="inlineStr"/>
    </row>
    <row r="3348">
      <c r="A3348" t="inlineStr">
        <is>
          <t>dnxy67</t>
        </is>
      </c>
      <c r="B3348" t="inlineStr">
        <is>
          <t>Is this Gerd or something else?</t>
        </is>
      </c>
      <c r="C3348" t="inlineStr">
        <is>
          <t>I know I should see a GI specialist rather than asking here but i just want too see if anyone here as similar symptoms to mine. I am a 23 year old graduate student who is suffering from dry retching after almost every meal eat. I gag for 15-20 minutes and then its all good. I have seen a GI twice and they gave me omeprazole 20mg. I have also been taking ranitidine 300mg for around three weeks and it did make my retching a bit better. However for the past few days, it has come back. I have no other symptoms like abdominal pain or heartburn. Its just the retching which feels like I am about to puke but I don’t. Has anyone had a similar experience? 
P.S i have an appointment on Tuesday and I am probably getting an endoscopy.</t>
        </is>
      </c>
      <c r="D3348" t="n">
        <v>1</v>
      </c>
      <c r="E3348" t="n">
        <v>1</v>
      </c>
      <c r="F3348">
        <f>HYPERLINK("https://www.reddit.com/r/GERD/comments/dnxy67/is_this_gerd_or_something_else/")</f>
        <v/>
      </c>
      <c r="G3348" t="inlineStr">
        <is>
          <t>2019-10-27 12:03:58</t>
        </is>
      </c>
      <c r="H3348" t="inlineStr"/>
    </row>
    <row r="3349">
      <c r="A3349" t="inlineStr">
        <is>
          <t>dnyv20</t>
        </is>
      </c>
      <c r="B3349" t="inlineStr">
        <is>
          <t>Libertrim for bloating</t>
        </is>
      </c>
      <c r="C3349" t="inlineStr">
        <is>
          <t>Hey guys, I had a Mexican doc give me libertrim for bloating and it works great. Unfortunately, 
1) it’s a mild opiate (nothing but trouble)
2) no research for long term use
3) this was in Mexico and it’s not FDA approved in the US
I’m wondering if anyone here has experience with it? Libertrim helps reduce like 3 inches of bloating off my stomach and it works great</t>
        </is>
      </c>
      <c r="D3349" t="n">
        <v>1</v>
      </c>
      <c r="E3349" t="n">
        <v>0</v>
      </c>
      <c r="F3349">
        <f>HYPERLINK("https://www.reddit.com/r/GERD/comments/dnyv20/libertrim_for_bloating/")</f>
        <v/>
      </c>
      <c r="G3349" t="inlineStr">
        <is>
          <t>2019-10-27 13:26:40</t>
        </is>
      </c>
      <c r="H3349" t="inlineStr"/>
    </row>
    <row r="3350">
      <c r="A3350" t="inlineStr">
        <is>
          <t>dnyvwi</t>
        </is>
      </c>
      <c r="B3350" t="inlineStr">
        <is>
          <t>Really Scared of Cancer</t>
        </is>
      </c>
      <c r="C3350" t="inlineStr">
        <is>
          <t>I’m only 19M, 160lbs but all my GERD symptoms started within this last month when I thought I had the flu or monk feeling very fatigued, nauseated, and loss of appetite. After that cleared I tried to eat some food and I had what felt like a knife going down my esophagus as the food went down into my stomach. I went to the ER &amp;amp; they diagnosed me with Gastritis and I got a prescription for omeprezole.
They also took an ultrasound of different parts of my body and said it looked okay. My blood test came back alright too except for a high pancreas level which they weren’t concerned about.
I was taking it for a few days then started to feel better, but now whenever I eat I get full so fast, if I eat a lot then I’m in extreme stomach pain and need to take omeprezole. 
Basically I’m really really really really really scared that I might have cancer or barrett’s esophagus and I’m going to end up dying of cancer because the doctors missed something I need to schedule an appointment with my primary doctor still for a followup but I’m so scared I woke up this morning after eating a lot and I was in so much pain from the food I had ate.
Also my pain while swallowing went away completely.</t>
        </is>
      </c>
      <c r="D3350" t="n">
        <v>1</v>
      </c>
      <c r="E3350" t="n">
        <v>2</v>
      </c>
      <c r="F3350">
        <f>HYPERLINK("https://www.reddit.com/r/GERD/comments/dnyvwi/really_scared_of_cancer/")</f>
        <v/>
      </c>
      <c r="G3350" t="inlineStr">
        <is>
          <t>2019-10-27 13:29:14</t>
        </is>
      </c>
      <c r="H3350" t="inlineStr"/>
    </row>
    <row r="3351">
      <c r="A3351" t="inlineStr">
        <is>
          <t>dnzf2o</t>
        </is>
      </c>
      <c r="B3351" t="inlineStr">
        <is>
          <t>Recommendations on food to help reduce symptoms</t>
        </is>
      </c>
      <c r="C3351" t="inlineStr">
        <is>
          <t>I'm getting groceries and I'm trying to get items that may help reduce my symptoms. I don't really know what to get. Any recommendations for anything that helped you?</t>
        </is>
      </c>
      <c r="D3351" t="n">
        <v>2</v>
      </c>
      <c r="E3351" t="n">
        <v>3</v>
      </c>
      <c r="F3351">
        <f>HYPERLINK("https://www.reddit.com/r/GERD/comments/dnzf2o/recommendations_on_food_to_help_reduce_symptoms/")</f>
        <v/>
      </c>
      <c r="G3351" t="inlineStr">
        <is>
          <t>2019-10-27 14:29:39</t>
        </is>
      </c>
      <c r="H3351" t="inlineStr"/>
    </row>
    <row r="3352">
      <c r="A3352" t="inlineStr">
        <is>
          <t>do0dgb</t>
        </is>
      </c>
      <c r="B3352" t="inlineStr">
        <is>
          <t>Anybody else?</t>
        </is>
      </c>
      <c r="C3352" t="inlineStr">
        <is>
          <t>I dont have acid reflux all day every day, so mild in comparison to others on here. But whenever I go out at the moment I feel so sick. But I react to all types of food. I thought I had gotten rid of the acid reflux 2 years ago, and had small flare ups till early June this year. Since this summer I have been flaring up at everything, tomatoes, onions, flavoured foods, main one is ice cream. It is horrible, I hate planning a night out knowing that I will be watching everyone else enjoy themselves, whilst I have the debilitating burn in my throat. 
Also, does anyone else have a mix between acid reflux and IBS? And the cure for each is different, e.g. peppermint is meant to help IBS, but flares my IBS. Or milk for me helps my acid reflux, but flares my IBS. 
Sorry for the long paragraph!</t>
        </is>
      </c>
      <c r="D3352" t="n">
        <v>4</v>
      </c>
      <c r="E3352" t="n">
        <v>6</v>
      </c>
      <c r="F3352">
        <f>HYPERLINK("https://www.reddit.com/r/GERD/comments/do0dgb/anybody_else/")</f>
        <v/>
      </c>
      <c r="G3352" t="inlineStr">
        <is>
          <t>2019-10-27 15:44:57</t>
        </is>
      </c>
      <c r="H3352" t="inlineStr"/>
    </row>
    <row r="3353">
      <c r="A3353" t="inlineStr">
        <is>
          <t>do0man</t>
        </is>
      </c>
      <c r="B3353" t="inlineStr">
        <is>
          <t>Injured my throat almost 8 months Anyone please Help!! trouble eating since then any help is appreciated!</t>
        </is>
      </c>
      <c r="C3353" t="inlineStr">
        <is>
          <t>This is going to be long sorry for the length of this i just need any help i can get.
If you have the time please read at least some of this thank you so much!
&amp;amp;#x200B;
About 8 months ago at the beginning of March I was eating cheese crackers and pretzels mixed one night, I didn't chew them good and choked. Forgetting all about that incident, the next night I ate the same crackers and pretzels mixed, and then when I had went to bed a felt a terrible pain at the front of my throat. Once I had woke the next day I went to take my daily pill and I noticed my swallowing seemed strange not thinking too much of that. I went to my favorite place to eat, fire house subs, and ordered my usual with chips. Once I got back home to eat it, I choked on a bite and it became difficult to eat the rest. So I decided to take a break and eat the rest later. Once I started to eat the rest later, I don't know if I was able to finish it. I remember having terrible pain and a hard time breathing feeling like something was stuck in my throat 
The next day my mom had got me a sandwich from Arby's and I could not swallow that thing.  I only ate a few bites and a few fries now I'm realizing there is a problem. I couldn't eat the soup that my mom had made that night. I remember that next week getting up and being able to eat some of a sandwich, but then not the rest because my throat would get tight or tired. I remember one night almost feeling like I was coming out of it. I was able to eat a lot of my mom's dinner, and i felt like i was overcoming this during that time. I would make butter toast in the morning and i was able to eat all of it, but during the day i really wasn't able to eat as the day went on. As i did that for a few weeks and we had discussed me going to the hospital, this would still be about the end of march. Now i woke up one morning and couldn't even drink my coffee. So i contacted my dad. I am having a tough time remembering all that played out. I don't know if it was that day or a few days later, but one day when i went to the ER i couldn't even drink water without getting strangled. The doctor gave me stuff to numb my throat and that stuff had got caught in my throat. I felt like passing out for 30 minutes, and we stayed at the ER all day nothing really got done. I really wanted surgery then and there. The doctor just thought i had developed anxiety from that eating injury. So we went back home, i had only drunk a little bit of water that whole day with no food. Now during this time i do not eat, living off of ensure milks of what little bit i can get down. We keep going back to see if i can get benefits to have medical help; as it eventually turned out i only could be seen in June. It was April by now knowing that i knew it was up to me to heal if i wanted to make it. I believe it was the same day after returning home starting to feel sick, just trying to relax. My grandmother brought me some lemonade, which in retrospect, i know caused my throat to contract and spasm worse; not even being able to drink my milk. I decided to take matters into my own hands and make my way to another Emergency room, because i started feeling really sick and like my doom was impending. No one in my family took me, i had to call a cab as i made my way there. I can barley breathe as i get there. I look at the vending machine wishing i could eat. As they get a room set up for me they x ray me and tell me they don't see no obstruction in my throat. As i was there they had put some liquid in me through an iv, which really helped me to feel better, not seeing no reason to continue my stay there for the night. I walked around in the waiting room able to drink some of my ensure milk. I seemed to improve within 6 hours of resting my throat. I called the cab and returned home to see what the next day held. It was now April and i was only living off of ensure milks. I could feel a tension and a tenderness in my throat. It felt like if i turned my head to the right or to the left that i would pass out, because there would be pressure applied to that area. I  started losing a lot of weight at this point; and i am naturally a skinny guy, 5 foot 11, and my normal weight is 135 pounds. I noticed i was losing weight from my butt and cheek bones. At some point during that month i began eating mashed potatoes and  Chocolate candy bars  with the ensure milks; still not feeling like i was anywhere close to eating regularly, because of the difficulty to eat those things. At some point during May i started taking a antacid pill in the morning, and would continue so for weeks. As i started working, it became very difficult, because at some points during this time i stopped eating mashed potatoes. I would only eat the candy bars, because of  choking episodes during this time. I noticed that when i would swallow the milk. It wouldn't come back up so the milk got easier to drink, but as far as my work i had to be let go because of my vitality. We are probably near June now and i am eating mashed potatoes again in conjunction with everything else. At some point during June i remember eating 2 mashed potatoes a day and starting to gain some weight back. I was eating enough, not great or even good, but enough to go on. I did not go to my doctors appointment that was scheduled in June, because i felt like i was healing so it was rescheduled to the first week in August. At this time i was not taking the antacid medication. I was feeling like it had did all it was good for at some point. I would drink these green juice drinks; they would sometimes act my throat up, but sometimes they would not. Also, at some points during this time, i would also eat grits. So now we are about at the beginning of July, and i am still doing my routine. During this time i did try to eat other things; like noodles, a little bit of carrots, things my mom would cook, but i didn't stick with it. My throat still did not feel suitable for that. I live with my family; my mom, my step dad, my sister, and my girlfriend. My family was deciding to go on a vacation near the end of July. I stayed back home during this period. I began to not eat much of my mashed potatoes; felt like my throat was getting strained, even the candy bars and milk became difficult. When my family had returned from vacation, i had declined a lot in those few days that they had left and came back. I couldn't drink or eat a lot, just barley. We knew we had a doctors appointment in just a few weeks. During this time  i had learned that my cousin injured his throat years ago from throwing up and had developed bad Acid Reflux. I had to take something for it everyday, so i followed that advice and started taking a natural acid indigestion relief medicine. Seem to some days do better then some days not, so at this point i was just ready to get to the doctor once again. Now we are in August about 5 months in this whole mess, still no answer.
My doctor's appointment was, i believe, the  middle of august. We made our way there, as soon as they went to check my weight i noticed i had lost a little bit i had gain in that span of June to July. We go back to see the doctor, he checks me out, and we come to the conclusion that my throat needs to be dilated. So we get a date set up about a weeks later to have that done. I am nervous about getting put to sleep, and that whole thing, but knowing this will be my answer; I am ready to do this. During that week i got really bad, couldn't eat much. It felt like i would throw up and it wasn't going down good at all. I'm losing weight quickly, and i am very anxious to get this done and over with. On the morning of me going to the doctor to have the procedure done, i was advised not to eat or drink until it was over. I was 105 pounds, and i am 5 foot 11. 
We make our way to the doctor. I am nervous about getting put to sleep, but also ready. As they roll me into the room, i feel very uncomfortable. They tell me to turn to my side, and they put something in my mouth, that makes me even more uncomfortable. I let the lady know that, with not much of a reaction out of her. I went to my back and was advised to turn to my left again. This whole time i am getting pumped full of anesthesia, and not even aware of it. The doctor pops the bed i'm laying in and i fall back hard on my back. I mentioned something about that, and that is the last thing i remember. As i am waking up i am feeling like i did it. I cant believe it, freedom at last. As i get rolled in the wheel chair, out to the car i'm asking the lady is it ok if I eat regularly. She said it was, but just wait for steak or meat until the next day. So my family and I make our way to  Chick-fil-A, and i order macaroni and some fires. As i get back home and start to eat some of it, i am noticing improvement, but still not able to eat a whole fry or macaroni noodle. I eat some of it and heat up mashed potatoes, and i am able to eat the mashed potatoes a lot better. At this point we are getting word that it may just take me a few weeks and everyday i will improve. Probably a week or two went by, i am not getting better and at some point i got worse. I remember straining my throat eating and something else had to be done. During this time it is September, and i began taking a liquid form antacid. We set up another appointment to get a barium swallow test done.I began to improve from  taking the antacid. It was slow, but i started setting numbers, like how many bites of mashed potatoes i would eat a day and do 10 more the next day. Once it was time for the barium swallow test; i was nervous, but ready as the doctor gave me the first thing to drink. I noticed it was difficult, but i continued doing the best i could. I would tell him it would feel stuck, and he would say i just seen it go down so i kept on after that drink. The other ones was not that hard for me, but none of them went down smoothly. After the test was done, a few days later they came back saying they saw nothing; i was furious. i don't believe there is an obstruction in my throat, but i can't wrap my head around people that think its all anxiety related. As a few weeks went by, it would now be October, 7 months, since the Initial Injury back in March. I began to improve a lot, also adding blended up bananas into my diet and eating 2 mashed potatoes once again. Now i am currently at the end of October. This is being wrote on October 27th 2019, about 2 days ago i strained my throat; i am still able to eat 1 mashed potatoes, my bananas,  milks, and a half of mashed potatoes for dinner. I am in contact with my doctor just trying to get an answer for all of this, and there is no way i believe that it is all anxiety related when i feel pain strain and the horrendous burping I do. If you know of anything or anyone that could help me, it may just save my life if anyone needs a friend or is going through something similar, don't hesitate to reach out.
Email: thetruthdoublet@gmail.com
Past Health Condition's i have had : Hypothyroidism, **Prostatitis**  Still on going to an extent but did also heal some
Treatments i have tried :  Multiple antacid medications, stretching, honey, dilation of the esophagus 
Symptoms : Food Sticking,Burping,Tight Throat,Choking, Acid Reflux</t>
        </is>
      </c>
      <c r="D3353" t="n">
        <v>1</v>
      </c>
      <c r="E3353" t="n">
        <v>3</v>
      </c>
      <c r="F3353">
        <f>HYPERLINK("https://www.reddit.com/r/GERD/comments/do0man/injured_my_throat_almost_8_months_anyone_please/")</f>
        <v/>
      </c>
      <c r="G3353" t="inlineStr">
        <is>
          <t>2019-10-27 16:05:17</t>
        </is>
      </c>
      <c r="H3353" t="inlineStr"/>
    </row>
    <row r="3354">
      <c r="A3354" t="inlineStr">
        <is>
          <t>do1hqe</t>
        </is>
      </c>
      <c r="B3354" t="inlineStr">
        <is>
          <t>Digestive problems...?</t>
        </is>
      </c>
      <c r="C3354" t="inlineStr">
        <is>
          <t>I’ve been taking omeprazole 20mg once a day for a while, but I decided to slowly stop taking it. I was officially off of it for a week feeling great, but then I had some mild reflux and took one. The next day (yesterday) I felt fine until I ate food. I got a horrible spasm like pain on my left side just under my ribs. It was debilitating. Today, I’m also extremely gassy, going to the bathroom frequently, and having some mild pain on my left and right side near my stomach. 
Has anyone experienced this? Do you think it could be the omeprazole?
Also, I am talking to a doctor tomorrow.</t>
        </is>
      </c>
      <c r="D3354" t="n">
        <v>2</v>
      </c>
      <c r="E3354" t="n">
        <v>2</v>
      </c>
      <c r="F3354">
        <f>HYPERLINK("https://www.reddit.com/r/GERD/comments/do1hqe/digestive_problems/")</f>
        <v/>
      </c>
      <c r="G3354" t="inlineStr">
        <is>
          <t>2019-10-27 17:23:39</t>
        </is>
      </c>
      <c r="H3354" t="inlineStr"/>
    </row>
    <row r="3355">
      <c r="A3355" t="inlineStr">
        <is>
          <t>do3ref</t>
        </is>
      </c>
      <c r="B3355" t="inlineStr">
        <is>
          <t>Gerd and Arm Pain</t>
        </is>
      </c>
      <c r="C3355" t="inlineStr">
        <is>
          <t>There have been times where I would have pain in my left arm and shoulder due to GERD and this is something that I have checked out. But today it was much more severe. It felt like my shoulder was on fire. Also my bicep felt achy in the morning as if I had done a work out.
Me being a hypochondriac, I get easily scared by these things. Has anyone felt similar pain?</t>
        </is>
      </c>
      <c r="D3355" t="n">
        <v>5</v>
      </c>
      <c r="E3355" t="n">
        <v>4</v>
      </c>
      <c r="F3355">
        <f>HYPERLINK("https://www.reddit.com/r/GERD/comments/do3ref/gerd_and_arm_pain/")</f>
        <v/>
      </c>
      <c r="G3355" t="inlineStr">
        <is>
          <t>2019-10-27 20:58:26</t>
        </is>
      </c>
      <c r="H3355" t="inlineStr"/>
    </row>
    <row r="3356">
      <c r="A3356" t="inlineStr">
        <is>
          <t>do4jeu</t>
        </is>
      </c>
      <c r="B3356" t="inlineStr">
        <is>
          <t>New Meds. 2 weeks of Pantoprazole after two weeks of Omeprazole.</t>
        </is>
      </c>
      <c r="C3356" t="inlineStr">
        <is>
          <t>Hope I get better this time. GI said I don't need a follow up check up if I get better. I just have a cough, colds, and allergic rhinitis these days, I'm not sure if this might be caused by GERD but so far I haven't had any heartburn since more than a week ago.</t>
        </is>
      </c>
      <c r="D3356" t="n">
        <v>5</v>
      </c>
      <c r="E3356" t="n">
        <v>0</v>
      </c>
      <c r="F3356">
        <f>HYPERLINK("https://www.reddit.com/r/GERD/comments/do4jeu/new_meds_2_weeks_of_pantoprazole_after_two_weeks/")</f>
        <v/>
      </c>
      <c r="G3356" t="inlineStr">
        <is>
          <t>2019-10-27 22:25:22</t>
        </is>
      </c>
      <c r="H3356" t="inlineStr"/>
    </row>
    <row r="3357">
      <c r="A3357" t="inlineStr">
        <is>
          <t>do4tri</t>
        </is>
      </c>
      <c r="B3357" t="inlineStr">
        <is>
          <t>My heart is stopping</t>
        </is>
      </c>
      <c r="C3357" t="inlineStr">
        <is>
          <t>I'm getting so scared right now. Im shaking while typing this. It's midnight and I can't sleep. I was just in the process of sleeping a moment ago and I felt my heart just stop and I go to feel it and I don't get a response from my chest. This scared the crap outtae and I jumped out of my bed. I felt my heart again and it's beating fast. Has eantone experienced this. I'm so scared. Iv been diagnosed with gerd already and stuff.</t>
        </is>
      </c>
      <c r="D3357" t="n">
        <v>3</v>
      </c>
      <c r="E3357" t="n">
        <v>28</v>
      </c>
      <c r="F3357">
        <f>HYPERLINK("https://www.reddit.com/r/GERD/comments/do4tri/my_heart_is_stopping/")</f>
        <v/>
      </c>
      <c r="G3357" t="inlineStr">
        <is>
          <t>2019-10-27 22:59:03</t>
        </is>
      </c>
      <c r="H3357" t="inlineStr"/>
    </row>
    <row r="3358">
      <c r="A3358" t="inlineStr">
        <is>
          <t>do8q4b</t>
        </is>
      </c>
      <c r="B3358" t="inlineStr">
        <is>
          <t>Postnasal drip worsens after eating.</t>
        </is>
      </c>
      <c r="C3358" t="inlineStr">
        <is>
          <t>Anyone has this problem?</t>
        </is>
      </c>
      <c r="D3358" t="n">
        <v>15</v>
      </c>
      <c r="E3358" t="n">
        <v>11</v>
      </c>
      <c r="F3358">
        <f>HYPERLINK("https://www.reddit.com/r/GERD/comments/do8q4b/postnasal_drip_worsens_after_eating/")</f>
        <v/>
      </c>
      <c r="G3358" t="inlineStr">
        <is>
          <t>2019-10-28 06:19:08</t>
        </is>
      </c>
      <c r="H3358" t="inlineStr"/>
    </row>
    <row r="3359">
      <c r="A3359" t="inlineStr">
        <is>
          <t>do9ycn</t>
        </is>
      </c>
      <c r="B3359" t="inlineStr">
        <is>
          <t>Injured my throat almost 8 months Anyone please Help!! trouble eating since then any help is appreciated!</t>
        </is>
      </c>
      <c r="C3359" t="inlineStr">
        <is>
          <t xml:space="preserve"> 
This is going to be long sorry for the length of this i just need any help i can get.
If you have the time please read at least some of this thank you so much!
About 8 months ago at the beginning of March I was eating cheese crackers and pretzels mixed one night, I didn't chew them good and choked. Forgetting all about that incident, the next night I ate the same crackers and pretzels mixed, and then when I had went to bed a felt a terrible pain at the front of my throat. Once I had woke the next day I went to take my daily pill and I noticed my swallowing seemed strange not thinking too much of that. I went to my favorite place to eat, fire house subs, and ordered my usual with chips. Once I got back home to eat it, I choked on a bite and it became difficult to eat the rest. So I decided to take a break and eat the rest later. Once I started to eat the rest later, I don't know if I was able to finish it. I remember having terrible pain and a hard time breathing feeling like something was stuck in my throat
The next day my mom had got me a sandwich from Arby's and I could not swallow that thing. I only ate a few bites and a few fries now I'm realizing there is a problem. I couldn't eat the soup that my mom had made that night. I remember that next week getting up and being able to eat some of a sandwich, but then not the rest because my throat would get tight or tired. I remember one night almost feeling like I was coming out of it. I was able to eat a lot of my mom's dinner, and i felt like i was overcoming this during that time. I would make butter toast in the morning and i was able to eat all of it, but during the day i really wasn't able to eat as the day went on. As i did that for a few weeks and we had discussed me going to the hospital, this would still be about the end of march. Now i woke up one morning and couldn't even drink my coffee. So i contacted my dad. I am having a tough time remembering all that played out. I don't know if it was that day or a few days later, but one day when i went to the ER i couldn't even drink water without getting strangled. The doctor gave me stuff to numb my throat and that stuff had got caught in my throat. I felt like passing out for 30 minutes, and we stayed at the ER all day nothing really got done. I really wanted surgery then and there. The doctor just thought i had developed anxiety from that eating injury. So we went back home, i had only drunk a little bit of water that whole day with no food. Now during this time i do not eat, living off of ensure milks of what little bit i can get down. We keep going back to see if i can get benefits to have medical help; as it eventually turned out i only could be seen in June. It was April by now knowing that i knew it was up to me to heal if i wanted to make it. I believe it was the same day after returning home starting to feel sick, just trying to relax. My grandmother brought me some lemonade, which in retrospect, i know caused my throat to contract and spasm worse; not even being able to drink my milk. I decided to take matters into my own hands and make my way to another Emergency room, because i started feeling really sick and like my doom was impending. No one in my family took me, i had to call a cab as i made my way there. I can barley breathe as i get there. I look at the vending machine wishing i could eat. As they get a room set up for me they x ray me and tell me they don't see no obstruction in my throat. As i was there they had put some liquid in me through an iv, which really helped me to feel better, not seeing no reason to continue my stay there for the night. I walked around in the waiting room able to drink some of my ensure milk. I seemed to improve within 6 hours of resting my throat. I called the cab and returned home to see what the next day held. It was now April and i was only living off of ensure milks. I could feel a tension and a tenderness in my throat. It felt like if i turned my head to the right or to the left that i would pass out, because there would be pressure applied to that area. I started losing a lot of weight at this point; and i am naturally a skinny guy, 5 foot 11, and my normal weight is 135 pounds. I noticed i was losing weight from my butt and cheek bones. At some point during that month i began eating mashed potatoes and Chocolate candy bars with the ensure milks; still not feeling like i was anywhere close to eating regularly, because of the difficulty to eat those things. At some point during May i started taking a antacid pill in the morning, and would continue so for weeks. As i started working, it became very difficult, because at some points during this time i stopped eating mashed potatoes. I would only eat the candy bars, because of choking episodes during this time. I noticed that when i would swallow the milk. It wouldn't come back up so the milk got easier to drink, but as far as my work i had to be let go because of my vitality. We are probably near June now and i am eating mashed potatoes again in conjunction with everything else. At some point during June i remember eating 2 mashed potatoes a day and starting to gain some weight back. I was eating enough, not great or even good, but enough to go on. I did not go to my doctors appointment that was scheduled in June, because i felt like i was healing so it was rescheduled to the first week in August. At this time i was not taking the antacid medication. I was feeling like it had did all it was good for at some point. I would drink these green juice drinks; they would sometimes act my throat up, but sometimes they would not. Also, at some points during this time, i would also eat grits. So now we are about at the beginning of July, and i am still doing my routine. During this time i did try to eat other things; like noodles, a little bit of carrots, things my mom would cook, but i didn't stick with it. My throat still did not feel suitable for that. I live with my family; my mom, my step dad, my sister, and my girlfriend. My family was deciding to go on a vacation near the end of July. I stayed back home during this period. I began to not eat much of my mashed potatoes; felt like my throat was getting strained, even the candy bars and milk became difficult. When my family had returned from vacation, i had declined a lot in those few days that they had left and came back. I couldn't drink or eat a lot, just barley. We knew we had a doctors appointment in just a few weeks. During this time i had learned that my cousin injured his throat years ago from throwing up and had developed bad Acid Reflux. I had to take something for it everyday, so i followed that advice and started taking a natural acid indigestion relief medicine. Seem to some days do better then some days not, so at this point i was just ready to get to the doctor once again. Now we are in August about 5 months in this whole mess, still no answer.
My doctor's appointment was, i believe, the middle of august. We made our way there, as soon as they went to check my weight i noticed i had lost a little bit i had gain in that span of June to July. We go back to see the doctor, he checks me out, and we come to the conclusion that my throat needs to be dilated. So we get a date set up about a weeks later to have that done. I am nervous about getting put to sleep, and that whole thing, but knowing this will be my answer; I am ready to do this. During that week i got really bad, couldn't eat much. It felt like i would throw up and it wasn't going down good at all. I'm losing weight quickly, and i am very anxious to get this done and over with. On the morning of me going to the doctor to have the procedure done, i was advised not to eat or drink until it was over. I was 105 pounds, and i am 5 foot 11.
We make our way to the doctor. I am nervous about getting put to sleep, but also ready. As they roll me into the room, i feel very uncomfortable. They tell me to turn to my side, and they put something in my mouth, that makes me even more uncomfortable. I let the lady know that, with not much of a reaction out of her. I went to my back and was advised to turn to my left again. This whole time i am getting pumped full of anesthesia, and not even aware of it. The doctor pops the bed i'm laying in and i fall back hard on my back. I mentioned something about that, and that is the last thing i remember. As i am waking up i am feeling like i did it. I cant believe it, freedom at last. As i get rolled in the wheel chair, out to the car i'm asking the lady is it ok if I eat regularly. She said it was, but just wait for steak or meat until the next day. So my family and I make our way to Chick-fil-A, and i order macaroni and some fires. As i get back home and start to eat some of it, i am noticing improvement, but still not able to eat a whole fry or macaroni noodle. I eat some of it and heat up mashed potatoes, and i am able to eat the mashed potatoes a lot better. At this point we are getting word that it may just take me a few weeks and everyday i will improve. Probably a week or two went by, i am not getting better and at some point i got worse. I remember straining my throat eating and something else had to be done. During this time it is September, and i began taking a liquid form antacid. We set up another appointment to get a barium swallow test done.I began to improve from taking the antacid. It was slow, but i started setting numbers, like how many bites of mashed potatoes i would eat a day and do 10 more the next day. Once it was time for the barium swallow test; i was nervous, but ready as the doctor gave me the first thing to drink. I noticed it was difficult, but i continued doing the best i could. I would tell him it would feel stuck, and he would say i just seen it go down so i kept on after that drink. The other ones was not that hard for me, but none of them went down smoothly. After the test was done, a few days later they came back saying they saw nothing; i was furious. i don't believe there is an obstruction in my throat, but i can't wrap my head around people that think its all anxiety related. As a few weeks went by, it would now be October, 7 months, since the Initial Injury back in March. I began to improve a lot, also adding blended up bananas into my diet and eating 2 mashed potatoes once again. Now i am currently at the end of October. This is being wrote on October 27th 2019, about 2 days ago i strained my throat; i am still able to eat 1 mashed potatoes, my bananas, milks, and a half of mashed potatoes for dinner. I am in contact with my doctor just trying to get an answer for all of this, and there is no way i believe that it is all anxiety related when i feel pain strain and the horrendous burping I do. If you know of anything or anyone that could help me, it may just save my life if anyone needs a friend or is going through something similar, don't hesitate to reach out.
Email: [thetruthdoublet@gmail.com](mailto:thetruthdoublet@gmail.com)
Past Health Condition's i have had : Hypothyroidism, **Prostatitis** Still on going to an extent but did also heal some
Treatments i have tried : Multiple antacid medications, stretching, honey, dilation of the esophagus
Symptoms : Food Sticking,Burping,Tight Throat,Choking, Acid Reflux</t>
        </is>
      </c>
      <c r="D3359" t="n">
        <v>3</v>
      </c>
      <c r="E3359" t="n">
        <v>8</v>
      </c>
      <c r="F3359">
        <f>HYPERLINK("https://www.reddit.com/r/GERD/comments/do9ycn/injured_my_throat_almost_8_months_anyone_please/")</f>
        <v/>
      </c>
      <c r="G3359" t="inlineStr">
        <is>
          <t>2019-10-28 07:57:02</t>
        </is>
      </c>
      <c r="H3359" t="inlineStr"/>
    </row>
    <row r="3360">
      <c r="A3360" t="inlineStr">
        <is>
          <t>dobovk</t>
        </is>
      </c>
      <c r="B3360" t="inlineStr">
        <is>
          <t>How did you get tested to determine you had GERD?</t>
        </is>
      </c>
      <c r="C3360" t="inlineStr">
        <is>
          <t>I’ve had this problem relatively for a year now and I just did another stool test. I was just informed by my doctor that it came back normal, and to just keep taking my anxiety pills. But I have all the symptoms of GERD/acid reflux. What could I do or should do?</t>
        </is>
      </c>
      <c r="D3360" t="n">
        <v>2</v>
      </c>
      <c r="E3360" t="n">
        <v>16</v>
      </c>
      <c r="F3360">
        <f>HYPERLINK("https://www.reddit.com/r/GERD/comments/dobovk/how_did_you_get_tested_to_determine_you_had_gerd/")</f>
        <v/>
      </c>
      <c r="G3360" t="inlineStr">
        <is>
          <t>2019-10-28 10:03:12</t>
        </is>
      </c>
      <c r="H3360" t="inlineStr"/>
    </row>
    <row r="3361">
      <c r="A3361" t="inlineStr">
        <is>
          <t>docfkz</t>
        </is>
      </c>
      <c r="B3361" t="inlineStr">
        <is>
          <t>Protein Problems</t>
        </is>
      </c>
      <c r="C3361" t="inlineStr">
        <is>
          <t>Does anybody else have trouble eating meat, and eggs?  Regardless of the fat content if I eat very much meat, and especially eggs I get a lot of stomach pain, and nausea with a raw swollen feeling throat.  It will last for hours after the meal.  I can't seem to eat healthy without getting sick.  If you give me junky carbs, I'm mostly alright.  If I try to eat whole foods, it's like I have been poisoned.  BTW I have been diagnosed with with NERD, and IBS-C.  I had delayed stomach emptying for about 6 or 7 months when I fist got sick, but it has normalized.</t>
        </is>
      </c>
      <c r="D3361" t="n">
        <v>1</v>
      </c>
      <c r="E3361" t="n">
        <v>6</v>
      </c>
      <c r="F3361">
        <f>HYPERLINK("https://www.reddit.com/r/GERD/comments/docfkz/protein_problems/")</f>
        <v/>
      </c>
      <c r="G3361" t="inlineStr">
        <is>
          <t>2019-10-28 10:56:02</t>
        </is>
      </c>
      <c r="H3361" t="inlineStr"/>
    </row>
    <row r="3362">
      <c r="A3362" t="inlineStr">
        <is>
          <t>dod31m</t>
        </is>
      </c>
      <c r="B3362" t="inlineStr">
        <is>
          <t>Looking for some comfort (endoscopy in 2 days)</t>
        </is>
      </c>
      <c r="C3362" t="inlineStr">
        <is>
          <t>I have had Acid reflux eevr since I was a kid. It didn't so bad until maybe 4 years ago. About 4 years ago I have had trouble swallowing and would elevate this by forcing myself to burp which made everything feel better temporarily. Somedays it was better than others. Just recently I choked, however I could still talk, at a party. Luckily we had a doctor there and he ordered me to drink water slowly and eventually I puked the damn thing out. It was a wake up call to finally get the endoscopy. I can going very soon and much like everyone I am afraid of this prodecure, but most of all I am afraid this is something very very serious? If I have had this for years and never bothered to do anything about it could it be cancerous? I just turned 25! I know these posts are common, but the anxiety mixed this my issues already is making it hard to even eat food now.</t>
        </is>
      </c>
      <c r="D3362" t="n">
        <v>3</v>
      </c>
      <c r="E3362" t="n">
        <v>11</v>
      </c>
      <c r="F3362">
        <f>HYPERLINK("https://www.reddit.com/r/GERD/comments/dod31m/looking_for_some_comfort_endoscopy_in_2_days/")</f>
        <v/>
      </c>
      <c r="G3362" t="inlineStr">
        <is>
          <t>2019-10-28 11:38:47</t>
        </is>
      </c>
      <c r="H3362" t="inlineStr"/>
    </row>
    <row r="3363">
      <c r="A3363" t="inlineStr">
        <is>
          <t>dod7zk</t>
        </is>
      </c>
      <c r="B3363" t="inlineStr">
        <is>
          <t>How do I make the pain stop?</t>
        </is>
      </c>
      <c r="C3363" t="inlineStr">
        <is>
          <t>So, I have GERD and Barrett's Esophagus no dysplasia and stomach ulcers.  I've been on 20mg Omeprazole once a day, sometimes twice a day if needed as well as 10mg Dicyclomine as needed since my first endoscopy in July.  After I got on the 20mg of Omeprazole it took a week or two but I felt SO. MUCH. BETTER!  Like it was a life changer for me.  I literally felt normal and I haven't felt like that in a long time.  I've also changed my diet.  No alcohol, no coffee or caffeine, no chocolate, nothing with tomatoes, nothing spicy, nothing with a lot of citrus.  These small changes have made a big difference.  I usually start my day with a banana and Greek yogurt.  Lunch and dinner consist of lean meat and vegetables.  
I must have done something this weekend that really messed me up because I have the worst pain I've felt since before I was on medication.  This happened once before where my stomach (where your chest gets soft after your breast plate) hurt so bad for about 24 hours.  Nothing I did fixed it.  No medicine...I went home from work early, sat down and put a heat pad on my stomach.  But still I didn't feel better for about 24 hours.  It's happening again right now.  I have so much pain and it's coming in waves.  It's hard to sit up straight, It's uncomfortable to take deep breaths.  I called my doctor and they said to take the anti spasm medicine they gave me which I did but it's not getting better.  I can't think of anything this weekend that did me in.  I had some ham and turkey sandwiches, scallops and spinach pasta.  Along with some small miscellaneous snacks that I eat regularly like string cheese, crackers and fruit.  I did eat some raspberries and blackberries this weekend, a small carton of each and I just looked up that those can be acidic which I didn't know.  This has been a learning process.
Anyways, does anyone have ideas for dealing with the pain until it goes away?  I also had an ultrasound in August to make sure there were not other issues with my organ specifically my gallbladder and all is good.  Blood work at my routine physical in September was also really good.  It's just this stomach pain that's killing me!  I need to somehow manage it until whatever is in my system is out.  All I want to eat is mashed potatoes.  If anyone has advice THANK YOU!  I'll take any tips.</t>
        </is>
      </c>
      <c r="D3363" t="n">
        <v>9</v>
      </c>
      <c r="E3363" t="n">
        <v>3</v>
      </c>
      <c r="F3363">
        <f>HYPERLINK("https://www.reddit.com/r/GERD/comments/dod7zk/how_do_i_make_the_pain_stop/")</f>
        <v/>
      </c>
      <c r="G3363" t="inlineStr">
        <is>
          <t>2019-10-28 11:47:36</t>
        </is>
      </c>
      <c r="H3363" t="inlineStr"/>
    </row>
    <row r="3364">
      <c r="A3364" t="inlineStr">
        <is>
          <t>dof2f3</t>
        </is>
      </c>
      <c r="B3364" t="inlineStr">
        <is>
          <t>Breakfast and snack ideas?</t>
        </is>
      </c>
      <c r="C3364" t="inlineStr">
        <is>
          <t>I know everyone is different, but do y'all have any breakfasts or snacks y'all would recommend, maybe stuff that could just be bought instead of made at home, if that's possible? My usual banana now causes stomach pain, so that's out. I've been diagnosed with gerd for a couple months now, but I'm still trying to see how certain things affect me and how I can help myself, and being able to eat breakfast while at work and have snacks instead of skipping meals and then having big meals would help quite a bit.</t>
        </is>
      </c>
      <c r="D3364" t="n">
        <v>5</v>
      </c>
      <c r="E3364" t="n">
        <v>4</v>
      </c>
      <c r="F3364">
        <f>HYPERLINK("https://www.reddit.com/r/GERD/comments/dof2f3/breakfast_and_snack_ideas/")</f>
        <v/>
      </c>
      <c r="G3364" t="inlineStr">
        <is>
          <t>2019-10-28 13:46:24</t>
        </is>
      </c>
      <c r="H3364" t="inlineStr"/>
    </row>
    <row r="3365">
      <c r="A3365" t="inlineStr">
        <is>
          <t>dohed4</t>
        </is>
      </c>
      <c r="B3365" t="inlineStr">
        <is>
          <t>New Theory on GERD Ask me anything</t>
        </is>
      </c>
      <c r="C3365" t="inlineStr">
        <is>
          <t>Hey Peeps. I have written a couple of books on a new theory of the underlying cause of GERD that challenges the "relaxing lower esophageal sphincter theory. There's a lot of evidence in support of this new idea. I feel so bad reading these posts. Ask me anything.</t>
        </is>
      </c>
      <c r="D3365" t="n">
        <v>0</v>
      </c>
      <c r="E3365" t="n">
        <v>16</v>
      </c>
      <c r="F3365">
        <f>HYPERLINK("https://www.reddit.com/r/GERD/comments/dohed4/new_theory_on_gerd_ask_me_anything/")</f>
        <v/>
      </c>
      <c r="G3365" t="inlineStr">
        <is>
          <t>2019-10-28 16:29:17</t>
        </is>
      </c>
      <c r="H3365" t="inlineStr"/>
    </row>
    <row r="3366">
      <c r="A3366" t="inlineStr">
        <is>
          <t>doiwox</t>
        </is>
      </c>
      <c r="B3366" t="inlineStr">
        <is>
          <t>How can I do core excerices without messing my hernia up</t>
        </is>
      </c>
      <c r="C3366" t="inlineStr">
        <is>
          <t>Every time I do core I get bad reflux and what not , should I just try it on an empty stomach?</t>
        </is>
      </c>
      <c r="D3366" t="n">
        <v>9</v>
      </c>
      <c r="E3366" t="n">
        <v>19</v>
      </c>
      <c r="F3366">
        <f>HYPERLINK("https://www.reddit.com/r/GERD/comments/doiwox/how_can_i_do_core_excerices_without_messing_my/")</f>
        <v/>
      </c>
      <c r="G3366" t="inlineStr">
        <is>
          <t>2019-10-28 18:28:50</t>
        </is>
      </c>
      <c r="H3366" t="inlineStr"/>
    </row>
    <row r="3367">
      <c r="A3367" t="inlineStr">
        <is>
          <t>dojh01</t>
        </is>
      </c>
      <c r="B3367" t="inlineStr">
        <is>
          <t>Are these typical GERD/LPR symptoms?</t>
        </is>
      </c>
      <c r="C3367" t="inlineStr">
        <is>
          <t>Hey guys I've recently been to the doctor and I don't really know much about the condition. I was worrying that it might be COPD because I live with a germaphobe that obsessively bleaches everything. However I was lead to the conclusion that maybe it be related to acid reflux, hence the diagnosis, but there are still some things I'm curious about and I was wondering if more experience members could ease my worries.
* Acid burps - I used to get these before I took Mylanta and gaviscon, they've long since stopped
* Shortness of breath - It was much worse before the antacids, I was coughing and struggling to breathe
* Late night awakening - I would probably sleep for about maybe 4 hours and struggle to go back to sleep
* Post nasal drip - I can feel feel it dripping down my throat and it's disgusting
* General unwell feeling
* Tingling in hands and feet - I think this more related to my anxiety symptoms more than anything
* Tightness in throat - I'm always swallowing or clearing my throat, but these are intermittent 
* Whistling/Wheezing sound when I breathe out - It also feels like theres some phlegm rattling around in my esophagus
Can GERD/LPR symptoms manifest in symptoms like these? I'm sorta panicking.</t>
        </is>
      </c>
      <c r="D3367" t="n">
        <v>3</v>
      </c>
      <c r="E3367" t="n">
        <v>5</v>
      </c>
      <c r="F3367">
        <f>HYPERLINK("https://www.reddit.com/r/GERD/comments/dojh01/are_these_typical_gerdlpr_symptoms/")</f>
        <v/>
      </c>
      <c r="G3367" t="inlineStr">
        <is>
          <t>2019-10-28 19:14:26</t>
        </is>
      </c>
      <c r="H3367" t="inlineStr"/>
    </row>
    <row r="3368">
      <c r="A3368" t="inlineStr">
        <is>
          <t>dojpa0</t>
        </is>
      </c>
      <c r="B3368" t="inlineStr">
        <is>
          <t>Symptoms normal?</t>
        </is>
      </c>
      <c r="C3368" t="inlineStr">
        <is>
          <t>I’ve been very nervous lately about my symptoms. I have high anxiety anyway. I’m trying not to google but it’s hard not to when the pain is constant... I don’t have any typical heartburn though. Also, I’m getting a barium swallow Friday and I had an endoscopy in January. The gastro just put me on a ppi but I stopped for a while and now I’m on dexilant. Not seeing any improvement. I’m trying the autoimmune paleo diet as of today (I have crohns and hypothyroid as well). 
My symptoms: 
Ear pain
Back pain
Spasm like feeling when trying to go to sleep...like tightening
Sore throat as of today (I teach middle school and have to speak loudly a lot)
Hoarseness 
Regurgitation</t>
        </is>
      </c>
      <c r="D3368" t="n">
        <v>2</v>
      </c>
      <c r="E3368" t="n">
        <v>7</v>
      </c>
      <c r="F3368">
        <f>HYPERLINK("https://www.reddit.com/r/GERD/comments/dojpa0/symptoms_normal/")</f>
        <v/>
      </c>
      <c r="G3368" t="inlineStr">
        <is>
          <t>2019-10-28 19:34:06</t>
        </is>
      </c>
      <c r="H3368" t="inlineStr"/>
    </row>
    <row r="3369">
      <c r="A3369" t="inlineStr">
        <is>
          <t>dok6ln</t>
        </is>
      </c>
      <c r="B3369" t="inlineStr">
        <is>
          <t>My OTC PPI (Nexium) Isn't working as well anymore</t>
        </is>
      </c>
      <c r="C3369" t="inlineStr">
        <is>
          <t>Hey guys I've been taking OTC Nexium 20MG for about 3 weeks now and the first 2 weeks it was working really well had great clarity but now I'm getting acid reflux symptoms and am having to take tums to get back to normal. Should I increase the dosage or try something else like zantac?
Thank you</t>
        </is>
      </c>
      <c r="D3369" t="n">
        <v>2</v>
      </c>
      <c r="E3369" t="n">
        <v>6</v>
      </c>
      <c r="F3369">
        <f>HYPERLINK("https://www.reddit.com/r/GERD/comments/dok6ln/my_otc_ppi_nexium_isnt_working_as_well_anymore/")</f>
        <v/>
      </c>
      <c r="G3369" t="inlineStr">
        <is>
          <t>2019-10-28 20:16:31</t>
        </is>
      </c>
      <c r="H3369" t="inlineStr"/>
    </row>
    <row r="3370">
      <c r="A3370" t="inlineStr">
        <is>
          <t>dol3bt</t>
        </is>
      </c>
      <c r="B3370" t="inlineStr">
        <is>
          <t>Heart palpitations and food feeling like its creeping back up my throat</t>
        </is>
      </c>
      <c r="C3370" t="inlineStr">
        <is>
          <t>Hi everyone, I have been lurking posts for the past two months as I have been dealing with a new issue. 
Over the past 2.5 months I have been having LOTS of heart palpitations that seem to be linked to this sensation of food coming back up my throat. I have seen three doctors and even a cardiologist. I had two holter monitors and an electrocardiogram. My heart appears to be health but I am having between 100-500 PACs per day when its really bad. The PACs are SO difficult to deal with and really driving me crazy.
A couple of days ago my PACs totally stopped and it was a blessing but now they are back again and so is this GERD type feeling. 
Whenever I'm having PACs it feels like food is coming back up my throat and I find myself frequently swallowing. I don't really know what GERD feels like so I'm not sure what to expect.
Have any of you guys had issues with heart palpitations and GERD? I feel like thats what I'm having but not sure. Considering an endoscopy because I have seen that as a common procedure here to tell.</t>
        </is>
      </c>
      <c r="D3370" t="n">
        <v>2</v>
      </c>
      <c r="E3370" t="n">
        <v>4</v>
      </c>
      <c r="F3370">
        <f>HYPERLINK("https://www.reddit.com/r/GERD/comments/dol3bt/heart_palpitations_and_food_feeling_like_its/")</f>
        <v/>
      </c>
      <c r="G3370" t="inlineStr">
        <is>
          <t>2019-10-28 21:44:18</t>
        </is>
      </c>
      <c r="H3370" t="inlineStr"/>
    </row>
    <row r="3371">
      <c r="A3371" t="inlineStr">
        <is>
          <t>dooyo7</t>
        </is>
      </c>
      <c r="B3371" t="inlineStr">
        <is>
          <t>New to this</t>
        </is>
      </c>
      <c r="C3371" t="inlineStr">
        <is>
          <t>I'm a 20 year old college student who has been suffering from reflux since August, but I didn't know it until about a month ago. It began along with a recurrence of anxiety related to emetephobia. I lost 10 pounds in a month, because I refused to eat because of the symptoms and anxiety. Currently I'm experiencing a sour taste every time I eat anything and the occasional heartburn. I keep a bottle of Mylanta with me and take a swig every time I eat. I'm still losing weight and have lost about 15 lbs total (am currently 5' and 110 lbs). Every day I eat less and get more anxious. The PPIs (40 mg omeprazole) haven't done anything (started them about 3 weeks ago) and I've started an anxiety medication (day 6), so that's helping. It's so terrible to wake up every morning feeling sweaty, shakey, and weak because I didn't eat enough the day before. It's scary losing control of my body and mind like this and not having anothet doctor's appointment for 3 weeks. I also started having diarrhea for the last 5 days or so that has a lot of undigested food in it. I'm suspicious that my problem might not be too much stomach acid, but maybe too little, but I feel like the doctors don't care and just want to give me PPIs. I don't know what to do. This is ruining my life to the point where I'm taking next semester off to figure out my health, but I still have about a month and a half left of school before I can do that.</t>
        </is>
      </c>
      <c r="D3371" t="n">
        <v>1</v>
      </c>
      <c r="E3371" t="n">
        <v>4</v>
      </c>
      <c r="F3371">
        <f>HYPERLINK("https://www.reddit.com/r/GERD/comments/dooyo7/new_to_this/")</f>
        <v/>
      </c>
      <c r="G3371" t="inlineStr">
        <is>
          <t>2019-10-29 05:18:00</t>
        </is>
      </c>
      <c r="H3371" t="inlineStr"/>
    </row>
    <row r="3372">
      <c r="A3372" t="inlineStr">
        <is>
          <t>dopl4c</t>
        </is>
      </c>
      <c r="B3372" t="inlineStr">
        <is>
          <t>Is this Acid Reflux?</t>
        </is>
      </c>
      <c r="C3372" t="inlineStr">
        <is>
          <t>I've been having same symptom over the years that my doctor thinks is acid reflux. However, the symptom does not match typical causes of GERD or LPR. I do not have  burning, chest pain, trouble swallowing, regurgitation, lump in throat, sore throat, hoarseness, cough, or nasal congestion.  I just feel a little pressure in the stomach and feel like I need to take a deep breath. Acid reflux medicine does seem to help but I think think that the real cause is something else. 
Anyone else has deep breath as the only symptom?</t>
        </is>
      </c>
      <c r="D3372" t="n">
        <v>1</v>
      </c>
      <c r="E3372" t="n">
        <v>5</v>
      </c>
      <c r="F3372">
        <f>HYPERLINK("https://www.reddit.com/r/GERD/comments/dopl4c/is_this_acid_reflux/")</f>
        <v/>
      </c>
      <c r="G3372" t="inlineStr">
        <is>
          <t>2019-10-29 06:10:40</t>
        </is>
      </c>
      <c r="H3372" t="inlineStr"/>
    </row>
    <row r="3373">
      <c r="A3373" t="inlineStr">
        <is>
          <t>doqps8</t>
        </is>
      </c>
      <c r="B3373" t="inlineStr">
        <is>
          <t>27F, stressing about diagnosis, having GERD-like symptoms</t>
        </is>
      </c>
      <c r="C3373" t="inlineStr">
        <is>
          <t>Hi GERD community, like the title says I'm 27F, healthy weight and pretty healthy diet, nonsmoker, drink about 1x/month.
About a month ago I went to the doc for chest pain, which was dx as costochondritis and I was given 500 mg naproxen 2x a day to be taken with food for a month...
About 2 days into this treatment I started having a gnawing feeling in my stomach sort of between breastbone and navel, so I started taking some zantac that I had in the cabinet. I continued that for like 7 days, until I ran out (went to the pharmacy to buy more but it's recalled so I just went without, i didn't know at the time that pepcid would be a reasonable substitute). At this time I'm out of town for work and SUPER stressed out with no relief from my chest pain but I'm still taking the naproxen. Panic sends me to urgent care, where they said it's likely musculoskeletal after a clean ecg and a clean chest x-ray.
About 2 weeks ago I woke up in the hotel with a burning acid feeling in my throat. It was really painful and freaked me out, and since I wasn't at home with my own medicine cabinet, I didn't have any tums or anything, only water. I compulsively swallowed a few times and then fell back asleep. After the following morning, I stopped taking the naproxen without consulting the doc because I was worried it was connected to the throat burning. At this point i have basically no appetite and my throat feels tight, not like a sore throat feeling but like constricted?
When I got back into town, I had a spell of nighttime nausea that woke me up, leading to dry heaving. The next morning, I went to a different doc on the same team (at my University they have primary care teams and you just see who you can for the most part) who told me to not take any more naproxen (switched to otc Tylenol for chest pain only when severe) and gave me a script for zantac150 2x a day since the stuff at my University's pharmacy was not affected by the recall.
Yesterday (another week later) i went back to the doctor since I've had no improvement after a week on the zantac. Upper chest feels tight (mostly when eating), throat feels tight, and I can't distinguish what might be costo and what is digestive. My anxiety is through the roof and I'm losing weight from not being able to eat. I have an appetite, but I'm having severe indigestion that stops me from finishing any meals. I've cut caffeine and all the other refluxy foods from my diet and have been propping myself up to sleep and not eating 3 hours before bed. I've also been having mucous in the throat (started about a week ago) and congestion/runny nose but no other signs of upper respiratory problem. Having hoarseness and needing to clear my throat but I'm not full-blown coughing. I'm not sure if this is related or not. Either way, last night about an hour after bland dinner, I burped up a combo of food+ acid into my throat again which is super frustrating. CBC came back good, still waiting for results of h. Pylori breath test and enzyme bloodwork. 
My questions: can 2.5 weeks of naproxen really mess me up this bad? Is it possible that I have something underlying that has contributed to this? Is there anything else I can be doing to help myself through this? I'm really freaked out that this is going to totally flip my life upside down. I'm also freaked out that i have some really bad advanced disease that is just starting to show symptoms.
Tldr; might have given myself nsaid belly, h2s aren't helping after 1+ week, panicking severely.</t>
        </is>
      </c>
      <c r="D3373" t="n">
        <v>2</v>
      </c>
      <c r="E3373" t="n">
        <v>28</v>
      </c>
      <c r="F3373">
        <f>HYPERLINK("https://www.reddit.com/r/GERD/comments/doqps8/27f_stressing_about_diagnosis_having_gerdlike/")</f>
        <v/>
      </c>
      <c r="G3373" t="inlineStr">
        <is>
          <t>2019-10-29 07:37:31</t>
        </is>
      </c>
      <c r="H3373" t="inlineStr"/>
    </row>
    <row r="3374">
      <c r="A3374" t="inlineStr">
        <is>
          <t>doshu8</t>
        </is>
      </c>
      <c r="B3374" t="inlineStr">
        <is>
          <t>Stressing about gerd, thinking maybe it's something else?</t>
        </is>
      </c>
      <c r="C3374" t="inlineStr">
        <is>
          <t>I know it's probably not smart to compare symptoms because we're all different, but I'm starting to think my attempt to fight gerd is in fact causing more harm than good and I might not even have it. 
Back in 2015 I went to the doctor, ER, and an urgent care facility for the same symptoms that I'm having now, tightness in my throat, feeling like I'm not getting enough air, lump in my throat, some of the textbook symptoms of gerd. I'm fat, so I feel like it's obvious my diet isn't good and each doctor I spoke to back then was pretty dead set on acid reflux and depression/anxiety being the culprit, but with Omeprazole and tums and whatever else I had at the time did absolutely nothing for me. In fact, I swear it made my breathing worse. I got so worked up over it that I missed work and lived in complete panic for months. It was terrible and at one point I took Benadryl just because I knew it might help me sleep. Miraculously, I got really good sleep and thought it was odd after so long without a good night's sleep because of "relux". So I did some thinking and remember a doctor told me I had some cobblestoning, common for allergies and it was smokey that year but nothing to worry about. I googled it and confirmed allergies can be a real bitch and do all kinds of things aside from the typical itchy eyes and sneezing. I took one of my roommates zrytecs on a whim and low and behold, I was cured. It was a miracle, after 6 months of feeling like I was going to die, I was cured. I was in disbelief for weeks just waiting for it to come back and it never did.
So now, fast forward to 2019 and the same time if year, with almost the same symptoms, I only doubt my previous miracle because zrytec didn't do the trick this time. I'm back on Omeprazole and cut trigger foods out but I feel like when I take Omeprazole it makes my stomach really tight, my esophagus feels pinched or something and overall I feel like shit, like lethargic because I can't breath or feel like I'm breathing right and pressure under my sternum, but above my stomach. I started taking Allegra and that seemed to help, almost like the same aha moment from way back, but back then I stopped the Omeprazole a day or two before trying zrytec and I'm still feeling symptoms daily. Maybe I have a tolerance for zrytec now after taking it so much since 2015?
I'm thinking about stopping Omeprazole tomorrow to see how it goes, but I was hoping to see if anyone has had similar issues or weird situations like this. I imagine someone who found out they had a severe allergy that looked like gerd probably wouldn't be here anymore since they figured it out. But here's hoping.
TL;Dr symptoms centers around breathing, zero heartburn, burps or pain, all fixed in 2015 with allergy meds, but now I'm in the same boat and allergy meds aren't working.</t>
        </is>
      </c>
      <c r="D3374" t="n">
        <v>1</v>
      </c>
      <c r="E3374" t="n">
        <v>2</v>
      </c>
      <c r="F3374">
        <f>HYPERLINK("https://www.reddit.com/r/GERD/comments/doshu8/stressing_about_gerd_thinking_maybe_its_something/")</f>
        <v/>
      </c>
      <c r="G3374" t="inlineStr">
        <is>
          <t>2019-10-29 09:46:20</t>
        </is>
      </c>
      <c r="H3374" t="inlineStr"/>
    </row>
    <row r="3375">
      <c r="A3375" t="inlineStr">
        <is>
          <t>doufpk</t>
        </is>
      </c>
      <c r="B3375" t="inlineStr">
        <is>
          <t>Switching from Zantac to Pepcid</t>
        </is>
      </c>
      <c r="C3375" t="inlineStr">
        <is>
          <t xml:space="preserve">  Hey everyone. I have been taking Zantac 150 twice daily for 3 years because it was the only thing that helped with reflux symptoms. Trying to switch to Pepcid because of the recall and was wondering if anyone had heard any recommendations on the dosage. I’m taking 20mg twice daily but am having symptoms of shortness of breath, sore throat, runny nose, some nausea when eating meals that I haven’t experienced in a long time. On Zantac I only dealt with reflux with trigger foods but now it’s pretty much any meal. 
Is 40mg of Pepcid actually the equivalent of Zantac 150? Asking here because my doctor just recommends ppis which have never worked for me. If anyone has made a successful switch let me know. Hopefully Zantac comes back sooner than later.</t>
        </is>
      </c>
      <c r="D3375" t="n">
        <v>4</v>
      </c>
      <c r="E3375" t="n">
        <v>4</v>
      </c>
      <c r="F3375">
        <f>HYPERLINK("https://www.reddit.com/r/GERD/comments/doufpk/switching_from_zantac_to_pepcid/")</f>
        <v/>
      </c>
      <c r="G3375" t="inlineStr">
        <is>
          <t>2019-10-29 12:02:00</t>
        </is>
      </c>
      <c r="H3375" t="inlineStr"/>
    </row>
    <row r="3376">
      <c r="A3376" t="inlineStr">
        <is>
          <t>dovdga</t>
        </is>
      </c>
      <c r="B3376" t="inlineStr">
        <is>
          <t>Anyone taken Nexium before?</t>
        </is>
      </c>
      <c r="C3376" t="inlineStr">
        <is>
          <t>I was on omeprazole 20mg but it was causing some not so fun side effects. The doctor put me on Nexium so I took my first dose last night before dinner and proceeded to have the worst night of my life. I assume it’s the Nexium because I’ve never taken it before and I didn’t do anything else differently. I was up all night with intense gas in my chest and trouble swallowing because of mucus. 
Anyone else have a bad experience with Nexium? Or do you think the symptoms are unrelated?</t>
        </is>
      </c>
      <c r="D3376" t="n">
        <v>2</v>
      </c>
      <c r="E3376" t="n">
        <v>4</v>
      </c>
      <c r="F3376">
        <f>HYPERLINK("https://www.reddit.com/r/GERD/comments/dovdga/anyone_taken_nexium_before/")</f>
        <v/>
      </c>
      <c r="G3376" t="inlineStr">
        <is>
          <t>2019-10-29 13:06:34</t>
        </is>
      </c>
      <c r="H3376" t="inlineStr"/>
    </row>
    <row r="3377">
      <c r="A3377" t="inlineStr">
        <is>
          <t>dow5n5</t>
        </is>
      </c>
      <c r="B3377" t="inlineStr">
        <is>
          <t>Just ate a mrTom</t>
        </is>
      </c>
      <c r="C3377" t="inlineStr">
        <is>
          <t>A peanut snicker sweet thingy. I reacted badly to it.... What what is new to is: I refluxed a lot of muccus. Just minutes after eating... I don't understand... Where does it come from? And how? If it is my belly. Why isn't there peanut inside? Or acid? If is pepsin. How can it be soooo much?it felt like a half mouth full.</t>
        </is>
      </c>
      <c r="D3377" t="n">
        <v>2</v>
      </c>
      <c r="E3377" t="n">
        <v>0</v>
      </c>
      <c r="F3377">
        <f>HYPERLINK("https://www.reddit.com/r/GERD/comments/dow5n5/just_ate_a_mrtom/")</f>
        <v/>
      </c>
      <c r="G3377" t="inlineStr">
        <is>
          <t>2019-10-29 13:59:08</t>
        </is>
      </c>
      <c r="H3377" t="inlineStr"/>
    </row>
    <row r="3378">
      <c r="A3378" t="inlineStr">
        <is>
          <t>dowcap</t>
        </is>
      </c>
      <c r="B3378" t="inlineStr">
        <is>
          <t>Aching Ribs And GI Tips</t>
        </is>
      </c>
      <c r="C3378" t="inlineStr">
        <is>
          <t>I continue to have this Rib ache that is fairly mild, but very annoying. It seems to be at the tips of the rib bones under sternum about the area where stomach/gallbladder would be. I’ll occasionally get sharp little zinger pains on the sides of my ribs too.
It’s not my only symptom, but is for sure the most annoying.
I have GI appointment next week. Any tips to get things going? I feel like doctors move at a snail pace. Don’t want to be sent home with “Try this for a couple of weeks”.</t>
        </is>
      </c>
      <c r="D3378" t="n">
        <v>2</v>
      </c>
      <c r="E3378" t="n">
        <v>15</v>
      </c>
      <c r="F3378">
        <f>HYPERLINK("https://www.reddit.com/r/GERD/comments/dowcap/aching_ribs_and_gi_tips/")</f>
        <v/>
      </c>
      <c r="G3378" t="inlineStr">
        <is>
          <t>2019-10-29 14:11:30</t>
        </is>
      </c>
      <c r="H3378" t="inlineStr"/>
    </row>
    <row r="3379">
      <c r="A3379" t="inlineStr">
        <is>
          <t>dowe5b</t>
        </is>
      </c>
      <c r="B3379" t="inlineStr">
        <is>
          <t>This disease is so ridiculous</t>
        </is>
      </c>
      <c r="C3379" t="inlineStr">
        <is>
          <t>Why is my body reacting to everything I eat? Spinach? Fire. Oatmeal? Fire. Sweet potato? Fire. It just gets exhausting dealing with this bullshit 24/7.</t>
        </is>
      </c>
      <c r="D3379" t="n">
        <v>36</v>
      </c>
      <c r="E3379" t="n">
        <v>20</v>
      </c>
      <c r="F3379">
        <f>HYPERLINK("https://www.reddit.com/r/GERD/comments/dowe5b/this_disease_is_so_ridiculous/")</f>
        <v/>
      </c>
      <c r="G3379" t="inlineStr">
        <is>
          <t>2019-10-29 14:15:01</t>
        </is>
      </c>
      <c r="H3379" t="inlineStr"/>
    </row>
    <row r="3380">
      <c r="A3380" t="inlineStr">
        <is>
          <t>doz3iq</t>
        </is>
      </c>
      <c r="B3380" t="inlineStr">
        <is>
          <t>No food 3-4 hours before bed. What about water/tea/other beverages?</t>
        </is>
      </c>
      <c r="C3380" t="inlineStr">
        <is>
          <t>I started a lower acid diet a couple weeks ago and have been modifying my behavior (smaller meals, raised bed, no food 3-4 hours before bed) and it's really been helping with my GERD and LPR symptoms. I'm curious if it's okay to start having a hot tea or some almond milk during that 3-4 hours between dinner and bed? Or will the liquid still be likely to reflux during sleep and better off with just an empty stomach? Thanks!</t>
        </is>
      </c>
      <c r="D3380" t="n">
        <v>8</v>
      </c>
      <c r="E3380" t="n">
        <v>6</v>
      </c>
      <c r="F3380">
        <f>HYPERLINK("https://www.reddit.com/r/GERD/comments/doz3iq/no_food_34_hours_before_bed_what_about/")</f>
        <v/>
      </c>
      <c r="G3380" t="inlineStr">
        <is>
          <t>2019-10-29 17:31:06</t>
        </is>
      </c>
      <c r="H3380" t="inlineStr"/>
    </row>
    <row r="3381">
      <c r="A3381" t="inlineStr">
        <is>
          <t>dozrjq</t>
        </is>
      </c>
      <c r="B3381" t="inlineStr">
        <is>
          <t>Heart palpitations (rant)</t>
        </is>
      </c>
      <c r="C3381" t="inlineStr">
        <is>
          <t>I am already diagnosed with gerd. I fixed most of my problems with just apple cider vinegar. Before I used lansoprazole but it didn't work for me. This is seriously pissing me off. I'm the most chillest person ever, I'm not even that anxious. I get heart palpitations like almost all the time. I rarely panic over it but I don't understand this shit anymore. Like I thought gerd was acid reflux and heart burn, now I'm getting chest pains and palpitations. This is fucking ridiculous. There's literally nothing I can do. I could be chilling in my bed and watching some YouTube vids, and my heart beat stops then seconds later it hits me with a big one. It's actually so annoying. I have managed my acid reflux and other shit but this heart shit is just not getting better. I don't want to live my life with my heart beat tweaking every 10 seconds. The worst thing is the ECG/EKG I did, didn't even catch it, so now my parents think I'm faking it and over reacting. I'm actually so mad that I even got this ugly ass disease. I didn't even do anything to deserve this. One day I was fine, then the next day it hit me like a jacked airplane. I play soccer and basketball, I eat decent. I'm at a normal weight for a 15 year old of my height. I even have an existential crisis now, and I don't know if it was because of my gerd. I'm experiencing something new every week and I'm tired of it. How the fuck has scientist not figured this shit out. All this shit is so stupid to me. Why do we have to change everything about our life because of this. I don't sleep the same anymore, I sleep like I'm sitting. I don't eat the same anymore, I eat small meals. I don't do shit the same anymore. Motivation to do things is crippling at an all time low. 
I have no one to fucking rant to in real life. Everyone is fucking happy living their life and enjoying it while I can't even do anything but suffer this bull shit. I had to say everything I needed to say here because atleast some of you guys fucking understand this bullshit we have to live with.
I don't care what anyone fucking says. When your heart starts tweaking, that's when you know it's fucking serious. I hate doctors that fucking claim its anxiety.</t>
        </is>
      </c>
      <c r="D3381" t="n">
        <v>3</v>
      </c>
      <c r="E3381" t="n">
        <v>14</v>
      </c>
      <c r="F3381">
        <f>HYPERLINK("https://www.reddit.com/r/GERD/comments/dozrjq/heart_palpitations_rant/")</f>
        <v/>
      </c>
      <c r="G3381" t="inlineStr">
        <is>
          <t>2019-10-29 18:22:01</t>
        </is>
      </c>
      <c r="H3381" t="inlineStr"/>
    </row>
    <row r="3382">
      <c r="A3382" t="inlineStr">
        <is>
          <t>dp0ape</t>
        </is>
      </c>
      <c r="B3382" t="inlineStr">
        <is>
          <t>Recall?? What do I do now?</t>
        </is>
      </c>
      <c r="C3382" t="inlineStr">
        <is>
          <t>Like many of you, I've been taking generic Zantac (Ranitidine) to help with my GERD symptoms but it's been recalled and I just found out about it today. I've been out for a few days and trying to hold myself over with Tums and Pepto.
I've never taken an PPI and have no idea how I would need to take it. Over a year ago a doctor told me just to take Prilosec OTC but they never went into the specifics of how long I need to take it, so I just forgot about it.
Hoping to go to an Urgent Care tomorrow, but what recommendations do you guys have? What have doctors told you about PPIs and taking them? Have they actually helped you? And what's the whole thing with weening yourself off them?</t>
        </is>
      </c>
      <c r="D3382" t="n">
        <v>3</v>
      </c>
      <c r="E3382" t="n">
        <v>9</v>
      </c>
      <c r="F3382">
        <f>HYPERLINK("https://www.reddit.com/r/GERD/comments/dp0ape/recall_what_do_i_do_now/")</f>
        <v/>
      </c>
      <c r="G3382" t="inlineStr">
        <is>
          <t>2019-10-29 19:04:18</t>
        </is>
      </c>
      <c r="H3382" t="inlineStr"/>
    </row>
    <row r="3383">
      <c r="A3383" t="inlineStr">
        <is>
          <t>dp0oa2</t>
        </is>
      </c>
      <c r="B3383" t="inlineStr">
        <is>
          <t>Sore throat for 28 days without any other symptom is this LPR?</t>
        </is>
      </c>
      <c r="C3383" t="inlineStr">
        <is>
          <t>22 year old male here, never had any stomach or heartburn problem , im having a sore that that started like a common flu , but without fever.
My only symptom now is the sore throat  . And the throat culture didn’t appear any bacteria or anything .
* no post nasal drip
*no cough at all
* no globus sensation
*no breathing or deglution problems
*no choking sensation
* no hoarseness in voice 
Also the pain is noticeable in the mornings but kind of go away in the day, but still present, its not a intense sensation just an uncomfortable one , started very bad but now is “bearable” but its taking my anxiety thotugh the roof, in LPR is normal to have a sore throat 24/7?</t>
        </is>
      </c>
      <c r="D3383" t="n">
        <v>3</v>
      </c>
      <c r="E3383" t="n">
        <v>7</v>
      </c>
      <c r="F3383">
        <f>HYPERLINK("https://www.reddit.com/r/GERD/comments/dp0oa2/sore_throat_for_28_days_without_any_other_symptom/")</f>
        <v/>
      </c>
      <c r="G3383" t="inlineStr">
        <is>
          <t>2019-10-29 19:35:27</t>
        </is>
      </c>
      <c r="H3383" t="inlineStr"/>
    </row>
    <row r="3384">
      <c r="A3384" t="inlineStr">
        <is>
          <t>dp11dq</t>
        </is>
      </c>
      <c r="B3384" t="inlineStr">
        <is>
          <t>Spontaneous choking while sleeping? Wakes me up 1-2x / month</t>
        </is>
      </c>
      <c r="C3384" t="inlineStr">
        <is>
          <t>My GERD has gotten progressively worse over the past two years, most likely due to poor diet and stress. I’m able to manage most of my symptoms with the exception of the following: a couple times a month I’ll be woken up by what feels like choking on my own spit. It will take my breath away and cause me to cough violently. While this doesn’t happen too often it does feel like the frequency is increasing. Do you think this could be related to my GERD / LPR? If so any thoughts on how to stop it?</t>
        </is>
      </c>
      <c r="D3384" t="n">
        <v>4</v>
      </c>
      <c r="E3384" t="n">
        <v>6</v>
      </c>
      <c r="F3384">
        <f>HYPERLINK("https://www.reddit.com/r/GERD/comments/dp11dq/spontaneous_choking_while_sleeping_wakes_me_up/")</f>
        <v/>
      </c>
      <c r="G3384" t="inlineStr">
        <is>
          <t>2019-10-29 20:06:13</t>
        </is>
      </c>
      <c r="H3384" t="inlineStr"/>
    </row>
    <row r="3385">
      <c r="A3385" t="inlineStr">
        <is>
          <t>dp2kvq</t>
        </is>
      </c>
      <c r="B3385" t="inlineStr">
        <is>
          <t>Acid Reflux symptoms for the last month; Looking for a method to test trigger foods</t>
        </is>
      </c>
      <c r="C3385" t="inlineStr">
        <is>
          <t>My stomach has always been pretty sensitive and gerd runs in my family but it wasn’t till last month that I accepted I have gerd.
For the last couple weeks I’ve been trying to stay away from tomatoes, alcohol, caffeine and high fat foods etc. but it’s hard to stay regimented when I still feel symptoms no matter how clean I eat.
I’ve gone to the doctor and gotten blood/stool work done and everything’s come back normal. Next step is going to a nutritionist.
Please share any tips on how you tested for trigger foods! Or resources you’ve used to determine acidity. I’m so over the reflux and daily google searches.</t>
        </is>
      </c>
      <c r="D3385" t="n">
        <v>2</v>
      </c>
      <c r="E3385" t="n">
        <v>5</v>
      </c>
      <c r="F3385">
        <f>HYPERLINK("https://www.reddit.com/r/GERD/comments/dp2kvq/acid_reflux_symptoms_for_the_last_month_looking/")</f>
        <v/>
      </c>
      <c r="G3385" t="inlineStr">
        <is>
          <t>2019-10-29 22:44:16</t>
        </is>
      </c>
      <c r="H3385" t="inlineStr"/>
    </row>
    <row r="3386">
      <c r="A3386" t="inlineStr">
        <is>
          <t>dp2tig</t>
        </is>
      </c>
      <c r="B3386" t="inlineStr">
        <is>
          <t>Alternative to morning coffee?</t>
        </is>
      </c>
      <c r="C3386" t="inlineStr">
        <is>
          <t>Hello - I have esophagitis and as per the doc I should avoid coffee altogether to avoid any heartburn. I used to consume 3 cups a day but it has been several months now that I have been away from coffee but there are times when I have a strong urge to drink coffee (I know right!). I wanted to know what are some alternative hot drinks that can be consumed. I have heard of turmeric lattes but haven't tried it yet.   
And I agree, it totally depends on the individual, something that works for someone doesn't necessarily work for others but I am curious to know what hot beverages people consume to avoid acid reflux. Appreciate any suggestions! :)</t>
        </is>
      </c>
      <c r="D3386" t="n">
        <v>2</v>
      </c>
      <c r="E3386" t="n">
        <v>13</v>
      </c>
      <c r="F3386">
        <f>HYPERLINK("https://www.reddit.com/r/GERD/comments/dp2tig/alternative_to_morning_coffee/")</f>
        <v/>
      </c>
      <c r="G3386" t="inlineStr">
        <is>
          <t>2019-10-29 23:14:12</t>
        </is>
      </c>
      <c r="H3386" t="inlineStr"/>
    </row>
    <row r="3387">
      <c r="A3387" t="inlineStr">
        <is>
          <t>dp3n3y</t>
        </is>
      </c>
      <c r="B3387" t="inlineStr">
        <is>
          <t>Esophagitis healing... if anyone has successfully healed it , help ?</t>
        </is>
      </c>
      <c r="C3387" t="inlineStr">
        <is>
          <t>Would it be a wise thing to just literally eat ONE food that I'm okay with, and keep eating it until i'm fully healed ? Every single time I'm doing good I end up f\*\*\*\*\*\* it up by eating something within the end of the first week with no symptoms. Anyone else going through the same thing ? Every time I mess up R.I.P my sore throat for the rest of the day. Luckily it doesn't stay the next day but yeah. I've asked here before and everyone says dieting , dieting , dieting. So I figured maybe it might be a good idea to just eat one thing and keep it simple. 
&amp;amp;#x200B;
&amp;amp;#x200B;
By the way\* Before, my symptoms were A LOT worse before I got diagnosed with it, but after I took 2 months of nexium, symptoms got way better, but now when I take nexium it makes things worse. So I take pepcid, with much better success. But still can't manage to get to 100% as those who know, until it's fully healed, even a little acid coming up just won't cut it.</t>
        </is>
      </c>
      <c r="D3387" t="n">
        <v>0</v>
      </c>
      <c r="E3387" t="n">
        <v>0</v>
      </c>
      <c r="F3387">
        <f>HYPERLINK("https://www.reddit.com/r/GERD/comments/dp3n3y/esophagitis_healing_if_anyone_has_successfully/")</f>
        <v/>
      </c>
      <c r="G3387" t="inlineStr">
        <is>
          <t>2019-10-30 00:57:30</t>
        </is>
      </c>
      <c r="H3387" t="inlineStr"/>
    </row>
    <row r="3388">
      <c r="A3388" t="inlineStr">
        <is>
          <t>dp5vgm</t>
        </is>
      </c>
      <c r="B3388" t="inlineStr">
        <is>
          <t>Update: Endoscopy Findings</t>
        </is>
      </c>
      <c r="C3388" t="inlineStr">
        <is>
          <t>As I mentioned last time, I accompanied my boyfriend to an endoscopy earlier today. The results showed
- Erosive Gastritis
- Signs of early stomach ulcer
- Z line 36 cm from incisors
He was again just told by the doctor the things he should avoid, tested for H. Pylori (he’ll get the results in two days) and given meds such as omeprazole and domperidone.
The doctor said he got nothing to worry about.
Has anyone of you guys been in the same situation? I’m just worried about my boyfriend.</t>
        </is>
      </c>
      <c r="D3388" t="n">
        <v>6</v>
      </c>
      <c r="E3388" t="n">
        <v>20</v>
      </c>
      <c r="F3388">
        <f>HYPERLINK("https://www.reddit.com/r/GERD/comments/dp5vgm/update_endoscopy_findings/")</f>
        <v/>
      </c>
      <c r="G3388" t="inlineStr">
        <is>
          <t>2019-10-30 05:12:53</t>
        </is>
      </c>
      <c r="H3388" t="inlineStr"/>
    </row>
    <row r="3389">
      <c r="A3389" t="inlineStr">
        <is>
          <t>dpa4nl</t>
        </is>
      </c>
      <c r="B3389" t="inlineStr">
        <is>
          <t>Do i have GERD?</t>
        </is>
      </c>
      <c r="C3389" t="inlineStr">
        <is>
          <t>So recently(past 5 days) ive been burping pretty much all day off and on. Not the usual open mouth belches you get after eating alot, but small hicup like burps in my throat. After some research i saw that these symptoms might be caused from GERD, but the thing is...burping is my only symptom. No stomach aches, no acid reflux, and no heartburn. I do however occasionally feel a lump like sensation in my throat, but i just assume it's from anxiety since this was happening before i started burping constantly. If any of you have had these symptoms and been diagnosed with GERD, or believe this might be something else your imput would be greatly appreciated.</t>
        </is>
      </c>
      <c r="D3389" t="n">
        <v>0</v>
      </c>
      <c r="E3389" t="n">
        <v>4</v>
      </c>
      <c r="F3389">
        <f>HYPERLINK("https://www.reddit.com/r/GERD/comments/dpa4nl/do_i_have_gerd/")</f>
        <v/>
      </c>
      <c r="G3389" t="inlineStr">
        <is>
          <t>2019-10-30 10:50:45</t>
        </is>
      </c>
      <c r="H3389" t="inlineStr"/>
    </row>
    <row r="3390">
      <c r="A3390" t="inlineStr">
        <is>
          <t>dpb4lc</t>
        </is>
      </c>
      <c r="B3390" t="inlineStr">
        <is>
          <t>Decreased sense of smell and taste?</t>
        </is>
      </c>
      <c r="C3390" t="inlineStr">
        <is>
          <t>Hello,
so I am 18 years old and got GERD about two years ago, was diagnosed one year ago after a gastroscopy. I also have Laryngitis and Pharyngitis, probably caused by acid. The doctor also found a small hiatal hernia, but said my reflux isn't caused by it but rather by my irritable stomach. Im not overweight, my BMI is 20.4. I have heartburn around 2-3 times a day and the following symtomps:
\-coughing
\-sore throat
\-globus sensation
\-constantly having to clear my throat
\-always feeling like having a cold
\-trouble swallowing food
\-hoarseness
\-nausea 
I completely stopped drinking coffe months ago and I hardly drink carbonated beverages anymore, still the symptoms worsen. PPI didn't really help, so I quit those after taking 80mg pantoprazol daily for 6 weeks. 
After exercise (for example one minute of jumping rope)  my airways swell up and I have difficulties breathing. I also get a headache and my stamina in general decreased. 
When eating, I have lots of air coming out of my stomach and I'm full after 10 minutes, even though I didn't eat much and I'm still hungry. Im often feeling bloated and full, even if I didn't eat. Especially after waking up. 
Is it normal that my sense of taste and smell decreased around 50%? I have to salt a lot in order to taste properly, for others it tastes oversalted. 
I tried gaviscon and while it helps against heartburn, the other symtoms didn't relief. 
I would greatly appreciate any advice. 
Thanks for reading.</t>
        </is>
      </c>
      <c r="D3390" t="n">
        <v>3</v>
      </c>
      <c r="E3390" t="n">
        <v>6</v>
      </c>
      <c r="F3390">
        <f>HYPERLINK("https://www.reddit.com/r/GERD/comments/dpb4lc/decreased_sense_of_smell_and_taste/")</f>
        <v/>
      </c>
      <c r="G3390" t="inlineStr">
        <is>
          <t>2019-10-30 12:03:21</t>
        </is>
      </c>
      <c r="H3390" t="inlineStr"/>
    </row>
    <row r="3391">
      <c r="A3391" t="inlineStr">
        <is>
          <t>dpbq9p</t>
        </is>
      </c>
      <c r="B3391" t="inlineStr">
        <is>
          <t>Rebound</t>
        </is>
      </c>
      <c r="C3391" t="inlineStr">
        <is>
          <t>How long can I expect this to last before it settles down? I’ve been on 40mg omeprazole a day for a month now. 20mg 2x a day. I’ve been tapering out my morning dose for almost 2 weeks now. First I would skip a day, now I’m skipping 2 days. I’ve been getting horrible heartburn lately that is hard to get to go away. I’ve never gotten heartburn before up until trying to quit this medication.
I have an endoscopy this Friday and I’m worried they’re going to see lots of damage from the heartburn I’ve been dealing with this week. I wish I never started this medication :(</t>
        </is>
      </c>
      <c r="D3391" t="n">
        <v>3</v>
      </c>
      <c r="E3391" t="n">
        <v>6</v>
      </c>
      <c r="F3391">
        <f>HYPERLINK("https://www.reddit.com/r/GERD/comments/dpbq9p/rebound/")</f>
        <v/>
      </c>
      <c r="G3391" t="inlineStr">
        <is>
          <t>2019-10-30 12:46:05</t>
        </is>
      </c>
      <c r="H3391" t="inlineStr"/>
    </row>
    <row r="3392">
      <c r="A3392" t="inlineStr">
        <is>
          <t>dpcobs</t>
        </is>
      </c>
      <c r="B3392" t="inlineStr">
        <is>
          <t>Just discovered my boyfriend may have GERD or possibly something else. What steps can we take?</t>
        </is>
      </c>
      <c r="C3392" t="inlineStr">
        <is>
          <t>My boyfriend experienced some incredibly uncomfortable pain that he thought was heartburn, since he experiences heartburn almost every day for several years now. Previously he has taken Rennie for it but earlier this year, the doctor prescribed Omeprazole, 20mg. 
He said it started to feel like heartburn like near the throat and chest but then it started hurting in the middle, right below his rib cage. He has had this continuous pain for 2 days now. He went to the doctor yesterday and they prescribed him Omeprazole, 40mg and scheduled an endoscopy. That procedure isn't due until weeks, if not months from now. He is in pain and didn't go to work today and won't be going tomorrow either. It seems like it's GERD, but you guys know better I do and he hasn't been diagnosed. 
We are taking precaution and he isn't eating anything acidic and having only completely bland foods. Even some movement or lying down will make it worse so he has been sleeping upright, like he normally does with his usual heartburn pain. What do you guys think?</t>
        </is>
      </c>
      <c r="D3392" t="n">
        <v>3</v>
      </c>
      <c r="E3392" t="n">
        <v>3</v>
      </c>
      <c r="F3392">
        <f>HYPERLINK("https://www.reddit.com/r/GERD/comments/dpcobs/just_discovered_my_boyfriend_may_have_gerd_or/")</f>
        <v/>
      </c>
      <c r="G3392" t="inlineStr">
        <is>
          <t>2019-10-30 13:53:12</t>
        </is>
      </c>
      <c r="H3392" t="inlineStr"/>
    </row>
    <row r="3393">
      <c r="A3393" t="inlineStr">
        <is>
          <t>dpd25w</t>
        </is>
      </c>
      <c r="B3393" t="inlineStr">
        <is>
          <t>Symptoms match up with GERD/Acid Reflux</t>
        </is>
      </c>
      <c r="C3393" t="inlineStr">
        <is>
          <t>I've had this problem for over a year now, with the symptoms varying (all correlating with GERD, though) to varying degrees. But I noticed much of what I'm experiencing is unique to just me, like eye problems among other more personal issues. And to make matters confusing, I've been eating citrus fruits and chocolate cookies and feeling just fine. Even sour candy. Maybe my GERD/acid reflux isn't as bad?
I've gone to 4 different doctors now, and they always end up diagnosing me with anxiety and depression. Claiming it's all in my head, or I'm making it worse for myself. I recently did a stool test, and it came back normal with my new doctor, so he doesn't think it's necessary for me to see get an endoscopy. But I know whatever I have, it has to be related to my stomach because I was throwing up months ago and lost a ton of weight. although it's true that my diet is pretty bad, as in all I eat is white rice and chicken, then fruit like oranges, strawberries, bananas, jicama, also ice cream, and that's pretty much it. Sometimes I'll eat some soup, but that was months ago. 
Here are symptoms that I have that are more persistant:
Heart burn, eye problems--seeing floating stars, black dots and strings, weight loss, appetite loss, bowel movement problem, chest pain (?) phlegms, hair loss, dry hands, feeling dizzy when I stand up. 
I also experienced a personal problem downstairs, that I ended up asking to see a urologist in a month. Which means a lack of interest and inability to do the deed... if you catch my drift.
Does anyone experience the same thing with their gerd/acid reflux, or is it that I have a more severe version of the stomach problem?</t>
        </is>
      </c>
      <c r="D3393" t="n">
        <v>1</v>
      </c>
      <c r="E3393" t="n">
        <v>9</v>
      </c>
      <c r="F3393">
        <f>HYPERLINK("https://www.reddit.com/r/GERD/comments/dpd25w/symptoms_match_up_with_gerdacid_reflux/")</f>
        <v/>
      </c>
      <c r="G3393" t="inlineStr">
        <is>
          <t>2019-10-30 14:20:07</t>
        </is>
      </c>
      <c r="H3393" t="inlineStr"/>
    </row>
    <row r="3394">
      <c r="A3394" t="inlineStr">
        <is>
          <t>dpd58z</t>
        </is>
      </c>
      <c r="B3394" t="inlineStr">
        <is>
          <t>Daiya Cheese Is Great Alternative</t>
        </is>
      </c>
      <c r="C3394" t="inlineStr">
        <is>
          <t>Something I’ve been trying ot has a way to have cheese without dairy. Not a bad alternative when mixed into things of melted.
I wouldn’t recommend eating it plain from the bag, has a very odd consistency.
Been using it on salads and stuff with pretty good success. Figured I share!
[Daiya Cheese](https://www.target.com/p/daiya-dairy-free-shredded-mozzarella-cheese-7-1oz/-/A-53408970?ref=tgt_adv_XS000000&amp;amp;AFID=google_pla_df&amp;amp;fndsrc=tgtao&amp;amp;CPNG=PLA_Grocery%2BShopping_Local&amp;amp;adgroup=SC_Grocery&amp;amp;LID=700000001170770pgs&amp;amp;network=g&amp;amp;device=m&amp;amp;location=9018721&amp;amp;ds_rl=1246978&amp;amp;ds_rl=1247077&amp;amp;ds_rl=1246978&amp;amp;gclid=Cj0KCQjw6eTtBRDdARIsANZWjYYx6ANmzTI-kgHqWubxYQr2HzaBAwhz_V-Q23uWlsXatU35zBZIzrwaAig4EALw_wcB&amp;amp;gclsrc=aw.ds)</t>
        </is>
      </c>
      <c r="D3394" t="n">
        <v>11</v>
      </c>
      <c r="E3394" t="n">
        <v>7</v>
      </c>
      <c r="F3394">
        <f>HYPERLINK("https://www.reddit.com/r/GERD/comments/dpd58z/daiya_cheese_is_great_alternative/")</f>
        <v/>
      </c>
      <c r="G3394" t="inlineStr">
        <is>
          <t>2019-10-30 14:26:06</t>
        </is>
      </c>
      <c r="H3394" t="inlineStr"/>
    </row>
    <row r="3395">
      <c r="A3395" t="inlineStr">
        <is>
          <t>dpefw7</t>
        </is>
      </c>
      <c r="B3395" t="inlineStr">
        <is>
          <t>How do you guys deal with traveling?</t>
        </is>
      </c>
      <c r="C3395" t="inlineStr">
        <is>
          <t>I tend to get these burps when I travel and it usually leads to mild nausea and overall discomfort.
I don't know if it's motion sickness or just the GERD acting up.
Any suggestions on how to avoid this during long travels?</t>
        </is>
      </c>
      <c r="D3395" t="n">
        <v>2</v>
      </c>
      <c r="E3395" t="n">
        <v>3</v>
      </c>
      <c r="F3395">
        <f>HYPERLINK("https://www.reddit.com/r/GERD/comments/dpefw7/how_do_you_guys_deal_with_traveling/")</f>
        <v/>
      </c>
      <c r="G3395" t="inlineStr">
        <is>
          <t>2019-10-30 15:57:01</t>
        </is>
      </c>
      <c r="H3395" t="inlineStr"/>
    </row>
    <row r="3396">
      <c r="A3396" t="inlineStr">
        <is>
          <t>dpfhh4</t>
        </is>
      </c>
      <c r="B3396" t="inlineStr">
        <is>
          <t>testing for LPR?</t>
        </is>
      </c>
      <c r="C3396" t="inlineStr">
        <is>
          <t>Is there a way I can do this from home? The ENT can’t get me in until 11/20/19.</t>
        </is>
      </c>
      <c r="D3396" t="n">
        <v>3</v>
      </c>
      <c r="E3396" t="n">
        <v>1</v>
      </c>
      <c r="F3396">
        <f>HYPERLINK("https://www.reddit.com/r/GERD/comments/dpfhh4/testing_for_lpr/")</f>
        <v/>
      </c>
      <c r="G3396" t="inlineStr">
        <is>
          <t>2019-10-30 17:14:01</t>
        </is>
      </c>
      <c r="H3396" t="inlineStr"/>
    </row>
    <row r="3397">
      <c r="A3397" t="inlineStr">
        <is>
          <t>dpfqtc</t>
        </is>
      </c>
      <c r="B3397" t="inlineStr">
        <is>
          <t>Pepsin</t>
        </is>
      </c>
      <c r="C3397" t="inlineStr">
        <is>
          <t>Is pepsin more of the culprit with LPR?  I have to assume it is based on my Restech results, which showed my pH level only dipping as low as 6 and going back up to 7.</t>
        </is>
      </c>
      <c r="D3397" t="n">
        <v>10</v>
      </c>
      <c r="E3397" t="n">
        <v>5</v>
      </c>
      <c r="F3397">
        <f>HYPERLINK("https://www.reddit.com/r/GERD/comments/dpfqtc/pepsin/")</f>
        <v/>
      </c>
      <c r="G3397" t="inlineStr">
        <is>
          <t>2019-10-30 17:34:04</t>
        </is>
      </c>
      <c r="H3397" t="inlineStr"/>
    </row>
    <row r="3398">
      <c r="A3398" t="inlineStr">
        <is>
          <t>dpigox</t>
        </is>
      </c>
      <c r="B3398" t="inlineStr">
        <is>
          <t>Anyone heard of “pivot protocol”?</t>
        </is>
      </c>
      <c r="C3398" t="inlineStr">
        <is>
          <t>I just discovered it online because I’m at my wit’s end with meds. I’m open to trying natural ways of living with gerd so I did some googling and found this [website](https://pivotprotocol.com/cold-reflux)
Just wondering if anyone has heard of it or knows if the video is actually helpful. Thanks!</t>
        </is>
      </c>
      <c r="D3398" t="n">
        <v>3</v>
      </c>
      <c r="E3398" t="n">
        <v>2</v>
      </c>
      <c r="F3398">
        <f>HYPERLINK("https://www.reddit.com/r/GERD/comments/dpigox/anyone_heard_of_pivot_protocol/")</f>
        <v/>
      </c>
      <c r="G3398" t="inlineStr">
        <is>
          <t>2019-10-30 21:20:24</t>
        </is>
      </c>
      <c r="H3398" t="inlineStr"/>
    </row>
    <row r="3399">
      <c r="A3399" t="inlineStr">
        <is>
          <t>dpjmml</t>
        </is>
      </c>
      <c r="B3399" t="inlineStr">
        <is>
          <t>Do I Have GERD?</t>
        </is>
      </c>
      <c r="C3399" t="inlineStr">
        <is>
          <t>I’m a 18 year old male, and I’ve been having this crazy pain in my chest since June. My mom suggested it was heartburn. I’m just tired of feeling so uncomfortable, I sit up an rock back in forth it hurts so bad!!</t>
        </is>
      </c>
      <c r="D3399" t="n">
        <v>1</v>
      </c>
      <c r="E3399" t="n">
        <v>9</v>
      </c>
      <c r="F3399">
        <f>HYPERLINK("https://www.reddit.com/r/GERD/comments/dpjmml/do_i_have_gerd/")</f>
        <v/>
      </c>
      <c r="G3399" t="inlineStr">
        <is>
          <t>2019-10-30 23:28:33</t>
        </is>
      </c>
      <c r="H3399" t="inlineStr"/>
    </row>
    <row r="3400">
      <c r="A3400" t="inlineStr">
        <is>
          <t>dpkbkl</t>
        </is>
      </c>
      <c r="B3400" t="inlineStr">
        <is>
          <t>What Antacids or Proton-Pump Inhibitors can I get over the counter (OTC)?</t>
        </is>
      </c>
      <c r="C3400" t="inlineStr">
        <is>
          <t>I suffer with IBS mostly, and I find my previous irregular prescriptions of Omeprazole helped a lot. But, the Doctor's don't seem to want to keep me on them for the long-term. With IBS, I find Acid Reflux accompanies it often. Gaviscon works for mild symptoms but not when I am having a severe flare-up. 
Any antacids, probiotics, PPI's you'd recommend (UK)?</t>
        </is>
      </c>
      <c r="D3400" t="n">
        <v>1</v>
      </c>
      <c r="E3400" t="n">
        <v>2</v>
      </c>
      <c r="F3400">
        <f>HYPERLINK("https://www.reddit.com/r/GERD/comments/dpkbkl/what_antacids_or_protonpump_inhibitors_can_i_get/")</f>
        <v/>
      </c>
      <c r="G3400" t="inlineStr">
        <is>
          <t>2019-10-31 00:56:01</t>
        </is>
      </c>
      <c r="H3400" t="inlineStr"/>
    </row>
    <row r="3401">
      <c r="A3401" t="inlineStr">
        <is>
          <t>dpkhjr</t>
        </is>
      </c>
      <c r="B3401" t="inlineStr">
        <is>
          <t>Forcing Postnasal drip out through mouth. LPR.</t>
        </is>
      </c>
      <c r="C3401" t="inlineStr">
        <is>
          <t>If you force your throat to get rid of postnasal drip or mucus. Does it supposedly give you relief or does it irritate and damages the throat more?</t>
        </is>
      </c>
      <c r="D3401" t="n">
        <v>1</v>
      </c>
      <c r="E3401" t="n">
        <v>1</v>
      </c>
      <c r="F3401">
        <f>HYPERLINK("https://www.reddit.com/r/GERD/comments/dpkhjr/forcing_postnasal_drip_out_through_mouth_lpr/")</f>
        <v/>
      </c>
      <c r="G3401" t="inlineStr">
        <is>
          <t>2019-10-31 01:17:22</t>
        </is>
      </c>
      <c r="H3401" t="inlineStr"/>
    </row>
    <row r="3402">
      <c r="A3402" t="inlineStr">
        <is>
          <t>dpl9o9</t>
        </is>
      </c>
      <c r="B3402" t="inlineStr">
        <is>
          <t>Prescribed Pantoprazole for month. Will I be ok when I get off it ?</t>
        </is>
      </c>
      <c r="C3402" t="inlineStr">
        <is>
          <t>Was diagnosed with mild gerd , anxiety and ibs
Was prescribed Pantoprazole and anxiety drug plus another gerd drug for a month 
Will I be ok after I get off this drugs after a month 
I  can eat more and my weight has increased as I didn’t feel any appetite and weight was dropping</t>
        </is>
      </c>
      <c r="D3402" t="n">
        <v>7</v>
      </c>
      <c r="E3402" t="n">
        <v>15</v>
      </c>
      <c r="F3402">
        <f>HYPERLINK("https://www.reddit.com/r/GERD/comments/dpl9o9/prescribed_pantoprazole_for_month_will_i_be_ok/")</f>
        <v/>
      </c>
      <c r="G3402" t="inlineStr">
        <is>
          <t>2019-10-31 02:53:37</t>
        </is>
      </c>
      <c r="H3402" t="inlineStr"/>
    </row>
    <row r="3403">
      <c r="A3403" t="inlineStr">
        <is>
          <t>dplozc</t>
        </is>
      </c>
      <c r="B3403" t="inlineStr">
        <is>
          <t>Better at night and in the morning.</t>
        </is>
      </c>
      <c r="C3403" t="inlineStr">
        <is>
          <t>I read a lot that people have the most problems at night. Well my symptoms are better at night and in the morning. They seem to get worse during the day, especially if I have a stressful day. Anyone have similar experience?</t>
        </is>
      </c>
      <c r="D3403" t="n">
        <v>3</v>
      </c>
      <c r="E3403" t="n">
        <v>8</v>
      </c>
      <c r="F3403">
        <f>HYPERLINK("https://www.reddit.com/r/GERD/comments/dplozc/better_at_night_and_in_the_morning/")</f>
        <v/>
      </c>
      <c r="G3403" t="inlineStr">
        <is>
          <t>2019-10-31 03:40:09</t>
        </is>
      </c>
      <c r="H3403" t="inlineStr"/>
    </row>
    <row r="3404">
      <c r="A3404" t="inlineStr">
        <is>
          <t>dpmg41</t>
        </is>
      </c>
      <c r="B3404" t="inlineStr">
        <is>
          <t>Uncommon GERD symptoms?</t>
        </is>
      </c>
      <c r="C3404" t="inlineStr">
        <is>
          <t>I have been diagnosed with IBS but i’ve recently been experiencing some symptoms that seem more consistent with GERD.  Wondering if anyone else has had experience with this?  I don’t have any acid burps or heartburn, but I frequently have a sensation of a “sweet” liquid or burp sitting in my throat.  It also frequently feels like there’s pressure in my throat, and i will occasionally have the sensation of food getting stuck and taking a looong time to slide down my esophagus.  I’m burping frequently but 9/10 times they’re just normal gas and not acidic.  
The last and weirdest symptoms is the upper GI bloating with audible gurgling/percolating sounds.  I can massage my stomach with my fists to cause gurgling sounds and even liquid movement, but throughout the day I have a hard bloated stomach that causes nausea esp when I have burps and the sweet lump feeling in my throat.
Does this sound like GERD? I’m not able to see my GP for another month, but my husband has been giving me omeprazole since he also has GERD.</t>
        </is>
      </c>
      <c r="D3404" t="n">
        <v>2</v>
      </c>
      <c r="E3404" t="n">
        <v>10</v>
      </c>
      <c r="F3404">
        <f>HYPERLINK("https://www.reddit.com/r/GERD/comments/dpmg41/uncommon_gerd_symptoms/")</f>
        <v/>
      </c>
      <c r="G3404" t="inlineStr">
        <is>
          <t>2019-10-31 04:55:43</t>
        </is>
      </c>
      <c r="H3404" t="inlineStr"/>
    </row>
    <row r="3405">
      <c r="A3405" t="inlineStr">
        <is>
          <t>dpps2a</t>
        </is>
      </c>
      <c r="B3405" t="inlineStr">
        <is>
          <t>Unsure if I have LPR?</t>
        </is>
      </c>
      <c r="C3405" t="inlineStr">
        <is>
          <t>So about 2 months ago I developed what I thought was a standard cold. I had coughing, sinus pressure, never any runny nose or sore throat though, just kinda raspy voice for a couple days. I went to the doctor after 3 weeks because I continued to cough up mucus. He told me I had a sinus infection and to take mucinex/flonase/tylenol and just let my sinuses drain (said something like this was going around that lasted a while). I also had a tonsil stone at this time, which i never knew existed - but that's another story haha, no more of those.
 Two weeks after I was on vacation in Kauai and every day I would cough up mucus, especially in the morning. I used an online doctor service that my insurance has and got prescribed a week of augmentin.
Fast forward another month and the first hour I'm awake every morning I feel the need to cough. I can tell one of my sinuses is clogged (because I cant breathe through one of my nostrils) but I don't have a runny nose or sound congested. Idk if is the post nasal drip that makes me want to cough, but eventually I cough up some mucus and its gone for the rest of the day (and my sinuses clear). However, the past couple weeks about once a day I notice that I accidentally "choke" on something. Like yesterday at work I was drinking my water and it went down the wrong pipe or something and I started coughing for about 1 minute. I have an appointment to go to the doctor next week again, just wondering if I should bring up LPR. I don't have a sore throat, heartburn or hoarse voice so I'm not entirely convinced. Throughout this time I've been able to work, exercise, live my daily life without any issues. I don't know if my throat area is just getting tired from the coughing, but the choking or difficultly swallowing sensation is kind of making me wonder. 
I am 28, no chronic health issues, never diagnosed with GERD or allergies or anything, but starting to think something more then just a "lingering sinus infection" is going on. Its been a total of 2 months with a morning cough everyday! Do you think LPR could be the cause? Or at least could be irritating my sinuses?</t>
        </is>
      </c>
      <c r="D3405" t="n">
        <v>3</v>
      </c>
      <c r="E3405" t="n">
        <v>8</v>
      </c>
      <c r="F3405">
        <f>HYPERLINK("https://www.reddit.com/r/GERD/comments/dpps2a/unsure_if_i_have_lpr/")</f>
        <v/>
      </c>
      <c r="G3405" t="inlineStr">
        <is>
          <t>2019-10-31 09:13:35</t>
        </is>
      </c>
      <c r="H3405" t="inlineStr"/>
    </row>
    <row r="3406">
      <c r="A3406" t="inlineStr">
        <is>
          <t>dppx49</t>
        </is>
      </c>
      <c r="B3406" t="inlineStr">
        <is>
          <t>Anyone use Tagamet?</t>
        </is>
      </c>
      <c r="C3406" t="inlineStr">
        <is>
          <t>I’ve had GERD for the last five years. PPIs made me feel weird, and Pepcid AC gave me terrible headaches. I eventually found Zantac - 75mg with lunch and dinner (maybe a third before bed just in case) - and it worked perfectly. 
Given the recall and current Zantac scare, I am exploring alternatives. My doctors first recommendation was Tagamet. It seems to work somewhat but nowhere near as effective as Zantac. Specifically, it seems to have a shorter duration and its particularly killing me while sleeping. I am waking up with terrible sore throats. 
Anyone have any success with Tagamet? If so how do you use it?</t>
        </is>
      </c>
      <c r="D3406" t="n">
        <v>2</v>
      </c>
      <c r="E3406" t="n">
        <v>3</v>
      </c>
      <c r="F3406">
        <f>HYPERLINK("https://www.reddit.com/r/GERD/comments/dppx49/anyone_use_tagamet/")</f>
        <v/>
      </c>
      <c r="G3406" t="inlineStr">
        <is>
          <t>2019-10-31 09:23:46</t>
        </is>
      </c>
      <c r="H3406" t="inlineStr"/>
    </row>
    <row r="3407">
      <c r="A3407" t="inlineStr">
        <is>
          <t>dpubzo</t>
        </is>
      </c>
      <c r="B3407" t="inlineStr">
        <is>
          <t>Red Throat for 6 Months</t>
        </is>
      </c>
      <c r="C3407" t="inlineStr">
        <is>
          <t>Hello all, I been having bad heartburn for 6 months, my throat is really red too and burns when its cold at night.   Do you guys get red throat that never go away?  My taste buds on beginning of my tongue are pretty swelled also, I have been trying take antacid and drink lots of water, also change my diet, but it doesn't seem to get better.   
Was just wondering if red throat and swollen taste buds on the tongue are common GERD symptoms.</t>
        </is>
      </c>
      <c r="D3407" t="n">
        <v>2</v>
      </c>
      <c r="E3407" t="n">
        <v>1</v>
      </c>
      <c r="F3407">
        <f>HYPERLINK("https://www.reddit.com/r/GERD/comments/dpubzo/red_throat_for_6_months/")</f>
        <v/>
      </c>
      <c r="G3407" t="inlineStr">
        <is>
          <t>2019-10-31 14:32:33</t>
        </is>
      </c>
      <c r="H3407" t="inlineStr"/>
    </row>
    <row r="3408">
      <c r="A3408" t="inlineStr">
        <is>
          <t>dpud28</t>
        </is>
      </c>
      <c r="B3408" t="inlineStr">
        <is>
          <t>Morning Sickness</t>
        </is>
      </c>
      <c r="C3408" t="inlineStr">
        <is>
          <t>Anyone else have horrible nausea in the morning time mostly? I’m currently on a PPI but I don’t really feel like it’s helping at all. I have nausea in the morning and the rest of the day is cramping and heartburn. Anyone have any recommendations for some different medicine I could try. I’m desperate and so tired of being so sick in the morning.</t>
        </is>
      </c>
      <c r="D3408" t="n">
        <v>7</v>
      </c>
      <c r="E3408" t="n">
        <v>11</v>
      </c>
      <c r="F3408">
        <f>HYPERLINK("https://www.reddit.com/r/GERD/comments/dpud28/morning_sickness/")</f>
        <v/>
      </c>
      <c r="G3408" t="inlineStr">
        <is>
          <t>2019-10-31 14:34:32</t>
        </is>
      </c>
      <c r="H3408" t="inlineStr"/>
    </row>
    <row r="3409">
      <c r="A3409" t="inlineStr">
        <is>
          <t>dpupzr</t>
        </is>
      </c>
      <c r="B3409" t="inlineStr">
        <is>
          <t>GERD</t>
        </is>
      </c>
      <c r="C3409" t="inlineStr">
        <is>
          <t>So I heard apple cider helps with GERD from here, but how do I take it lol? Do I just take a shot of it or do I drink alot I have a good size bottle of it. I took some famotidine this morning an it relived the pain for awhile an I got hungry so I hate some carrots an broccoli but my heart burn came straight back.. can anyone help me? Sorry to bother y’all</t>
        </is>
      </c>
      <c r="D3409" t="n">
        <v>2</v>
      </c>
      <c r="E3409" t="n">
        <v>5</v>
      </c>
      <c r="F3409">
        <f>HYPERLINK("https://www.reddit.com/r/GERD/comments/dpupzr/gerd/")</f>
        <v/>
      </c>
      <c r="G3409" t="inlineStr">
        <is>
          <t>2019-10-31 14:59:44</t>
        </is>
      </c>
      <c r="H3409" t="inlineStr"/>
    </row>
    <row r="3410">
      <c r="A3410" t="inlineStr">
        <is>
          <t>dpy7lj</t>
        </is>
      </c>
      <c r="B3410" t="inlineStr">
        <is>
          <t>Headaches?</t>
        </is>
      </c>
      <c r="C3410" t="inlineStr">
        <is>
          <t>I’ve had a headache off and on for the last couple Days has anyone else had this?</t>
        </is>
      </c>
      <c r="D3410" t="n">
        <v>2</v>
      </c>
      <c r="E3410" t="n">
        <v>12</v>
      </c>
      <c r="F3410">
        <f>HYPERLINK("https://www.reddit.com/r/GERD/comments/dpy7lj/headaches/")</f>
        <v/>
      </c>
      <c r="G3410" t="inlineStr">
        <is>
          <t>2019-10-31 19:29:58</t>
        </is>
      </c>
      <c r="H3410" t="inlineStr"/>
    </row>
    <row r="3411">
      <c r="A3411" t="inlineStr">
        <is>
          <t>dpz2nx</t>
        </is>
      </c>
      <c r="B3411" t="inlineStr">
        <is>
          <t>Nervous and in pain!</t>
        </is>
      </c>
      <c r="C3411" t="inlineStr">
        <is>
          <t>Hi there, I came here to try to find an answer to what I think is horrible acid reflux or maybe GERD?
I wake up in the middle of the night and it feels like I'm being strangled and there is a ball of fire in my throat. My mouth waters and sometimes I throw up. It comes in waves like burps almost coming up. No chest pain really. Nothing seems to help. I drank a lot of Gaviscon last night, and it eased it enough that I eventually could fall asleep. Today I feel hungover!! My throat is always so sore, horse voice, and burping.....how can I stop this, I'm exhausted and in pain!</t>
        </is>
      </c>
      <c r="D3411" t="n">
        <v>0</v>
      </c>
      <c r="E3411" t="n">
        <v>3</v>
      </c>
      <c r="F3411">
        <f>HYPERLINK("https://www.reddit.com/r/GERD/comments/dpz2nx/nervous_and_in_pain/")</f>
        <v/>
      </c>
      <c r="G3411" t="inlineStr">
        <is>
          <t>2019-10-31 20:49:41</t>
        </is>
      </c>
      <c r="H3411" t="inlineStr"/>
    </row>
    <row r="3412">
      <c r="A3412" t="inlineStr">
        <is>
          <t>dpzi15</t>
        </is>
      </c>
      <c r="B3412" t="inlineStr">
        <is>
          <t>Nausea</t>
        </is>
      </c>
      <c r="C3412" t="inlineStr">
        <is>
          <t>It's absolutely the worst nausea I've experienced. It only happens at night and it never goes past the extreme nausea. Any suggestions?</t>
        </is>
      </c>
      <c r="D3412" t="n">
        <v>5</v>
      </c>
      <c r="E3412" t="n">
        <v>7</v>
      </c>
      <c r="F3412">
        <f>HYPERLINK("https://www.reddit.com/r/GERD/comments/dpzi15/nausea/")</f>
        <v/>
      </c>
      <c r="G3412" t="inlineStr">
        <is>
          <t>2019-10-31 21:32:13</t>
        </is>
      </c>
      <c r="H3412" t="inlineStr"/>
    </row>
    <row r="3413">
      <c r="A3413" t="inlineStr">
        <is>
          <t>dq0twj</t>
        </is>
      </c>
      <c r="B3413" t="inlineStr">
        <is>
          <t>Is this GERD??? Graphic image included</t>
        </is>
      </c>
      <c r="C3413" t="inlineStr">
        <is>
          <t>so for the past month, i've been dealing with symptoms of acid reflux. some symptoms had disappeared but now seem to be reappearing again after taking Nexium 40mg. day 3 of nexium....
at first, i wasn't too worried about it and didn't take any PPI's that my doctor prescribed me and hoped it would just go away on it's own and for a good week, it went away and my appetite came back but i still had the feeling like phlegm was stuck in my throat and was constantly swallowing but it would just come back but it didn't concern me at first.
now it's all came back to me, the feeling of heartburn and acid creeping up my esophagus, belching every now and then, chest pains, but this time it seems worse. (i should have taken the PPI from the beginning) now i'm having bowel issues along with it. i was constipated for a week (small black stools like rabbit poo and it lead to a anal fissure and i'm embarrassed to say this but one night, i was sitting at my desk and felt like i was going to pass gas and when i felt it come out, i pooped myself but it was all just liquid. apologies for graphic images but i'm trying to be as honest as i can here)  i got my diet under control and started to eat more fiber and my stools are now starting to look normal but still a little constipated. back to the acid reflux..... 
my appetite has completely vanished again, my throat is on fire (ive also developed tonstil stones and a lump at the side of my throat. i'll insert photo below as i'm quite worried about the lump at the side of my throat and the cobble stone throat with bumps so can please someone inform what this is and if i should go back to my GP to have it looked at more) i'm constantly bloated too, no matter what i eat i'm always bloated, even swallowing water hurts. 
btw for the past month, ive been to my doctor like well over 10 times because i've been struggling with this and my doctor referred  me to get a endoscopy.
alright so 2 days ago, i went to my doctor telling her about all of this and she looked at my throat and seen no signs of tonsil stones when they are clearly there in the photo and the lump too (i'm going to go back but see a different doctor) shes advised me to stick with the nexium until my endoscopy in a months time (december 16th) kinda pooping my pants over that.....aha funny joke! 
at the moment, the only thing greatly bugging me is the sore throat and the lump in my throat along with the tonsil stones as i think it may be all related to the acid coming up and destroying my throat. until, i wait to see the doctor again to look at my throat, does anyone have any ideas what this may or any tips to ease my throat? 
 [https://imgur.com/a/chx8VZC](https://imgur.com/a/chx8VZC)  (graphic, apologies)</t>
        </is>
      </c>
      <c r="D3413" t="n">
        <v>2</v>
      </c>
      <c r="E3413" t="n">
        <v>3</v>
      </c>
      <c r="F3413">
        <f>HYPERLINK("https://www.reddit.com/r/GERD/comments/dq0twj/is_this_gerd_graphic_image_included/")</f>
        <v/>
      </c>
      <c r="G3413" t="inlineStr">
        <is>
          <t>2019-11-01 00:10:37</t>
        </is>
      </c>
      <c r="H3413" t="inlineStr"/>
    </row>
    <row r="3414">
      <c r="A3414" t="inlineStr">
        <is>
          <t>dq2d10</t>
        </is>
      </c>
      <c r="B3414" t="inlineStr">
        <is>
          <t>Side effect of omeprazole/famotidine?</t>
        </is>
      </c>
      <c r="C3414" t="inlineStr">
        <is>
          <t>Hi all!
I’ve been taking 20mg omeprazole each morning for the last month and 20 mg famotidine at night, docs orders, and every morning for the last week or two I have a BM that comes out solid-ish and gets super mushy, losing all form, in the toilet.  I only go once in the morning, so it’s not D all day, but it’s a little off-putting that it happens every morning without fail.  Is this common when taking the PPI and H2 blocker, or one or the other?
Thanks!</t>
        </is>
      </c>
      <c r="D3414" t="n">
        <v>1</v>
      </c>
      <c r="E3414" t="n">
        <v>4</v>
      </c>
      <c r="F3414">
        <f>HYPERLINK("https://www.reddit.com/r/GERD/comments/dq2d10/side_effect_of_omeprazolefamotidine/")</f>
        <v/>
      </c>
      <c r="G3414" t="inlineStr">
        <is>
          <t>2019-11-01 03:25:50</t>
        </is>
      </c>
      <c r="H3414" t="inlineStr"/>
    </row>
    <row r="3415">
      <c r="A3415" t="inlineStr">
        <is>
          <t>dq4159</t>
        </is>
      </c>
      <c r="B3415" t="inlineStr">
        <is>
          <t>Vinaigrettes without Vinegar?</t>
        </is>
      </c>
      <c r="C3415" t="inlineStr">
        <is>
          <t>Vinegar really messes me up to the point where if I have like two tablespoons of balsamic vinaigrette on my (very big) salad, I’ll have problems with my GERD. Not like MAJOR problems so I’ve been sucking it up and dealing with it, but if there’s something better out there I would like to try it. 
The only problem is, I love salad but am quite picky about my dressings. I just don’t like many. Creamy dressings gross me out (whether or not they’re made with real dairy or not). I prefer the “thin” consistency of a vinaigrette, just not the vinegar aspect. I have considered doing just plain olive oil but the texture of that kind of skeeves me out, too. 
Are there any non-creamy, non-vinegar-based dressings out there or should I just add dry spices to my salads instead?</t>
        </is>
      </c>
      <c r="D3415" t="n">
        <v>3</v>
      </c>
      <c r="E3415" t="n">
        <v>5</v>
      </c>
      <c r="F3415">
        <f>HYPERLINK("https://www.reddit.com/r/GERD/comments/dq4159/vinaigrettes_without_vinegar/")</f>
        <v/>
      </c>
      <c r="G3415" t="inlineStr">
        <is>
          <t>2019-11-01 06:11:03</t>
        </is>
      </c>
      <c r="H3415" t="inlineStr"/>
    </row>
    <row r="3416">
      <c r="A3416" t="inlineStr">
        <is>
          <t>dq4qsx</t>
        </is>
      </c>
      <c r="B3416" t="inlineStr">
        <is>
          <t>Any way to increase absorption?</t>
        </is>
      </c>
      <c r="C3416" t="inlineStr">
        <is>
          <t>Rather than eating more and getting gerd , is theee a way to increase absorption of nutrients?
Any doctor have any ideas besides enzymes</t>
        </is>
      </c>
      <c r="D3416" t="n">
        <v>5</v>
      </c>
      <c r="E3416" t="n">
        <v>4</v>
      </c>
      <c r="F3416">
        <f>HYPERLINK("https://www.reddit.com/r/GERD/comments/dq4qsx/any_way_to_increase_absorption/")</f>
        <v/>
      </c>
      <c r="G3416" t="inlineStr">
        <is>
          <t>2019-11-01 07:10:33</t>
        </is>
      </c>
      <c r="H3416" t="inlineStr"/>
    </row>
    <row r="3417">
      <c r="A3417" t="inlineStr">
        <is>
          <t>dq65u3</t>
        </is>
      </c>
      <c r="B3417" t="inlineStr">
        <is>
          <t>What do you eat for snacks or small meals?</t>
        </is>
      </c>
      <c r="C3417" t="inlineStr">
        <is>
          <t>I'm trying to find some healthy, low acidic snacks I could incorporate into my diet because I'm sick of just eating 3 meals a day and want to aim for 5 meals instead. What do you guys think?</t>
        </is>
      </c>
      <c r="D3417" t="n">
        <v>1</v>
      </c>
      <c r="E3417" t="n">
        <v>3</v>
      </c>
      <c r="F3417">
        <f>HYPERLINK("https://www.reddit.com/r/GERD/comments/dq65u3/what_do_you_eat_for_snacks_or_small_meals/")</f>
        <v/>
      </c>
      <c r="G3417" t="inlineStr">
        <is>
          <t>2019-11-01 08:57:37</t>
        </is>
      </c>
      <c r="H3417" t="inlineStr"/>
    </row>
    <row r="3418">
      <c r="A3418" t="inlineStr">
        <is>
          <t>dq6hxx</t>
        </is>
      </c>
      <c r="B3418" t="inlineStr">
        <is>
          <t>Abdomen/Stomach pain after Endoscopy</t>
        </is>
      </c>
      <c r="C3418" t="inlineStr">
        <is>
          <t>I just had the procedure done yesterday. Everything felt great until I ate food a few hours later and my stomach starting hurting for an hour or so. Each time I ate or drank I got a slight-medium pain. I called my doctor he said it's probably gas trapped inside. Come this morning, the usual hunger pain I get was intensified by 100. Is this something that is normal?</t>
        </is>
      </c>
      <c r="D3418" t="n">
        <v>1</v>
      </c>
      <c r="E3418" t="n">
        <v>5</v>
      </c>
      <c r="F3418">
        <f>HYPERLINK("https://www.reddit.com/r/GERD/comments/dq6hxx/abdomenstomach_pain_after_endoscopy/")</f>
        <v/>
      </c>
      <c r="G3418" t="inlineStr">
        <is>
          <t>2019-11-01 09:21:25</t>
        </is>
      </c>
      <c r="H3418" t="inlineStr"/>
    </row>
    <row r="3419">
      <c r="A3419" t="inlineStr">
        <is>
          <t>dq72zq</t>
        </is>
      </c>
      <c r="B3419" t="inlineStr">
        <is>
          <t>Endoscopy advice</t>
        </is>
      </c>
      <c r="C3419" t="inlineStr">
        <is>
          <t>my mom got lucky and has gotten me a earlier endoscopy appointment in about 2 weeks rather than in a month. it's great news but i was told to stop taking the nexium for 2 weeks before the appointment and i'm going to find this very difficult as my throat is in pieces from acid (see previous post for photo of my throat) and i'm constantly belching and have no appetite what so ever and very nauseous to the point where i'm scared i'll throw up. 
should i cancel this appointment in 2 weeks and stick with the original appointment which is in a months time and continue to take the nexium up until the date in december is closer to allow time for my throat to heal? or should i just go ahead and suffer for 2 weeks and get the endoscopy done quicker?</t>
        </is>
      </c>
      <c r="D3419" t="n">
        <v>1</v>
      </c>
      <c r="E3419" t="n">
        <v>14</v>
      </c>
      <c r="F3419">
        <f>HYPERLINK("https://www.reddit.com/r/GERD/comments/dq72zq/endoscopy_advice/")</f>
        <v/>
      </c>
      <c r="G3419" t="inlineStr">
        <is>
          <t>2019-11-01 10:03:50</t>
        </is>
      </c>
      <c r="H3419" t="inlineStr"/>
    </row>
    <row r="3420">
      <c r="A3420" t="inlineStr">
        <is>
          <t>dq9ikf</t>
        </is>
      </c>
      <c r="B3420" t="inlineStr">
        <is>
          <t>Vertigo from Carafate?</t>
        </is>
      </c>
      <c r="C3420" t="inlineStr">
        <is>
          <t>I have had GERD for 4 years, at first they put me on Omeprazole but that made me violently ill (stomach cramping very badly, bile diarrhea, nausea). They then did an Endoscopy and it showed GERD and they put me on Zantac and Carafate suspension. Back then it caused no side effects at all. I have been on Protonix for a year. I got my gallbladder out a year ago and Bile Reflux became an issue. They put me on Bile Binders but that made me very constipated and dizzy. I was fine for some time after they raised the dose of Protonix to 40 5mg ad now I am having a burning GERD feeling where my liver is and where I generally get GERD pain. They put me on Carafate 1G pills 2 times a day, up to 4 times a day. I have taken them twice and they work very well but I get a feeling of vertigo an hour after taking it and it lasts an hour or so before it goes away. It makes me feel vertigo/lightheaded but my doctor didn't seem concerned about it at all and told me to keep taking them. Does anyone else get debilitating vertigo on Carafate? I have taken it in the past and had no side effects so I don't know if the suspension is different or what but it is really annoying. I take the 1G pills that get put in water then I drink the water after it dissolves.</t>
        </is>
      </c>
      <c r="D3420" t="n">
        <v>3</v>
      </c>
      <c r="E3420" t="n">
        <v>6</v>
      </c>
      <c r="F3420">
        <f>HYPERLINK("https://www.reddit.com/r/GERD/comments/dq9ikf/vertigo_from_carafate/")</f>
        <v/>
      </c>
      <c r="G3420" t="inlineStr">
        <is>
          <t>2019-11-01 13:02:00</t>
        </is>
      </c>
      <c r="H3420" t="inlineStr"/>
    </row>
    <row r="3421">
      <c r="A3421" t="inlineStr">
        <is>
          <t>dq9rrj</t>
        </is>
      </c>
      <c r="B3421" t="inlineStr">
        <is>
          <t>desperate help or advice needed - could it be low acid?</t>
        </is>
      </c>
      <c r="C3421" t="inlineStr">
        <is>
          <t>Thank you in advance for everyone reading this, I know it’s long but I really need some advice. 
Basically, this gerd nightmare started back in 2017 when I had H pylori infection and since then it feels like my life, goals, social life, plans and hopes are gone even though I am only 22 and recently graduated uni. I’ve been to numerous doctors, I’ve taken nexium, lansoprazole, pantoprazole, gaviscon is basically candy for me, but these ppis make my stomach feel worse so I stopped taking them (yes, I took them correctly, in the morning before eating) because they are obviously NOT the answer to my problem. I’ve been on a very strict diet for the past 2 years: chicken, rice, veggies, soups, no soda, no sweets, no pizza burgers or anything greasy, I don’t smoke nor drink, sleep 7-8 hours per night, walking outside, getting enough sunshine, fixed my vitamin D deficiency, had extensive bloodtests for thyroid and various potential problems, they all came back fine besides a progesterone deficit. I had an endoscopy done and it came back as negative for H pylori (so i got it cured through the triple antibiotics course), saying i have grade B esophagitis, they prescribed ppis and said i’ll be fine. But I still am NOT fine. So recently I went online because this disease is driving me crazy, and I am trying my best not to become anxious and depressed because of it. I read some online articles that mention low stomach acid could be behind my problems. I have the following symptoms that seem to match the description for low acid: 
- feel like i have to burp but nothing comes out
- VERY bloated after meals or drinking water
-  feeling abnormaly full after a few bites of food
- a very stubborn eczema that appeared on my scalp, ears and behind ears 2 years ago 
- weak nails
- A LOT of hair falling 
- sour taste in mouth (even on ppis)
- reflux and heartburn after every single meal
- abnormal menstruation (had it 3 times this month, cant be on the pill cause it makes me feel even sicker)
- irritable 
- weight loss (approx 10 kilos in the past 2 years)
- feeling of acid coming up to my throat so I have to swallow a lot to make it go down 
- sometimes I have diarrhea or constipation for no apparent reason
I am so tired of this, and I dont see how I could have high stomach acid because I don’t drink, dont smoke, dont drink coffee (never did) I am a bit underweight so weight is not an issue, I am not pregnant, I don’t eat junk food, I am not on any prescription pills, I eat good healthy stuff, I tried to give up gluten and dairy for a few months but no change. Sometimes I feel optimistic but this is a b*tch of a disease so it’s very hard trying to keep my chin up, especially seeing that everyone says “oh you cant cure it, just get used to it, everyone has acid just pop a gaviscon lolz”. 
NO. I am 22, supposed to have fun and eat what I want. I tried diet changes, sleeping on my left side and with a raised pillow, loose clothing, I tried everything that the internet and doctors have told me, it’s not working, that’s why i think my problem could be too little acid and not too much. 
Recently I tried chewing my food more to see if it helps. Do you think trying probiotics, HCL, fermented foods  and bitters could help me solve the problem? I know that the test for the ph of the stomach in order to find out whether I have low or high acid involves having tubes down my esophagus for 24hrs and I know I am not capable of doing that. I managed the endoscopy only because I was sedated cause otherwise I would’ve panicked and ran away. I also know about the bakind soda and water test, I might do that but I know it is not very reliable. I have read here that some people had succes with probiotics so I am inclined to try that, I am so desperate to have my life back I would be willing to try anything besides going to more doctors and having more tests done, cause they don’t really help and are very expensive. 
Thank you again for reading my post, I know it’s a lot and any advice is much appreciated. Has anyone here managed to find out if the cause behind gerd is low acid or found a cure for it?</t>
        </is>
      </c>
      <c r="D3421" t="n">
        <v>3</v>
      </c>
      <c r="E3421" t="n">
        <v>17</v>
      </c>
      <c r="F3421">
        <f>HYPERLINK("https://www.reddit.com/r/GERD/comments/dq9rrj/desperate_help_or_advice_needed_could_it_be_low/")</f>
        <v/>
      </c>
      <c r="G3421" t="inlineStr">
        <is>
          <t>2019-11-01 13:20:05</t>
        </is>
      </c>
      <c r="H3421" t="inlineStr"/>
    </row>
    <row r="3422">
      <c r="A3422" t="inlineStr">
        <is>
          <t>dq9woc</t>
        </is>
      </c>
      <c r="B3422" t="inlineStr">
        <is>
          <t>Edibles and Ulcer?</t>
        </is>
      </c>
      <c r="C3422" t="inlineStr">
        <is>
          <t>So I’m currently in a state where I’m going through tears because the doctors suspect that my GERD has led to a tiny stomach bleed. It has been unconfirmed. Tomorrow I’m having a party and since I obviously can’t drink and I know I can smoke I have a question. Does anyone know if eating an edible is bad for GERD/possible ulcer??</t>
        </is>
      </c>
      <c r="D3422" t="n">
        <v>1</v>
      </c>
      <c r="E3422" t="n">
        <v>27</v>
      </c>
      <c r="F3422">
        <f>HYPERLINK("https://www.reddit.com/r/GERD/comments/dq9woc/edibles_and_ulcer/")</f>
        <v/>
      </c>
      <c r="G3422" t="inlineStr">
        <is>
          <t>2019-11-01 13:30:10</t>
        </is>
      </c>
      <c r="H3422" t="inlineStr"/>
    </row>
    <row r="3423">
      <c r="A3423" t="inlineStr">
        <is>
          <t>dqaej1</t>
        </is>
      </c>
      <c r="B3423" t="inlineStr">
        <is>
          <t>Is this GERD?</t>
        </is>
      </c>
      <c r="C3423" t="inlineStr">
        <is>
          <t>So I had bronchitis for about 3 weeks. Finally got somewhat better but I still have this sore throat. It's not like a cold I feel like it's a ball of food right behind or under my Adams apple. My neck is sore to the touch where it is I have a hard time swallowing anything sometimes and in the morning it's the worst. My voice is cracky still but I have no sinus problems or anything of that nature. And no heartburn with it and trust me I know heart burn lol anything I look up just shows GERD but I'm not sure if it's that. Any help is appreciated.</t>
        </is>
      </c>
      <c r="D3423" t="n">
        <v>3</v>
      </c>
      <c r="E3423" t="n">
        <v>4</v>
      </c>
      <c r="F3423">
        <f>HYPERLINK("https://www.reddit.com/r/GERD/comments/dqaej1/is_this_gerd/")</f>
        <v/>
      </c>
      <c r="G3423" t="inlineStr">
        <is>
          <t>2019-11-01 14:06:13</t>
        </is>
      </c>
      <c r="H3423" t="inlineStr"/>
    </row>
    <row r="3424">
      <c r="A3424" t="inlineStr">
        <is>
          <t>dqdkpx</t>
        </is>
      </c>
      <c r="B3424" t="inlineStr">
        <is>
          <t>Alternative Pizza Ingredients</t>
        </is>
      </c>
      <c r="C3424" t="inlineStr">
        <is>
          <t>I’m trying to think of a GERD friendly pizza I can make at home but I’m having some trouble figuring out what to replace the tomato sauce with.
So far I think I’ll replace the base with a gluten free one and for cheese mozzarella seems to be fine in moderation. 
Any ideas?</t>
        </is>
      </c>
      <c r="D3424" t="n">
        <v>4</v>
      </c>
      <c r="E3424" t="n">
        <v>25</v>
      </c>
      <c r="F3424">
        <f>HYPERLINK("https://www.reddit.com/r/GERD/comments/dqdkpx/alternative_pizza_ingredients/")</f>
        <v/>
      </c>
      <c r="G3424" t="inlineStr">
        <is>
          <t>2019-11-01 18:16:37</t>
        </is>
      </c>
      <c r="H3424" t="inlineStr"/>
    </row>
    <row r="3425">
      <c r="A3425" t="inlineStr">
        <is>
          <t>dqdweg</t>
        </is>
      </c>
      <c r="B3425" t="inlineStr">
        <is>
          <t>Can I eat GERD inducing foods with LPR?</t>
        </is>
      </c>
      <c r="C3425" t="inlineStr">
        <is>
          <t>I don’t have GERD- if anything it is LPR. My only symptom is post nasal drip and sometimes indigestion. Can I eat chocolate, caffeine laced foods, everything that those with GERD tell you not to eat?</t>
        </is>
      </c>
      <c r="D3425" t="n">
        <v>3</v>
      </c>
      <c r="E3425" t="n">
        <v>11</v>
      </c>
      <c r="F3425">
        <f>HYPERLINK("https://www.reddit.com/r/GERD/comments/dqdweg/can_i_eat_gerd_inducing_foods_with_lpr/")</f>
        <v/>
      </c>
      <c r="G3425" t="inlineStr">
        <is>
          <t>2019-11-01 18:46:21</t>
        </is>
      </c>
      <c r="H3425" t="inlineStr"/>
    </row>
    <row r="3426">
      <c r="A3426" t="inlineStr">
        <is>
          <t>dqfd4p</t>
        </is>
      </c>
      <c r="B3426" t="inlineStr">
        <is>
          <t>Severe reaction to coffee and soda</t>
        </is>
      </c>
      <c r="C3426" t="inlineStr">
        <is>
          <t>Coffee and soda (or really anything sugary or sweetened) are my worst triggers of both my GERD and IBS. Aside from heartburn and loose stools after consuming them I also experience these horrible symptoms: hot flashes, cold chills, sensitivity to touch, sensitivity to temperature and dry/itchy skin. Sometimes these symptoms are unbearable and make me feel panicky.
I don’t know if the GERD is more to blame or the IBS. I’ve been to a doctor about my symptoms but he blames it on anxiety. I’m not sure how it could be anxiety when I feel more or less fine before consuming my triggers and then immediately after I feel awful like this. Another doctor I saw mentioned dumping syndrome which sounds like it might be a more accurate assessment.
Does anyone else experience symptoms like these after consuming triggers? I now avoid soda and other sugary/sweetened drinks, and coffee, like the plague. Even so I still experience those symptoms after eating sometimes, although generally not as bad.</t>
        </is>
      </c>
      <c r="D3426" t="n">
        <v>3</v>
      </c>
      <c r="E3426" t="n">
        <v>4</v>
      </c>
      <c r="F3426">
        <f>HYPERLINK("https://www.reddit.com/r/GERD/comments/dqfd4p/severe_reaction_to_coffee_and_soda/")</f>
        <v/>
      </c>
      <c r="G3426" t="inlineStr">
        <is>
          <t>2019-11-01 21:06:53</t>
        </is>
      </c>
      <c r="H3426" t="inlineStr"/>
    </row>
    <row r="3427">
      <c r="A3427" t="inlineStr">
        <is>
          <t>dqgjd1</t>
        </is>
      </c>
      <c r="B3427" t="inlineStr">
        <is>
          <t>Ginger rock salt before eating</t>
        </is>
      </c>
      <c r="C3427" t="inlineStr">
        <is>
          <t>Eat a pinch of ginger with rock salt 15-20 miles before eating. 
I feel better as this stimulates digestive juices 
Also I eat just ginger with some lemon and sugar when I feel bloated. Brings releif
Warning don’t overdo ginger as it has blood thinning properties</t>
        </is>
      </c>
      <c r="D3427" t="n">
        <v>1</v>
      </c>
      <c r="E3427" t="n">
        <v>2</v>
      </c>
      <c r="F3427">
        <f>HYPERLINK("https://www.reddit.com/r/GERD/comments/dqgjd1/ginger_rock_salt_before_eating/")</f>
        <v/>
      </c>
      <c r="G3427" t="inlineStr">
        <is>
          <t>2019-11-01 23:25:05</t>
        </is>
      </c>
      <c r="H3427" t="inlineStr"/>
    </row>
    <row r="3428">
      <c r="A3428" t="inlineStr">
        <is>
          <t>dqhzxy</t>
        </is>
      </c>
      <c r="B3428" t="inlineStr">
        <is>
          <t>Fuck this shit</t>
        </is>
      </c>
      <c r="C3428" t="inlineStr">
        <is>
          <t>I’m not going to eat salad for the rest of my life and avoid everything I like. Fuck that! That’s not real life. Endoscopy came clear, but I think I have LPR. Either this shit resolves within a year or I’m going to shoot my brain out.</t>
        </is>
      </c>
      <c r="D3428" t="n">
        <v>1</v>
      </c>
      <c r="E3428" t="n">
        <v>2</v>
      </c>
      <c r="F3428">
        <f>HYPERLINK("https://www.reddit.com/r/GERD/comments/dqhzxy/fuck_this_shit/")</f>
        <v/>
      </c>
      <c r="G3428" t="inlineStr">
        <is>
          <t>2019-11-02 02:40:54</t>
        </is>
      </c>
      <c r="H3428" t="inlineStr"/>
    </row>
    <row r="3429">
      <c r="A3429" t="inlineStr">
        <is>
          <t>dqiokn</t>
        </is>
      </c>
      <c r="B3429" t="inlineStr">
        <is>
          <t>LPR, lost and loosing hope</t>
        </is>
      </c>
      <c r="C3429" t="inlineStr">
        <is>
          <t>Hello, I’m 22 yo student and Ive been experiencing what seems to be LPR for months now. Sorry for making the post this long.
I’m taking omeprazole 20mg 2x a day. It helps maybe like 30% I’m triyng to change my diet right now, it seems to have no effect so far, but it’s only been 3 days. I can’t detect trigger foods because my symptoms are basically constant. Only trigger I found so far is that when I eat a lot at once, the content of my stomach comes back into my mouth.
I don’t have any heartburn at all, but my throat is constantly full of mucus, sore and because of that I sometimes have to swallow multiple times, or some of the food gets stuck. I also experience clicking sound when I swallow,mostly after I wake up.  My voice often sounds all fucked up. I also can’t breathe through one of my nostrils (either right or left, it switches) and I’ve lost like over 50% of the sense of smell. What’s weird is that almost all of my symptoms are on one side of my throat.
It got a little better since I’m on PPI. I no longer feel like I’m going to suffocate, but it’s still pretty bad. Mby it’s healing, I don’t really know, but if so, then it’s slow. I feel like the PPIs are fucking up my digestion though. I feel bloated all of the time. My stomach often feels so full, like it’s going to explode and i don’t understand why. 
I had endoscopy done and it came clear with no damage to my esophagus, but they found out that my LES doesn’t close properly. The doctor made it seem like it’s nothing. At the time I didn’t know about LPR and he made it seem to me like acid reflux can’t cause the issues I have, but now that I know about LPR it seems to describe what I have well. He told me to lower my omeprazole dosage, but I’m afraid to do it because of the rebound effect. He also prescribed me the prokinetic itopride, but after a week I felt like it’s fiving me gynecomastia, but now I’m not sure if it did. 
I also have benign fasciculation syndrome, which makes my muscles shake, twich, jerk, cramp and hurt and makes me feel tired most of the day. These two things combined make my life completely miserable, like it’s not life at all. I’m fucking 21, I should feel like this. A lot of the days I feel like I can’t go on anymore, like staying functional is too hard. I know it’s selfish, but I wish I could just shut down, stay in bef all day and let somebody else take care of me. I can’t imagine living like this for the rest of my life. Fuck, I can’t even imagine living like this for another year. If this doesn’t resolve in a year, I’ll probably end my life, as this is not a life I would like to live.</t>
        </is>
      </c>
      <c r="D3429" t="n">
        <v>3</v>
      </c>
      <c r="E3429" t="n">
        <v>21</v>
      </c>
      <c r="F3429">
        <f>HYPERLINK("https://www.reddit.com/r/GERD/comments/dqiokn/lpr_lost_and_loosing_hope/")</f>
        <v/>
      </c>
      <c r="G3429" t="inlineStr">
        <is>
          <t>2019-11-02 04:04:00</t>
        </is>
      </c>
      <c r="H3429" t="inlineStr"/>
    </row>
    <row r="3430">
      <c r="A3430" t="inlineStr">
        <is>
          <t>dqkd9z</t>
        </is>
      </c>
      <c r="B3430" t="inlineStr">
        <is>
          <t>GERD surgery - Experiences</t>
        </is>
      </c>
      <c r="C3430" t="inlineStr">
        <is>
          <t>So first, some background. I have a reflux for over a month now (I count it by how many packs of PPI I used). I have no idea what caused it, I'm not overweight, workout, don't smoke. It all started with a week long diarrhea, no idea if that's related, and now I have just the reflux. Already did all the possible tests, everything was negative, but apparently my sphincter is not completely closing - doctor said it's like 1 of 4 levels bad, no idea what that means.... but for me it completely sucks, so I would say 4/4. I don't really know what are my triggers, I can eat pasta with tomato sauce and mozzarella but will have acid in my head after having basil pesto.  Coffee is fine, banana is killing me, alcohol is mostly ok... but when I mix it with some cola, next day I will throw up air while burping and ending it with throwing up some water. Most days were fine, but lately my symptoms seems to be worse, so I added some domperidone and digestive enzymes since I feel like food is just stuck after I eat something. I once spend almost whole day just eating since it took me 2 hours to eat breakfast and 2+ hours to eat  lunch... I sleep with my head increased, but I still burp like hell in the morning, sometimes even dry heaving - at least I feel better after that and food is not getting stuck.
While these things have been with me for just about a month, I'm usually looking for best fix for problems which seems to be a surgery in this case. I really don't want to take PPI my whole life or stop drinking coffee because one part of my body is being an asshole... Does anyone here have any experiences with the surgery? Are there still any limitations to food / drinks / lifestyle?</t>
        </is>
      </c>
      <c r="D3430" t="n">
        <v>2</v>
      </c>
      <c r="E3430" t="n">
        <v>0</v>
      </c>
      <c r="F3430">
        <f>HYPERLINK("https://www.reddit.com/r/GERD/comments/dqkd9z/gerd_surgery_experiences/")</f>
        <v/>
      </c>
      <c r="G3430" t="inlineStr">
        <is>
          <t>2019-11-02 06:46:12</t>
        </is>
      </c>
      <c r="H3430" t="inlineStr"/>
    </row>
    <row r="3431">
      <c r="A3431" t="inlineStr">
        <is>
          <t>dqlbav</t>
        </is>
      </c>
      <c r="B3431" t="inlineStr">
        <is>
          <t>Hoarse voice, scratchy throat, occasional chest pain, and pain around submandibular gland, but no heartburn...Is this GERD?</t>
        </is>
      </c>
      <c r="C3431" t="inlineStr">
        <is>
          <t>These symptoms have lasted for around 2 weeks and I’m about to go to a doctor to get them checked out. I sometimes also feel like there’s a thing stuck in my throat, which would occasionally be accompanied by a dull chest pain that comes and goes. My throat feels really scratchy from time to time and I think it even bleeds if it’s too dry or when I speak too much since I can taste the blood. However, I don’t experience heartburn which I heard is a classical symptom of GERD. Do these symptoms still sound like GERD even without the heartburn though?</t>
        </is>
      </c>
      <c r="D3431" t="n">
        <v>6</v>
      </c>
      <c r="E3431" t="n">
        <v>10</v>
      </c>
      <c r="F3431">
        <f>HYPERLINK("https://www.reddit.com/r/GERD/comments/dqlbav/hoarse_voice_scratchy_throat_occasional_chest/")</f>
        <v/>
      </c>
      <c r="G3431" t="inlineStr">
        <is>
          <t>2019-11-02 08:00:18</t>
        </is>
      </c>
      <c r="H3431" t="inlineStr"/>
    </row>
    <row r="3432">
      <c r="A3432" t="inlineStr">
        <is>
          <t>dqli3u</t>
        </is>
      </c>
      <c r="B3432" t="inlineStr">
        <is>
          <t>Eating while healing lpr/gerd damage</t>
        </is>
      </c>
      <c r="C3432" t="inlineStr">
        <is>
          <t>I'm terrified to eat anything at this point because I'm making some progress on healing after what I suspect might have been an acid burn in my esophagus and higher. I'd had heartburn here and there for years but one day I had an attack, took a zantac and went to bed. The worst idea was to get in bed before the heartburn went away, but now I'm here 3 weeks later healing a sore throat and I'm scared that something might trigger another attack.
Any tips?
I'm watching what little I do eat very carefully and I'm talking pepcid once a day because it felt like Omeprazole really messed up my stomach.</t>
        </is>
      </c>
      <c r="D3432" t="n">
        <v>7</v>
      </c>
      <c r="E3432" t="n">
        <v>10</v>
      </c>
      <c r="F3432">
        <f>HYPERLINK("https://www.reddit.com/r/GERD/comments/dqli3u/eating_while_healing_lprgerd_damage/")</f>
        <v/>
      </c>
      <c r="G3432" t="inlineStr">
        <is>
          <t>2019-11-02 08:14:28</t>
        </is>
      </c>
      <c r="H3432" t="inlineStr"/>
    </row>
    <row r="3433">
      <c r="A3433" t="inlineStr">
        <is>
          <t>dqmjlc</t>
        </is>
      </c>
      <c r="B3433" t="inlineStr">
        <is>
          <t>EGGS?</t>
        </is>
      </c>
      <c r="C3433" t="inlineStr">
        <is>
          <t>Does anyone have any problems with eating eggs?</t>
        </is>
      </c>
      <c r="D3433" t="n">
        <v>2</v>
      </c>
      <c r="E3433" t="n">
        <v>7</v>
      </c>
      <c r="F3433">
        <f>HYPERLINK("https://www.reddit.com/r/GERD/comments/dqmjlc/eggs/")</f>
        <v/>
      </c>
      <c r="G3433" t="inlineStr">
        <is>
          <t>2019-11-02 09:31:21</t>
        </is>
      </c>
      <c r="H3433" t="inlineStr"/>
    </row>
    <row r="3434">
      <c r="A3434" t="inlineStr">
        <is>
          <t>dqn0xq</t>
        </is>
      </c>
      <c r="B3434" t="inlineStr">
        <is>
          <t>nissen fundoplication, your experiences ?</t>
        </is>
      </c>
      <c r="C3434" t="inlineStr">
        <is>
          <t>For those of you that had a nissen fundoplication to solve your acid reflux or GI issues. How are you feeling now ? How is your diet changed ? Would you do it again ?</t>
        </is>
      </c>
      <c r="D3434" t="n">
        <v>5</v>
      </c>
      <c r="E3434" t="n">
        <v>8</v>
      </c>
      <c r="F3434">
        <f>HYPERLINK("https://www.reddit.com/r/GERD/comments/dqn0xq/nissen_fundoplication_your_experiences/")</f>
        <v/>
      </c>
      <c r="G3434" t="inlineStr">
        <is>
          <t>2019-11-02 10:04:46</t>
        </is>
      </c>
      <c r="H3434" t="inlineStr"/>
    </row>
    <row r="3435">
      <c r="A3435" t="inlineStr">
        <is>
          <t>dqn8ra</t>
        </is>
      </c>
      <c r="B3435" t="inlineStr">
        <is>
          <t>Any tips for sleeping with GERD?</t>
        </is>
      </c>
      <c r="C3435" t="inlineStr">
        <is>
          <t>Hi all.
I've been suffering badly from nausea and acid reflux this past two weeks.  No idea what caused it all of a sudden, but since ruling out pregnancy and morning sickness, it might be a hernia.  Can't get an appointment with my doctor until the end of the month, and losing my mind with lack of sleep.  Just can't shake off the feeling that I'm going to be sick, can't get comfortable and always seem to end up with an aching neck and back from trying to sleep upright.   I've also just had my wisdom teeth removed two days ago, so I'm feeling extra miserable and hardly able to swallow anything :C  On a diet of soup and Gavisgon!
Was just wondering if anyone has any tips for getting a comfortable night's sleep?  Any recommendations for a good, comfortable wedge pillow?  Thank you very much for your time.</t>
        </is>
      </c>
      <c r="D3435" t="n">
        <v>3</v>
      </c>
      <c r="E3435" t="n">
        <v>3</v>
      </c>
      <c r="F3435">
        <f>HYPERLINK("https://www.reddit.com/r/GERD/comments/dqn8ra/any_tips_for_sleeping_with_gerd/")</f>
        <v/>
      </c>
      <c r="G3435" t="inlineStr">
        <is>
          <t>2019-11-02 10:19:59</t>
        </is>
      </c>
      <c r="H3435" t="inlineStr"/>
    </row>
    <row r="3436">
      <c r="A3436" t="inlineStr">
        <is>
          <t>dqnbch</t>
        </is>
      </c>
      <c r="B3436" t="inlineStr">
        <is>
          <t>Stomache pain/increased acid reflux when sitting on a computer chair</t>
        </is>
      </c>
      <c r="C3436" t="inlineStr">
        <is>
          <t>Hello, I'm 21 year old male 55kg 5'10. I've had acid reflux for about 4 years and also started getting neckpain last year.
From this july, I've been getting weird stomache pain/ increased acidity accompanied by a very bad mood whenever I sit on my computer chair to work - at first, I thought it was the chair but then I bought 4 more (gaming chair, mesh ergonomic etc) only to have the same problem. I've reduced acidity when sitting on a plastic chair but that gives me neck/back pain
My gastro just gave me ppis + allergy meds for a month, but the acid reflux even occurs after I take the med and sit on the chair.
I can feel the acid rising to my throat, I get nauses, dizzy and then I get bad mood for the rest of the day. Dr ordered thyroid and couple other tests, but I feel like I'm going crazy as this is very strange. I'm a software engineer and I need to be able to sit on a chair without any problems, to be able to focus. this only started happening from this year's july.
p.s: i don't get this weird sensation of reflux + nausea + bad mood when siting on sofa or any comfy chair, only those revolving chairs designed for comfort.</t>
        </is>
      </c>
      <c r="D3436" t="n">
        <v>3</v>
      </c>
      <c r="E3436" t="n">
        <v>3</v>
      </c>
      <c r="F3436">
        <f>HYPERLINK("https://www.reddit.com/r/GERD/comments/dqnbch/stomache_painincreased_acid_reflux_when_sitting/")</f>
        <v/>
      </c>
      <c r="G3436" t="inlineStr">
        <is>
          <t>2019-11-02 10:24:57</t>
        </is>
      </c>
      <c r="H3436" t="inlineStr"/>
    </row>
    <row r="3437">
      <c r="A3437" t="inlineStr">
        <is>
          <t>dqnkpz</t>
        </is>
      </c>
      <c r="B3437" t="inlineStr">
        <is>
          <t>Pain after my endoscopy</t>
        </is>
      </c>
      <c r="C3437" t="inlineStr">
        <is>
          <t xml:space="preserve"> The results were fine I have six biopsies taken, I have been in pain for 2 days now in my stomach/sternum when eating, after eating, and randomly thought the day, it feels sharp at times and I called my doctor and he told me it should go away, however I cannot find this symptom anywhere online for after endoscopy and they all say it is a serious one if it is present. It wakes me up at night, not sure if this is gas. Has anyone had this persistent feeling?</t>
        </is>
      </c>
      <c r="D3437" t="n">
        <v>3</v>
      </c>
      <c r="E3437" t="n">
        <v>8</v>
      </c>
      <c r="F3437">
        <f>HYPERLINK("https://www.reddit.com/r/GERD/comments/dqnkpz/pain_after_my_endoscopy/")</f>
        <v/>
      </c>
      <c r="G3437" t="inlineStr">
        <is>
          <t>2019-11-02 10:42:43</t>
        </is>
      </c>
      <c r="H3437" t="inlineStr"/>
    </row>
    <row r="3438">
      <c r="A3438" t="inlineStr">
        <is>
          <t>dqnqik</t>
        </is>
      </c>
      <c r="B3438" t="inlineStr">
        <is>
          <t>New here, have a question.</t>
        </is>
      </c>
      <c r="C3438" t="inlineStr">
        <is>
          <t>For the last couple of months I've had a discomfort/mild pain randomly throughout the day in the right side of my chest. Also have been eating a lot of greasy foods. My main concern is a shortness of breath, difficulty taking a full breath in, breathing out feels fine. Wondering if it could be gerd related. It has been going on for about a 1.5 months throughout the day, some times its better than others.</t>
        </is>
      </c>
      <c r="D3438" t="n">
        <v>3</v>
      </c>
      <c r="E3438" t="n">
        <v>2</v>
      </c>
      <c r="F3438">
        <f>HYPERLINK("https://www.reddit.com/r/GERD/comments/dqnqik/new_here_have_a_question/")</f>
        <v/>
      </c>
      <c r="G3438" t="inlineStr">
        <is>
          <t>2019-11-02 10:54:00</t>
        </is>
      </c>
      <c r="H3438" t="inlineStr"/>
    </row>
    <row r="3439">
      <c r="A3439" t="inlineStr">
        <is>
          <t>dqqli7</t>
        </is>
      </c>
      <c r="B3439" t="inlineStr">
        <is>
          <t>i'm getting so sick of this</t>
        </is>
      </c>
      <c r="C3439" t="inlineStr">
        <is>
          <t>last night was the worst yet. i haven't eaten in approx 36 hours because my throat is in so much pain and completely destroyed from the acid, i've now developed a sinus issue too where it feels like my whole head is muffled and my ears will pop every now and then along with a stuffed nose and leaky nose and constantly blowing my nose with green boogers (sorryyy) the belching has got alot worse too and i always have a horrible taste in the back of my mouth and my  i have chest pains, i also have a very itchy throat and when i cough to clear it, i gag really badly to the point where i feel like i'm going to throw up, i'm incredibly weak and tired... it obviously doesn't help that i haven't eaten in 36 hours because i have no energy.
i have a endoscopy appointment date in about 2 weeks (hopefully as my orginaly date was december 16th but my mom got lucky and rang the clinic to see if they can fit me in sooner) and i have to quit my PPI's for 2 weeks for the procedure. 
does this all sound like gerd or just lpr to y'all? i don't know what to do at this point. i need to start eating food again or i'll just get worse but the sight or thought of food makes me feel so nauseous and don't think i could even manage it.</t>
        </is>
      </c>
      <c r="D3439" t="n">
        <v>3</v>
      </c>
      <c r="E3439" t="n">
        <v>3</v>
      </c>
      <c r="F3439">
        <f>HYPERLINK("https://www.reddit.com/r/GERD/comments/dqqli7/im_getting_so_sick_of_this/")</f>
        <v/>
      </c>
      <c r="G3439" t="inlineStr">
        <is>
          <t>2019-11-02 14:15:19</t>
        </is>
      </c>
      <c r="H3439" t="inlineStr"/>
    </row>
    <row r="3440">
      <c r="A3440" t="inlineStr">
        <is>
          <t>dqqs9b</t>
        </is>
      </c>
      <c r="B3440" t="inlineStr">
        <is>
          <t>Help meh!</t>
        </is>
      </c>
      <c r="C3440" t="inlineStr">
        <is>
          <t>I honestly don’t know If this is GERD/ Acid Reflux, but I explained what was going on to my friend and she believes it is GERD. I stay up pretty late at night (3-4am), usually just playing games. Of course I snack, but I’m still wary you aren’t supposed to immediately go to bed after eating. I give myself a couple hours, but still! I wake up in the morning with this odd feeling in the stomach. It starts out almost feeling like I’m nervous, then an urge to throw up. Also, my appetite is non existent in the morning. If I try and eat something I’ll just start to gag. I don’t get a real craving for food until about 6-7pm that lasts all the way till 1-2am. Maybe it’s just me, and I fucked up my sleep/wake cycle by having such a lenient schedule? Let me know what you folks think. Any feedback helps!</t>
        </is>
      </c>
      <c r="D3440" t="n">
        <v>2</v>
      </c>
      <c r="E3440" t="n">
        <v>2</v>
      </c>
      <c r="F3440">
        <f>HYPERLINK("https://www.reddit.com/r/GERD/comments/dqqs9b/help_meh/")</f>
        <v/>
      </c>
      <c r="G3440" t="inlineStr">
        <is>
          <t>2019-11-02 14:28:40</t>
        </is>
      </c>
      <c r="H3440" t="inlineStr"/>
    </row>
    <row r="3441">
      <c r="A3441" t="inlineStr">
        <is>
          <t>dqqvwt</t>
        </is>
      </c>
      <c r="B3441" t="inlineStr">
        <is>
          <t>What are your favorite GERD-safe meals?</t>
        </is>
      </c>
      <c r="C3441" t="inlineStr">
        <is>
          <t>Be it homemade, eating out, or even just a snack, what are some of the things those of you suffering from GERD actually enjoy or prefer eating that doesn’t end with horrible flare ups? 
Of course I realize that we each have different triggers and things we can handle, so this isn’t supposed to be used as a way to create a “safe foods list” but I’d like to just hear of things others are eating. 
So far I’ve found that there’s this vegan pita wrap that’s both delicious and has the same effect that plain white rice has on me. 
(I can eat hummus and onions just fine in small quantities)
Wheat pita, spinach, cucumbers, green peppers,      plain humus, avocado, black olives, salt, black pepper, oregano.</t>
        </is>
      </c>
      <c r="D3441" t="n">
        <v>10</v>
      </c>
      <c r="E3441" t="n">
        <v>17</v>
      </c>
      <c r="F3441">
        <f>HYPERLINK("https://www.reddit.com/r/GERD/comments/dqqvwt/what_are_your_favorite_gerdsafe_meals/")</f>
        <v/>
      </c>
      <c r="G3441" t="inlineStr">
        <is>
          <t>2019-11-02 14:36:01</t>
        </is>
      </c>
      <c r="H3441" t="inlineStr"/>
    </row>
    <row r="3442">
      <c r="A3442" t="inlineStr">
        <is>
          <t>dqthet</t>
        </is>
      </c>
      <c r="B3442" t="inlineStr">
        <is>
          <t>Insight appreciated</t>
        </is>
      </c>
      <c r="C3442" t="inlineStr">
        <is>
          <t>Okay, so I’m confused...I never had reflux until about two months ago, but since then I’ve had it every day.  The chest pain persisted even after a course of PPIs.  I’ve had an upper endoscopy and the doctor said I only have mild reflux, but I haven’t had a day without chest pain.  I follow all the rules and eat a strict diet controlled for the circumstances, taking omeprazole and famotidine by doctor’s orders, but every day feels exactly the same as the last.  When will some healing happen and the pain go away?  Or maybe I should ask, will it?  I would’ve thought the medication would help or at least the pain would lessen after a handful of weeks.  Thank you all!</t>
        </is>
      </c>
      <c r="D3442" t="n">
        <v>5</v>
      </c>
      <c r="E3442" t="n">
        <v>5</v>
      </c>
      <c r="F3442">
        <f>HYPERLINK("https://www.reddit.com/r/GERD/comments/dqthet/insight_appreciated/")</f>
        <v/>
      </c>
      <c r="G3442" t="inlineStr">
        <is>
          <t>2019-11-02 18:00:00</t>
        </is>
      </c>
      <c r="H3442" t="inlineStr"/>
    </row>
    <row r="3443">
      <c r="A3443" t="inlineStr">
        <is>
          <t>dqu14f</t>
        </is>
      </c>
      <c r="B3443" t="inlineStr">
        <is>
          <t>Does modafinil trigger anyone’s LPR?</t>
        </is>
      </c>
      <c r="C3443" t="inlineStr">
        <is>
          <t>I haven’t taken it in awhile, but I took a little modafinil prior to a meeting once and felt extreme tightness and constriction in my throat. It could have also been a minor allergic reaction now that I think of it, but it felt just like when my LPR acted up.</t>
        </is>
      </c>
      <c r="D3443" t="n">
        <v>1</v>
      </c>
      <c r="E3443" t="n">
        <v>0</v>
      </c>
      <c r="F3443">
        <f>HYPERLINK("https://www.reddit.com/r/GERD/comments/dqu14f/does_modafinil_trigger_anyones_lpr/")</f>
        <v/>
      </c>
      <c r="G3443" t="inlineStr">
        <is>
          <t>2019-11-02 18:44:58</t>
        </is>
      </c>
      <c r="H3443" t="inlineStr"/>
    </row>
    <row r="3444">
      <c r="A3444" t="inlineStr">
        <is>
          <t>dqu987</t>
        </is>
      </c>
      <c r="B3444" t="inlineStr">
        <is>
          <t>Rebound and omeprazole</t>
        </is>
      </c>
      <c r="C3444" t="inlineStr">
        <is>
          <t>Alright so I tried weening off omeprazole too fast and had been experiencing really bad heartburn this last week. 
I’ve gone back to my normal dosing for the last 4 days and am still experiencing heartburn. 
Anyone know how long it will be before this goes away and I’m back to where I was before I tried weening?
I’m absolutely miserable and want this damn heartburn to go away. Never experienced the heartburn before in my life until I tried weening off the meds.</t>
        </is>
      </c>
      <c r="D3444" t="n">
        <v>6</v>
      </c>
      <c r="E3444" t="n">
        <v>9</v>
      </c>
      <c r="F3444">
        <f>HYPERLINK("https://www.reddit.com/r/GERD/comments/dqu987/rebound_and_omeprazole/")</f>
        <v/>
      </c>
      <c r="G3444" t="inlineStr">
        <is>
          <t>2019-11-02 19:04:37</t>
        </is>
      </c>
      <c r="H3444" t="inlineStr"/>
    </row>
    <row r="3445">
      <c r="A3445" t="inlineStr">
        <is>
          <t>dqvx9o</t>
        </is>
      </c>
      <c r="B3445" t="inlineStr">
        <is>
          <t>Can gerd cause a white coating on tongue</t>
        </is>
      </c>
      <c r="C3445" t="inlineStr">
        <is>
          <t>I could ask the people at r/candida but I’d rather live in the real world</t>
        </is>
      </c>
      <c r="D3445" t="n">
        <v>2</v>
      </c>
      <c r="E3445" t="n">
        <v>4</v>
      </c>
      <c r="F3445">
        <f>HYPERLINK("https://www.reddit.com/r/GERD/comments/dqvx9o/can_gerd_cause_a_white_coating_on_tongue/")</f>
        <v/>
      </c>
      <c r="G3445" t="inlineStr">
        <is>
          <t>2019-11-02 21:43:15</t>
        </is>
      </c>
      <c r="H3445" t="inlineStr"/>
    </row>
    <row r="3446">
      <c r="A3446" t="inlineStr">
        <is>
          <t>dqwmrc</t>
        </is>
      </c>
      <c r="B3446" t="inlineStr">
        <is>
          <t>Yakult helps my GERD!!! Goodnews</t>
        </is>
      </c>
      <c r="C3446" t="inlineStr">
        <is>
          <t>Guys you must try it for 2 weeks now my Gerd haven't attack me yet. This is because first thing in the morning drink Yakult lactobacillus before eating anything else. It helps me alot! Lactobacillus has good bacteria 🦠 and it will reduce the bad bacteria in our stomach!! Try now guys!! Thank me later 🤗</t>
        </is>
      </c>
      <c r="D3446" t="n">
        <v>1</v>
      </c>
      <c r="E3446" t="n">
        <v>7</v>
      </c>
      <c r="F3446">
        <f>HYPERLINK("https://www.reddit.com/r/GERD/comments/dqwmrc/yakult_helps_my_gerd_goodnews/")</f>
        <v/>
      </c>
      <c r="G3446" t="inlineStr">
        <is>
          <t>2019-11-02 23:05:25</t>
        </is>
      </c>
      <c r="H3446" t="inlineStr"/>
    </row>
    <row r="3447">
      <c r="A3447" t="inlineStr">
        <is>
          <t>dqyaye</t>
        </is>
      </c>
      <c r="B3447" t="inlineStr">
        <is>
          <t>Gerd drugs causing major constipation</t>
        </is>
      </c>
      <c r="C3447" t="inlineStr">
        <is>
          <t>Gerd drugs are causing major constipation which is causing me to eat less
😓</t>
        </is>
      </c>
      <c r="D3447" t="n">
        <v>2</v>
      </c>
      <c r="E3447" t="n">
        <v>14</v>
      </c>
      <c r="F3447">
        <f>HYPERLINK("https://www.reddit.com/r/GERD/comments/dqyaye/gerd_drugs_causing_major_constipation/")</f>
        <v/>
      </c>
      <c r="G3447" t="inlineStr">
        <is>
          <t>2019-11-03 01:51:10</t>
        </is>
      </c>
      <c r="H3447" t="inlineStr"/>
    </row>
    <row r="3448">
      <c r="A3448" t="inlineStr">
        <is>
          <t>dqyprz</t>
        </is>
      </c>
      <c r="B3448" t="inlineStr">
        <is>
          <t>I hate this</t>
        </is>
      </c>
      <c r="C3448" t="inlineStr">
        <is>
          <t>I spent nearly 6 hours leaning over my toilet because I was nauseated beyond belief. About 35 minutes ago, I let out a belch that got rid of the nausea. I'm so glad it is the weekend. I almost felt like going to the ER for Zofran. Currently 4:38 AM for me and I don't know if should try to fall asleep.</t>
        </is>
      </c>
      <c r="D3448" t="n">
        <v>2</v>
      </c>
      <c r="E3448" t="n">
        <v>5</v>
      </c>
      <c r="F3448">
        <f>HYPERLINK("https://www.reddit.com/r/GERD/comments/dqyprz/i_hate_this/")</f>
        <v/>
      </c>
      <c r="G3448" t="inlineStr">
        <is>
          <t>2019-11-03 02:38:26</t>
        </is>
      </c>
      <c r="H3448" t="inlineStr"/>
    </row>
    <row r="3449">
      <c r="A3449" t="inlineStr">
        <is>
          <t>dqyymx</t>
        </is>
      </c>
      <c r="B3449" t="inlineStr">
        <is>
          <t>Shortness of breath, nausea + reflux to throat when sitting on computer chair</t>
        </is>
      </c>
      <c r="C3449" t="inlineStr">
        <is>
          <t>Hello, I'm 21 year old male 55kg 5'10. I've had acid reflux for about 4 years and also started getting neckpain last year.
From this july, I've been getting weird stomache pain/ increased acidity accompanied by a very bad mood whenever I sit on my computer chair to work - at first, I thought it was the chair but then I bought 4 more (gaming chair, mesh ergonomic etc) only to have the same problem. I've reduced acidity when sitting on a plastic chair but that gives me neck/back pain
My gastro just gave me ppis + allergy meds for a month, but the acid reflux even occurs after I take the med and sit on the chair.
I can feel the acid rising to my throat, I get nauses, dizzy and then I get bad mood for the rest of the day. Dr ordered thyroid and couple other tests, but I feel like I'm going crazy as this is very strange. I'm a software engineer and I need to be able to sit on a chair without any problems, to be able to focus. this only started happening from this year's july.
p.s: i don't get this weird sensation of reflux + nausea + bad mood when siting on sofa or any comfy chair, only those revolving chairs designed for comfort
Would appreciate help as I'm going crazy to diagnose this</t>
        </is>
      </c>
      <c r="D3449" t="n">
        <v>2</v>
      </c>
      <c r="E3449" t="n">
        <v>24</v>
      </c>
      <c r="F3449">
        <f>HYPERLINK("https://www.reddit.com/r/GERD/comments/dqyymx/shortness_of_breath_nausea_reflux_to_throat_when/")</f>
        <v/>
      </c>
      <c r="G3449" t="inlineStr">
        <is>
          <t>2019-11-03 03:04:48</t>
        </is>
      </c>
      <c r="H3449" t="inlineStr"/>
    </row>
    <row r="3450">
      <c r="A3450" t="inlineStr">
        <is>
          <t>dqzg5s</t>
        </is>
      </c>
      <c r="B3450" t="inlineStr">
        <is>
          <t>Any help for the bloating?</t>
        </is>
      </c>
      <c r="C3450" t="inlineStr">
        <is>
          <t>Lately after every heartburn attack I have, for a full day afterwards my stomach is very painfully bloated. Im talking to the level I can't get up, move, walk around. I've tried gas-x and its done absolutely nothing for me. Sometimes heat helps but the minute I'm off the heating pad I have to walk around hunched over like a little old man because if I stand up straight the pain is excruciating. I can't find any information online about this and I'm kind if at a loss on what to do. My back is also killing me. 
Doctors are super expensive, and mine is always booked full for weeks, so... I was wondering if anyone else has felt this before, and if anyone knew what to do, or had any suggestions?</t>
        </is>
      </c>
      <c r="D3450" t="n">
        <v>2</v>
      </c>
      <c r="E3450" t="n">
        <v>5</v>
      </c>
      <c r="F3450">
        <f>HYPERLINK("https://www.reddit.com/r/GERD/comments/dqzg5s/any_help_for_the_bloating/")</f>
        <v/>
      </c>
      <c r="G3450" t="inlineStr">
        <is>
          <t>2019-11-03 03:57:21</t>
        </is>
      </c>
      <c r="H3450" t="inlineStr"/>
    </row>
    <row r="3451">
      <c r="A3451" t="inlineStr">
        <is>
          <t>dr25n0</t>
        </is>
      </c>
      <c r="B3451" t="inlineStr">
        <is>
          <t>My only symptom is breathing difficulties</t>
        </is>
      </c>
      <c r="C3451" t="inlineStr">
        <is>
          <t>Does anyone else only have slight to extreme difficulties breathing? I was diagnosed with apparently mild esophagitis and ENT doctor told me to just go through one packet of 28 tablets of pantoprazole and it will get cured. For 10 days I started getting significantly better breathing, but on the 10th day I had extreme difficulties to the point I was choking and had panic attack and went to ER. They said to just continue with pantoprazole, and now it's been 5 days since the incident and I feel kinda better, but still get harder breathing attacks. Is it possible that I have esophagitis and my only symptom is slight to extreme breathing difficulties and is there any other way to make it easier for me to breathe?</t>
        </is>
      </c>
      <c r="D3451" t="n">
        <v>5</v>
      </c>
      <c r="E3451" t="n">
        <v>5</v>
      </c>
      <c r="F3451">
        <f>HYPERLINK("https://www.reddit.com/r/GERD/comments/dr25n0/my_only_symptom_is_breathing_difficulties/")</f>
        <v/>
      </c>
      <c r="G3451" t="inlineStr">
        <is>
          <t>2019-11-03 07:48:16</t>
        </is>
      </c>
      <c r="H3451" t="inlineStr"/>
    </row>
    <row r="3452">
      <c r="A3452" t="inlineStr">
        <is>
          <t>dr2dzq</t>
        </is>
      </c>
      <c r="B3452" t="inlineStr">
        <is>
          <t>Turns out my endoscopy was for nothing.</t>
        </is>
      </c>
      <c r="C3452" t="inlineStr">
        <is>
          <t>I went for an endoscopy a month ago but no results have shown up. I recently visited my dietician but she had said that my endoscopy details may have been forgotten and discarded because i declined the nasal endoscopy. After my endoscopy, the doctors referred me to a nasal one as to which i declined. So now any results i may have had may be sitting in a recycle bin.</t>
        </is>
      </c>
      <c r="D3452" t="n">
        <v>6</v>
      </c>
      <c r="E3452" t="n">
        <v>13</v>
      </c>
      <c r="F3452">
        <f>HYPERLINK("https://www.reddit.com/r/GERD/comments/dr2dzq/turns_out_my_endoscopy_was_for_nothing/")</f>
        <v/>
      </c>
      <c r="G3452" t="inlineStr">
        <is>
          <t>2019-11-03 08:04:25</t>
        </is>
      </c>
      <c r="H3452" t="inlineStr"/>
    </row>
    <row r="3453">
      <c r="A3453" t="inlineStr">
        <is>
          <t>dr3c2o</t>
        </is>
      </c>
      <c r="B3453" t="inlineStr">
        <is>
          <t>Suffering from GERD and getting back to normal</t>
        </is>
      </c>
      <c r="C3453" t="inlineStr">
        <is>
          <t>I was diagnosed with GERD about 6 years ago. My doctor at the time decided it was a good idea to put me on omeprazole indefinitely without any other suggestions such as weight loss or changing my diet. I was 19 at the time so I just followed my doctors instructions without looking up the drug and it’s effects. I never changed my diet and I never tried losing weight. Omeprazole worked great for about 2-3 years, then I started having symptoms of GERD again. Bad reflux, trouble breathing etc. that’s when I started to do my own research and found people having success getting off omeprazole using ranitidine, eating better, and losing weight. The next day I started my switch to ranitidine, tapering off of omeprazole and made some serious life changes. It was hard and I dealt with a lot of heartburn and reflux at first but once my body got used to it I felt great and was able to taper off ranitidine in less than a year. For about a year and half I was medicine free, and GERD free. I was able to eat whatever and whenever and it was amazing. I still kept the weight that I lost off, but I went back to bad eating habits and I had a flare up about a week ago. Instantly all the overwhelming feelings of hopelessness and feeling alone came flooding back. I found this sub late at night being kept up by heartburn and the feeling of dealing with this alone went away. I jumped back into a healthier lifestyle and taking the max dose of Pepcid to try and calm everything back down. Today marked the 9th day after the initial flare up I feel almost like normal and I am down to only taking Pepcid right before bed instead of all day. I’m hoping I can get back to where I was. I forgot how devastating GERD can be. I took my freedom from this disease for granted. I just wanted to share and hopefully help others understand that even though this is overwhelming to deal with. You are not alone and it is possible to get back to normal. It takes time and persistence.</t>
        </is>
      </c>
      <c r="D3453" t="n">
        <v>17</v>
      </c>
      <c r="E3453" t="n">
        <v>14</v>
      </c>
      <c r="F3453">
        <f>HYPERLINK("https://www.reddit.com/r/GERD/comments/dr3c2o/suffering_from_gerd_and_getting_back_to_normal/")</f>
        <v/>
      </c>
      <c r="G3453" t="inlineStr">
        <is>
          <t>2019-11-03 09:09:13</t>
        </is>
      </c>
      <c r="H3453" t="inlineStr"/>
    </row>
    <row r="3454">
      <c r="A3454" t="inlineStr">
        <is>
          <t>dr4ptp</t>
        </is>
      </c>
      <c r="B3454" t="inlineStr">
        <is>
          <t>Pantoprozole</t>
        </is>
      </c>
      <c r="C3454" t="inlineStr">
        <is>
          <t>I have some acid reflux that didn’t clear up after pregnancy. So I’ve been on pantoprozole for about a week. I feel better overall except I am now constantly burping and sometimes feel nauseous. Is this pretty normal?</t>
        </is>
      </c>
      <c r="D3454" t="n">
        <v>4</v>
      </c>
      <c r="E3454" t="n">
        <v>3</v>
      </c>
      <c r="F3454">
        <f>HYPERLINK("https://www.reddit.com/r/GERD/comments/dr4ptp/pantoprozole/")</f>
        <v/>
      </c>
      <c r="G3454" t="inlineStr">
        <is>
          <t>2019-11-03 10:47:13</t>
        </is>
      </c>
      <c r="H3454" t="inlineStr"/>
    </row>
    <row r="3455">
      <c r="A3455" t="inlineStr">
        <is>
          <t>dr5alx</t>
        </is>
      </c>
      <c r="B3455" t="inlineStr">
        <is>
          <t>Strange throat and mouth sensation on waking up</t>
        </is>
      </c>
      <c r="C3455" t="inlineStr">
        <is>
          <t>Hi, all:
I have an odd question about waking up. Whenever I wake up, there’s an weird soreness in my throat and a tingling in my mouth. It reminds me of the dryness and discomfort you get when you fall asleep with your mouth open, only more severe. There’s no strange taste in my mouth. I’ve read folks saying that if it’s acid or bile coming up, it’s got a bad taste. I’ve also been feeling extremely fatigued, as if I’m not getting the benefits of my sleep, and wondering if these things could be connected.
Does this sound like typical GERD to anyone, or could it be GERD-adjacent? Anyone encounter anything similar?</t>
        </is>
      </c>
      <c r="D3455" t="n">
        <v>2</v>
      </c>
      <c r="E3455" t="n">
        <v>3</v>
      </c>
      <c r="F3455">
        <f>HYPERLINK("https://www.reddit.com/r/GERD/comments/dr5alx/strange_throat_and_mouth_sensation_on_waking_up/")</f>
        <v/>
      </c>
      <c r="G3455" t="inlineStr">
        <is>
          <t>2019-11-03 11:25:50</t>
        </is>
      </c>
      <c r="H3455" t="inlineStr"/>
    </row>
    <row r="3456">
      <c r="A3456" t="inlineStr">
        <is>
          <t>dr65ro</t>
        </is>
      </c>
      <c r="B3456" t="inlineStr">
        <is>
          <t>The "unpopular " GERD opinions Thread.</t>
        </is>
      </c>
      <c r="C3456" t="inlineStr">
        <is>
          <t>Figured I might as well make this since I have too much GERD bro science by now. Everyone knows the basics regarding, coffee, alcohol and lying down after meals, but let's get deep on some uncommon "one weird trick" type discussion.  
The following is 80% truth and 20% Bro science.
&amp;amp;#x200B;
1. Gaviscon Tablets After Meals are the first line of defense against uncomplicated GERD. PPIs /H2RAs  will make Gaviscon therapy less effective. This is the advice your doctor should have given you, unless he has a very good reason to put you on a PPI (e.g. major heartburn event, gastritis, ulcer...). PPIs really should not be the first thing you try. Some people don't respond to PPIs at all and people who suffer from LPR tend to respond better to Gaviscon than to PPIs or H2RAs. However, PPIs short term are not harmful and even long-term they are not a disaster.  If Gaviscon or H2RA (Zantac 150) does not produce sufficient relief, PPIs can be tried.
2. There is something to Citrus fruits, especially orange peel. It may provide some symptom relief (d-limonene ?)
3. ACV , Betaine HCL, or enzymes are often suggested as beneficial. The evidence, both anecdotal and scientific for this,is weak, unless you're an old fart who's stomach doesn't produce much acid anymore.
4. A breathing practice may massage the stomach and help digestion. 
5. A large positive or large negative piece of news maybe greatly affect GERD symptoms. Everyday anxiety and annoyances, probably not as much (&amp;amp; easy to predict &amp;amp; medicate)
6. Carbs are a problem, but we don't know why.
7. Bone Broth may provide overall relief and healing to the stomach lining. This is useful overall, or after an acute burn (e.g. alcohol binge or Betaine HCL use)
8. Releasing trapped air by pressing on the stomach may be beneficial.If you must lie down after a meal, try lying on your stomach.
9. Alkaline water is probably useless (neutralizing all your stomach acid probably isn't good) but a couple sips to wash out the esophagus after a meal is probably good.
10.  A large number of people have "NERD" (Endoscopy Negative Reflux) which means their esophagus is hypersensitive to small amounts of acid. This could be related to Chronic Pain / Central sensitization.
11. Spicy food doesn't cause as much harm as you think.
12. Drinking lots of water with a meal helps acid splash upward and cause pain
13. Having a cold may reduce GERD symptoms
14. Trying to control the burn after a severe episode is moot. You life will suck for several days. Opioid painkillers , sleep medications, and that lidocaine drink they give at the hospital are the only things that provide relief. Bone broth gets an honorable mention.
15. Some people have Genes that make PPIs less effecitve. Nexum, Rabeprazole, or Dexliant may be slightly more effective for those people.
16. Korea has some weird new acid blocking drug that is not a PPI.  [https://en.wikipedia.org/wiki/Discovery\_and\_development\_of\_proton\_pump\_inhibitors#Potassium-competitive\_acid\_blockers\_or\_acid\_pump\_antagonists](https://en.wikipedia.org/wiki/Discovery_and_development_of_proton_pump_inhibitors#Potassium-competitive_acid_blockers_or_acid_pump_antagonists) 
17. Some people say Melatonin helps with GERD. High dose melatonin however may have strange effects on sleep when used long term.
18. Some people say that GERD Can cause Eustachian tube dysfunction. Personally, I think it could be the other way around. Eustachian tube dysfunction creates anxiety and different breathing patterns which leads to gerd. This is 100% pulled out of my ass and likely incorrect.</t>
        </is>
      </c>
      <c r="D3456" t="n">
        <v>25</v>
      </c>
      <c r="E3456" t="n">
        <v>43</v>
      </c>
      <c r="F3456">
        <f>HYPERLINK("https://www.reddit.com/r/GERD/comments/dr65ro/the_unpopular_gerd_opinions_thread/")</f>
        <v/>
      </c>
      <c r="G3456" t="inlineStr">
        <is>
          <t>2019-11-03 12:25:36</t>
        </is>
      </c>
      <c r="H3456" t="inlineStr"/>
    </row>
    <row r="3457">
      <c r="A3457" t="inlineStr">
        <is>
          <t>dr6ds3</t>
        </is>
      </c>
      <c r="B3457" t="inlineStr">
        <is>
          <t>Wake up choking on stomach acid, hard to breath, almost unbearable burning in my throat I can’t get rid of, followed by my whole body shaking from chills and I can’t warm up. Is this GERD? Anyone else have this?</t>
        </is>
      </c>
      <c r="C3457" t="inlineStr">
        <is>
          <t>I have had these attacks off an on for a few years, I bring it up to my doctor and he says “yes acid reflux take this “ and I’ll take nexium 
I try to talk to people about this and always hear “oh yea I get that sometimes it sucks”. 
I am not trying to baby about this, but I feel like nobody would causally state they have it like this if they felt the way I did when I have an attack. I choke and cough on it , then my esophagus feels like it’s on fire and NOTHING will ease the pain but time, and if it’s bad enough I end up shaking and feel Ice cold after the attack where I have to have like 5 heavy blankets on me and a heating pad on high . 
Does anyone else have these symptoms?</t>
        </is>
      </c>
      <c r="D3457" t="n">
        <v>1</v>
      </c>
      <c r="E3457" t="n">
        <v>0</v>
      </c>
      <c r="F3457">
        <f>HYPERLINK("https://www.reddit.com/r/GERD/comments/dr6ds3/wake_up_choking_on_stomach_acid_hard_to_breath/")</f>
        <v/>
      </c>
      <c r="G3457" t="inlineStr">
        <is>
          <t>2019-11-03 12:41:20</t>
        </is>
      </c>
      <c r="H3457" t="inlineStr"/>
    </row>
    <row r="3458">
      <c r="A3458" t="inlineStr">
        <is>
          <t>dr6lxs</t>
        </is>
      </c>
      <c r="B3458" t="inlineStr">
        <is>
          <t>What is the difference between a Hernia, GERDS, and silent reflux?</t>
        </is>
      </c>
      <c r="C3458" t="inlineStr">
        <is>
          <t>I have a hernia (endoscopy impressions) that’s causing swallowing/eating problems, heartburn, and upper left chest/arm pain. 
My understanding is that GERDS is the observational term for my symptoms while acid reflux is a general time for worrying about throat damage from acid turning into cancerous conditions.
Does doing surgery and fixing my hernia fix all my problems? Do I also have to worry about developing pre-cancerous conditions?</t>
        </is>
      </c>
      <c r="D3458" t="n">
        <v>3</v>
      </c>
      <c r="E3458" t="n">
        <v>9</v>
      </c>
      <c r="F3458">
        <f>HYPERLINK("https://www.reddit.com/r/GERD/comments/dr6lxs/what_is_the_difference_between_a_hernia_gerds_and/")</f>
        <v/>
      </c>
      <c r="G3458" t="inlineStr">
        <is>
          <t>2019-11-03 12:57:24</t>
        </is>
      </c>
      <c r="H3458" t="inlineStr"/>
    </row>
    <row r="3459">
      <c r="A3459" t="inlineStr">
        <is>
          <t>drcags</t>
        </is>
      </c>
      <c r="B3459" t="inlineStr">
        <is>
          <t>Gerd led me to have other problems...</t>
        </is>
      </c>
      <c r="C3459" t="inlineStr">
        <is>
          <t>Back a few months ago, I noticed that I started coughing a lot, having a tight feeling in my throat, scratchy throat and post natal drop. I passed it off as a cold but then I realized it wasn’t that. The doctors checked me and said nothing was wrong. As it continued I did research and acid reflux matches all my symptoms! I didn’t think much of it and ate my usual diet. I decided enough was enough and say a ENT because my throat was continuing to bother me. He put a scope in my nose to see my throat (ofc numbed) and noticed my vocal cords were swollen from... acid reflux. He told me i had to completely change my diet, use a face steamer for post natal drip and see a speech therapist to retrain them. O completely changed my diet avoiding sugar, greasy fried food, tomato, and anything not home made basically. It’s been 2 months and I feel amazing. The VCD also caused me to feel short of breath especially when excersising and now I can finally do WHAG I want without the horrible sensations. I am telling this story to tell you all to go to an ENT and get diagnosed because I’d you let acid reflux or gerd run it’s track you can develop esphogas cancer even at a young age. If u want to start CHANGE UR DIET! Pills are temporary relief it’s all about the food you eat! It’s hard but it’s worth it when u feel amazing!!!</t>
        </is>
      </c>
      <c r="D3459" t="n">
        <v>7</v>
      </c>
      <c r="E3459" t="n">
        <v>14</v>
      </c>
      <c r="F3459">
        <f>HYPERLINK("https://www.reddit.com/r/GERD/comments/drcags/gerd_led_me_to_have_other_problems/")</f>
        <v/>
      </c>
      <c r="G3459" t="inlineStr">
        <is>
          <t>2019-11-03 20:07:38</t>
        </is>
      </c>
      <c r="H3459" t="inlineStr"/>
    </row>
    <row r="3460">
      <c r="A3460" t="inlineStr">
        <is>
          <t>dre0y9</t>
        </is>
      </c>
      <c r="B3460" t="inlineStr">
        <is>
          <t>LPR &amp;amp; rare breathing issue</t>
        </is>
      </c>
      <c r="C3460" t="inlineStr">
        <is>
          <t>This had not happened in a very very long time to me, but today after I had some soup , I had to take those anxious ‘let me find the perfect deep breath’ type of breaths after eating. Immediately after I had the soup. I do suffer directly from silent reflux, I’ve looked at this symptom online and found that it could happen with LPR. Anyone else experience this at all?</t>
        </is>
      </c>
      <c r="D3460" t="n">
        <v>1</v>
      </c>
      <c r="E3460" t="n">
        <v>0</v>
      </c>
      <c r="F3460">
        <f>HYPERLINK("https://www.reddit.com/r/GERD/comments/dre0y9/lpr_rare_breathing_issue/")</f>
        <v/>
      </c>
      <c r="G3460" t="inlineStr">
        <is>
          <t>2019-11-03 22:58:59</t>
        </is>
      </c>
      <c r="H3460" t="inlineStr"/>
    </row>
    <row r="3461">
      <c r="A3461" t="inlineStr">
        <is>
          <t>drerov</t>
        </is>
      </c>
      <c r="B3461" t="inlineStr">
        <is>
          <t>Got put back on omeprazole for the umpteenth time... but it actually works this time??</t>
        </is>
      </c>
      <c r="C3461" t="inlineStr">
        <is>
          <t>Had an incredibly bad bout of symptoms and pain that basically forced me to go to the doctor. The usual suspect, acid build up and such, and I get put back on Prilosec for maybe the eighth or ninth time? 
Now before I go any further, I should say that previous times I’ve done Prilosec (usually 2 weeks-2 months) usually nothing happens and nothing changes, so I’ve obviously swore it off. But now I’m about 1 week into the 2 week course, and I’m feeling better than I have in a long time. Don’t know why it worked this time, but I’m glad it did. Does anyone know why this happens or have you ever experienced it before?</t>
        </is>
      </c>
      <c r="D3461" t="n">
        <v>2</v>
      </c>
      <c r="E3461" t="n">
        <v>0</v>
      </c>
      <c r="F3461">
        <f>HYPERLINK("https://www.reddit.com/r/GERD/comments/drerov/got_put_back_on_omeprazole_for_the_umpteenth_time/")</f>
        <v/>
      </c>
      <c r="G3461" t="inlineStr">
        <is>
          <t>2019-11-04 00:24:13</t>
        </is>
      </c>
      <c r="H3461" t="inlineStr"/>
    </row>
    <row r="3462">
      <c r="A3462" t="inlineStr">
        <is>
          <t>drfe3h</t>
        </is>
      </c>
      <c r="B3462" t="inlineStr">
        <is>
          <t>SSRI and GERD</t>
        </is>
      </c>
      <c r="C3462" t="inlineStr">
        <is>
          <t>Last week I’ve finally decided to makean appointment with a psychiatrist, because I feel suicidal everyday and have horrible anxiety. I mostly feel suicidal because I have LPR and benign fasciculation syndrome. I wanted to get on antidepressants, but now I’m worried because I’ve read that they can make GERD worse. I’m already taking 40mg omeprazole and itopride, but they only make LPR maybe 30-50% better. Endoscopy came clear, but I don’t experience heartburn anyway, I only have problems with my throat and sinuses.
I’m already going to therapy, but it only helps a little so far and it will probably take a long time before it helps more. The problem is that my anxiety is not based on thoughts, I can even be calm mentaly and still feel anxious physically. It’s like I’m always in a fight or flight mode. That’s why I think therapy has a limited benefit for me - because I can’t alleviate the anxiety by changing thought patterns. Relaxation techniques don’t help me at all. I think there’s some chemical imbalance in my brain. Also the BFS makes any anxiety 10x worse because my muscles start twitching, moving on their own, cramping etc. 
I really really don’t know what to do now. I don’t want to choose between my physical health and my mental health and that won’t work anyway because they influence each other. Is there any antidepressant that doesn’t make LPR worse? I really need to start feeling better soon or I won’t be able to handle this anymore.</t>
        </is>
      </c>
      <c r="D3462" t="n">
        <v>2</v>
      </c>
      <c r="E3462" t="n">
        <v>19</v>
      </c>
      <c r="F3462">
        <f>HYPERLINK("https://www.reddit.com/r/GERD/comments/drfe3h/ssri_and_gerd/")</f>
        <v/>
      </c>
      <c r="G3462" t="inlineStr">
        <is>
          <t>2019-11-04 01:40:50</t>
        </is>
      </c>
      <c r="H3462" t="inlineStr"/>
    </row>
    <row r="3463">
      <c r="A3463" t="inlineStr">
        <is>
          <t>drffet</t>
        </is>
      </c>
      <c r="B3463" t="inlineStr">
        <is>
          <t>Ranitidine update of 01/11/19</t>
        </is>
      </c>
      <c r="C3463" t="inlineStr">
        <is>
          <t>I guess that's good [news](https://www.fda.gov/drugs/drug-safety-and-availability/laboratory-tests-ranitidine) (?)</t>
        </is>
      </c>
      <c r="D3463" t="n">
        <v>1</v>
      </c>
      <c r="E3463" t="n">
        <v>7</v>
      </c>
      <c r="F3463">
        <f>HYPERLINK("https://www.reddit.com/r/GERD/comments/drffet/ranitidine_update_of_011119/")</f>
        <v/>
      </c>
      <c r="G3463" t="inlineStr">
        <is>
          <t>2019-11-04 01:45:28</t>
        </is>
      </c>
      <c r="H3463" t="inlineStr"/>
    </row>
    <row r="3464">
      <c r="A3464" t="inlineStr">
        <is>
          <t>drhwco</t>
        </is>
      </c>
      <c r="B3464" t="inlineStr">
        <is>
          <t>Nighttime Aspiration?</t>
        </is>
      </c>
      <c r="C3464" t="inlineStr">
        <is>
          <t>I was wondering if there was anyone who experienced something similar. At night, if i sleep on my right side, the following morning I will wake up and my lung will be sore (only the right lung), and it feels like I had just ran a mile in the cold type feeling. At no point do I wake up coughing and in extreme discomfort like others have described when they aspirate stomach acid. This has been going on for almost 2 years now and it really effects my ability to exercise and sleep comfortably. I have tried everything, yes literally everything, short of surgery and was just looking for someone like me out there to see if I can ever sleep on my right side again. For the record I'm 29 and do have a HH, so I know eventually I will probably opt for surgery when they have a procedure that doesn't seem as medieval as the current ones.</t>
        </is>
      </c>
      <c r="D3464" t="n">
        <v>3</v>
      </c>
      <c r="E3464" t="n">
        <v>6</v>
      </c>
      <c r="F3464">
        <f>HYPERLINK("https://www.reddit.com/r/GERD/comments/drhwco/nighttime_aspiration/")</f>
        <v/>
      </c>
      <c r="G3464" t="inlineStr">
        <is>
          <t>2019-11-04 05:53:08</t>
        </is>
      </c>
      <c r="H3464" t="inlineStr"/>
    </row>
    <row r="3465">
      <c r="A3465" t="inlineStr">
        <is>
          <t>dri0wh</t>
        </is>
      </c>
      <c r="B3465" t="inlineStr">
        <is>
          <t>Morning dry heaving</t>
        </is>
      </c>
      <c r="C3465" t="inlineStr">
        <is>
          <t>I'm currently on PPI and some other meds that I'm taking as needed. Most symptoms are ok-ish now, I'm still bothering my doctor so that he would recommend me an surgery, but meanwhile I would like to somehow solve this....  I dry heave every morning. I feel like my stomach is full, I burp and then I spend a good minute just dry heaving and burping, maybe if I had some water, that will come out. It does not matter what I eat or what I drink, I go to bed at 10pm and I don't eat after 7pm.  Sure, when I have some carbonated drink the night before, that makes it worse, but it just adds like 1-2 minutes to it.... after that I feel totally hungry and I need to eat right away. I also do all the stuff that is recommended during GERD - sleep with head higher, taking meds, etc.... Is there something I can do to prevent this? I can sleep completely fine, but my body is already hardwired to the 6am waking up - I get up, toilet stuff, dry heaving stuff, other morning stuff....  but if I wake up at 4am and go to toilet and back to bed, I feel fine during that time. 2 hours later, I'm with my head over the toilet....</t>
        </is>
      </c>
      <c r="D3465" t="n">
        <v>2</v>
      </c>
      <c r="E3465" t="n">
        <v>0</v>
      </c>
      <c r="F3465">
        <f>HYPERLINK("https://www.reddit.com/r/GERD/comments/dri0wh/morning_dry_heaving/")</f>
        <v/>
      </c>
      <c r="G3465" t="inlineStr">
        <is>
          <t>2019-11-04 06:03:42</t>
        </is>
      </c>
      <c r="H3465" t="inlineStr"/>
    </row>
    <row r="3466">
      <c r="A3466" t="inlineStr">
        <is>
          <t>drirt4</t>
        </is>
      </c>
      <c r="B3466" t="inlineStr">
        <is>
          <t>Loss of taste?</t>
        </is>
      </c>
      <c r="C3466" t="inlineStr">
        <is>
          <t>Good morning. I didn’t understand much on google so I decided to come here. I’ve had gerd since I was a toddler and lately it’s been unfortunately worse. I can’t remember how many months ago it was but one time my mom brought home pepsi and it tasted very off? Almost flat no matter how cold I kept it. I thought it was the soda itself, but it was the same with a different type of soda. Again with another type of soda, and then it hit me that I just suddenly cannot taste soda for some reason? The taste is almost as if it’s warm, no ‘burn’ feeling, flat, and barely kicks in seconds later. Recently I had an endoscopy done and was diagnosed with both esophagitis and gastritis (they’ve been there 7-8 months now). I’m not a constant soda drinker and I know it’s off limits with this condition. Has anyone else experienced this? Is it common with gerd/one of the 2 conditions?</t>
        </is>
      </c>
      <c r="D3466" t="n">
        <v>2</v>
      </c>
      <c r="E3466" t="n">
        <v>7</v>
      </c>
      <c r="F3466">
        <f>HYPERLINK("https://www.reddit.com/r/GERD/comments/drirt4/loss_of_taste/")</f>
        <v/>
      </c>
      <c r="G3466" t="inlineStr">
        <is>
          <t>2019-11-04 07:01:23</t>
        </is>
      </c>
      <c r="H3466" t="inlineStr"/>
    </row>
    <row r="3467">
      <c r="A3467" t="inlineStr">
        <is>
          <t>driwdq</t>
        </is>
      </c>
      <c r="B3467" t="inlineStr">
        <is>
          <t>Clogged nose and throat producing mucus 24/7</t>
        </is>
      </c>
      <c r="C3467" t="inlineStr">
        <is>
          <t>This shit is driving me mad!!! Why this just can't stop? Any tips on improving it?</t>
        </is>
      </c>
      <c r="D3467" t="n">
        <v>3</v>
      </c>
      <c r="E3467" t="n">
        <v>2</v>
      </c>
      <c r="F3467">
        <f>HYPERLINK("https://www.reddit.com/r/GERD/comments/driwdq/clogged_nose_and_throat_producing_mucus_247/")</f>
        <v/>
      </c>
      <c r="G3467" t="inlineStr">
        <is>
          <t>2019-11-04 07:10:42</t>
        </is>
      </c>
      <c r="H3467" t="inlineStr"/>
    </row>
    <row r="3468">
      <c r="A3468" t="inlineStr">
        <is>
          <t>drkte9</t>
        </is>
      </c>
      <c r="B3468" t="inlineStr">
        <is>
          <t>Enzymes and Probiotics</t>
        </is>
      </c>
      <c r="C3468" t="inlineStr">
        <is>
          <t>Anyone try these? My mom-in-law recommended it for my GERD. She takes enzymes like two after every meal and whenever she feels discomfort (different issues than GERD, but still stomach related). I've been taking as the bottle recommends (1 before each meal and no more). Unfortunately, for GERD, it's best to eat more than 3 meals, so I only take 3 a day since that's the standard diet this would seem to refer to. It helps a lot, but I'm thinking of getting a separate bottle of just enzymes to take for the other meals. I am unsure whether it's the probiotics that's limiting how many I can take or if my mom-in-law is taking too many enzymes. I'm very new to enzymes, but have taken probiotics in the past.
I've been eating some GERD no-nos and had typical heartburn, not GERD heartburn, or none at all! 
Anyone have experience with enzymes and/or probiotics? I'm curious if it helped anyone else.</t>
        </is>
      </c>
      <c r="D3468" t="n">
        <v>5</v>
      </c>
      <c r="E3468" t="n">
        <v>6</v>
      </c>
      <c r="F3468">
        <f>HYPERLINK("https://www.reddit.com/r/GERD/comments/drkte9/enzymes_and_probiotics/")</f>
        <v/>
      </c>
      <c r="G3468" t="inlineStr">
        <is>
          <t>2019-11-04 09:22:40</t>
        </is>
      </c>
      <c r="H3468" t="inlineStr"/>
    </row>
    <row r="3469">
      <c r="A3469" t="inlineStr">
        <is>
          <t>drl95m</t>
        </is>
      </c>
      <c r="B3469" t="inlineStr">
        <is>
          <t>[26 / M] Severe chest pain and left arm numbness last night, waking me up.</t>
        </is>
      </c>
      <c r="C3469" t="inlineStr">
        <is>
          <t>For reference, I've had issues with GERD and what I suspect gastritis for a long time now. I was supposed to get an endoscopy, but never followed through on the appointment. 
Last night I woke up with the following symptoms: 
Chest pain/deep aching feeling around my heart that felt like a heart attack, then I felt my left arm going numb and tingling. 
I had something similar happen to this a year ago, didn't feel this bad though. I spent a good 2-3 hours debating on going to the hospital before it started to go down a bit and I got back to sleep. The last time it happened I did go to the ER and they said my EKG was fine.  
On this particular night I ate and drank the following - two beers,a somewhat spicy indian dish and a glass of this indian tea drink which I assume had caffeine in it. I'm speculating that this might have triggered an intense episode. 
anyone have similar experiences.</t>
        </is>
      </c>
      <c r="D3469" t="n">
        <v>2</v>
      </c>
      <c r="E3469" t="n">
        <v>4</v>
      </c>
      <c r="F3469">
        <f>HYPERLINK("https://www.reddit.com/r/GERD/comments/drl95m/26_m_severe_chest_pain_and_left_arm_numbness_last/")</f>
        <v/>
      </c>
      <c r="G3469" t="inlineStr">
        <is>
          <t>2019-11-04 09:52:32</t>
        </is>
      </c>
      <c r="H3469" t="inlineStr"/>
    </row>
    <row r="3470">
      <c r="A3470" t="inlineStr">
        <is>
          <t>drn6gm</t>
        </is>
      </c>
      <c r="B3470" t="inlineStr">
        <is>
          <t>Are coated garlic capsules GERD-friendly?</t>
        </is>
      </c>
      <c r="C3470" t="inlineStr">
        <is>
          <t>I love garlic -- not least for its health benefits -- but garlic hates me. Has anyone here had better luck with those enteric coated garlic capsules, or do they cause the same problems once the coating dissolves?</t>
        </is>
      </c>
      <c r="D3470" t="n">
        <v>6</v>
      </c>
      <c r="E3470" t="n">
        <v>1</v>
      </c>
      <c r="F3470">
        <f>HYPERLINK("https://www.reddit.com/r/GERD/comments/drn6gm/are_coated_garlic_capsules_gerdfriendly/")</f>
        <v/>
      </c>
      <c r="G3470" t="inlineStr">
        <is>
          <t>2019-11-04 12:01:12</t>
        </is>
      </c>
      <c r="H3470" t="inlineStr"/>
    </row>
    <row r="3471">
      <c r="A3471" t="inlineStr">
        <is>
          <t>drnfyg</t>
        </is>
      </c>
      <c r="B3471" t="inlineStr">
        <is>
          <t>coughing up green yellowish mucus</t>
        </is>
      </c>
      <c r="C3471" t="inlineStr">
        <is>
          <t>developed a sinus issue and a cough over the past 4 days so now i'm dealing with a clogged nose, always sneezing, and a itchy throat/chest and a cough along with acid reflux symptoms. acid reflux has completely destroyed my throat and my throat feels raw. 
i woke up this morning with a heavy cough and coughed up some green yellowish phlegm in chunks. i'm now getting concerned that i may have developed pneumonia. i've been off my PPI's for the past 6 days because i was told to quit them for 2 weeks following my endoscopy procedure. lukcily i have a appointment with my doctor tomorrow and i can explain to her that things seem to be getting worse than better for me.</t>
        </is>
      </c>
      <c r="D3471" t="n">
        <v>2</v>
      </c>
      <c r="E3471" t="n">
        <v>2</v>
      </c>
      <c r="F3471">
        <f>HYPERLINK("https://www.reddit.com/r/GERD/comments/drnfyg/coughing_up_green_yellowish_mucus/")</f>
        <v/>
      </c>
      <c r="G3471" t="inlineStr">
        <is>
          <t>2019-11-04 12:18:06</t>
        </is>
      </c>
      <c r="H3471" t="inlineStr"/>
    </row>
    <row r="3472">
      <c r="A3472" t="inlineStr">
        <is>
          <t>drof4p</t>
        </is>
      </c>
      <c r="B3472" t="inlineStr">
        <is>
          <t>Sore throat for 30 days no other symptom, could this be LPR please help feeling miserable?</t>
        </is>
      </c>
      <c r="C3472" t="inlineStr">
        <is>
          <t>Im miserable now  , loosing weight trying too Eat not acid , just stoped going to school and to the gym , my only symptom is a sore throat in the mornings that kind of dissapear in the day ,yesterday was so painfull tha i just broked  and cry ,lost already 10;pounds in these days , my life was good before , I can’t imagine living with these pain for the rest of my life since im only 18 years old , my anxiety is trough the roof , can’t sleep and im 20 days on ppis and this doesn’t get better , days did the sore throat ever dissapear  ? Can it be something else  besides lpr? My doctors doesn’t have a clue, it all. Started after a normal cold.</t>
        </is>
      </c>
      <c r="D3472" t="n">
        <v>3</v>
      </c>
      <c r="E3472" t="n">
        <v>6</v>
      </c>
      <c r="F3472">
        <f>HYPERLINK("https://www.reddit.com/r/GERD/comments/drof4p/sore_throat_for_30_days_no_other_symptom_could/")</f>
        <v/>
      </c>
      <c r="G3472" t="inlineStr">
        <is>
          <t>2019-11-04 13:21:39</t>
        </is>
      </c>
      <c r="H3472" t="inlineStr"/>
    </row>
    <row r="3473">
      <c r="A3473" t="inlineStr">
        <is>
          <t>drpo10</t>
        </is>
      </c>
      <c r="B3473" t="inlineStr">
        <is>
          <t>GERD And Panic/anxiety attacks - more common than doctors are aware of?</t>
        </is>
      </c>
      <c r="C3473" t="inlineStr">
        <is>
          <t>I searched back in the subreddit and saw quite a few of us suffer from panic attacks that are directly related to GERD/reflux. 
But it seems like a lot of doctors aren't aware of this connection (hard to judge the cause and effect, I guess) - which is why it took so long for my reflux to be diagnosed when it began.
It all started for me a few years ago - I never had any reflux before (that I'm aware of), so it wasn't something on my mind at all. But one day out of the blue, after eating, I started getting very weird feelings in my stomach, along with major weakness in my body - which would sometimes also lead to a panic attack (which was another thing I never had before, so didn't even know to recognise). Oh and yes, there was some pain/burning in my chest...
The first time it happened I even called an ambulance, because I thought I was having a heart attack. The second time it happened, I managed to go to the Emergency Room by myself.
And I saw several doctors - none of them had any idea what was wrong with me - my heart was OK, everything else seemed OK... I guess the burning in my chest should have been a clue, but all the other symptoms were not associated with GERD, according to my doctors at the time - so it wasn't an option in their mind.
Eventually, a gastro specialist finally brought this up as an option, at that point they also found an ulcer, and he put me on PPIs - and only then things started getting better.
Jumping years later - to now - and I can control the reflux, more or less (still on PPIs) - but sometimes, mostly at night and if I had something "bad" to eat - the reflux comes back, the weakness comes back, and sometimes the panic attack comes back. It's never fun - but at least I'm aware it's somehow caused by the reflux.
But I really do think doctors should be more aware of this strange connection...</t>
        </is>
      </c>
      <c r="D3473" t="n">
        <v>24</v>
      </c>
      <c r="E3473" t="n">
        <v>15</v>
      </c>
      <c r="F3473">
        <f>HYPERLINK("https://www.reddit.com/r/GERD/comments/drpo10/gerd_and_panicanxiety_attacks_more_common_than/")</f>
        <v/>
      </c>
      <c r="G3473" t="inlineStr">
        <is>
          <t>2019-11-04 14:47:32</t>
        </is>
      </c>
      <c r="H3473" t="inlineStr"/>
    </row>
    <row r="3474">
      <c r="A3474" t="inlineStr">
        <is>
          <t>drs3bz</t>
        </is>
      </c>
      <c r="B3474" t="inlineStr">
        <is>
          <t>I’m mind blown that there are others (you all) with the same or similar symptoms.</t>
        </is>
      </c>
      <c r="C3474" t="inlineStr">
        <is>
          <t>I thought I have been all alone. Suffering solo.  I google search led me to this group and I have no self diagnosed myself with GERD. 
I take prilosec every day (if I remember) and the days I don’t remember I am have waves of heartburn and spend most of the day fighting off nausea, and trying to nonchalantly throw up into my trash bin in my cubicle at work.  Sometimes I throw up after one bite of food, other times hours later or even on an empty stomach! 
is there any hope that quality of life gets better? Or am I going to live off of milk and unsalted crackers forever?</t>
        </is>
      </c>
      <c r="D3474" t="n">
        <v>1</v>
      </c>
      <c r="E3474" t="n">
        <v>0</v>
      </c>
      <c r="F3474">
        <f>HYPERLINK("https://www.reddit.com/r/GERD/comments/drs3bz/im_mind_blown_that_there_are_others_you_all_with/")</f>
        <v/>
      </c>
      <c r="G3474" t="inlineStr">
        <is>
          <t>2019-11-04 17:43:44</t>
        </is>
      </c>
      <c r="H3474" t="inlineStr"/>
    </row>
    <row r="3475">
      <c r="A3475" t="inlineStr">
        <is>
          <t>drudlm</t>
        </is>
      </c>
      <c r="B3475" t="inlineStr">
        <is>
          <t>Interesting study on magnesium and reflux oesophagitis etc.</t>
        </is>
      </c>
      <c r="C3475" t="inlineStr">
        <is>
          <t>[https://www.ncbi.nlm.nih.gov/m/pubmed/26563986/](https://www.ncbi.nlm.nih.gov/m/pubmed/26563986/)</t>
        </is>
      </c>
      <c r="D3475" t="n">
        <v>2</v>
      </c>
      <c r="E3475" t="n">
        <v>6</v>
      </c>
      <c r="F3475">
        <f>HYPERLINK("https://www.reddit.com/r/GERD/comments/drudlm/interesting_study_on_magnesium_and_reflux/")</f>
        <v/>
      </c>
      <c r="G3475" t="inlineStr">
        <is>
          <t>2019-11-04 20:49:45</t>
        </is>
      </c>
      <c r="H3475" t="inlineStr"/>
    </row>
    <row r="3476">
      <c r="A3476" t="inlineStr">
        <is>
          <t>drut8n</t>
        </is>
      </c>
      <c r="B3476" t="inlineStr">
        <is>
          <t>pill induced LPR can it go away on its own ¿</t>
        </is>
      </c>
      <c r="C3476" t="inlineStr">
        <is>
          <t>Hi 24 year old male here , I was taking dicloxacilin for a throat cold infection , all the symptoms goes away except the burning throat , I have a burning throat since 30 days ago , never had any heartburn problem , im taking ppi and eating low acidic foos since im partially sure that antibiotic cause it , my only symtpom now is a dry sore throat, I read somewhere that pill induced gerd / LPR can take time to heal but  im afraid that The antibiotic caused permanent damage to my UES or LES , any opinions ?</t>
        </is>
      </c>
      <c r="D3476" t="n">
        <v>3</v>
      </c>
      <c r="E3476" t="n">
        <v>0</v>
      </c>
      <c r="F3476">
        <f>HYPERLINK("https://www.reddit.com/r/GERD/comments/drut8n/pill_induced_lpr_can_it_go_away_on_its_own/")</f>
        <v/>
      </c>
      <c r="G3476" t="inlineStr">
        <is>
          <t>2019-11-04 21:32:18</t>
        </is>
      </c>
      <c r="H3476" t="inlineStr"/>
    </row>
    <row r="3477">
      <c r="A3477" t="inlineStr">
        <is>
          <t>drvdk7</t>
        </is>
      </c>
      <c r="B3477" t="inlineStr">
        <is>
          <t>Silent reflux?</t>
        </is>
      </c>
      <c r="C3477" t="inlineStr">
        <is>
          <t>My only symptom is having a lot of gas which I force out all day due to discomfort in my throat, resulting in a sore / burning throat when I force out gas too much. I don’t feel this every day, but pretty often since I don’t eat the best diet and probably eat too fast. Is this sore / burning throat silent reflux? It kinda feels like it’s scratched and burned at the same time</t>
        </is>
      </c>
      <c r="D3477" t="n">
        <v>1</v>
      </c>
      <c r="E3477" t="n">
        <v>2</v>
      </c>
      <c r="F3477">
        <f>HYPERLINK("https://www.reddit.com/r/GERD/comments/drvdk7/silent_reflux/")</f>
        <v/>
      </c>
      <c r="G3477" t="inlineStr">
        <is>
          <t>2019-11-04 22:30:04</t>
        </is>
      </c>
      <c r="H3477" t="inlineStr"/>
    </row>
    <row r="3478">
      <c r="A3478" t="inlineStr">
        <is>
          <t>drvl59</t>
        </is>
      </c>
      <c r="B3478" t="inlineStr">
        <is>
          <t>GERD only if I haven't eaten?</t>
        </is>
      </c>
      <c r="C3478" t="inlineStr">
        <is>
          <t>I feel the sensation of acid regurgitation whenever I haven't eaten for 6+ hours (give or take, seemingly dependent on the size and quality of the last meal I had). I wake up from it every single morning. Anybody have similar symptoms? No heartburn, only acid regurgitation, and the only thing that fixes it is having a bite.</t>
        </is>
      </c>
      <c r="D3478" t="n">
        <v>1</v>
      </c>
      <c r="E3478" t="n">
        <v>4</v>
      </c>
      <c r="F3478">
        <f>HYPERLINK("https://www.reddit.com/r/GERD/comments/drvl59/gerd_only_if_i_havent_eaten/")</f>
        <v/>
      </c>
      <c r="G3478" t="inlineStr">
        <is>
          <t>2019-11-04 22:54:15</t>
        </is>
      </c>
      <c r="H3478" t="inlineStr"/>
    </row>
    <row r="3479">
      <c r="A3479" t="inlineStr">
        <is>
          <t>drvlje</t>
        </is>
      </c>
      <c r="B3479" t="inlineStr">
        <is>
          <t>Does this happen to anyone else?</t>
        </is>
      </c>
      <c r="C3479" t="inlineStr">
        <is>
          <t>I've had Gerd since I was about 7 years old. I'm still not over 21 and I've been told it's recommended to wait until after I'm 21 to have the surgery for my loose esophageal sphincter. So I still struggle with acid reflux everyday and it's so sad that I find small meals and fasting helps a bit. And also weight loss.
So as I reflux it comes out almost straight, kind of similar to projectile vomiting. It's really painful. And my jaw becomes so swollen and my face gets puffy. And my eyes sometimes go red. Is that normal? What can I do for that? For my puffy face I just massage it. I don't mind looking a bit puffy, but sometimes it looks almost swollen and it's a bit embarrassing to go out that way. As for the red eyes, it goes away quickly on the same day but it's a bit scary to look at sometimes.
Does anyone know any solutions for this?</t>
        </is>
      </c>
      <c r="D3479" t="n">
        <v>1</v>
      </c>
      <c r="E3479" t="n">
        <v>8</v>
      </c>
      <c r="F3479">
        <f>HYPERLINK("https://www.reddit.com/r/GERD/comments/drvlje/does_this_happen_to_anyone_else/")</f>
        <v/>
      </c>
      <c r="G3479" t="inlineStr">
        <is>
          <t>2019-11-04 22:55:30</t>
        </is>
      </c>
      <c r="H3479" t="inlineStr"/>
    </row>
    <row r="3480">
      <c r="A3480" t="inlineStr">
        <is>
          <t>drxavi</t>
        </is>
      </c>
      <c r="B3480" t="inlineStr">
        <is>
          <t>Lower PPI and use Gaviscon?</t>
        </is>
      </c>
      <c r="C3480" t="inlineStr">
        <is>
          <t>I'm taking 40mg of Emanera (Esomeprazole) first thing in the morning and right before bed. I'm on it probably for month and a half and while acid is surely lower, I feel like it messed up my digestion - food is taking long to process, I have dry heaves in the morning. I started taking some OTC meds to help my stomach digest food, but I feel like I'm just trying  to hide another problem created by meds that are hiding first problem.
My GP told me to take 2x40mg but when I had my endoscopy done,  that doctor told me that half  of that should be enough. My GP still puts me on 2x40mg. 
After reading some of the threads here, I'm thinking about ditching the night pill and using Gaviscon instead. Could that help? I'm also taking probiotics (20 bilion daily, Bifidobacterium bifidum, Bifidobacterium breve, Bifidobacterium longum, Lactobacillus acidophilus, Lactobacillus casei, Lactobacillus plantarum, Lactobacillus rhamnosus, Lactococcus lactis ssp. Lactis, Streptococcus thermophilus).</t>
        </is>
      </c>
      <c r="D3480" t="n">
        <v>3</v>
      </c>
      <c r="E3480" t="n">
        <v>13</v>
      </c>
      <c r="F3480">
        <f>HYPERLINK("https://www.reddit.com/r/GERD/comments/drxavi/lower_ppi_and_use_gaviscon/")</f>
        <v/>
      </c>
      <c r="G3480" t="inlineStr">
        <is>
          <t>2019-11-05 02:22:43</t>
        </is>
      </c>
      <c r="H3480" t="inlineStr"/>
    </row>
    <row r="3481">
      <c r="A3481" t="inlineStr">
        <is>
          <t>drz9dv</t>
        </is>
      </c>
      <c r="B3481" t="inlineStr">
        <is>
          <t>How do you get rid of the vomit taste?</t>
        </is>
      </c>
      <c r="C3481" t="inlineStr">
        <is>
          <t>I detest the vomit flavour that comes with gerd. Is there anything you guys eat or drink that will actually push the vomit out of the throat? I've tried making myself throw up to get an empty stomach, it actually helps a bit but obvisouly doesn't cure the throat vom.</t>
        </is>
      </c>
      <c r="D3481" t="n">
        <v>2</v>
      </c>
      <c r="E3481" t="n">
        <v>4</v>
      </c>
      <c r="F3481">
        <f>HYPERLINK("https://www.reddit.com/r/GERD/comments/drz9dv/how_do_you_get_rid_of_the_vomit_taste/")</f>
        <v/>
      </c>
      <c r="G3481" t="inlineStr">
        <is>
          <t>2019-11-05 05:38:50</t>
        </is>
      </c>
      <c r="H3481" t="inlineStr"/>
    </row>
    <row r="3482">
      <c r="A3482" t="inlineStr">
        <is>
          <t>drzic1</t>
        </is>
      </c>
      <c r="B3482" t="inlineStr">
        <is>
          <t>Acid reflux from carbs</t>
        </is>
      </c>
      <c r="C3482" t="inlineStr">
        <is>
          <t>Is anyone else getting this issue? Things like grits, bread, potatoes, and pasta give me strong heartburn that lasts for hours. I typically have constant reflux but I've noticed that since I've been off carbs for four days, I'm able to eat a lot of other things I normally wouldn't be able to like tomato soup, fish n chips, and beer with no problem. Is this a common issue? Its really hard to avoid carbs but it seems like I'm able to tolerate rice and quinoa without any burn, thankfully.</t>
        </is>
      </c>
      <c r="D3482" t="n">
        <v>4</v>
      </c>
      <c r="E3482" t="n">
        <v>14</v>
      </c>
      <c r="F3482">
        <f>HYPERLINK("https://www.reddit.com/r/GERD/comments/drzic1/acid_reflux_from_carbs/")</f>
        <v/>
      </c>
      <c r="G3482" t="inlineStr">
        <is>
          <t>2019-11-05 06:00:20</t>
        </is>
      </c>
      <c r="H3482" t="inlineStr"/>
    </row>
    <row r="3483">
      <c r="A3483" t="inlineStr">
        <is>
          <t>ds1l9w</t>
        </is>
      </c>
      <c r="B3483" t="inlineStr">
        <is>
          <t>Is anyone not triggered by certain foods that supposedly make GERD worse or are general trigger foods?</t>
        </is>
      </c>
      <c r="C3483" t="inlineStr">
        <is>
          <t>Ive always noticed a non response to most spicy foods of all things. Depending on the sauce it might make me feel better even. And yet some raw onion or just a few fried chicken wings (the oil does it) can set me off big time or just make me feel ill after. Even the buttery movie popcorn had my throat raging despite my daily pantoprazole and a bunch of tums. Funny thing the popcorn was freshly made and wasnt totally saturated or anything, maybe the butter flavoring was bad.  
Even when it comes to tomatoes only certain types and preparations get it off. Uncooked ones are usually fine. 
Anyone else have no response to foods that SHOULD trigger heartburn?</t>
        </is>
      </c>
      <c r="D3483" t="n">
        <v>3</v>
      </c>
      <c r="E3483" t="n">
        <v>3</v>
      </c>
      <c r="F3483">
        <f>HYPERLINK("https://www.reddit.com/r/GERD/comments/ds1l9w/is_anyone_not_triggered_by_certain_foods_that/")</f>
        <v/>
      </c>
      <c r="G3483" t="inlineStr">
        <is>
          <t>2019-11-05 08:29:19</t>
        </is>
      </c>
      <c r="H3483" t="inlineStr"/>
    </row>
    <row r="3484">
      <c r="A3484" t="inlineStr">
        <is>
          <t>ds6lp1</t>
        </is>
      </c>
      <c r="B3484" t="inlineStr">
        <is>
          <t>Everything I take for anxiety and mood support makes my GERD and LPR worse!</t>
        </is>
      </c>
      <c r="C3484" t="inlineStr">
        <is>
          <t>Help! I have tried everything I could think of for 30 years. I have PCOS, anxiety, and GERD as well as asthma related to LPR. The B vitamins, inositol, and magnesium as well as antidepressants and Benzos I try for anxiety make my reflux worse. I can swallow or breathe. I’m thin. 5,5 112 lbs. I exercise and eat healthy. Don’t smoke or drink. Are there any brands of vitamins or types (capsule, powder, etc) that are better for your stomach and reflux? I need inositol or ovasitol, b12, vitamin d and magnesium to function. 
Thank you so much for any input.</t>
        </is>
      </c>
      <c r="D3484" t="n">
        <v>3</v>
      </c>
      <c r="E3484" t="n">
        <v>3</v>
      </c>
      <c r="F3484">
        <f>HYPERLINK("https://www.reddit.com/r/GERD/comments/ds6lp1/everything_i_take_for_anxiety_and_mood_support/")</f>
        <v/>
      </c>
      <c r="G3484" t="inlineStr">
        <is>
          <t>2019-11-05 14:20:56</t>
        </is>
      </c>
      <c r="H3484" t="inlineStr"/>
    </row>
    <row r="3485">
      <c r="A3485" t="inlineStr">
        <is>
          <t>ds72q0</t>
        </is>
      </c>
      <c r="B3485" t="inlineStr">
        <is>
          <t>CBD concentrate vs oil for stomach</t>
        </is>
      </c>
      <c r="C3485" t="inlineStr">
        <is>
          <t>I have terrible reflux, lpr, and gerd. Cbd oil gives me reflux bad. I have a concentrate if Afghan Rhubi syringe. Will this be different? Please help. 
Thank you!</t>
        </is>
      </c>
      <c r="D3485" t="n">
        <v>5</v>
      </c>
      <c r="E3485" t="n">
        <v>10</v>
      </c>
      <c r="F3485">
        <f>HYPERLINK("https://www.reddit.com/r/GERD/comments/ds72q0/cbd_concentrate_vs_oil_for_stomach/")</f>
        <v/>
      </c>
      <c r="G3485" t="inlineStr">
        <is>
          <t>2019-11-05 14:55:30</t>
        </is>
      </c>
      <c r="H3485" t="inlineStr"/>
    </row>
    <row r="3486">
      <c r="A3486" t="inlineStr">
        <is>
          <t>ds7qy6</t>
        </is>
      </c>
      <c r="B3486" t="inlineStr">
        <is>
          <t>skin pulses on chest area</t>
        </is>
      </c>
      <c r="C3486" t="inlineStr">
        <is>
          <t>I get this weird sensation almost near my armpit on the left side going in that feels like muscles twitching. when I put my finger on it I can actually feel it pulsing or throbbing through the skin. what exactly is this.</t>
        </is>
      </c>
      <c r="D3486" t="n">
        <v>1</v>
      </c>
      <c r="E3486" t="n">
        <v>0</v>
      </c>
      <c r="F3486">
        <f>HYPERLINK("https://www.reddit.com/r/GERD/comments/ds7qy6/skin_pulses_on_chest_area/")</f>
        <v/>
      </c>
      <c r="G3486" t="inlineStr">
        <is>
          <t>2019-11-05 15:46:27</t>
        </is>
      </c>
      <c r="H3486" t="inlineStr"/>
    </row>
    <row r="3487">
      <c r="A3487" t="inlineStr">
        <is>
          <t>ds8ag1</t>
        </is>
      </c>
      <c r="B3487" t="inlineStr">
        <is>
          <t>Waking up with a mouth full of saliva?</t>
        </is>
      </c>
      <c r="C3487" t="inlineStr">
        <is>
          <t>Would this be considered a symptom of Gerd or Acid Reflux? I never really found a root cause of it, but I have Acid Reflux so I'm wondering maybe it stemmed from that? 
I kind of feel embarrassed about this whole situation and have never told my doctor, and I've had it for more than seven years.</t>
        </is>
      </c>
      <c r="D3487" t="n">
        <v>2</v>
      </c>
      <c r="E3487" t="n">
        <v>2</v>
      </c>
      <c r="F3487">
        <f>HYPERLINK("https://www.reddit.com/r/GERD/comments/ds8ag1/waking_up_with_a_mouth_full_of_saliva/")</f>
        <v/>
      </c>
      <c r="G3487" t="inlineStr">
        <is>
          <t>2019-11-05 16:28:26</t>
        </is>
      </c>
      <c r="H3487" t="inlineStr"/>
    </row>
    <row r="3488">
      <c r="A3488" t="inlineStr">
        <is>
          <t>ds8b4v</t>
        </is>
      </c>
      <c r="B3488" t="inlineStr">
        <is>
          <t>Amitriptyline for LPR?</t>
        </is>
      </c>
      <c r="C3488" t="inlineStr">
        <is>
          <t>Has anyone gotten relief or been cured of their LPR symptoms from Amitriptyline? 
All of my LPR symptoms had started after a very bad upper respiratory infection that turned into a month long bout of sinusitis and bronchitis.  I had been treating the symptoms as reflux symptoms per my ENT and GI doctors orders. (PPI and H2s) with little to no relief. I have tried low acid diet and seen no relief. I’ve gotten allergy tested because both specialist mentioned it could be allergies, turned out I’m not allergic to anything. 
I’ve recently went and gotten an upper endoscopy and that checked out as me having a normal healthy looking esophagus, stomach and duodenum. They took biopsies just because and I am currently waiting results from that. 
So now I’m left thinking that I may have Laryngeal Sensory Neuropathy from the horrible upper respiratory infection I had a few months ago and seen that it can be treated with a low dose of Amitriptyline, nortriptyline or gabapentin. 
I will ask my GI doctor for a trial run of the Amitriptyline when hey call back with my biopsy results and to discuss what the next treatment plan is for me.</t>
        </is>
      </c>
      <c r="D3488" t="n">
        <v>4</v>
      </c>
      <c r="E3488" t="n">
        <v>19</v>
      </c>
      <c r="F3488">
        <f>HYPERLINK("https://www.reddit.com/r/GERD/comments/ds8b4v/amitriptyline_for_lpr/")</f>
        <v/>
      </c>
      <c r="G3488" t="inlineStr">
        <is>
          <t>2019-11-05 16:29:59</t>
        </is>
      </c>
      <c r="H3488" t="inlineStr"/>
    </row>
    <row r="3489">
      <c r="A3489" t="inlineStr">
        <is>
          <t>ds8zpc</t>
        </is>
      </c>
      <c r="B3489" t="inlineStr">
        <is>
          <t>shoulder pain in left shoulder?</t>
        </is>
      </c>
      <c r="C3489" t="inlineStr">
        <is>
          <t>I remember reading somewhere a long time ago that this COULD be a symptom of reflux. Can anyone confirm if this is true? My left arm has felt like it’s had a pinched nerve for weeks now. I’ve been doing rehab shoulder exercises and hot/cold therapy. Nothing seems to help.</t>
        </is>
      </c>
      <c r="D3489" t="n">
        <v>4</v>
      </c>
      <c r="E3489" t="n">
        <v>4</v>
      </c>
      <c r="F3489">
        <f>HYPERLINK("https://www.reddit.com/r/GERD/comments/ds8zpc/shoulder_pain_in_left_shoulder/")</f>
        <v/>
      </c>
      <c r="G3489" t="inlineStr">
        <is>
          <t>2019-11-05 17:24:51</t>
        </is>
      </c>
      <c r="H3489" t="inlineStr"/>
    </row>
    <row r="3490">
      <c r="A3490" t="inlineStr">
        <is>
          <t>ds9k1x</t>
        </is>
      </c>
      <c r="B3490" t="inlineStr">
        <is>
          <t>Sucralfate Pills - How To Take And Success Feedback?</t>
        </is>
      </c>
      <c r="C3490" t="inlineStr">
        <is>
          <t>Just got prescribed sucralfate today. The pills are strange because it breaks down very quickly with water. The doctor just said to take it 2-4 times a day, but didn’t necessarily say how.
It’s pull form so I’d assume swallow it, but it almost seems like it should be dissolved before swallowing with how quickly in breaks down with liquid.
I know no one is a doctor! However I am curious if anyone has taken these pills in the past and if they worked.</t>
        </is>
      </c>
      <c r="D3490" t="n">
        <v>2</v>
      </c>
      <c r="E3490" t="n">
        <v>4</v>
      </c>
      <c r="F3490">
        <f>HYPERLINK("https://www.reddit.com/r/GERD/comments/ds9k1x/sucralfate_pills_how_to_take_and_success_feedback/")</f>
        <v/>
      </c>
      <c r="G3490" t="inlineStr">
        <is>
          <t>2019-11-05 18:10:16</t>
        </is>
      </c>
      <c r="H3490" t="inlineStr"/>
    </row>
    <row r="3491">
      <c r="A3491" t="inlineStr">
        <is>
          <t>dsa088</t>
        </is>
      </c>
      <c r="B3491" t="inlineStr">
        <is>
          <t>Powdered peanut butter is black magic</t>
        </is>
      </c>
      <c r="C3491" t="inlineStr">
        <is>
          <t>Due to my GERD worsening over the years, I had to give up peanut butter a long time ago. A single jar would last me for months because it was such a trigger, and honestly, regular peanut butter started to gross me out since it made me feel so sick.
I grabbed a large tub of powdered peanut butter from Wal Mart and it's become my savior. I mostly snack on fruits and vegetables nowadays and I think I like the flavor more than regular peanut butter, because it's not as heavy and lacks the fat and oil. It's just peanuts and protein. Worth $10, easily. Curbs all kinds of cravings and has a fraction of the calories.
Just wanted to throw that out there if peanut butter is a trigger for ya.</t>
        </is>
      </c>
      <c r="D3491" t="n">
        <v>17</v>
      </c>
      <c r="E3491" t="n">
        <v>6</v>
      </c>
      <c r="F3491">
        <f>HYPERLINK("https://www.reddit.com/r/GERD/comments/dsa088/powdered_peanut_butter_is_black_magic/")</f>
        <v/>
      </c>
      <c r="G3491" t="inlineStr">
        <is>
          <t>2019-11-05 18:47:10</t>
        </is>
      </c>
      <c r="H3491" t="inlineStr"/>
    </row>
    <row r="3492">
      <c r="A3492" t="inlineStr">
        <is>
          <t>dsbeez</t>
        </is>
      </c>
      <c r="B3492" t="inlineStr">
        <is>
          <t>Post Nissen Fundoplication questions</t>
        </is>
      </c>
      <c r="C3492" t="inlineStr">
        <is>
          <t>Hello, im looking into the nissen procedure as i have constant nausea with acid reflux/ hiatal hernia. I was wondering if the nissen surgery fully fixes the nausea issue? And i was wondering why everyone says that you cant vomit afterwards and they keep pills on them in case they feel nauseous. Does the wrap make you nauseous? Why do so many people say they cant vomit afterwards are they purposely trying to see if they can or is it something else making them nauseous? As i really want to fix this constant nausea problem i dont want to do the procedure and still feel nauseous but also not being able to vomit on top of that.
 And are you able to drink liquor after getting it done or is that out of the picture?</t>
        </is>
      </c>
      <c r="D3492" t="n">
        <v>3</v>
      </c>
      <c r="E3492" t="n">
        <v>5</v>
      </c>
      <c r="F3492">
        <f>HYPERLINK("https://www.reddit.com/r/GERD/comments/dsbeez/post_nissen_fundoplication_questions/")</f>
        <v/>
      </c>
      <c r="G3492" t="inlineStr">
        <is>
          <t>2019-11-05 20:49:01</t>
        </is>
      </c>
      <c r="H3492" t="inlineStr"/>
    </row>
    <row r="3493">
      <c r="A3493" t="inlineStr">
        <is>
          <t>dsbp1c</t>
        </is>
      </c>
      <c r="B3493" t="inlineStr">
        <is>
          <t>I got LINX a little over 4 weeks ago and no longer have GERD</t>
        </is>
      </c>
      <c r="C3493" t="inlineStr">
        <is>
          <t>I had GERD for 20 years. I had tried all the medications and they would work at first and then lose their effectiveness. I thought I would be taking PPI’s and eating Tums the rest of my life even though I was still miserable.
My dad was diagnosed with esophageal cancer and his surgeon advised me to get an endoscopy done when I got home. During it they found I had a 5cm hiatal hernia. This prompted me to finally do something. I realized it was a mechanical issue and not just an overproduction of stomach acid. My symptoms had been heartburn, nausea, aspirating at night, taste of acid in my throat, and excessive throat clearing after eating.
I haven’t experienced any heartburn or other symptoms since I woke up from surgery. I no longer sleep propped up. I no longer avoid any foods. I’ve even had Mexican food and then hot wings in the same day. I would have been incredibly sick by eating just eating one of those in the past.
I never realized how much anxiety GERD was causing me. I was constantly worried about if my next meal was going to make me sick.
The recovery was not as bad as what I had read. I had assumed that food getting stuck after surgery was part of the process and everyone would experience it. I didn’t want to go through that, but I figured it couldn’t be worse than waking up at night from aspirating. My discharge paperwork noted that not all patients have problems swallowing after surgery. I told my surgeon right before the surgery that I was worried about that. He looked at me almost like I was crazy and told me I shouldn’t be worried about that. I felt some relief, and he was right!
During week 3 I had a roast that was extremely dry and I noticed a small pain in my back between my spine and shoulder blade after I got done eating. The doctor said that it could have been from the food going down slowly. This was the only instance of food getting “stuck” that I experienced (if that is what actually happened). They told me I would more likely feel pain in the chest if food got stuck, but I never felt that.
My instructions were to eat 4 bites of yogurt or thicker food every hour for 4-6 weeks. I was told to avoid bread and meat for 4 weeks or until I felt comfortable in swallowing.
I ate 4 bites of food every hour for the first 3 weeks and have cut back on that in the last week. I now eat 4 bites every 1-2 hours. I’ll slowly stop doing this over the next 2 weeks. I tried to eat slow, take small bites, and chew my food up really good, but that only lasted a few days. I went back to eating at my normal, quick pace out of habit. I'm eating whatever I want at this point.
I burp a lot more than I used to. If I drink a bunch of soda, then it is hilarious how much I burp. This is supposed to be temporary.
I’ve had 2 stomachaches. It was a strange feeling, because they were limited to my stomach. I immediately thought back to being a kid and having a stomachache and it feeling that way before I had GERD. I had got where I thought of a stomachache as misery all the way up to your throat and feeling nauseous.
I just wanted to share my experience. I had major anxiety about having the surgery done, because I don’t see many people post about their experience unless they have a problem. I was convinced I was going to have food constantly getting stuck the first few weeks and so glad that wasn’t the case. This surgery has been life changing.
I’m so glad I got LINX done. Also, I’m glad I went to a surgeon that had done hundreds of LINX.
The worst part was the motility test and doing a 10 day liquid diet before surgery.
My only regret is spending a bunch of time searching online and worrying about what could go wrong. I’d recommend just talking to your doctor and ask about the issues their patients have actually experienced.
I'll try to post an update in a few months or a year if I remember or if anything changes. I hope you all find relief in any way possible!</t>
        </is>
      </c>
      <c r="D3493" t="n">
        <v>31</v>
      </c>
      <c r="E3493" t="n">
        <v>34</v>
      </c>
      <c r="F3493">
        <f>HYPERLINK("https://www.reddit.com/r/GERD/comments/dsbp1c/i_got_linx_a_little_over_4_weeks_ago_and_no/")</f>
        <v/>
      </c>
      <c r="G3493" t="inlineStr">
        <is>
          <t>2019-11-05 21:17:50</t>
        </is>
      </c>
      <c r="H3493" t="inlineStr"/>
    </row>
    <row r="3494">
      <c r="A3494" t="inlineStr">
        <is>
          <t>dsd19i</t>
        </is>
      </c>
      <c r="B3494" t="inlineStr">
        <is>
          <t>Please help. Save me a trip to er.</t>
        </is>
      </c>
      <c r="C3494" t="inlineStr">
        <is>
          <t>I been having trouble breathing since I woke up. I took protonix couple hours ago.. breathing heavy.. I have anxiety still freaking out. Its deffinately not asthma attack right because I felt like this at 4 pm when I wokeup?? I have been having acid reflex and not being able to keep food down so started up on my protonix again. Will this breathing get better by tommrw it's annoying
... will I be okay overnight?? In the middle of my chest has been bugging me and a little acid reflex today so wondering if that's the cause my tummy got worse when I immediately stopped taking them cold Turkey after 5 days like 2 weeks ago..Not much they can do at hospital then what I am doing right?? I cant stop freaking out.. I forced an egg sandwich down me with ham so I'd have food in my tummy but I am so tired but will I be okay to wait until tommrw at the doctors?? Help me have peace of mind tn please.</t>
        </is>
      </c>
      <c r="D3494" t="n">
        <v>1</v>
      </c>
      <c r="E3494" t="n">
        <v>1</v>
      </c>
      <c r="F3494">
        <f>HYPERLINK("https://www.reddit.com/r/GERD/comments/dsd19i/please_help_save_me_a_trip_to_er/")</f>
        <v/>
      </c>
      <c r="G3494" t="inlineStr">
        <is>
          <t>2019-11-05 23:38:36</t>
        </is>
      </c>
      <c r="H3494" t="inlineStr"/>
    </row>
    <row r="3495">
      <c r="A3495" t="inlineStr">
        <is>
          <t>dsgjze</t>
        </is>
      </c>
      <c r="B3495" t="inlineStr">
        <is>
          <t>Lpr , silent reflux</t>
        </is>
      </c>
      <c r="C3495" t="inlineStr">
        <is>
          <t>So it feels like I’ve been having a sore throat for a year now, it’s definitely from acid reflux, I had seen an ent and she saw little swollen bumps in my throat I’m assuming from the exposure to stomach acid, but I feel constant throat pain with Almost anything I eat it’s a nightmare and to top it off I sometimes feel short of breath, and I breath heavily I also have anxiety which makes everything worse just wondering if anyone has the same symptoms as me and any advice thank you</t>
        </is>
      </c>
      <c r="D3495" t="n">
        <v>1</v>
      </c>
      <c r="E3495" t="n">
        <v>6</v>
      </c>
      <c r="F3495">
        <f>HYPERLINK("https://www.reddit.com/r/GERD/comments/dsgjze/lpr_silent_reflux/")</f>
        <v/>
      </c>
      <c r="G3495" t="inlineStr">
        <is>
          <t>2019-11-06 05:49:38</t>
        </is>
      </c>
      <c r="H3495" t="inlineStr"/>
    </row>
    <row r="3496">
      <c r="A3496" t="inlineStr">
        <is>
          <t>dshya2</t>
        </is>
      </c>
      <c r="B3496" t="inlineStr">
        <is>
          <t>Is this GERD?</t>
        </is>
      </c>
      <c r="C3496" t="inlineStr">
        <is>
          <t>So i'm a coffee addict, social drinker, smoker and i eat spicy foods (my favorite stuff in the world). I have been regurgitating food at a frequent basis for the past two weeks. It got better after i got rid of coffee switched to vaping, and started eating non spicy lean meats and non citrusy fruits and vegetables. I have no heartburn, no problems whatsoever apart from regurgitation when drinking alcohol and eating what i can't. Does it go away after 2 months or  does it stay with you forever. Im also a very anxious person, and i stress myself out. I've been to the doctor he had per-scribed Controloc. What do I have, if it is GERD even curable or is it permanent. Will i never be able to enjoy a glass of wine and a good fatty steak without problems afterwords?</t>
        </is>
      </c>
      <c r="D3496" t="n">
        <v>1</v>
      </c>
      <c r="E3496" t="n">
        <v>9</v>
      </c>
      <c r="F3496">
        <f>HYPERLINK("https://www.reddit.com/r/GERD/comments/dshya2/is_this_gerd/")</f>
        <v/>
      </c>
      <c r="G3496" t="inlineStr">
        <is>
          <t>2019-11-06 07:37:04</t>
        </is>
      </c>
      <c r="H3496" t="inlineStr"/>
    </row>
    <row r="3497">
      <c r="A3497" t="inlineStr">
        <is>
          <t>dsib7l</t>
        </is>
      </c>
      <c r="B3497" t="inlineStr">
        <is>
          <t>Why not just stop taking the PPI's for a few days to get magnesium and sodium levels back up?</t>
        </is>
      </c>
      <c r="C3497" t="inlineStr">
        <is>
          <t>I'm on PPI's for 6 months to let my lungs heal. I've been considering taking a week or so break somewhere in there and just be extra careful about reflux-causing habits and pig out on nuts, salads and mcdonalds to get sodium and magnesium stores back up to normal. Will this work?</t>
        </is>
      </c>
      <c r="D3497" t="n">
        <v>2</v>
      </c>
      <c r="E3497" t="n">
        <v>10</v>
      </c>
      <c r="F3497">
        <f>HYPERLINK("https://www.reddit.com/r/GERD/comments/dsib7l/why_not_just_stop_taking_the_ppis_for_a_few_days/")</f>
        <v/>
      </c>
      <c r="G3497" t="inlineStr">
        <is>
          <t>2019-11-06 08:02:20</t>
        </is>
      </c>
      <c r="H3497" t="inlineStr"/>
    </row>
    <row r="3498">
      <c r="A3498" t="inlineStr">
        <is>
          <t>dsih6i</t>
        </is>
      </c>
      <c r="B3498" t="inlineStr">
        <is>
          <t>Anterior fundoplication</t>
        </is>
      </c>
      <c r="C3498" t="inlineStr">
        <is>
          <t>Hi due for surgery after Christmas and my surgeon favours the anterior wrap as he says it has similar results but less problems than the nissen, has anyone had this fundoplication with success? I do have a slight motility problem had 4/10 good swallows so maybe a nissen would cause problems but it’s a bit of a mixed bag of opinions with that theory.</t>
        </is>
      </c>
      <c r="D3498" t="n">
        <v>3</v>
      </c>
      <c r="E3498" t="n">
        <v>1</v>
      </c>
      <c r="F3498">
        <f>HYPERLINK("https://www.reddit.com/r/GERD/comments/dsih6i/anterior_fundoplication/")</f>
        <v/>
      </c>
      <c r="G3498" t="inlineStr">
        <is>
          <t>2019-11-06 08:13:48</t>
        </is>
      </c>
      <c r="H3498" t="inlineStr"/>
    </row>
    <row r="3499">
      <c r="A3499" t="inlineStr">
        <is>
          <t>dsjynv</t>
        </is>
      </c>
      <c r="B3499" t="inlineStr">
        <is>
          <t>Think I have food poisoning, should I try to make myself throw up? (Might have a hernia too)</t>
        </is>
      </c>
      <c r="C3499" t="inlineStr">
        <is>
          <t>I just ate a really bad piece of sushi and now my stomach is hurting.
I’m still waiting on my endoscopy results, but my doctor says I may have a hernia.
Should I try to make myself throw up?</t>
        </is>
      </c>
      <c r="D3499" t="n">
        <v>3</v>
      </c>
      <c r="E3499" t="n">
        <v>6</v>
      </c>
      <c r="F3499">
        <f>HYPERLINK("https://www.reddit.com/r/GERD/comments/dsjynv/think_i_have_food_poisoning_should_i_try_to_make/")</f>
        <v/>
      </c>
      <c r="G3499" t="inlineStr">
        <is>
          <t>2019-11-06 09:56:51</t>
        </is>
      </c>
      <c r="H3499" t="inlineStr"/>
    </row>
    <row r="3500">
      <c r="A3500" t="inlineStr">
        <is>
          <t>dsl3u3</t>
        </is>
      </c>
      <c r="B3500" t="inlineStr">
        <is>
          <t>Having some symptoms again.</t>
        </is>
      </c>
      <c r="C3500" t="inlineStr">
        <is>
          <t>I was on Protonix for two weeks and I've been off of them for 10 days. I've felt a little heartburn and reflux here and there since I've come off the meds, but I'm definitely feeling them today. I've been feeling some heartburn and reflux for the last few hours. My breakfast was the same as always, low fat plain Greek yogurt, 4 almonds, 3 walnuts, 1/8 cup cranberries, and a whole grain waffle. Maybe about 400 cals.
I really thought I was getting better, and then today happens. The symptoms are not severe, but they are just there nagging at me, maybe like a 2  or 3 on a scale of 1 to 10. I took some tums and it didn't help. At least the globus (throat tightness) sensation is gone. 
Maybe I didn't take the meds long enough? I'm debating taking some over the counter prilosec 20mg. I'm too scared to go back on the 40mg Protonix the doc gave me. He told me to take them for two weeks, but also gave me extra in case I needed them, he said. I just don't want to go on those pills and risk getting rebounds. I'm so tired of this GERD bs lol.
Part of me wants to go see an ENT, but other than an episode I had 6 years ago after a Vegas trip (lots of drinking and eating, I have no history of GERD. That lasted maybe two weeks. It's been a little over a month for me now. My primary doc said, I should be fine when he prescribed me the meds. He said just give it a few weeks. I'm starting to think it might be a few months. I asked him if he thinks it might be related to my singing, he said most likely not and repeated he's not worried and to just give it a couple of weeks. Then asked to go back and see him in 5 months 😭. Damn, I really hope I didn't screw myself up for good.</t>
        </is>
      </c>
      <c r="D3500" t="n">
        <v>3</v>
      </c>
      <c r="E3500" t="n">
        <v>3</v>
      </c>
      <c r="F3500">
        <f>HYPERLINK("https://www.reddit.com/r/GERD/comments/dsl3u3/having_some_symptoms_again/")</f>
        <v/>
      </c>
      <c r="G3500" t="inlineStr">
        <is>
          <t>2019-11-06 11:18:03</t>
        </is>
      </c>
      <c r="H3500" t="inlineStr"/>
    </row>
    <row r="3501">
      <c r="A3501" t="inlineStr">
        <is>
          <t>dsmaz0</t>
        </is>
      </c>
      <c r="B3501" t="inlineStr">
        <is>
          <t>I just picked up ranitidine</t>
        </is>
      </c>
      <c r="C3501" t="inlineStr">
        <is>
          <t>[my presription](https://imgur.com/a/uYRZe4A)
This is through a different manufacturer
Has anyone else got ranitindine from a different manufacturer ?</t>
        </is>
      </c>
      <c r="D3501" t="n">
        <v>3</v>
      </c>
      <c r="E3501" t="n">
        <v>28</v>
      </c>
      <c r="F3501">
        <f>HYPERLINK("https://www.reddit.com/r/GERD/comments/dsmaz0/i_just_picked_up_ranitidine/")</f>
        <v/>
      </c>
      <c r="G3501" t="inlineStr">
        <is>
          <t>2019-11-06 12:48:07</t>
        </is>
      </c>
      <c r="H3501" t="inlineStr"/>
    </row>
    <row r="3502">
      <c r="A3502" t="inlineStr">
        <is>
          <t>dsooc2</t>
        </is>
      </c>
      <c r="B3502" t="inlineStr">
        <is>
          <t>Second endoscopy coming up this Friday and I'm nervous.</t>
        </is>
      </c>
      <c r="C3502" t="inlineStr">
        <is>
          <t>I'm nervous for my second endoscopy coming up this Friday.  My first was in July and the doctor found that I have Barrett's esophagus, no dysplasia.  I've been on a PPI since July so she's hoping for improvement.  Not really looking for anything just want to vent.  The last time I had a panic attack right before/as they were putting me under.  I've changed my diet drastically since July but I still have days where something doesn't sit well with me and I'm in pain for an entire day after.  Health related things give me crazy anxiety.  I'm pretty certain that I'll have to get an endoscopy every year or two moving forward.  Is there even a cure for Barrett's?</t>
        </is>
      </c>
      <c r="D3502" t="n">
        <v>0</v>
      </c>
      <c r="E3502" t="n">
        <v>1</v>
      </c>
      <c r="F3502">
        <f>HYPERLINK("https://www.reddit.com/r/GERD/comments/dsooc2/second_endoscopy_coming_up_this_friday_and_im/")</f>
        <v/>
      </c>
      <c r="G3502" t="inlineStr">
        <is>
          <t>2019-11-06 15:33:05</t>
        </is>
      </c>
      <c r="H3502" t="inlineStr"/>
    </row>
    <row r="3503">
      <c r="A3503" t="inlineStr">
        <is>
          <t>dsp42a</t>
        </is>
      </c>
      <c r="B3503" t="inlineStr">
        <is>
          <t>Experience with pain around the chest?</t>
        </is>
      </c>
      <c r="C3503" t="inlineStr">
        <is>
          <t>For the past almost 3 months I have had issues with chest pain. This pain can range from achy to sore to slightly stabbing. The pain seems to come on fairly randomly, but in general seems to get worse with stress. My chest is also tender to touch sometimes, but over the past week or so, it has been less stabbing and less tender. 
Six months ago I was diagnosed with LPR and I couldn't swallow solid food for about 3 weeks straight. I saw an ENT who said it was almost definitely anxiety-related, but that issue has been solved for months.
I've been on Omeprazole since May and I've been on Pepcid for a month. The chest pain has overall improved with the pepcid, but it's been worse over the past day. 
Things I will say: Pepcid does not provide immediate relief, neither does Tylenol. Not sure if this is only acid-related or costochondritis-related as the chest pain can be anywhere on the chest, even reaching the ribs. I can have regurgitation sometimes, but it's only french fries that give me this. Not a single other food causes it. I plan on seeing my primary care doctor very soon, but I'm just frustrated this is still going on.</t>
        </is>
      </c>
      <c r="D3503" t="n">
        <v>6</v>
      </c>
      <c r="E3503" t="n">
        <v>3</v>
      </c>
      <c r="F3503">
        <f>HYPERLINK("https://www.reddit.com/r/GERD/comments/dsp42a/experience_with_pain_around_the_chest/")</f>
        <v/>
      </c>
      <c r="G3503" t="inlineStr">
        <is>
          <t>2019-11-06 16:07:03</t>
        </is>
      </c>
      <c r="H3503" t="inlineStr"/>
    </row>
    <row r="3504">
      <c r="A3504" t="inlineStr">
        <is>
          <t>dspa7r</t>
        </is>
      </c>
      <c r="B3504" t="inlineStr">
        <is>
          <t>Is waterbrash a concrete sign of GERD?</t>
        </is>
      </c>
      <c r="C3504" t="inlineStr">
        <is>
          <t>And, if this is correct, does this mean without adoubt that it is **impossible (99.99%)** to have low stomach acid?
Thank you in advance!</t>
        </is>
      </c>
      <c r="D3504" t="n">
        <v>3</v>
      </c>
      <c r="E3504" t="n">
        <v>4</v>
      </c>
      <c r="F3504">
        <f>HYPERLINK("https://www.reddit.com/r/GERD/comments/dspa7r/is_waterbrash_a_concrete_sign_of_gerd/")</f>
        <v/>
      </c>
      <c r="G3504" t="inlineStr">
        <is>
          <t>2019-11-06 16:19:47</t>
        </is>
      </c>
      <c r="H3504" t="inlineStr"/>
    </row>
    <row r="3505">
      <c r="A3505" t="inlineStr">
        <is>
          <t>dspj7i</t>
        </is>
      </c>
      <c r="B3505" t="inlineStr">
        <is>
          <t>Easy weeknight recipe suggestions to manage reflux</t>
        </is>
      </c>
      <c r="C3505" t="inlineStr">
        <is>
          <t>Hi all,
I can’t live on chicken breast, broccoli, and porridge alone (well I could but wouldn’t want to!). My morning omeprazole followed by swigs of anti-acid after meals are barely soothing the discomfort of my latest flare up and I need some easy meal suggestions before I lose the plot.
I’m quite busy so like a quick meal, but I eat everything and am a fairly competent cook. 
What are your go to weeknight meals?  Particularly interested in pasta dishes/noodles/baked potatoes? Also, am I ok to use a teaspoon of rapeseed oil or is fry light the best way??</t>
        </is>
      </c>
      <c r="D3505" t="n">
        <v>2</v>
      </c>
      <c r="E3505" t="n">
        <v>1</v>
      </c>
      <c r="F3505">
        <f>HYPERLINK("https://www.reddit.com/r/GERD/comments/dspj7i/easy_weeknight_recipe_suggestions_to_manage_reflux/")</f>
        <v/>
      </c>
      <c r="G3505" t="inlineStr">
        <is>
          <t>2019-11-06 16:38:39</t>
        </is>
      </c>
      <c r="H3505" t="inlineStr"/>
    </row>
    <row r="3506">
      <c r="A3506" t="inlineStr">
        <is>
          <t>dsq78a</t>
        </is>
      </c>
      <c r="B3506" t="inlineStr">
        <is>
          <t>Just gonna whine about Mac and cheese for a second</t>
        </is>
      </c>
      <c r="C3506" t="inlineStr">
        <is>
          <t>My husband made some DELICIOUS home-made Mac and cheese with ham and peas and it was so good and I had a small bowl and stopped myself and so I’m sitting here still pretty hungry and just feel so annoyed that I can’t eat more of it and enjoy it because lord knows I’d be sick all night.</t>
        </is>
      </c>
      <c r="D3506" t="n">
        <v>16</v>
      </c>
      <c r="E3506" t="n">
        <v>10</v>
      </c>
      <c r="F3506">
        <f>HYPERLINK("https://www.reddit.com/r/GERD/comments/dsq78a/just_gonna_whine_about_mac_and_cheese_for_a_second/")</f>
        <v/>
      </c>
      <c r="G3506" t="inlineStr">
        <is>
          <t>2019-11-06 17:31:28</t>
        </is>
      </c>
      <c r="H3506" t="inlineStr"/>
    </row>
    <row r="3507">
      <c r="A3507" t="inlineStr">
        <is>
          <t>dsshk8</t>
        </is>
      </c>
      <c r="B3507" t="inlineStr">
        <is>
          <t>I had an endoscopy and the doc said I had a loose GE junction predisposing to acid reflux... is that the same thing as GERD?</t>
        </is>
      </c>
      <c r="C3507" t="inlineStr">
        <is>
          <t>He didn't outright say GERD just said I had a loose gastronome-esopghogal junction.. is that just a fancy way of saying GERD?
He didn't really recommend me any further meds or anything, I mainly went in for other GI problems but consistent burping/gassiness was one of the symptoms. 
He chalked it up to IBS
Can IBS show GERD-like symptoms?</t>
        </is>
      </c>
      <c r="D3507" t="n">
        <v>2</v>
      </c>
      <c r="E3507" t="n">
        <v>7</v>
      </c>
      <c r="F3507">
        <f>HYPERLINK("https://www.reddit.com/r/GERD/comments/dsshk8/i_had_an_endoscopy_and_the_doc_said_i_had_a_loose/")</f>
        <v/>
      </c>
      <c r="G3507" t="inlineStr">
        <is>
          <t>2019-11-06 20:36:28</t>
        </is>
      </c>
      <c r="H3507" t="inlineStr"/>
    </row>
    <row r="3508">
      <c r="A3508" t="inlineStr">
        <is>
          <t>dssx3v</t>
        </is>
      </c>
      <c r="B3508" t="inlineStr">
        <is>
          <t>What does your heart palpitation feel like?</t>
        </is>
      </c>
      <c r="C3508" t="inlineStr">
        <is>
          <t>I am contemplating on going to the doctor to get some stuff checked out again. I have been getting heart issues and its not even funny anymore. I basically get random heart speed and it dose not matter what I do. Sometimes my heart stops then a second or 2 later it beats really hard. I dont know if we all experience this but its getting out of hand. I am not an anxious person. I don't over think. I do not have anxiety. What could be causing this?. I would like to know how heart palpitaions feel for you guys. I dont want to say that I have a heart problem, but if anxiety isnt causing it, what could possibly be doing it?.</t>
        </is>
      </c>
      <c r="D3508" t="n">
        <v>2</v>
      </c>
      <c r="E3508" t="n">
        <v>3</v>
      </c>
      <c r="F3508">
        <f>HYPERLINK("https://www.reddit.com/r/GERD/comments/dssx3v/what_does_your_heart_palpitation_feel_like/")</f>
        <v/>
      </c>
      <c r="G3508" t="inlineStr">
        <is>
          <t>2019-11-06 21:12:35</t>
        </is>
      </c>
      <c r="H3508" t="inlineStr"/>
    </row>
    <row r="3509">
      <c r="A3509" t="inlineStr">
        <is>
          <t>dst0b8</t>
        </is>
      </c>
      <c r="B3509" t="inlineStr">
        <is>
          <t>Is my heart skipping a beat normal with gerd?</t>
        </is>
      </c>
      <c r="C3509" t="inlineStr">
        <is>
          <t>I have been getting this many times a day, every single day. I want it to stop and I dont know what to do. I have tried everything like diet and exercise. I dont have anxiety. It just wont go away. It feels like my hearts stops the 2 seconds later it pounds really hard then goes back to normal only to repeat it again. Please can anyone help me?</t>
        </is>
      </c>
      <c r="D3509" t="n">
        <v>2</v>
      </c>
      <c r="E3509" t="n">
        <v>5</v>
      </c>
      <c r="F3509">
        <f>HYPERLINK("https://www.reddit.com/r/GERD/comments/dst0b8/is_my_heart_skipping_a_beat_normal_with_gerd/")</f>
        <v/>
      </c>
      <c r="G3509" t="inlineStr">
        <is>
          <t>2019-11-06 21:21:16</t>
        </is>
      </c>
      <c r="H3509" t="inlineStr"/>
    </row>
    <row r="3510">
      <c r="A3510" t="inlineStr">
        <is>
          <t>dst0ni</t>
        </is>
      </c>
      <c r="B3510" t="inlineStr">
        <is>
          <t>Off prantozople. Ate cookies and got heart palpitations</t>
        </is>
      </c>
      <c r="C3510" t="inlineStr">
        <is>
          <t>I dunno if it is the sugar or gluten which caused it. Just let it be as it started manifesting into anxiety. Somehow kept calm and it seems to go away
Have been taking acv before meals.</t>
        </is>
      </c>
      <c r="D3510" t="n">
        <v>2</v>
      </c>
      <c r="E3510" t="n">
        <v>7</v>
      </c>
      <c r="F3510">
        <f>HYPERLINK("https://www.reddit.com/r/GERD/comments/dst0ni/off_prantozople_ate_cookies_and_got_heart/")</f>
        <v/>
      </c>
      <c r="G3510" t="inlineStr">
        <is>
          <t>2019-11-06 21:22:11</t>
        </is>
      </c>
      <c r="H3510" t="inlineStr"/>
    </row>
    <row r="3511">
      <c r="A3511" t="inlineStr">
        <is>
          <t>dst8h9</t>
        </is>
      </c>
      <c r="B3511" t="inlineStr">
        <is>
          <t>Of ”skinniness,” body dysmorphia and GERD/LPR</t>
        </is>
      </c>
      <c r="C3511" t="inlineStr">
        <is>
          <t>I’m looking for a very specific demographic of GERD/LPR sufferers:
“Skinny” people who struggle with body dysmorphia.
Here’s why:
My GERD/LPR began a couple of years ago. The only thing I can connect it to was a period of severe stress professionally and personally. I gained some weight (15-20 lbs) and was eating poorly and drinking too much coffee and alcohol.
The problem: doctors tell me I’m skinny. Friends and family tell me I’m skinny. I usually struggle to keep weight on, and I’m currently within my recommended weight. I have a hard time seeing myself as skinny because I struggle with body dysmorphia, and I physically *feel* as if I’m out of shape: tired, sluggish, etc. in addition to the GERD/LPR.
I’d love to lose weight to see if this made any difference in my GERD/LPR, but everyone around me acts like I have an eating disorder when I try. 
But high school was the only other time I’ve had GERD in my life, and it’s the only other time I was feeling “out of shape” as I do now.
Has anyone had similar difficulty reconciling these factors? 
I’ve tried gaviscon, omeprazole and Zantac and all they do is reduce symptoms, but I still awaken with a sore throat every morning.
If anyone could recommend supplements they’ve found helpful, I’d be grateful.</t>
        </is>
      </c>
      <c r="D3511" t="n">
        <v>1</v>
      </c>
      <c r="E3511" t="n">
        <v>0</v>
      </c>
      <c r="F3511">
        <f>HYPERLINK("https://www.reddit.com/r/GERD/comments/dst8h9/of_skinniness_body_dysmorphia_and_gerdlpr/")</f>
        <v/>
      </c>
      <c r="G3511" t="inlineStr">
        <is>
          <t>2019-11-06 21:41:31</t>
        </is>
      </c>
      <c r="H3511" t="inlineStr"/>
    </row>
    <row r="3512">
      <c r="A3512" t="inlineStr">
        <is>
          <t>dsu972</t>
        </is>
      </c>
      <c r="B3512" t="inlineStr">
        <is>
          <t>Can you describe to me your symptoms with GERD as detailed as you can? Frequency too</t>
        </is>
      </c>
      <c r="C3512" t="inlineStr">
        <is>
          <t>I'm trying to see if I have it or not
Is the heartburn painful all the time? 
How frequently do you get heartburn?
Do you always have the urge to burp?
When you do burp, are the burps productive? as in does it regurgitate anything or is it more gas/air?
Can you have GERD without the heartburn? I burp alot and like 98% of the time it's gas, and 98% of the time it doesnt lead directly to heartburn or pain, it's just uncomfortable feeling of fullness almost like the food I recently ate is right at the to of my stomach waiting to get out (I've had endoscopy, its not a mass or anything) (loose GE junction though)</t>
        </is>
      </c>
      <c r="D3512" t="n">
        <v>1</v>
      </c>
      <c r="E3512" t="n">
        <v>4</v>
      </c>
      <c r="F3512">
        <f>HYPERLINK("https://www.reddit.com/r/GERD/comments/dsu972/can_you_describe_to_me_your_symptoms_with_gerd_as/")</f>
        <v/>
      </c>
      <c r="G3512" t="inlineStr">
        <is>
          <t>2019-11-06 23:18:24</t>
        </is>
      </c>
      <c r="H3512" t="inlineStr"/>
    </row>
    <row r="3513">
      <c r="A3513" t="inlineStr">
        <is>
          <t>dsvq02</t>
        </is>
      </c>
      <c r="B3513" t="inlineStr">
        <is>
          <t>My boyfriend drank my silk milk. The expensive one for my acid reflex.</t>
        </is>
      </c>
      <c r="C3513" t="inlineStr">
        <is>
          <t>He said because he not drinking fat free milk. Instead of opening his mouth he drank my one half gallon milk for my stomach issues. I had one small cup and then the milk was gone
 .. going nuts with this acid reflex only certain things I can eat and they are getting eaten or drank. I literally starved myself last time I felt like this.. I already lost 3 pounds in 2 days because I havent been eating
 And dont have energy to exercise without food
 .
 He yells at me because now my energy level to do anything is 0 . Have to make a grocery list now for milk ugh</t>
        </is>
      </c>
      <c r="D3513" t="n">
        <v>1</v>
      </c>
      <c r="E3513" t="n">
        <v>3</v>
      </c>
      <c r="F3513">
        <f>HYPERLINK("https://www.reddit.com/r/GERD/comments/dsvq02/my_boyfriend_drank_my_silk_milk_the_expensive_one/")</f>
        <v/>
      </c>
      <c r="G3513" t="inlineStr">
        <is>
          <t>2019-11-07 02:07:07</t>
        </is>
      </c>
      <c r="H3513" t="inlineStr"/>
    </row>
    <row r="3514">
      <c r="A3514" t="inlineStr">
        <is>
          <t>dsvqp7</t>
        </is>
      </c>
      <c r="B3514" t="inlineStr">
        <is>
          <t>Is long term GERD dangerous ?</t>
        </is>
      </c>
      <c r="C3514" t="inlineStr">
        <is>
          <t>I've GERD for like 4 years and nothing too extreme has happened to me yet. Im just wondering if this prolongs will it have any major effects ?</t>
        </is>
      </c>
      <c r="D3514" t="n">
        <v>1</v>
      </c>
      <c r="E3514" t="n">
        <v>9</v>
      </c>
      <c r="F3514">
        <f>HYPERLINK("https://www.reddit.com/r/GERD/comments/dsvqp7/is_long_term_gerd_dangerous/")</f>
        <v/>
      </c>
      <c r="G3514" t="inlineStr">
        <is>
          <t>2019-11-07 02:09:17</t>
        </is>
      </c>
      <c r="H3514" t="inlineStr"/>
    </row>
    <row r="3515">
      <c r="A3515" t="inlineStr">
        <is>
          <t>dsxumq</t>
        </is>
      </c>
      <c r="B3515" t="inlineStr">
        <is>
          <t>I'm in GERD hell</t>
        </is>
      </c>
      <c r="C3515" t="inlineStr">
        <is>
          <t>I've had gerd for a few years now. Sometimes up sometimes down. I put on some weight and last month has been insanely stressful. I got fired, the due date for our miscarried baby occurred, and then one of my best friends died on Halloween. They say stress increases GERD. I've been dry heaving every fucking day. My throat hurts I can't breathe. I have to choose between being tired and withdrawing from caffeine or being alert and sick. I'm already on 40 mg of omeprazole twice a day and I have been for some years now. I've been diagnosed as having Barrett's esophagus. And it's really hard for me to change my eating habits. Honestly I'm at wits fucking end here!</t>
        </is>
      </c>
      <c r="D3515" t="n">
        <v>1</v>
      </c>
      <c r="E3515" t="n">
        <v>9</v>
      </c>
      <c r="F3515">
        <f>HYPERLINK("https://www.reddit.com/r/GERD/comments/dsxumq/im_in_gerd_hell/")</f>
        <v/>
      </c>
      <c r="G3515" t="inlineStr">
        <is>
          <t>2019-11-07 05:39:39</t>
        </is>
      </c>
      <c r="H3515" t="inlineStr"/>
    </row>
    <row r="3516">
      <c r="A3516" t="inlineStr">
        <is>
          <t>dsxxx8</t>
        </is>
      </c>
      <c r="B3516" t="inlineStr">
        <is>
          <t>Advice on caffeine drinks</t>
        </is>
      </c>
      <c r="C3516" t="inlineStr">
        <is>
          <t>I’m new to this and trying to make the recommended changes but I need caffeine in the morning.  Any recommendations??</t>
        </is>
      </c>
      <c r="D3516" t="n">
        <v>1</v>
      </c>
      <c r="E3516" t="n">
        <v>12</v>
      </c>
      <c r="F3516">
        <f>HYPERLINK("https://www.reddit.com/r/GERD/comments/dsxxx8/advice_on_caffeine_drinks/")</f>
        <v/>
      </c>
      <c r="G3516" t="inlineStr">
        <is>
          <t>2019-11-07 05:47:17</t>
        </is>
      </c>
      <c r="H3516" t="inlineStr"/>
    </row>
    <row r="3517">
      <c r="A3517" t="inlineStr">
        <is>
          <t>dsy53y</t>
        </is>
      </c>
      <c r="B3517" t="inlineStr">
        <is>
          <t>BE to LPR to healing....</t>
        </is>
      </c>
      <c r="C3517" t="inlineStr">
        <is>
          <t>I thought I'd share my 9 month journey with my GI issues, which have been a unique challenge.  I'm still not sure I know what has truly fixed my issues but here is the order in which things were treated:
1. Symptoms initially were strictly shortness of breath.  That's it.  No heartburn or anything.  To this day I don't even know what heartburn feels like.
2. Went to GI doctor - did an endoscopy that showed Barrett's Esophagus and Esophagitis Grade B.  Went on PPI's (heavy dose) and a low acid diet (Acid Wathers).   I also had chest x-rays, abdominal scans done.  All came back normal.  Lung test as well. 
3. Got a 2nd opinion from a doctor I had much greater confidence in.  This was in July, 3.5 months later.  Results showed no Barrett's Esophagus and Esophagitis Grade B fully healed.  
4. From mid July (after second Endo) to mid August symptoms all gone.  Late August however, I developed a sore throat.  Went to doctor and was on anti-biotics.  Didn't help.  The throat soreness persisted for 2 months later into October.  
5. During that time I saw an ENT 3x.  Said he saw no concerns other than some mild redness.  Did a Restech pH monitoring test.  pH levels were good - 6-7.0.  
As of now, my throat issues are 95% gone.  I started taking d-limonene and I drink A LOT of alkaline water with a pH of 9.5 or higher.  I've been bad about my diet though.  I'm not overweight at all and in decent shape.  This all came about very quickly because I had no prior GERD symptoms.  What I have are all the signs of silent reflux - LPR.  Once I found out that I had no BE, I started eating things I was cutting out that I should have continued to cut out but I got lazy.
My doctor still wants me on a lower dose of PPI because while his biopsies did not show Barrett's, the first endoscopy did.  We'll know more in 3 years when I go for a follow up.  One has to assume I may have very small patches of it until the next Endo.  It could also have been misdiagnosed due to inflammation from esophagitis....however that is  something I read on here and was not the opinion of a medical professional.  Oh and I use Gaviscon UK Advance too.
LPR has been very tricky to diagnose and figure out.  I still don't know my trigger foods, although I think the typical spicy and acid foods (coffee) don't  help.  
I highly recommend d-limonene and Gaviscon Advance (UK) though.  They seem to help.</t>
        </is>
      </c>
      <c r="D3517" t="n">
        <v>1</v>
      </c>
      <c r="E3517" t="n">
        <v>12</v>
      </c>
      <c r="F3517">
        <f>HYPERLINK("https://www.reddit.com/r/GERD/comments/dsy53y/be_to_lpr_to_healing/")</f>
        <v/>
      </c>
      <c r="G3517" t="inlineStr">
        <is>
          <t>2019-11-07 06:03:29</t>
        </is>
      </c>
      <c r="H3517" t="inlineStr"/>
    </row>
    <row r="3518">
      <c r="A3518" t="inlineStr">
        <is>
          <t>dsypkj</t>
        </is>
      </c>
      <c r="B3518" t="inlineStr">
        <is>
          <t>Night GERD</t>
        </is>
      </c>
      <c r="C3518" t="inlineStr">
        <is>
          <t>Does anyone else ever wake up in the middle of the night with terrible heartburn? HOURS after eating?? I feel so frustrated!</t>
        </is>
      </c>
      <c r="D3518" t="n">
        <v>1</v>
      </c>
      <c r="E3518" t="n">
        <v>1</v>
      </c>
      <c r="F3518">
        <f>HYPERLINK("https://www.reddit.com/r/GERD/comments/dsypkj/night_gerd/")</f>
        <v/>
      </c>
      <c r="G3518" t="inlineStr">
        <is>
          <t>2019-11-07 06:46:50</t>
        </is>
      </c>
      <c r="H3518" t="inlineStr"/>
    </row>
    <row r="3519">
      <c r="A3519" t="inlineStr">
        <is>
          <t>dsz4hp</t>
        </is>
      </c>
      <c r="B3519" t="inlineStr">
        <is>
          <t>Help. I don't know what to do.</t>
        </is>
      </c>
      <c r="C3519" t="inlineStr">
        <is>
          <t>My acid has gotten too bad. When I wake up it feels like I can't breathe and it continues all day, spiking when I eat anything. It feels like air is hitting a bubble in my throat. I'm so scared I'm going to die. I take pantoprazole and have tried tums, alka seltzer, and prilosec. I can't live like this. How can I help me at all just to breathe normally. My uvala always sits on my tounge as well which is unsettling. I'm scared.</t>
        </is>
      </c>
      <c r="D3519" t="n">
        <v>1</v>
      </c>
      <c r="E3519" t="n">
        <v>2</v>
      </c>
      <c r="F3519">
        <f>HYPERLINK("https://www.reddit.com/r/GERD/comments/dsz4hp/help_i_dont_know_what_to_do/")</f>
        <v/>
      </c>
      <c r="G3519" t="inlineStr">
        <is>
          <t>2019-11-07 07:17:00</t>
        </is>
      </c>
      <c r="H3519" t="inlineStr"/>
    </row>
    <row r="3520">
      <c r="A3520" t="inlineStr">
        <is>
          <t>dt0b3d</t>
        </is>
      </c>
      <c r="B3520" t="inlineStr">
        <is>
          <t>Mucinex and/or Sudafed for LPR?</t>
        </is>
      </c>
      <c r="C3520" t="inlineStr">
        <is>
          <t>Hi all,
I was diagnosed with LPR (silent reflux) about a week ago at urgent care when I thought I had food stuck in my throat but it was actually just the globus sensation. I started a course of Prilosec, famotidine, and loratadine (antihistamine) last Thursday. While that got rid of the globus sensation I am still feeling a lot of mucus in my throat and nose. I have had this sensation for close to two months now but just figured I had a cold or fall allergies. But it’s bad enough to where I can’t exercise because I get winded so easily from the mucus, even though I can breathe very deeply and my lungs were all clear at the doctor. 
I am going to have to wait about 8 weeks to see a gastroenterologist, but the mucus sensation is really annoying. Have any LPR sufferers had luck with decongestants? Giving up coffee, alcohol, and any food with actual flavor is tough enough but I don’t know if I can deal with giving up cardio for this long.</t>
        </is>
      </c>
      <c r="D3520" t="n">
        <v>1</v>
      </c>
      <c r="E3520" t="n">
        <v>4</v>
      </c>
      <c r="F3520">
        <f>HYPERLINK("https://www.reddit.com/r/GERD/comments/dt0b3d/mucinex_andor_sudafed_for_lpr/")</f>
        <v/>
      </c>
      <c r="G3520" t="inlineStr">
        <is>
          <t>2019-11-07 08:43:55</t>
        </is>
      </c>
      <c r="H3520" t="inlineStr"/>
    </row>
    <row r="3521">
      <c r="A3521" t="inlineStr">
        <is>
          <t>dt5ptn</t>
        </is>
      </c>
      <c r="B3521" t="inlineStr">
        <is>
          <t>New implantable device for GERD "IM RefluxStop™"</t>
        </is>
      </c>
      <c r="C3521" t="inlineStr">
        <is>
          <t>Haven't seen anyone posting this, so I am sharing it in case someone wishes to dig further, as it seems a quite novel approach to GERD treatment.
The company (Implantica), refers to IM RefluxStop™ as a non-active implant which is intended to treat acid reflux without affecting the food passageway.
From their website:
"CE mark approval was granted August 8, 2018, on the strength of a multi-center clinical investigation in which the safety and effectiveness of the device in patients was demonstrated."
More information is available on the link below:
https://implantica.com/en/im-refluxstop/patients/gastrointestinal/[Implantica ](https://implantica.com/en/im-refluxstop/patients/gastrointestinal/)</t>
        </is>
      </c>
      <c r="D3521" t="n">
        <v>1</v>
      </c>
      <c r="E3521" t="n">
        <v>11</v>
      </c>
      <c r="F3521">
        <f>HYPERLINK("https://www.reddit.com/r/GERD/comments/dt5ptn/new_implantable_device_for_gerd_im_refluxstop/")</f>
        <v/>
      </c>
      <c r="G3521" t="inlineStr">
        <is>
          <t>2019-11-07 14:41:17</t>
        </is>
      </c>
      <c r="H3521" t="inlineStr"/>
    </row>
    <row r="3522">
      <c r="A3522" t="inlineStr">
        <is>
          <t>dt6dkt</t>
        </is>
      </c>
      <c r="B3522" t="inlineStr">
        <is>
          <t>Should I go to a doctor?</t>
        </is>
      </c>
      <c r="C3522" t="inlineStr">
        <is>
          <t>I’m 23 and have had somewhat frequent acid over the past few years. I never have told any doctors about it. My mom is a nurse and says it’s probably no big deal. Anyway, fast forward to now: the past few days I have felt an increased need to burp and have felt some acid in my throat. I did feel some slight pain in the middle below the chest but it was only for a few minutes. Is this gerd? Is there anything I can do? I have felt increased acid when sleeping but I thought it was due to not sleeping on a good schedule and sleeping during the day. Thanks</t>
        </is>
      </c>
      <c r="D3522" t="n">
        <v>1</v>
      </c>
      <c r="E3522" t="n">
        <v>8</v>
      </c>
      <c r="F3522">
        <f>HYPERLINK("https://www.reddit.com/r/GERD/comments/dt6dkt/should_i_go_to_a_doctor/")</f>
        <v/>
      </c>
      <c r="G3522" t="inlineStr">
        <is>
          <t>2019-11-07 15:28:53</t>
        </is>
      </c>
      <c r="H3522" t="inlineStr"/>
    </row>
    <row r="3523">
      <c r="A3523" t="inlineStr">
        <is>
          <t>dt70nh</t>
        </is>
      </c>
      <c r="B3523" t="inlineStr">
        <is>
          <t>Things that naturally increase stomach acid?</t>
        </is>
      </c>
      <c r="C3523" t="inlineStr">
        <is>
          <t>Hey guys so I've been figuring myself out lately and it seems like the cause for my stomach acid issues is low stomach acid. When I take HCL it helps me considerably, my stomach digests better, and my poops are more frequent and satisfying. I was wondering if there are other things that I can take that can help regulate my acid production? I'm thinking I'm deficient in something. Hate the fact that idk what the cause of this is. Currently taking Zinc as well. Just got tested for H pylori but that came back as negative.
Thank you</t>
        </is>
      </c>
      <c r="D3523" t="n">
        <v>1</v>
      </c>
      <c r="E3523" t="n">
        <v>8</v>
      </c>
      <c r="F3523">
        <f>HYPERLINK("https://www.reddit.com/r/GERD/comments/dt70nh/things_that_naturally_increase_stomach_acid/")</f>
        <v/>
      </c>
      <c r="G3523" t="inlineStr">
        <is>
          <t>2019-11-07 16:16:31</t>
        </is>
      </c>
      <c r="H3523" t="inlineStr"/>
    </row>
    <row r="3524">
      <c r="A3524" t="inlineStr">
        <is>
          <t>dt8sst</t>
        </is>
      </c>
      <c r="B3524" t="inlineStr">
        <is>
          <t>Anybody have GERD that feels this way? Still trying to figure out if this is what I have.</t>
        </is>
      </c>
      <c r="C3524" t="inlineStr">
        <is>
          <t>It started out a couple months ago as a lump in the throat feeling. Most present at night and minimal or gone in the morning. After a clean ultrasound and xray , I suspected GERD and started Prilosec. Just had an endoscopy and Dr doubled my dosage.
My concern is after I started Prilosec it seemed to get worse if anything. That lump is now more tightness and sore and present more. 
Does anybody have GERD that unfolded this way? I dont wanna just keep chasing cure for GERD if its something else. I was concerned of a throat issue but it's at the very bottom of neck which I'm pretty sure is the esophagus. I guess I was expecting some relief with the Prilosec and it has me questioning it.
Any insight would be very helpful.</t>
        </is>
      </c>
      <c r="D3524" t="n">
        <v>1</v>
      </c>
      <c r="E3524" t="n">
        <v>8</v>
      </c>
      <c r="F3524">
        <f>HYPERLINK("https://www.reddit.com/r/GERD/comments/dt8sst/anybody_have_gerd_that_feels_this_way_still/")</f>
        <v/>
      </c>
      <c r="G3524" t="inlineStr">
        <is>
          <t>2019-11-07 18:35:44</t>
        </is>
      </c>
      <c r="H3524" t="inlineStr"/>
    </row>
    <row r="3525">
      <c r="A3525" t="inlineStr">
        <is>
          <t>dt9pp6</t>
        </is>
      </c>
      <c r="B3525" t="inlineStr">
        <is>
          <t>Has anyone had a linx surgery done?</t>
        </is>
      </c>
      <c r="C3525" t="inlineStr">
        <is>
          <t>I went to a reflux seminar earlier today and learned about this surgery in comparison to the old fashion nissen and I’m wondering if anyone has had it done and was it worth it ???</t>
        </is>
      </c>
      <c r="D3525" t="n">
        <v>1</v>
      </c>
      <c r="E3525" t="n">
        <v>2</v>
      </c>
      <c r="F3525">
        <f>HYPERLINK("https://www.reddit.com/r/GERD/comments/dt9pp6/has_anyone_had_a_linx_surgery_done/")</f>
        <v/>
      </c>
      <c r="G3525" t="inlineStr">
        <is>
          <t>2019-11-07 19:51:24</t>
        </is>
      </c>
      <c r="H3525" t="inlineStr"/>
    </row>
    <row r="3526">
      <c r="A3526" t="inlineStr">
        <is>
          <t>dtacda</t>
        </is>
      </c>
      <c r="B3526" t="inlineStr">
        <is>
          <t>I overheard the pharmacist say that certain PPIs are recalled</t>
        </is>
      </c>
      <c r="C3526" t="inlineStr">
        <is>
          <t>I overheard this about a week ago, but I forgot. Sorry, guys. If anyone knows more about which medications are recalled and you could post more information in the comments or as a separate post, that would be great!!</t>
        </is>
      </c>
      <c r="D3526" t="n">
        <v>1</v>
      </c>
      <c r="E3526" t="n">
        <v>4</v>
      </c>
      <c r="F3526">
        <f>HYPERLINK("https://www.reddit.com/r/GERD/comments/dtacda/i_overheard_the_pharmacist_say_that_certain_ppis/")</f>
        <v/>
      </c>
      <c r="G3526" t="inlineStr">
        <is>
          <t>2019-11-07 20:47:34</t>
        </is>
      </c>
      <c r="H3526" t="inlineStr"/>
    </row>
    <row r="3527">
      <c r="A3527" t="inlineStr">
        <is>
          <t>dtavoy</t>
        </is>
      </c>
      <c r="B3527" t="inlineStr">
        <is>
          <t>Endoscopy Sedation</t>
        </is>
      </c>
      <c r="C3527" t="inlineStr">
        <is>
          <t>Anyone undergo general anesthesia during their endoscopy? Waiting for my appt but I know the Dr is gonna recommend one. Internet says it's always done under sedation. Problem is I have intense anxiety (especially in relation to a procedure like this) and I want to be OUT. Not loopy, not numbed, just unconscious.</t>
        </is>
      </c>
      <c r="D3527" t="n">
        <v>1</v>
      </c>
      <c r="E3527" t="n">
        <v>2</v>
      </c>
      <c r="F3527">
        <f>HYPERLINK("https://www.reddit.com/r/GERD/comments/dtavoy/endoscopy_sedation/")</f>
        <v/>
      </c>
      <c r="G3527" t="inlineStr">
        <is>
          <t>2019-11-07 21:37:13</t>
        </is>
      </c>
      <c r="H3527" t="inlineStr"/>
    </row>
    <row r="3528">
      <c r="A3528" t="inlineStr">
        <is>
          <t>dtb6m6</t>
        </is>
      </c>
      <c r="B3528" t="inlineStr">
        <is>
          <t>Has anyone tried N-acetyl cysteine (NAC)? [For LPR]</t>
        </is>
      </c>
      <c r="C3528" t="inlineStr">
        <is>
          <t>It's a nootropic and I'm taking it for other reasons but have realized it's also significantly helped my LPR. It's used to treat a variety of mental and physical disorders –– OCD, liver toxicity, PCOS. It's also used to treat COPD because it's a mucus thinner, so my breathing (which can often be affected by my LPR) has been excellent.  I've also read anecdotal stories in /r/Nootropics, however, of people experiencing GERD (who don't otherwise have it) because of the fact that it may also affect stomach acid amount. So again, just depends on the type of GERD you have probably. 
Furthermore, I looked it up and there's a study that found it improved symptoms in LPR patients who took it alongside a PPI, more so than just a PPI alone. [https://www.ncbi.nlm.nih.gov/pubmed/24390944](https://www.ncbi.nlm.nih.gov/pubmed/24390944) Just throwing it out there in case anyone wants to experiment!</t>
        </is>
      </c>
      <c r="D3528" t="n">
        <v>1</v>
      </c>
      <c r="E3528" t="n">
        <v>0</v>
      </c>
      <c r="F3528">
        <f>HYPERLINK("https://www.reddit.com/r/GERD/comments/dtb6m6/has_anyone_tried_nacetyl_cysteine_nac_for_lpr/")</f>
        <v/>
      </c>
      <c r="G3528" t="inlineStr">
        <is>
          <t>2019-11-07 22:06:04</t>
        </is>
      </c>
      <c r="H3528" t="inlineStr"/>
    </row>
    <row r="3529">
      <c r="A3529" t="inlineStr">
        <is>
          <t>dtbxvh</t>
        </is>
      </c>
      <c r="B3529" t="inlineStr">
        <is>
          <t>Should i get tested or something</t>
        </is>
      </c>
      <c r="C3529" t="inlineStr">
        <is>
          <t>Excessive throat clearing
Hoarseness
A "lump" in the throat that doesn't go away with repeated swallowing
A sensation of postnasal drip or excess throat mucus
Trouble swallowing
Trouble breathing
I have experienced theese symtoms almost all life.  It is really hard having to put effort into breathing all the time. If i try to clear my throat im unable to breathe and almost throw up.</t>
        </is>
      </c>
      <c r="D3529" t="n">
        <v>1</v>
      </c>
      <c r="E3529" t="n">
        <v>6</v>
      </c>
      <c r="F3529">
        <f>HYPERLINK("https://www.reddit.com/r/GERD/comments/dtbxvh/should_i_get_tested_or_something/")</f>
        <v/>
      </c>
      <c r="G3529" t="inlineStr">
        <is>
          <t>2019-11-07 23:25:37</t>
        </is>
      </c>
      <c r="H3529" t="inlineStr"/>
    </row>
    <row r="3530">
      <c r="A3530" t="inlineStr">
        <is>
          <t>dtee5i</t>
        </is>
      </c>
      <c r="B3530" t="inlineStr">
        <is>
          <t>Laryngopharyngeal reflux (LPR</t>
        </is>
      </c>
      <c r="C3530" t="inlineStr">
        <is>
          <t>Hi folks,
Been suffering with acid reflux for the past 3 years, only this year have I discovered that it's actually Laryngopharyngeal reflux that is effecting me and not your typical GERD.
My symptoms are mostly mucous in the throat which leads to throat clearing and voice changes whenever it flairs up.
Found PPI's are really effective but don't want to be taking these longterm as I've read that they can cause kidney problems. I was reading about H2 blockers as a good alternative but I've only read recently about some of them being recalled due to them containing a carcinogenic..
If anyone is suffering from LPR please let me know of any solutions that have helped you. I'll be happy to discuss my experiences with you, took me a long time to discover I had LPR and not GERD. Please look it up if you think you might be suffering with something similar.
Thanks,
S</t>
        </is>
      </c>
      <c r="D3530" t="n">
        <v>1</v>
      </c>
      <c r="E3530" t="n">
        <v>8</v>
      </c>
      <c r="F3530">
        <f>HYPERLINK("https://www.reddit.com/r/GERD/comments/dtee5i/laryngopharyngeal_reflux_lpr/")</f>
        <v/>
      </c>
      <c r="G3530" t="inlineStr">
        <is>
          <t>2019-11-08 03:54:37</t>
        </is>
      </c>
      <c r="H3530" t="inlineStr"/>
    </row>
    <row r="3531">
      <c r="A3531" t="inlineStr">
        <is>
          <t>dtfiz4</t>
        </is>
      </c>
      <c r="B3531" t="inlineStr">
        <is>
          <t>Can you have LPR with clear endoscopy</t>
        </is>
      </c>
      <c r="C3531" t="inlineStr">
        <is>
          <t>So I just went to my doctor and he told me that hr didn’t find anything with the endoscopy except for my les not closing properly. When I told him that my throat is always full of mucus and my nose is always blocked, he told me that it’s not caused by reflux and that I should go to ENT. Is it even possible to exclude LPR with endoscopy? 
He also told me to stop taking Omeprazole. When I asked him if I can just stop it cold turkey he told me that I should have no problems doing so. I’m already taking 2 x 20mg for 3 months. What do you think?</t>
        </is>
      </c>
      <c r="D3531" t="n">
        <v>1</v>
      </c>
      <c r="E3531" t="n">
        <v>8</v>
      </c>
      <c r="F3531">
        <f>HYPERLINK("https://www.reddit.com/r/GERD/comments/dtfiz4/can_you_have_lpr_with_clear_endoscopy/")</f>
        <v/>
      </c>
      <c r="G3531" t="inlineStr">
        <is>
          <t>2019-11-08 05:36:13</t>
        </is>
      </c>
      <c r="H3531" t="inlineStr"/>
    </row>
    <row r="3532">
      <c r="A3532" t="inlineStr">
        <is>
          <t>dtgy0i</t>
        </is>
      </c>
      <c r="B3532" t="inlineStr">
        <is>
          <t>Excessive talking and GERD pain</t>
        </is>
      </c>
      <c r="C3532" t="inlineStr">
        <is>
          <t>Hi all,
I just started a new job that requires an inordinate amount of talking, which has sparked another flare up of chest pain.  Can all of that talking really cause this sort of acute GERD-related pain?  I also find it flares up during parties when I’m speaking loudly.
Thanks!</t>
        </is>
      </c>
      <c r="D3532" t="n">
        <v>1</v>
      </c>
      <c r="E3532" t="n">
        <v>4</v>
      </c>
      <c r="F3532">
        <f>HYPERLINK("https://www.reddit.com/r/GERD/comments/dtgy0i/excessive_talking_and_gerd_pain/")</f>
        <v/>
      </c>
      <c r="G3532" t="inlineStr">
        <is>
          <t>2019-11-08 07:27:44</t>
        </is>
      </c>
      <c r="H3532" t="inlineStr"/>
    </row>
    <row r="3533">
      <c r="A3533" t="inlineStr">
        <is>
          <t>dtjxb8</t>
        </is>
      </c>
      <c r="B3533" t="inlineStr">
        <is>
          <t>Just diagnosed, couple questions</t>
        </is>
      </c>
      <c r="C3533" t="inlineStr">
        <is>
          <t>Male, 24. Since 2 years I've been having some symptoms like persistent(24/7 for a week, 3 different times) nausea, chronic throat clearing, diarrhea,mild pains here and there. Finally got my first upper GI today because of coughing up blood, and it appears that I have some erosions, GERD, gastropathy and chronic inflammation signs. The GI doctor was puzzled because I never really felt reflux. Anyways, I'm prescribed PPIs to take for a month, and I was wondering if there are any must-knows for a newly diagnosed lad like me. Like, what can I eat and what can't I? I already googled, but I couldn't find a comprehensive list, and it seems like I can't eat anything at all! I mean, I never really had much symptoms after eating my favourite food, but I guess that I need to cure the inflammation. Is GERD even treatable? Am I at higher risk for cancer now?</t>
        </is>
      </c>
      <c r="D3533" t="n">
        <v>1</v>
      </c>
      <c r="E3533" t="n">
        <v>12</v>
      </c>
      <c r="F3533">
        <f>HYPERLINK("https://www.reddit.com/r/GERD/comments/dtjxb8/just_diagnosed_couple_questions/")</f>
        <v/>
      </c>
      <c r="G3533" t="inlineStr">
        <is>
          <t>2019-11-08 10:56:42</t>
        </is>
      </c>
      <c r="H3533" t="inlineStr"/>
    </row>
    <row r="3534">
      <c r="A3534" t="inlineStr">
        <is>
          <t>dtk0t7</t>
        </is>
      </c>
      <c r="B3534" t="inlineStr">
        <is>
          <t>18 Years Old</t>
        </is>
      </c>
      <c r="C3534" t="inlineStr">
        <is>
          <t>I have tried fixing my GERD for years. I have had a barium swallow test to identify any problems. I have tried changing my diet. I do not eat 2-4 hours before bed. I have my mattress on a 7 inch incline. I have tried antacids, H2-Blockers, PPIs. I have tried non-traditional solutions such as digestive enzymes, probiotics, and acidifiers. Name it, I’ve tried it. I have even tried certain fluoxetine as it can help certain people with GERD. I am in so much pain, and am short of breath. How am I supposed to live the rest of my life like this, when it has only just begun?</t>
        </is>
      </c>
      <c r="D3534" t="n">
        <v>1</v>
      </c>
      <c r="E3534" t="n">
        <v>15</v>
      </c>
      <c r="F3534">
        <f>HYPERLINK("https://www.reddit.com/r/GERD/comments/dtk0t7/18_years_old/")</f>
        <v/>
      </c>
      <c r="G3534" t="inlineStr">
        <is>
          <t>2019-11-08 11:03:12</t>
        </is>
      </c>
      <c r="H3534" t="inlineStr"/>
    </row>
    <row r="3535">
      <c r="A3535" t="inlineStr">
        <is>
          <t>dtk4qt</t>
        </is>
      </c>
      <c r="B3535" t="inlineStr">
        <is>
          <t>LPR - throat and ear pain?</t>
        </is>
      </c>
      <c r="C3535" t="inlineStr">
        <is>
          <t>Hi all, been dealing with GERD and LPR for a while now, but had some very annoying throat symptoms for a few weeks. I had a viral thing a while ago, which eventually went away, but shortly after my left tonsil has swollen with pain extending back to my ear. I’m also very hoarse and mucusy - all typical LPR, but very one sided at the moment. Does anyone else have primarily one sided symptoms along with ear involvement?</t>
        </is>
      </c>
      <c r="D3535" t="n">
        <v>1</v>
      </c>
      <c r="E3535" t="n">
        <v>2</v>
      </c>
      <c r="F3535">
        <f>HYPERLINK("https://www.reddit.com/r/GERD/comments/dtk4qt/lpr_throat_and_ear_pain/")</f>
        <v/>
      </c>
      <c r="G3535" t="inlineStr">
        <is>
          <t>2019-11-08 11:10:37</t>
        </is>
      </c>
      <c r="H3535" t="inlineStr"/>
    </row>
    <row r="3536">
      <c r="A3536" t="inlineStr">
        <is>
          <t>dtkcgg</t>
        </is>
      </c>
      <c r="B3536" t="inlineStr">
        <is>
          <t>Any type of bacon ok?</t>
        </is>
      </c>
      <c r="C3536" t="inlineStr">
        <is>
          <t>So, I know I was told no fatty foods so I'm doing excellent, but I miss bacon a lot. Have any of you had success eating turkey bacon, or the fake veggie bacon? Thanks</t>
        </is>
      </c>
      <c r="D3536" t="n">
        <v>1</v>
      </c>
      <c r="E3536" t="n">
        <v>4</v>
      </c>
      <c r="F3536">
        <f>HYPERLINK("https://www.reddit.com/r/GERD/comments/dtkcgg/any_type_of_bacon_ok/")</f>
        <v/>
      </c>
      <c r="G3536" t="inlineStr">
        <is>
          <t>2019-11-08 11:25:34</t>
        </is>
      </c>
      <c r="H3536" t="inlineStr"/>
    </row>
    <row r="3537">
      <c r="A3537" t="inlineStr">
        <is>
          <t>dtkur2</t>
        </is>
      </c>
      <c r="B3537" t="inlineStr">
        <is>
          <t>GERD for 4 years. PPI has been effective until now. Not cutting it. Thoughts?</t>
        </is>
      </c>
      <c r="C3537" t="inlineStr">
        <is>
          <t>Always had occasional acid burping up the throat for years.  Only 4 years ago did I get hit with the pain in the esophagus.  Doc scoped me all looked good.  40mg omeprazole delayed release once a day and some antacids and typically good.  
Recently, pain in the esophagus is more constant.  I'm starting to realize the bad diet is hurting me (duh I know).  Coffee is the big one, and I'm trying to tune that way down and give alcohol a break.  Anything else I can try?  
How long do you usually experience flare up/symptoms until it goes away from cleaning up your diet and removing the triggers?  I cut alcohol but a week later and I'm not getting much relief.  It has to be the coffee so working on that next.</t>
        </is>
      </c>
      <c r="D3537" t="n">
        <v>1</v>
      </c>
      <c r="E3537" t="n">
        <v>0</v>
      </c>
      <c r="F3537">
        <f>HYPERLINK("https://www.reddit.com/r/GERD/comments/dtkur2/gerd_for_4_years_ppi_has_been_effective_until_now/")</f>
        <v/>
      </c>
      <c r="G3537" t="inlineStr">
        <is>
          <t>2019-11-08 12:00:00</t>
        </is>
      </c>
      <c r="H3537" t="inlineStr"/>
    </row>
    <row r="3538">
      <c r="A3538" t="inlineStr">
        <is>
          <t>dtkyft</t>
        </is>
      </c>
      <c r="B3538" t="inlineStr">
        <is>
          <t>Persisten sore throat no other symptoms, can it be LPR?</t>
        </is>
      </c>
      <c r="C3538" t="inlineStr">
        <is>
          <t>My only symptoms are a raw sore throat in the morning along with mild post nasal drip since 30 fays ago after a normal cold  , I don't have cough, dificult eating or breathing, no globus sensation or dysphagia, also no hoarsess in my voice, did you think is LPR? Never had any heartburn in my life, also quitted smoking 3 years ago , my throat seems cobblestoned and red in some points, btw im 24 year old male. All my bloodwork  turns out fine same with throat culture, my endoscopy is in 2 weeks but doctors still dont know if its LPR because lack of more symptoms, any opinion?</t>
        </is>
      </c>
      <c r="D3538" t="n">
        <v>1</v>
      </c>
      <c r="E3538" t="n">
        <v>22</v>
      </c>
      <c r="F3538">
        <f>HYPERLINK("https://www.reddit.com/r/GERD/comments/dtkyft/persisten_sore_throat_no_other_symptoms_can_it_be/")</f>
        <v/>
      </c>
      <c r="G3538" t="inlineStr">
        <is>
          <t>2019-11-08 12:06:38</t>
        </is>
      </c>
      <c r="H3538" t="inlineStr"/>
    </row>
    <row r="3539">
      <c r="A3539" t="inlineStr">
        <is>
          <t>dtkzfx</t>
        </is>
      </c>
      <c r="B3539" t="inlineStr">
        <is>
          <t>Minor pain when swallowing</t>
        </is>
      </c>
      <c r="C3539" t="inlineStr">
        <is>
          <t>Do any of you sometimes have pain with swallowing. Im 22 yrs old and have GERD. Ate a lot yesterday night, even tho I knew I shouldn’t. Now I’m dealing with some smalls pain in my chest every time I drink something, when I eat something I’m fine. Any one know any good home remedies to deal with it.</t>
        </is>
      </c>
      <c r="D3539" t="n">
        <v>1</v>
      </c>
      <c r="E3539" t="n">
        <v>2</v>
      </c>
      <c r="F3539">
        <f>HYPERLINK("https://www.reddit.com/r/GERD/comments/dtkzfx/minor_pain_when_swallowing/")</f>
        <v/>
      </c>
      <c r="G3539" t="inlineStr">
        <is>
          <t>2019-11-08 12:08:27</t>
        </is>
      </c>
      <c r="H3539" t="inlineStr"/>
    </row>
    <row r="3540">
      <c r="A3540" t="inlineStr">
        <is>
          <t>dtlagb</t>
        </is>
      </c>
      <c r="B3540" t="inlineStr">
        <is>
          <t>No signs of cancer but an enlarged spleen and anemia</t>
        </is>
      </c>
      <c r="C3540" t="inlineStr">
        <is>
          <t>I have a large sliding hiatal hernia, stenosis and 4cm of Barret's. I have occasional trouble swallowing solids, which is why I got the endoscopy that revealed these issues. The biopsy seems clear as well as the barium swallow X-ray session and the total abdominal ultrasound is clear except for an enlarged spleen. The surgeon wants to operate the Hiatal Hernia and said it is the root cause of all this. He said there is no sign of cancer. I am worried about the enlarged spleen and the anaemia that doesn't go away even with iron supplements. Is it possible the doctor is not detecting my cancer/metastasis? I feel some cancer could have spread to the bone marrow. Is there any other test I can do to make sure this is not the case?</t>
        </is>
      </c>
      <c r="D3540" t="n">
        <v>1</v>
      </c>
      <c r="E3540" t="n">
        <v>19</v>
      </c>
      <c r="F3540">
        <f>HYPERLINK("https://www.reddit.com/r/GERD/comments/dtlagb/no_signs_of_cancer_but_an_enlarged_spleen_and/")</f>
        <v/>
      </c>
      <c r="G3540" t="inlineStr">
        <is>
          <t>2019-11-08 12:29:01</t>
        </is>
      </c>
      <c r="H3540" t="inlineStr"/>
    </row>
    <row r="3541">
      <c r="A3541" t="inlineStr">
        <is>
          <t>dtlx4e</t>
        </is>
      </c>
      <c r="B3541" t="inlineStr">
        <is>
          <t>prilosec packaging always say "FREQUENT" heartburn</t>
        </is>
      </c>
      <c r="C3541" t="inlineStr">
        <is>
          <t>whatever packaging I look at on ebay or amazon, it always says "FREQUENT" heartburn and "delayed release". I don't need it regularly, but maybe once every 1 - 2 years. Is there something like an "instant relief" Prilosec? And not "delayed release"? Or is Prilosec always "delayed release" and for "frequent" heartburn? Should I look for something else? It seems Mylanta is working instantly and not for continuous treatment. Thanks.</t>
        </is>
      </c>
      <c r="D3541" t="n">
        <v>1</v>
      </c>
      <c r="E3541" t="n">
        <v>1</v>
      </c>
      <c r="F3541">
        <f>HYPERLINK("https://www.reddit.com/r/GERD/comments/dtlx4e/prilosec_packaging_always_say_frequent_heartburn/")</f>
        <v/>
      </c>
      <c r="G3541" t="inlineStr">
        <is>
          <t>2019-11-08 13:12:31</t>
        </is>
      </c>
      <c r="H3541" t="inlineStr"/>
    </row>
    <row r="3542">
      <c r="A3542" t="inlineStr">
        <is>
          <t>dtm5ff</t>
        </is>
      </c>
      <c r="B3542" t="inlineStr">
        <is>
          <t>hellmans vegan mayo 10g fat per 1 tbsp is this ok? bad gerd</t>
        </is>
      </c>
      <c r="C3542" t="inlineStr">
        <is>
          <t>i made cold noodle sauce with hellmans vegan mayo and a little dash of sesame oil, gluten free low sodium soy sauce, and a splash of rice vinegar
I can tolerate all the other ingredients on their own and never had any issues; however, i am a bit concerned about the fat content and fermentation of soy products (since the mayo is made from soybean oil w/ other ingredients)
its like 10g fat per serving and 6g polyunsaturated 
wondering if this has triggered anyone</t>
        </is>
      </c>
      <c r="D3542" t="n">
        <v>1</v>
      </c>
      <c r="E3542" t="n">
        <v>0</v>
      </c>
      <c r="F3542">
        <f>HYPERLINK("https://www.reddit.com/r/GERD/comments/dtm5ff/hellmans_vegan_mayo_10g_fat_per_1_tbsp_is_this_ok/")</f>
        <v/>
      </c>
      <c r="G3542" t="inlineStr">
        <is>
          <t>2019-11-08 13:28:58</t>
        </is>
      </c>
      <c r="H3542" t="inlineStr"/>
    </row>
    <row r="3543">
      <c r="A3543" t="inlineStr">
        <is>
          <t>dtmhc6</t>
        </is>
      </c>
      <c r="B3543" t="inlineStr">
        <is>
          <t>Weed/THC Edibles and GERD?</t>
        </is>
      </c>
      <c r="C3543" t="inlineStr">
        <is>
          <t>Does anyone have any experience with THC edibles, like gummies that are non-fat? Do they cause any flare ups or nah? I got GERD and smoking or vaping weed gives me terrible episodes. Wondering if edibles are the same way, cuz I heard it’s the smoke that relaxes the LES but not necessarily the THC?</t>
        </is>
      </c>
      <c r="D3543" t="n">
        <v>1</v>
      </c>
      <c r="E3543" t="n">
        <v>12</v>
      </c>
      <c r="F3543">
        <f>HYPERLINK("https://www.reddit.com/r/GERD/comments/dtmhc6/weedthc_edibles_and_gerd/")</f>
        <v/>
      </c>
      <c r="G3543" t="inlineStr">
        <is>
          <t>2019-11-08 13:52:33</t>
        </is>
      </c>
      <c r="H3543" t="inlineStr"/>
    </row>
    <row r="3544">
      <c r="A3544" t="inlineStr">
        <is>
          <t>dtmm37</t>
        </is>
      </c>
      <c r="B3544" t="inlineStr">
        <is>
          <t>Rebound: H2-Blockers vs. PPIs</t>
        </is>
      </c>
      <c r="C3544" t="inlineStr">
        <is>
          <t>Doctor told me I should try a PPI instead of H2 blockers because H2 blockers have more of a rebound effect. Is this true?</t>
        </is>
      </c>
      <c r="D3544" t="n">
        <v>1</v>
      </c>
      <c r="E3544" t="n">
        <v>3</v>
      </c>
      <c r="F3544">
        <f>HYPERLINK("https://www.reddit.com/r/GERD/comments/dtmm37/rebound_h2blockers_vs_ppis/")</f>
        <v/>
      </c>
      <c r="G3544" t="inlineStr">
        <is>
          <t>2019-11-08 14:01:48</t>
        </is>
      </c>
      <c r="H3544" t="inlineStr"/>
    </row>
    <row r="3545">
      <c r="A3545" t="inlineStr">
        <is>
          <t>dtodsn</t>
        </is>
      </c>
      <c r="B3545" t="inlineStr">
        <is>
          <t>Try meal replacement shakes</t>
        </is>
      </c>
      <c r="C3545" t="inlineStr">
        <is>
          <t>If anyone's struggling with symptoms from a lot of solid foods, consider trying Jimmy Joy or Huel. Both are healthy meal replacements (as healthy as you can get without real food, anyway) and don't cost very much. They're easier on my stomach than most food is. 
Huel is based in the UK. Their stuff is thicker and more oat-y tasting. I'm one of the few that didn't like any of their flavors, but most people love them. 
Jimmy Joy is based in the Netherlands. Their products are thinner and milder in taste. They're just getting started in the US so their stuff can sell out pretty quickly. 
Price and nutrient-wise they're very comparable. I think the biggest difference is that JJ uses soy protein while Huel doesn't.</t>
        </is>
      </c>
      <c r="D3545" t="n">
        <v>1</v>
      </c>
      <c r="E3545" t="n">
        <v>5</v>
      </c>
      <c r="F3545">
        <f>HYPERLINK("https://www.reddit.com/r/GERD/comments/dtodsn/try_meal_replacement_shakes/")</f>
        <v/>
      </c>
      <c r="G3545" t="inlineStr">
        <is>
          <t>2019-11-08 16:13:55</t>
        </is>
      </c>
      <c r="H3545" t="inlineStr"/>
    </row>
    <row r="3546">
      <c r="A3546" t="inlineStr">
        <is>
          <t>dtpavo</t>
        </is>
      </c>
      <c r="B3546" t="inlineStr">
        <is>
          <t>I have a couple questions about the long-term symptoms</t>
        </is>
      </c>
      <c r="C3546" t="inlineStr">
        <is>
          <t>So when you find the right PPI, do you just take that for the rest of your life? Or do you ease off of it until it’s like you never had GERD ?
Also when you have found the right PPI for you and have had success in suppressing symptoms, do you still have to watch your diet, take gaviscon, and all the other precautions to ease symptoms?</t>
        </is>
      </c>
      <c r="D3546" t="n">
        <v>1</v>
      </c>
      <c r="E3546" t="n">
        <v>11</v>
      </c>
      <c r="F3546">
        <f>HYPERLINK("https://www.reddit.com/r/GERD/comments/dtpavo/i_have_a_couple_questions_about_the_longterm/")</f>
        <v/>
      </c>
      <c r="G3546" t="inlineStr">
        <is>
          <t>2019-11-08 17:28:22</t>
        </is>
      </c>
      <c r="H3546" t="inlineStr"/>
    </row>
    <row r="3547">
      <c r="A3547" t="inlineStr">
        <is>
          <t>dtqldt</t>
        </is>
      </c>
      <c r="B3547" t="inlineStr">
        <is>
          <t>GERD + gastritis meds?</t>
        </is>
      </c>
      <c r="C3547" t="inlineStr">
        <is>
          <t>anyone have experience with protonix? how long does it take to work? any negative side effects?</t>
        </is>
      </c>
      <c r="D3547" t="n">
        <v>1</v>
      </c>
      <c r="E3547" t="n">
        <v>4</v>
      </c>
      <c r="F3547">
        <f>HYPERLINK("https://www.reddit.com/r/GERD/comments/dtqldt/gerd_gastritis_meds/")</f>
        <v/>
      </c>
      <c r="G3547" t="inlineStr">
        <is>
          <t>2019-11-08 19:26:52</t>
        </is>
      </c>
      <c r="H3547" t="inlineStr"/>
    </row>
    <row r="3548">
      <c r="A3548" t="inlineStr">
        <is>
          <t>dttiu4</t>
        </is>
      </c>
      <c r="B3548" t="inlineStr">
        <is>
          <t>Looking for advice- ramble</t>
        </is>
      </c>
      <c r="C3548" t="inlineStr">
        <is>
          <t>So I’ve had infrequent acid reflux since I was about 13-14 years old; fairly predictable, just some burning that would go away on its own or with tums. 
I’m now 23 and my reflux really picked up recently after I moved across the country for a new job and seemed to also worsen when my fiancée went overseas to teach English in another country.
My symptoms went from a bit of burning to tight throat, nausea, acid rushing up, and after a few weeks, daily pain.
It got so bad that went home early from work about 3 times in a month, so I went to a doctor. I got tested for H Pylori to rule that out- nothing. Started taking just ranitidine, wasn’t enough to really do anything. Upped to Prilosec, still not enough to have a notable effect. 
I then switched to pantoprazole- god I regret that one- it gave me the symptoms that honestly sounded low-key like IBS-D (that is a bit of an exaggeration, but I’ve never dealt with a stomach this upset).I even had a bit of bleeding. I did not have these before taking it and was even more careful with my diet on this.
I stopped the pantoprazole, switched back to Prilosec but tried 40mg/day; this improved my lower GI issues and even staved off the reflux (switched back about 1.5 months ago). 
But this week I’m noticing some return of my reflux and even burning in my stomach :(
I’ve had a barium swallow test- it showed nothing abnormal whatsoever.
Next thing up would be an endoscopy, most likely (which I am dreading since I’m terrified of even gagging).
Overall, I’m not sure how worth it the endoscopy would even be since the barium swallow showed nothing. I guess I just want to better moderate my symptoms. I am not overweight, I don’t smoke, I do drink coffee and alcohol but I do not notice either causing flare ups (though I stay away from wine entirely), and I try to eat mild foods overall. 
On the other hand, part of me wonders if I should try to wean off of PPIs and try something else- maybe tackling the stress first, adhering to a stricter diet, or even trying the shot-in-the-dark approach of drinking apple cider vinegar? I only say this because I really want to minimize the damage to my throat and if the PPIs are starting to not work for me, and pantoprazole just doesn’t agree with me, I’m looking for alternatives.
Any suggestions? Would the endoscopy increase any likelihood of some breakthrough idea for treatment? My only thought would be that at least it could catch Barrett’s Esophagus if I have that, but I would have expected some abnormality in the barium swallow with that condition-idk.</t>
        </is>
      </c>
      <c r="D3548" t="n">
        <v>1</v>
      </c>
      <c r="E3548" t="n">
        <v>1</v>
      </c>
      <c r="F3548">
        <f>HYPERLINK("https://www.reddit.com/r/GERD/comments/dttiu4/looking_for_advice_ramble/")</f>
        <v/>
      </c>
      <c r="G3548" t="inlineStr">
        <is>
          <t>2019-11-09 00:49:24</t>
        </is>
      </c>
      <c r="H3548" t="inlineStr"/>
    </row>
    <row r="3549">
      <c r="A3549" t="inlineStr">
        <is>
          <t>dttj77</t>
        </is>
      </c>
      <c r="B3549" t="inlineStr">
        <is>
          <t>Nissen after LINX failure</t>
        </is>
      </c>
      <c r="C3549" t="inlineStr">
        <is>
          <t>Had my Nissen after I failed to respond to the LINX (higher BMI) and was in the hospital 2 days but moving around really well. 
Days 1-6 I was able to eat more than just a liquid diet because of the swelling of everything.
Days 6 onward, been able to get down liquids with some soft foods. Now that the wraps swelling is going down, it’s getting tighter which is good. 
To all out there who are afraid of surgery, don’t be. It sounds scary but in reality it’s not and it WILL improve your quality of life. The only thing I’d recommend is to search out a reputable surgeon who’s good at the procedure you want done.</t>
        </is>
      </c>
      <c r="D3549" t="n">
        <v>1</v>
      </c>
      <c r="E3549" t="n">
        <v>27</v>
      </c>
      <c r="F3549">
        <f>HYPERLINK("https://www.reddit.com/r/GERD/comments/dttj77/nissen_after_linx_failure/")</f>
        <v/>
      </c>
      <c r="G3549" t="inlineStr">
        <is>
          <t>2019-11-09 00:50:39</t>
        </is>
      </c>
      <c r="H3549" t="inlineStr"/>
    </row>
    <row r="3550">
      <c r="A3550" t="inlineStr">
        <is>
          <t>dtu26x</t>
        </is>
      </c>
      <c r="B3550" t="inlineStr">
        <is>
          <t>If you have any questions</t>
        </is>
      </c>
      <c r="C3550" t="inlineStr">
        <is>
          <t xml:space="preserve">
Please let me know. I am a med research student here in Houston Texas working with doctors regarding gastro diseases, the main one being reflux as I have it. 
I will try to help out the best I can, giving the most accurate information possible with no internet BS some people try to push on others. 
If I don’t get back to you right away, I will! Just be patient with me. 
DISCLAIMER! I AM NOT A DOCTOR, NOR DO I CLAIM TO BE. I DO NOT DIAGNOSE ONLINE DISORDERS AND NEITHER SHOULD YOU. SEEK HELP FROM A MEDICAL PROFESSIONAL FIRST.</t>
        </is>
      </c>
      <c r="D3550" t="n">
        <v>1</v>
      </c>
      <c r="E3550" t="n">
        <v>42</v>
      </c>
      <c r="F3550">
        <f>HYPERLINK("https://www.reddit.com/r/GERD/comments/dtu26x/if_you_have_any_questions/")</f>
        <v/>
      </c>
      <c r="G3550" t="inlineStr">
        <is>
          <t>2019-11-09 01:54:17</t>
        </is>
      </c>
      <c r="H3550" t="inlineStr"/>
    </row>
    <row r="3551">
      <c r="A3551" t="inlineStr">
        <is>
          <t>dtv37v</t>
        </is>
      </c>
      <c r="B3551" t="inlineStr">
        <is>
          <t>Anyone else have Skin problems along with their GERD ?</t>
        </is>
      </c>
      <c r="C3551" t="inlineStr">
        <is>
          <t>I don't know if it could possibly be related.....  
I'm 25 Now, and I was having recollection of my childhood thinking if I could back track to see anything out of the ordinary way back when I was a kid.  I did come to the conclusion that I did have LPR starting when I was 12 or so, I remember spitting mucus every other second, and daily stomach aches. I went to the doctor MANY times for it, but never did GERD cross anyones mind, didn't even know it existed!   Anyway, at the same time, i've had 'mild' eczema looking skin on my scalp, and also above my lips, by my nose and eyebrows, along with my hairline. VERY red dry and flaky ever since I could remember. 
&amp;amp;#x200B;
Anyway I sort of side tracked but does anyone else have similar skin issues along with Gerd/LPR Symptoms ? I know low stomach acid is super rare in younger people, but I can't think of any other reason as to why I would have both GERD and skin problems. I've tested multiple food allergy diets/tests, and nothing comes up. PPI's, and Anti-acids such as pepcid, even if I take FOUR doses, barely masks any symptoms.  I've always had an issue ever since I was a kid for food, drinks (like smoothies) and much more, just never fully feel like it was getting digested... and usually caused some sort of issue. Maybe i'm not the only one out there</t>
        </is>
      </c>
      <c r="D3551" t="n">
        <v>1</v>
      </c>
      <c r="E3551" t="n">
        <v>6</v>
      </c>
      <c r="F3551">
        <f>HYPERLINK("https://www.reddit.com/r/GERD/comments/dtv37v/anyone_else_have_skin_problems_along_with_their/")</f>
        <v/>
      </c>
      <c r="G3551" t="inlineStr">
        <is>
          <t>2019-11-09 04:01:38</t>
        </is>
      </c>
      <c r="H3551" t="inlineStr"/>
    </row>
    <row r="3552">
      <c r="A3552" t="inlineStr">
        <is>
          <t>dtwdpr</t>
        </is>
      </c>
      <c r="B3552" t="inlineStr">
        <is>
          <t>Chronic laryngopharyngeal hypersensitivity/vagal neuropathy stories?</t>
        </is>
      </c>
      <c r="C3552" t="inlineStr">
        <is>
          <t>Apologies if this has been referenced before, but for anyone with persistent GERD/LPR, have you heard of this condition? Was reading a paper, and it talked about taking tricyclics can improve reflux symptoms through neuromodulation. Would love to hear others thoughts on this! 
[Chronic Laryngopharyngeal Neuropathy](http://www.scielo.br/scielo.php?script=sci_arttext&amp;amp;pid=S1808-86942018000400401)</t>
        </is>
      </c>
      <c r="D3552" t="n">
        <v>1</v>
      </c>
      <c r="E3552" t="n">
        <v>16</v>
      </c>
      <c r="F3552">
        <f>HYPERLINK("https://www.reddit.com/r/GERD/comments/dtwdpr/chronic_laryngopharyngeal_hypersensitivityvagal/")</f>
        <v/>
      </c>
      <c r="G3552" t="inlineStr">
        <is>
          <t>2019-11-09 06:11:13</t>
        </is>
      </c>
      <c r="H3552" t="inlineStr"/>
    </row>
    <row r="3553">
      <c r="A3553" t="inlineStr">
        <is>
          <t>dtx74a</t>
        </is>
      </c>
      <c r="B3553" t="inlineStr">
        <is>
          <t>Prevacid induced diarrhea?</t>
        </is>
      </c>
      <c r="C3553" t="inlineStr">
        <is>
          <t>Hey there, long time GERD sufferer. Acid reflux, ulcers, the whole nine yards.
I usually control with diet but it got really bad so I went to the pharmacy and picked up Prevacid. Took for 15 days. The day after I stopped, I woke up with horrific cramping and diarrhea. 2 weeks later and I’m still experiencing bouts and a not fully empty feeling.
Has anyone experienced this AFTER stopping the pill? Idk what to do :(</t>
        </is>
      </c>
      <c r="D3553" t="n">
        <v>1</v>
      </c>
      <c r="E3553" t="n">
        <v>0</v>
      </c>
      <c r="F3553">
        <f>HYPERLINK("https://www.reddit.com/r/GERD/comments/dtx74a/prevacid_induced_diarrhea/")</f>
        <v/>
      </c>
      <c r="G3553" t="inlineStr">
        <is>
          <t>2019-11-09 07:17:43</t>
        </is>
      </c>
      <c r="H3553" t="inlineStr"/>
    </row>
    <row r="3554">
      <c r="A3554" t="inlineStr">
        <is>
          <t>dtx8n9</t>
        </is>
      </c>
      <c r="B3554" t="inlineStr">
        <is>
          <t>Those who have taken PPIs for their GERD for several years or more, has it stayed consistently effective or does it stop working over time?</t>
        </is>
      </c>
      <c r="C3554" t="inlineStr">
        <is>
          <t>Also how much better does it make your quality of life? 
Is the nausea gone?</t>
        </is>
      </c>
      <c r="D3554" t="n">
        <v>1</v>
      </c>
      <c r="E3554" t="n">
        <v>21</v>
      </c>
      <c r="F3554">
        <f>HYPERLINK("https://www.reddit.com/r/GERD/comments/dtx8n9/those_who_have_taken_ppis_for_their_gerd_for/")</f>
        <v/>
      </c>
      <c r="G3554" t="inlineStr">
        <is>
          <t>2019-11-09 07:21:11</t>
        </is>
      </c>
      <c r="H3554" t="inlineStr"/>
    </row>
    <row r="3555">
      <c r="A3555" t="inlineStr">
        <is>
          <t>dtxgjo</t>
        </is>
      </c>
      <c r="B3555" t="inlineStr">
        <is>
          <t>Ear pain on either side when chewing</t>
        </is>
      </c>
      <c r="C3555" t="inlineStr">
        <is>
          <t>Bruh. Issue after another. Now I'm getting ear pains along with all my other bullshit. Like Everytime I chew food I usually will get a sharp pain in my ear on either side and it almost feels like my ear is about to bleed. Has anyone here experienced this before?</t>
        </is>
      </c>
      <c r="D3555" t="n">
        <v>1</v>
      </c>
      <c r="E3555" t="n">
        <v>6</v>
      </c>
      <c r="F3555">
        <f>HYPERLINK("https://www.reddit.com/r/GERD/comments/dtxgjo/ear_pain_on_either_side_when_chewing/")</f>
        <v/>
      </c>
      <c r="G3555" t="inlineStr">
        <is>
          <t>2019-11-09 07:37:49</t>
        </is>
      </c>
      <c r="H3555" t="inlineStr"/>
    </row>
    <row r="3556">
      <c r="A3556" t="inlineStr">
        <is>
          <t>dtyw1e</t>
        </is>
      </c>
      <c r="B3556" t="inlineStr">
        <is>
          <t>Ethiopian food and GERD. This may be a horrible question but please, bear with me.</t>
        </is>
      </c>
      <c r="C3556" t="inlineStr">
        <is>
          <t>Sorry if this is something I should obviously stay away from. But a while ago before I knew how intense of a problem I was having with GERD (I was under the assumption that I’d be healed by now, little did I know, I have a procedure scheduled for this week for them to see what’s really going on), I made plans to get Ethiopian food this weekend. For anyone who knows anything about Ethiopian food- (I know next to nothing. I’ve only eaten spicy lentils once) are there options that may be GERD safe?  I know everything isn’t spicy... and I’d rather not cancel these plans.</t>
        </is>
      </c>
      <c r="D3556" t="n">
        <v>1</v>
      </c>
      <c r="E3556" t="n">
        <v>5</v>
      </c>
      <c r="F3556">
        <f>HYPERLINK("https://www.reddit.com/r/GERD/comments/dtyw1e/ethiopian_food_and_gerd_this_may_be_a_horrible/")</f>
        <v/>
      </c>
      <c r="G3556" t="inlineStr">
        <is>
          <t>2019-11-09 09:27:05</t>
        </is>
      </c>
      <c r="H3556" t="inlineStr"/>
    </row>
    <row r="3557">
      <c r="A3557" t="inlineStr">
        <is>
          <t>dtzp9f</t>
        </is>
      </c>
      <c r="B3557" t="inlineStr">
        <is>
          <t>24/7 throat pain? Did you have it too?</t>
        </is>
      </c>
      <c r="C3557" t="inlineStr">
        <is>
          <t>Im experiencing a 24/7 sore throat  with mild post nasal drip since 34 days ago, one doctor told me it could be chronic sinusitis, because I don't have any other LPR symptoks like coughing, globus sensation, dysphagia, trouble breathing, hoarseness etc. , my only two symptoms are mild post nasal drip and the feeling of my pharynge is always dry and sore, did your pain feels more in the pharynghe or the larinx? , sorry for the english.</t>
        </is>
      </c>
      <c r="D3557" t="n">
        <v>1</v>
      </c>
      <c r="E3557" t="n">
        <v>8</v>
      </c>
      <c r="F3557">
        <f>HYPERLINK("https://www.reddit.com/r/GERD/comments/dtzp9f/247_throat_pain_did_you_have_it_too/")</f>
        <v/>
      </c>
      <c r="G3557" t="inlineStr">
        <is>
          <t>2019-11-09 10:28:45</t>
        </is>
      </c>
      <c r="H3557" t="inlineStr"/>
    </row>
    <row r="3558">
      <c r="A3558" t="inlineStr">
        <is>
          <t>dtzpdn</t>
        </is>
      </c>
      <c r="B3558" t="inlineStr">
        <is>
          <t>Muscle Spasms</t>
        </is>
      </c>
      <c r="C3558" t="inlineStr">
        <is>
          <t>Has anyone here experienced muscle spasms? I seem to have spasms all over my body. A while back a doctor told me it could be related to heartburn because the acid can stimulate the vagus nerve. I've also heard about vitamin deficiencies when taking PPI's. Anyway, just wanted to see if anyone else was experiencing these symptoms.</t>
        </is>
      </c>
      <c r="D3558" t="n">
        <v>1</v>
      </c>
      <c r="E3558" t="n">
        <v>2</v>
      </c>
      <c r="F3558">
        <f>HYPERLINK("https://www.reddit.com/r/GERD/comments/dtzpdn/muscle_spasms/")</f>
        <v/>
      </c>
      <c r="G3558" t="inlineStr">
        <is>
          <t>2019-11-09 10:29:01</t>
        </is>
      </c>
      <c r="H3558" t="inlineStr"/>
    </row>
    <row r="3559">
      <c r="A3559" t="inlineStr">
        <is>
          <t>du38qh</t>
        </is>
      </c>
      <c r="B3559" t="inlineStr">
        <is>
          <t>Looking for reassurance even though I shouldn't be :c</t>
        </is>
      </c>
      <c r="C3559" t="inlineStr">
        <is>
          <t>I've been sick for months. It started with a nervous breakdown, was followed by withdrawing from psych medications for two weeks, and finally wound up with: 
* Chronic Nausea
* Loss of appetite and early satiety
* Fatigue
* Dizziness / lightheadedness
* Ringing in Ears
* Reflux (no burn, just a froth)
* Post nasal drip
* Chest pains &amp;amp; palpitations
* Sore collarbone, especially after consuming dairy
* Sore back and shoulder, mostly on the left side, infrequently on the right side
* Weightloss (lost 22 pounds in the last 3 months)  
I've been treating with PPIs for 2 months now, and at first all seemed to be going well, but I noticed that symptoms are still in the background, and I still feel weak, achey, intermittently sick, and I'm still losing weight. I WANT to say that this is just because I've been eating so poorly, but all of my symptoms combined are scaring me, and new ones are popping up.
I found a swollen lymph node on the back of my skull, I think. It's been off and on swollen for a few months. And, my psoriasis is acting weird on my leg. Wasn't extremely worried about it until it occurred to me this afternoon that lymphoma can sometimes be accompanied by an itchy rash that can be confused for Psoriasis. 
So now, I'm fighting my hypochondria SO HARD to just keep thinking it's not cancer, and that it's just either GERD or gastritis that flared up from my breakdown. 
But I'm so scared to ignore it too. I have OCD and general anxiety and I can't switch it off. 
My appointment this week was cancelled and moved to the end of the month. I don't live in a place where I can just call and ask to go in sooner. I'm fucked until then. Telecare tells me I should be going to a physician in 24 hours with my symptoms. 
Fuck fuck fuck. 
Not even scared of dying. Just scared of not taking care of the right things. I can already hear myself saying "what's the point" at my PPIs (40mgs twice daily) and that's the last thing I should be thinking, but I'm worried that it's just covering up the worst. 
Can anyone just...confirm they've had these symptoms, and that even while medicated they've had them go on for months, and just give me hope that this is all it is? I just need to stay positive until the 28th when I can bring this up to a doctor. I'm just not sure I can sit still that long.</t>
        </is>
      </c>
      <c r="D3559" t="n">
        <v>1</v>
      </c>
      <c r="E3559" t="n">
        <v>5</v>
      </c>
      <c r="F3559">
        <f>HYPERLINK("https://www.reddit.com/r/GERD/comments/du38qh/looking_for_reassurance_even_though_i_shouldnt_be/")</f>
        <v/>
      </c>
      <c r="G3559" t="inlineStr">
        <is>
          <t>2019-11-09 15:01:14</t>
        </is>
      </c>
      <c r="H3559" t="inlineStr"/>
    </row>
    <row r="3560">
      <c r="A3560" t="inlineStr">
        <is>
          <t>du3e8o</t>
        </is>
      </c>
      <c r="B3560" t="inlineStr">
        <is>
          <t>Consistent Chest Pain</t>
        </is>
      </c>
      <c r="C3560" t="inlineStr">
        <is>
          <t>Hello; I have had GERD for two years now, I would just treat it with Zantac as needed. I was mostly nauseous and the Zantac would treat it! In June of 2019 I started to get a pain in my chest; right in the center. I went to my gastrointestinal doctor who explained that he doesn’t feel I need another endoscopy as I had one which showed grade a Esophagitis in January of 2018. He gave me Dexilant and said it can take up to 12 weeks to feel better along with a Pepcid before bed. I still have the pain and it’s been 9 weeks in; have any of you dealt with a constant chest pressure and have treatments that can relieve it, I still take my medicine but was wondering what else I can do?</t>
        </is>
      </c>
      <c r="D3560" t="n">
        <v>1</v>
      </c>
      <c r="E3560" t="n">
        <v>10</v>
      </c>
      <c r="F3560">
        <f>HYPERLINK("https://www.reddit.com/r/GERD/comments/du3e8o/consistent_chest_pain/")</f>
        <v/>
      </c>
      <c r="G3560" t="inlineStr">
        <is>
          <t>2019-11-09 15:12:58</t>
        </is>
      </c>
      <c r="H3560" t="inlineStr"/>
    </row>
    <row r="3561">
      <c r="A3561" t="inlineStr">
        <is>
          <t>du48h3</t>
        </is>
      </c>
      <c r="B3561" t="inlineStr">
        <is>
          <t>Lpr, breathing issues PPI anxiety</t>
        </is>
      </c>
      <c r="C3561" t="inlineStr">
        <is>
          <t>Does anyone with lpr have shooting pain in the throat that you can feel it radiating to your head? I started getting this and it terrified me, and after feeling like I couldn’t breath at work and had a panic attack I said screw It and decided to start taking omeprazole since I’m very
 ANTI-Pharmaceuticals, I like the more holistic approach but since it’s so severe I need medications right now it’s only been 2 days on omeprazole has any one had any relief with PPI with any lpr symptoms?</t>
        </is>
      </c>
      <c r="D3561" t="n">
        <v>1</v>
      </c>
      <c r="E3561" t="n">
        <v>13</v>
      </c>
      <c r="F3561">
        <f>HYPERLINK("https://www.reddit.com/r/GERD/comments/du48h3/lpr_breathing_issues_ppi_anxiety/")</f>
        <v/>
      </c>
      <c r="G3561" t="inlineStr">
        <is>
          <t>2019-11-09 16:23:11</t>
        </is>
      </c>
      <c r="H3561" t="inlineStr"/>
    </row>
    <row r="3562">
      <c r="A3562" t="inlineStr">
        <is>
          <t>du5fyd</t>
        </is>
      </c>
      <c r="B3562" t="inlineStr">
        <is>
          <t>I MIGHT have LPR, but I can't tell</t>
        </is>
      </c>
      <c r="C3562" t="inlineStr">
        <is>
          <t>I've got the sensation of something stuck in my throat, the post nasal drip feeling (I think), and soreness mostly localized to the top right. I don't really ever taste stomach acid coming back to my mouth, so does this mean it isn't reflux? Would the throat pain be less localized? 
I've heard a nerve injury can happen after an illness. Could it be that? 
I've also never had heartburn in my life.</t>
        </is>
      </c>
      <c r="D3562" t="n">
        <v>1</v>
      </c>
      <c r="E3562" t="n">
        <v>5</v>
      </c>
      <c r="F3562">
        <f>HYPERLINK("https://www.reddit.com/r/GERD/comments/du5fyd/i_might_have_lpr_but_i_cant_tell/")</f>
        <v/>
      </c>
      <c r="G3562" t="inlineStr">
        <is>
          <t>2019-11-09 18:09:16</t>
        </is>
      </c>
      <c r="H3562" t="inlineStr"/>
    </row>
    <row r="3563">
      <c r="A3563" t="inlineStr">
        <is>
          <t>du8160</t>
        </is>
      </c>
      <c r="B3563" t="inlineStr">
        <is>
          <t>Talking in car journeys makes it worse</t>
        </is>
      </c>
      <c r="C3563" t="inlineStr">
        <is>
          <t>If talk while the car is moving i can feel my chest and throat get reflux. My voice starts to get croaky. Sometimes i have to be quiet for the rest of the trip.
Anyone else get this? I think it's the vibrations of the car.</t>
        </is>
      </c>
      <c r="D3563" t="n">
        <v>1</v>
      </c>
      <c r="E3563" t="n">
        <v>4</v>
      </c>
      <c r="F3563">
        <f>HYPERLINK("https://www.reddit.com/r/GERD/comments/du8160/talking_in_car_journeys_makes_it_worse/")</f>
        <v/>
      </c>
      <c r="G3563" t="inlineStr">
        <is>
          <t>2019-11-09 22:34:14</t>
        </is>
      </c>
      <c r="H3563" t="inlineStr"/>
    </row>
    <row r="3564">
      <c r="A3564" t="inlineStr">
        <is>
          <t>du85nd</t>
        </is>
      </c>
      <c r="B3564" t="inlineStr">
        <is>
          <t>Is this a sign of GERD?</t>
        </is>
      </c>
      <c r="C3564" t="inlineStr">
        <is>
          <t>Basically, whenever I drink a Snapple, my chest has a feeling that it bubbles, and a little later, my throat feels like it has an air bubble in it, and it hurts.</t>
        </is>
      </c>
      <c r="D3564" t="n">
        <v>1</v>
      </c>
      <c r="E3564" t="n">
        <v>4</v>
      </c>
      <c r="F3564">
        <f>HYPERLINK("https://www.reddit.com/r/GERD/comments/du85nd/is_this_a_sign_of_gerd/")</f>
        <v/>
      </c>
      <c r="G3564" t="inlineStr">
        <is>
          <t>2019-11-09 22:48:33</t>
        </is>
      </c>
      <c r="H3564" t="inlineStr"/>
    </row>
    <row r="3565">
      <c r="A3565" t="inlineStr">
        <is>
          <t>du8s8b</t>
        </is>
      </c>
      <c r="B3565" t="inlineStr">
        <is>
          <t>Is an irregular Z line common with GERD/LPR?</t>
        </is>
      </c>
      <c r="C3565" t="inlineStr">
        <is>
          <t>Got my immediate results from my endoscopy and am still waiting for biopsy results.
"FINDINGS: 
-The Z-line was irregular. Biopsies were taken with a cold forceps for histology. To rule out Barretts esophagus.
Forceps for Helicobacter pylori testing using CLOtest. Biopsies were taken with a cold forceps for histology. A retroflexed view of the cardia was normal.
-The examined duodenum was normal."
I've been told Barretts comes from years of acid exposure but I've only felt symptoms for 8-10 weeks now. Wondering if the Z-line irregularity goes hand in hand with Barretts or if it's a slight chance it means that.</t>
        </is>
      </c>
      <c r="D3565" t="n">
        <v>1</v>
      </c>
      <c r="E3565" t="n">
        <v>4</v>
      </c>
      <c r="F3565">
        <f>HYPERLINK("https://www.reddit.com/r/GERD/comments/du8s8b/is_an_irregular_z_line_common_with_gerdlpr/")</f>
        <v/>
      </c>
      <c r="G3565" t="inlineStr">
        <is>
          <t>2019-11-10 00:06:33</t>
        </is>
      </c>
      <c r="H3565" t="inlineStr"/>
    </row>
    <row r="3566">
      <c r="A3566" t="inlineStr">
        <is>
          <t>dubd4j</t>
        </is>
      </c>
      <c r="B3566" t="inlineStr">
        <is>
          <t>Best GERD friendly foods and drinks for summer?</t>
        </is>
      </c>
      <c r="C3566" t="inlineStr">
        <is>
          <t>I'm in Australia, and it hot hot hot summer is about to crank up, does anyone have any advice on what the best foods and drinks are to keep the GERDness to a minimum?</t>
        </is>
      </c>
      <c r="D3566" t="n">
        <v>1</v>
      </c>
      <c r="E3566" t="n">
        <v>9</v>
      </c>
      <c r="F3566">
        <f>HYPERLINK("https://www.reddit.com/r/GERD/comments/dubd4j/best_gerd_friendly_foods_and_drinks_for_summer/")</f>
        <v/>
      </c>
      <c r="G3566" t="inlineStr">
        <is>
          <t>2019-11-10 05:24:13</t>
        </is>
      </c>
      <c r="H3566" t="inlineStr"/>
    </row>
    <row r="3567">
      <c r="A3567" t="inlineStr">
        <is>
          <t>duf05t</t>
        </is>
      </c>
      <c r="B3567" t="inlineStr">
        <is>
          <t>Please help. Having a flair right now</t>
        </is>
      </c>
      <c r="C3567" t="inlineStr">
        <is>
          <t>It started with pain in the back that has now moved to left hand. Extreme pain in left hand and right side of head. A lot of bloating.
Should I rush to ER? Anything that can help right now?
Already taken magnesium hydroxide.</t>
        </is>
      </c>
      <c r="D3567" t="n">
        <v>1</v>
      </c>
      <c r="E3567" t="n">
        <v>2</v>
      </c>
      <c r="F3567">
        <f>HYPERLINK("https://www.reddit.com/r/GERD/comments/duf05t/please_help_having_a_flair_right_now/")</f>
        <v/>
      </c>
      <c r="G3567" t="inlineStr">
        <is>
          <t>2019-11-10 10:16:47</t>
        </is>
      </c>
      <c r="H3567" t="inlineStr"/>
    </row>
    <row r="3568">
      <c r="A3568" t="inlineStr">
        <is>
          <t>dug4y3</t>
        </is>
      </c>
      <c r="B3568" t="inlineStr">
        <is>
          <t>Meds Not Working?</t>
        </is>
      </c>
      <c r="C3568" t="inlineStr">
        <is>
          <t>Hi! I was diagnosed with LPR and Gerd by my primary doctor and ENT. Currently waiting to see a gastroenterologist next month.
I took Prilosec (40mg) for a month on the advice of my primary doctor. After about 3 weeks I got some relief and stopped the meds. About 3-4 weeks later I have the most SEVERE heartburn I’ve ever experienced, 24 hours a day. 
So I went back to him and he said start the Prilosec again I am “rebounding.”(He never told me to keep taking them until my appointment, btw).
Anyhow, I’ve been on 40 mg again for about 10 days and feel zero impact. If anything, I feel worse! Anything I eat causes severe heartburn. I should note I’m under a lot of stress/anxiety, which I’m sure is contributing.
Any advice? Has this happened to anyone? I’m afraid to eat and have lost weight. 
I’m sure I’ll need an endoscopy etc., but right now I’m just trying to make it until my appointment (also on a cancellation list to get in sooner).</t>
        </is>
      </c>
      <c r="D3568" t="n">
        <v>1</v>
      </c>
      <c r="E3568" t="n">
        <v>13</v>
      </c>
      <c r="F3568">
        <f>HYPERLINK("https://www.reddit.com/r/GERD/comments/dug4y3/meds_not_working/")</f>
        <v/>
      </c>
      <c r="G3568" t="inlineStr">
        <is>
          <t>2019-11-10 11:36:09</t>
        </is>
      </c>
      <c r="H3568" t="inlineStr"/>
    </row>
    <row r="3569">
      <c r="A3569" t="inlineStr">
        <is>
          <t>dugvmn</t>
        </is>
      </c>
      <c r="B3569" t="inlineStr">
        <is>
          <t>DAE experience an increase in LPR/gerd symptoms from probiotics?</t>
        </is>
      </c>
      <c r="C3569" t="inlineStr">
        <is>
          <t>I know probiotics are supposed to help GI issues . I do notice they help move things along better but definitely increase LPR and gerd for me. I took Vsl#3 years ago with no issue but it’s been discontinued. I tried flora symmetry and Visbione which is supposed to be the original VSL but they both increase my symptoms. I am stumped as to why this is? Any insight or similar experiences out there?</t>
        </is>
      </c>
      <c r="D3569" t="n">
        <v>1</v>
      </c>
      <c r="E3569" t="n">
        <v>1</v>
      </c>
      <c r="F3569">
        <f>HYPERLINK("https://www.reddit.com/r/GERD/comments/dugvmn/dae_experience_an_increase_in_lprgerd_symptoms/")</f>
        <v/>
      </c>
      <c r="G3569" t="inlineStr">
        <is>
          <t>2019-11-10 12:27:45</t>
        </is>
      </c>
      <c r="H3569" t="inlineStr"/>
    </row>
    <row r="3570">
      <c r="A3570" t="inlineStr">
        <is>
          <t>dugzcc</t>
        </is>
      </c>
      <c r="B3570" t="inlineStr">
        <is>
          <t>Feel worse when starting PPI</t>
        </is>
      </c>
      <c r="C3570" t="inlineStr">
        <is>
          <t>Background; After months of GI issues from bloating to sharp pains in my belly button a few hours after eating to pressure in my sternum after big or fatty meals I had a barium test with follow through and ultrasound. The results were hiatal hernia and reflux. My doctor put me on PPI to help with the reflux and potential damage to my esophagus, along with some lifestyle changes. I understand they won’t help the hernia itself, and maybe not all my GI issues, but I expected some relief of the pain in my sternum. 
It’s been 10 days now and I think it’s getting worse. Not only have no symptoms improved but I have ones I never had before.  I now experience burning after every meal, pains in my sternum increased to the point they pierce my back, and I’ve developed a cough.  
Has anyone experienced increased symptoms when starting PPIs?  Do they settle down eventually?  I’m frustrated because I went for what I felt were IBS issues, not GERD, and now I’m full blown symptomatic.</t>
        </is>
      </c>
      <c r="D3570" t="n">
        <v>1</v>
      </c>
      <c r="E3570" t="n">
        <v>9</v>
      </c>
      <c r="F3570">
        <f>HYPERLINK("https://www.reddit.com/r/GERD/comments/dugzcc/feel_worse_when_starting_ppi/")</f>
        <v/>
      </c>
      <c r="G3570" t="inlineStr">
        <is>
          <t>2019-11-10 12:34:51</t>
        </is>
      </c>
      <c r="H3570" t="inlineStr"/>
    </row>
    <row r="3571">
      <c r="A3571" t="inlineStr">
        <is>
          <t>duh6t6</t>
        </is>
      </c>
      <c r="B3571" t="inlineStr">
        <is>
          <t>Asorbic Acid bad?</t>
        </is>
      </c>
      <c r="C3571" t="inlineStr">
        <is>
          <t>Should I avoid this with Gerd??</t>
        </is>
      </c>
      <c r="D3571" t="n">
        <v>1</v>
      </c>
      <c r="E3571" t="n">
        <v>1</v>
      </c>
      <c r="F3571">
        <f>HYPERLINK("https://www.reddit.com/r/GERD/comments/duh6t6/asorbic_acid_bad/")</f>
        <v/>
      </c>
      <c r="G3571" t="inlineStr">
        <is>
          <t>2019-11-10 12:49:35</t>
        </is>
      </c>
      <c r="H3571" t="inlineStr"/>
    </row>
    <row r="3572">
      <c r="A3572" t="inlineStr">
        <is>
          <t>duh9vx</t>
        </is>
      </c>
      <c r="B3572" t="inlineStr">
        <is>
          <t>Prebiotic Treatment</t>
        </is>
      </c>
      <c r="C3572" t="inlineStr">
        <is>
          <t>How come taking Inulin (prebiotic fiber) reduces my symptoms by 90%?</t>
        </is>
      </c>
      <c r="D3572" t="n">
        <v>1</v>
      </c>
      <c r="E3572" t="n">
        <v>2</v>
      </c>
      <c r="F3572">
        <f>HYPERLINK("https://www.reddit.com/r/GERD/comments/duh9vx/prebiotic_treatment/")</f>
        <v/>
      </c>
      <c r="G3572" t="inlineStr">
        <is>
          <t>2019-11-10 12:55:21</t>
        </is>
      </c>
      <c r="H3572" t="inlineStr"/>
    </row>
    <row r="3573">
      <c r="A3573" t="inlineStr">
        <is>
          <t>duhvq8</t>
        </is>
      </c>
      <c r="B3573" t="inlineStr">
        <is>
          <t>Cause of Silent Heartburn?</t>
        </is>
      </c>
      <c r="C3573" t="inlineStr">
        <is>
          <t>Hi All:
I'm wondering if anyone has come across literature that explains why some people feel heartburn and some do not. There must be a reason for the difference. If heartburn is caused by reflux into the esophagus, then what is causing some people to not feel pain when the reflux happens?</t>
        </is>
      </c>
      <c r="D3573" t="n">
        <v>1</v>
      </c>
      <c r="E3573" t="n">
        <v>1</v>
      </c>
      <c r="F3573">
        <f>HYPERLINK("https://www.reddit.com/r/GERD/comments/duhvq8/cause_of_silent_heartburn/")</f>
        <v/>
      </c>
      <c r="G3573" t="inlineStr">
        <is>
          <t>2019-11-10 13:38:20</t>
        </is>
      </c>
      <c r="H3573" t="inlineStr"/>
    </row>
    <row r="3574">
      <c r="A3574" t="inlineStr">
        <is>
          <t>duibgl</t>
        </is>
      </c>
      <c r="B3574" t="inlineStr">
        <is>
          <t>My LPR Story and Progress</t>
        </is>
      </c>
      <c r="C3574" t="inlineStr">
        <is>
          <t xml:space="preserve">
Hello,
I wanted to share in here my LPR story to ideally get some advice and to keep a diary of my progress. hope others might relate and benefit as well :)
GP:
It started in May 2019 when a cough lingered after a normal common cold. It took me 3 months (July) to realize that the cough was not normal and that I needed to see a doctor. Went to my GP who asked a couple of questions about what I was experiencing (dry cough, throat/jaw pain/redness, constant swallowing) and the diagnosis was acid reflux due to probably stress. He prescribed me 20mg Nexium one a day for a week. 
ENT:
After feeling no improvement, I went to see an ENT for a proper diagnosis. After a laparoscopy, the ENT ruled out more serious conditions and confirmed that my larynx was inflamed from what seems like acid and LPR. He upped the dose to 40mg Nexium first thing in the morning for a month (full month of August). 
Gastroenterologist:
After experiencing only slight improvements and tons of side effects (diarrhea, constipation, gas and bloating) I saw a gastroenterologist for an opinion beginning of September. The doctor first ruled out some other conditions through an ultrasound of my abdomen. He then proceeded to ask questions about my symptoms (no heart burn whatsoever, only a lingering cough and throat pain with a new symptoms being occasional mid chest pain). As I experienced some sides from Nexium he prescribed another PPI (pantoprazol) 40mg twice a day for 2 months and a nasal sprays to help with cough from PND. He asked me to cut out chocolate, alcohol, acidic food ... He also advised that I do an endoscopy to confirm diagnosis.
Endoscopy:
I did the endoscopy only a week after my gastro visit, the test went very smooth. If you ever have the option to opt for complete sedation go for it (unless you might be allergic to anesthesia). The endoscopy results came back confirming mild esophagitis, a hiatus hernia, an irregular z-line, and what seems like two discolored tongue which could be Barrett’s if confirmed by biopsy! The two week wait for the biopsy results were hell and probably further increased my reflux. The results came back negative of intestinal metaplasia (no Barrett) and just a change in color of the wall. All in all I was relieved.
Gastroenterologist Part 2:
After 2 months of double dosage PPI (November) I saw the gastro again to define next steps. I was overall feeling much better from the cough and throat pain. However, because I was still experiencing occasional flare ups, the doctor recommended I continue an additional month of double dosage treatment and then a normal 40mg dosage for as long as I need. He also said to come see him in a year for another endoscopy if the symptoms persist and in order to evaluate alternative treatments (possibly surgery).
November Update:
I still have two weeks of double dosage PPI, and I have to say my symptoms have still not completely disappeared. The cough and throat/jaw pain/redness is surely better than the beginning (still occasionally there) but my chest pain is back (just where the stomach opening should be, in the middle of both rib cages) radiating sometimes to the back and shoulders. In addition to the PPI, I have added Gaviscon liquid and a alkaline water (ph&amp;gt;8) to my regimen with minimal effect till now. Its been since August since I’ve had alcohol, chocolate, coffee, tomatoes, garlic ... As I will be back home for a couple of days, I am planning to see a family Gastro to get her point of view of everything. In short, I still don’t feel complete relief from my symptoms and starting to question the initial GERD diagnosis. I will keep you guys posted on my progress, meanwhile do you have any other recommendations?
Thanks for reading through the long post!</t>
        </is>
      </c>
      <c r="D3574" t="n">
        <v>1</v>
      </c>
      <c r="E3574" t="n">
        <v>7</v>
      </c>
      <c r="F3574">
        <f>HYPERLINK("https://www.reddit.com/r/GERD/comments/duibgl/my_lpr_story_and_progress/")</f>
        <v/>
      </c>
      <c r="G3574" t="inlineStr">
        <is>
          <t>2019-11-10 14:09:32</t>
        </is>
      </c>
      <c r="H3574" t="inlineStr"/>
    </row>
    <row r="3575">
      <c r="A3575" t="inlineStr">
        <is>
          <t>duijj6</t>
        </is>
      </c>
      <c r="B3575" t="inlineStr">
        <is>
          <t>Cloudy urine after Nexium?</t>
        </is>
      </c>
      <c r="C3575" t="inlineStr">
        <is>
          <t>I took Nexium for 3 weeks and upon coming off of it, I’ve noticed I have very cloudy urine. 
The first 25% is similar to cloudy chicken broth that sinks to the bottom of the toilet. The remaining 75% is more clear and less cloudy. 
Sorry for the potential TMI. Anyone else experienced this or is there something else going on?
I’m 28/M and healthy. Only take a multivitamin daily. Drink plenty of water, or so I think.</t>
        </is>
      </c>
      <c r="D3575" t="n">
        <v>1</v>
      </c>
      <c r="E3575" t="n">
        <v>3</v>
      </c>
      <c r="F3575">
        <f>HYPERLINK("https://www.reddit.com/r/GERD/comments/duijj6/cloudy_urine_after_nexium/")</f>
        <v/>
      </c>
      <c r="G3575" t="inlineStr">
        <is>
          <t>2019-11-10 14:25:47</t>
        </is>
      </c>
      <c r="H3575" t="inlineStr"/>
    </row>
    <row r="3576">
      <c r="A3576" t="inlineStr">
        <is>
          <t>duiyne</t>
        </is>
      </c>
      <c r="B3576" t="inlineStr">
        <is>
          <t>What works best for you?</t>
        </is>
      </c>
      <c r="C3576" t="inlineStr">
        <is>
          <t>I have really bad GERD and though it’s not painful my throat is closed up all the time. I’ve been given omeprazol and use mylanta as needed but it doesn’t seem to really help. I’m going to also try raising the head of my bed. 
My question is, what are some tips for dealing with GERD?</t>
        </is>
      </c>
      <c r="D3576" t="n">
        <v>1</v>
      </c>
      <c r="E3576" t="n">
        <v>3</v>
      </c>
      <c r="F3576">
        <f>HYPERLINK("https://www.reddit.com/r/GERD/comments/duiyne/what_works_best_for_you/")</f>
        <v/>
      </c>
      <c r="G3576" t="inlineStr">
        <is>
          <t>2019-11-10 14:58:10</t>
        </is>
      </c>
      <c r="H3576" t="inlineStr"/>
    </row>
    <row r="3577">
      <c r="A3577" t="inlineStr">
        <is>
          <t>dujvv9</t>
        </is>
      </c>
      <c r="B3577" t="inlineStr">
        <is>
          <t>Is excess phlegm common with GERD?</t>
        </is>
      </c>
      <c r="C3577" t="inlineStr">
        <is>
          <t>Have been feeling GERD symptoms for about 8 weeks now. As it progressed I started noticing a lot of extra phlegm. Mostly in the morning but throughout the day also.
I'm still trying to narrow it down to GERD so I'm wondering if this is common.</t>
        </is>
      </c>
      <c r="D3577" t="n">
        <v>1</v>
      </c>
      <c r="E3577" t="n">
        <v>4</v>
      </c>
      <c r="F3577">
        <f>HYPERLINK("https://www.reddit.com/r/GERD/comments/dujvv9/is_excess_phlegm_common_with_gerd/")</f>
        <v/>
      </c>
      <c r="G3577" t="inlineStr">
        <is>
          <t>2019-11-10 16:07:54</t>
        </is>
      </c>
      <c r="H3577" t="inlineStr"/>
    </row>
    <row r="3578">
      <c r="A3578" t="inlineStr">
        <is>
          <t>dujxv3</t>
        </is>
      </c>
      <c r="B3578" t="inlineStr">
        <is>
          <t>Ate cheese tortellini for lunch and now would like to die!</t>
        </is>
      </c>
      <c r="C3578" t="inlineStr">
        <is>
          <t>Thought maybe I’d be okay if I didn’t eat much but I’ve had ongoing reflux now for 6hrs and feeling more nauseous by the second. I really just love having GERD!!!
Seriously, what did I do in a previous life to deserve this uncomfortable hell?</t>
        </is>
      </c>
      <c r="D3578" t="n">
        <v>1</v>
      </c>
      <c r="E3578" t="n">
        <v>10</v>
      </c>
      <c r="F3578">
        <f>HYPERLINK("https://www.reddit.com/r/GERD/comments/dujxv3/ate_cheese_tortellini_for_lunch_and_now_would/")</f>
        <v/>
      </c>
      <c r="G3578" t="inlineStr">
        <is>
          <t>2019-11-10 16:11:24</t>
        </is>
      </c>
      <c r="H3578" t="inlineStr"/>
    </row>
    <row r="3579">
      <c r="A3579" t="inlineStr">
        <is>
          <t>duk47l</t>
        </is>
      </c>
      <c r="B3579" t="inlineStr">
        <is>
          <t>Jobs and having GERD</t>
        </is>
      </c>
      <c r="C3579" t="inlineStr">
        <is>
          <t>I got officially diagnosed with GERD around November last year and shortly after I had to quit my job. I didn't start working again till July, and at that point I was having GERD issues about 2 or 3 times a month (I count myself lucky, I think some people get it more often). I ended up having to call out from work a couple of times cause of pain or not getting enough sleep.
Does anyone else have this issue? Are you still able to work? Is your boss sympathetic to you? Do you feel like your forced to go in?</t>
        </is>
      </c>
      <c r="D3579" t="n">
        <v>1</v>
      </c>
      <c r="E3579" t="n">
        <v>6</v>
      </c>
      <c r="F3579">
        <f>HYPERLINK("https://www.reddit.com/r/GERD/comments/duk47l/jobs_and_having_gerd/")</f>
        <v/>
      </c>
      <c r="G3579" t="inlineStr">
        <is>
          <t>2019-11-10 16:24:23</t>
        </is>
      </c>
      <c r="H3579" t="inlineStr"/>
    </row>
    <row r="3580">
      <c r="A3580" t="inlineStr">
        <is>
          <t>dukmb4</t>
        </is>
      </c>
      <c r="B3580" t="inlineStr">
        <is>
          <t>Now have Sinus arrhythmia because of gerd. I'm 15.</t>
        </is>
      </c>
      <c r="C3580" t="inlineStr">
        <is>
          <t>I get a lot of skipped heartbeats and frequent cheat pains and pressure. Literally nothing has helped me and now I don't know what to do. I feel like I'm gonna die because of a heart mess up. I was fine before all this and it's crazy how everything changed. My whole body is so unstable. I am always twitching always getting muscle twitching everywhere. My heart won't stop tweaking. IDK anymore. My head is so foggy too. I feel like my head is getting squeezed tight. I need some advice. I just need someone that's going through my symptoms to talk with me.</t>
        </is>
      </c>
      <c r="D3580" t="n">
        <v>1</v>
      </c>
      <c r="E3580" t="n">
        <v>7</v>
      </c>
      <c r="F3580">
        <f>HYPERLINK("https://www.reddit.com/r/GERD/comments/dukmb4/now_have_sinus_arrhythmia_because_of_gerd_im_15/")</f>
        <v/>
      </c>
      <c r="G3580" t="inlineStr">
        <is>
          <t>2019-11-10 17:03:29</t>
        </is>
      </c>
      <c r="H3580" t="inlineStr"/>
    </row>
    <row r="3581">
      <c r="A3581" t="inlineStr">
        <is>
          <t>duktuv</t>
        </is>
      </c>
      <c r="B3581" t="inlineStr">
        <is>
          <t>I don't get acid reflux, I get heart issues and chest pains</t>
        </is>
      </c>
      <c r="C3581" t="inlineStr">
        <is>
          <t>At the start of my gerd back in August, I use to get acid reflux and constant burping and some heart burns. That's not the case anymore. Now I get a lot of skipped heartbeat, Random chest pains, heart palpitations, pressure in my head, feeling and hearing my heart beat thought out my body, body twitches, and much more. My only "anxiety" is gerd. It came out of nowhere. I feel like I will drop dead one day because of all my symptoms. I take vitamin b complex, potassium, magnesium, iron, and vitamin c supplements ever since I had this problem and they haven't done shit to help. I fell lost, scared, and confused. Please does anyone have an explanation to this or experience some of what I have?</t>
        </is>
      </c>
      <c r="D3581" t="n">
        <v>1</v>
      </c>
      <c r="E3581" t="n">
        <v>5</v>
      </c>
      <c r="F3581">
        <f>HYPERLINK("https://www.reddit.com/r/GERD/comments/duktuv/i_dont_get_acid_reflux_i_get_heart_issues_and/")</f>
        <v/>
      </c>
      <c r="G3581" t="inlineStr">
        <is>
          <t>2019-11-10 17:19:30</t>
        </is>
      </c>
      <c r="H3581" t="inlineStr"/>
    </row>
    <row r="3582">
      <c r="A3582" t="inlineStr">
        <is>
          <t>dulzhh</t>
        </is>
      </c>
      <c r="B3582" t="inlineStr">
        <is>
          <t>Regarding the likelihood of developing esophageal cancer despite treatment of GERD with PPIs</t>
        </is>
      </c>
      <c r="C3582" t="inlineStr">
        <is>
          <t>Hello everyone. I'll try to keep this short so as to not bore anyone.
So I'm a 25 year old male. I began having stomach pains when I was around 21 or 22 years old (can't recall exactly). My GP referred me to a gastroenterologist, which performed an endoscopy on me that revealed mild esophageal inflammation and gastritis (H. Pylori positive). 
I had the H. Pylori treated with antibiotics and pantoprazole (40mg/day at this point), and the symptoms of the gastritis (burning in the stomach, etc) disappeared, but after a while I noticed that I was having some issues with acid reflux. I returned to my gastroenterologist's office and he mentioned that based on the endoscopy results and my symptoms the most likely scenario was GERD. He explained how the disease worked and handed me a bunch of sheets on "lifestyle changes" I'd have to start making, including stopping the consumption of coffee, spicy foods, fried foods, and basically anything that "triggered" my GERD. He also told me I'd have to take PPIs for life or I'd be at a high risk for developing esophageal cancer.
This diagnosis was absolutely devastating for me. All throughout my childhood I had an iron stomach. I remember being able to eat absolutely anything and having zero problems with it whatsoever. I could eat and go to sleep right afterward and have zero problems. Now both those things are constant worries for me. 
Again, I don't want to bore anyone with details about my personal life, so I'll just say I've lived a difficult life and eating is probably one of, if not the only pleasure I have. I'm not overweight or anything; quite the contrary, in fact. I joined a gym in my early teens and have worked out obsessively ever since. It's just that I absolutely love coffee and spicy foods (not so much fried foods, but I do have some occasionally). If I wasn't able to eat the foods I liked, my life would be even harder to cope with than it already is. So the day I was diagnosed, I asked my gastroenterologist if there was any way I could still have those foods sometimes assuming I took my PPI as prescribed and he basically said "well, you could try and see how it goes".
As I mentioned, it's been some years since then. My insurance changed and I've got a new gastroenterologist now (the only one near me who takes my insurance). I now take 2 Pantoprazole (80mg/day) per day. There was a period when I was put on Omeprazole instead, but it didn't work for me, so I got put back on Pantoprazole. It mostly manages my GERD.
I went through a bunch of phases throughout the years where I attempted a bunch of different "diets" (including vegan, vegetarian, pescatarian, keto, ...) that involved me quitting all my favorite foods (coffee, spicy stuff, etc). I had varying degrees of success with these dietary changes, but in the end I always ended up quitting because I was a college student at the time and I wasn't always able to prepare the "special diet" foods I needed to eat (I often ended up having to eat out due to schedule problems/stress from exams/etc). Ultimately, I would end up quitting all those diets because I was already stressed and unhappy enough without attempting to adhere to diets that made eating a chore and none of the diets ever fully "eliminated" my GERD. I had good days and bad days, just like when I was drinking coffee and eating spicy foods, so I just gave up.
Honestly, relative to some of the more unfortunate members I've seen on here, my symptoms really aren't, and never were, that bad. I sometimes (rarely) experience some mild bolus sensation, and drinking coffee in particular sometimes results in some very mild to mild pain around my upper stomach, some days I have some pain in the back/chest area that I've seen people here talk about (the kind associated with GERD/reflux), and some days I wake up with a very slight sour taste in my mouth (admittedly this might be hygiene issue, I don't know) but I've never had to miss work or any kind of event because the pain was too much to bear, or woken up in the middle of the night choking on acid or anything like that.
So why am I making this thread? Well, as I said earlier, it's been a while (years) since I was diagnosed with this. Throughout the years I regularly asked my new gastroenterologist if maybe it was time for another endoscopy, given the fact that it's been so long, but he always handwaves it away saying my symptoms aren't bad enough to warrant one (pantoprazole mostly manages my problems except for those instances I mention). As I mentioned I can't really go to another gastroenterologist because there aren't any near me that take my insurance.
 As the title says, I'd like to get some input from fellow sufferers as to what the likelihood is that my insistence on my "poor diet" could have resulted in my developing esophageal cancer despite managing my condition with PPI's all these years. I'm considering visiting a surgeon and getting the LINX procedure done (miraculously, my insurance covers it) because I really don't want to live the rest of my life like this, but if it's likely that I've already got cancer based on my lifestyle choices so far then I'd rather not spend the time and money. 
Also, if anyone has had LINX here: do I need to have another endoscopy performed to check on the current state of my esophagus prior to getting the procedure done, and if so, is this something I can done with the surgeon? I'm planning on visiting the surgeon without a referral from my gastroenterologist (he handwaves surgery away every time I bring it up, again pointing out my symptoms "aren't that serious") so I'd rather be able to do it all with the surgeon.
Sorry if this post is all over the place. I'm kind of tired and anxious. I'm a bit of a hypochondriac, and developing esophageal cancer has been a worry on the back of my mind ever since I was diagnosed with GERD, but my taxing schedule during my college days allowed (or maybe "forced" would be a better word) me to put that worry aside. Now that I've graduated my worries are back full force, especially when I drink coffee and have a mild "episode" as a result.</t>
        </is>
      </c>
      <c r="D3582" t="n">
        <v>1</v>
      </c>
      <c r="E3582" t="n">
        <v>12</v>
      </c>
      <c r="F3582">
        <f>HYPERLINK("https://www.reddit.com/r/GERD/comments/dulzhh/regarding_the_likelihood_of_developing_esophageal/")</f>
        <v/>
      </c>
      <c r="G3582" t="inlineStr">
        <is>
          <t>2019-11-10 18:50:03</t>
        </is>
      </c>
      <c r="H3582" t="inlineStr"/>
    </row>
    <row r="3583">
      <c r="A3583" t="inlineStr">
        <is>
          <t>duo4n3</t>
        </is>
      </c>
      <c r="B3583" t="inlineStr">
        <is>
          <t>Does a loose gastro-esophagal junction ALWAYS mean you have GERD or LPR?</t>
        </is>
      </c>
      <c r="C3583" t="inlineStr">
        <is>
          <t>I had an endoscopy done, and the doc told me I had a loose GEJ (or LES I guess same thing), but he didn't say anything specifically about GERD or LPR
He said my problems are most likely caused by IBS (which he may be right, I Get pretty gassy)</t>
        </is>
      </c>
      <c r="D3583" t="n">
        <v>1</v>
      </c>
      <c r="E3583" t="n">
        <v>1</v>
      </c>
      <c r="F3583">
        <f>HYPERLINK("https://www.reddit.com/r/GERD/comments/duo4n3/does_a_loose_gastroesophagal_junction_always_mean/")</f>
        <v/>
      </c>
      <c r="G3583" t="inlineStr">
        <is>
          <t>2019-11-10 21:58:42</t>
        </is>
      </c>
      <c r="H3583" t="inlineStr"/>
    </row>
    <row r="3584">
      <c r="A3584" t="inlineStr">
        <is>
          <t>duoilo</t>
        </is>
      </c>
      <c r="B3584" t="inlineStr">
        <is>
          <t>New to this sub, but happy I found it</t>
        </is>
      </c>
      <c r="C3584" t="inlineStr">
        <is>
          <t>Cannot sleep because I’m so nauseous, and I feel like there’s a weight or pressure on my chest that’s only relieved by burping. So duh I came to reddit as I work through this flare up. 
Haven’t been diagnosed but my mom has severe GERD, and I’m so certain I have it. Week before last I was in the hospital for 3 days because I had such bad nausea and was diagnosed with enteritis. But now that same discomfort is back. I have a follow up this week and am going to hopefully be officially diagnosed.</t>
        </is>
      </c>
      <c r="D3584" t="n">
        <v>1</v>
      </c>
      <c r="E3584" t="n">
        <v>4</v>
      </c>
      <c r="F3584">
        <f>HYPERLINK("https://www.reddit.com/r/GERD/comments/duoilo/new_to_this_sub_but_happy_i_found_it/")</f>
        <v/>
      </c>
      <c r="G3584" t="inlineStr">
        <is>
          <t>2019-11-10 22:37:12</t>
        </is>
      </c>
      <c r="H3584" t="inlineStr"/>
    </row>
    <row r="3585">
      <c r="A3585" t="inlineStr">
        <is>
          <t>dupj40</t>
        </is>
      </c>
      <c r="B3585" t="inlineStr">
        <is>
          <t>Has anyone here tried diaphragm breathing exercises to strengthen the LES?</t>
        </is>
      </c>
      <c r="C3585" t="inlineStr">
        <is>
          <t>If yes, how did it go for you? did it help at all?</t>
        </is>
      </c>
      <c r="D3585" t="n">
        <v>1</v>
      </c>
      <c r="E3585" t="n">
        <v>1</v>
      </c>
      <c r="F3585">
        <f>HYPERLINK("https://www.reddit.com/r/GERD/comments/dupj40/has_anyone_here_tried_diaphragm_breathing/")</f>
        <v/>
      </c>
      <c r="G3585" t="inlineStr">
        <is>
          <t>2019-11-11 00:27:56</t>
        </is>
      </c>
      <c r="H3585" t="inlineStr"/>
    </row>
    <row r="3586">
      <c r="A3586" t="inlineStr">
        <is>
          <t>duqnc1</t>
        </is>
      </c>
      <c r="B3586" t="inlineStr">
        <is>
          <t>you guys/gals ever get nauseous?</t>
        </is>
      </c>
      <c r="C3586" t="inlineStr">
        <is>
          <t>GERD makes me so nauseous so often along side with sooo much heartburn my esophagus feels lile its falling through my neck, any tips?</t>
        </is>
      </c>
      <c r="D3586" t="n">
        <v>1</v>
      </c>
      <c r="E3586" t="n">
        <v>13</v>
      </c>
      <c r="F3586">
        <f>HYPERLINK("https://www.reddit.com/r/GERD/comments/duqnc1/you_guysgals_ever_get_nauseous/")</f>
        <v/>
      </c>
      <c r="G3586" t="inlineStr">
        <is>
          <t>2019-11-11 02:32:50</t>
        </is>
      </c>
      <c r="H3586" t="inlineStr"/>
    </row>
    <row r="3587">
      <c r="A3587" t="inlineStr">
        <is>
          <t>dusxf5</t>
        </is>
      </c>
      <c r="B3587" t="inlineStr">
        <is>
          <t>Middle of chest hurts with pain ughh.</t>
        </is>
      </c>
      <c r="C3587" t="inlineStr">
        <is>
          <t>Doctors dont know what's wrong . Ran bunch of tests and waiting on cat scan tests.. and it hurts like crazy again ... I want this gone... advice. Anyone get bad throat and chest pain . Ughh nothing works at this point</t>
        </is>
      </c>
      <c r="D3587" t="n">
        <v>1</v>
      </c>
      <c r="E3587" t="n">
        <v>5</v>
      </c>
      <c r="F3587">
        <f>HYPERLINK("https://www.reddit.com/r/GERD/comments/dusxf5/middle_of_chest_hurts_with_pain_ughh/")</f>
        <v/>
      </c>
      <c r="G3587" t="inlineStr">
        <is>
          <t>2019-11-11 06:14:03</t>
        </is>
      </c>
      <c r="H3587" t="inlineStr"/>
    </row>
    <row r="3588">
      <c r="A3588" t="inlineStr">
        <is>
          <t>dutxab</t>
        </is>
      </c>
      <c r="B3588" t="inlineStr">
        <is>
          <t>What ppi do you take?</t>
        </is>
      </c>
      <c r="C3588" t="inlineStr">
        <is>
          <t>I got a double dose of 40 mg pantoprazole on October 29th and it was working fine until yesterday. Is that normal? I had been on 20 mg of the same but it did exactly what the higher dose is doing. I just get a burning in my throat and I pop a gaviscon chewable. I've also started the acid watcher diet. ;_;</t>
        </is>
      </c>
      <c r="D3588" t="n">
        <v>1</v>
      </c>
      <c r="E3588" t="n">
        <v>32</v>
      </c>
      <c r="F3588">
        <f>HYPERLINK("https://www.reddit.com/r/GERD/comments/dutxab/what_ppi_do_you_take/")</f>
        <v/>
      </c>
      <c r="G3588" t="inlineStr">
        <is>
          <t>2019-11-11 07:30:20</t>
        </is>
      </c>
      <c r="H3588" t="inlineStr"/>
    </row>
    <row r="3589">
      <c r="A3589" t="inlineStr">
        <is>
          <t>duumns</t>
        </is>
      </c>
      <c r="B3589" t="inlineStr">
        <is>
          <t>Symptoms: Chest Pain</t>
        </is>
      </c>
      <c r="C3589" t="inlineStr">
        <is>
          <t>I was just wondering if anyone else experienced this.
 I got diagnosed with GERD in 2016 when I went to the ER because I was having chest pains so intense I couldn’t breathe (and had been for a few days tbh, but that student health care yknow) and was convinced I was having a heart attack because the pain was roughly in the same location as my heart and very very centralized. I had a chest x-ray and a few other tests that I don’t quite remember (but nothing to do with my stomach or anything). I was there for like eight hours (and found a dog to pet) and given an anti anxiety med (which made it possible for me to breathe lol). 
When they released me they were like “we aren’t sure, it might be GERD. Take this medicine for 90 days and if your symptoms go away it’s GERD.” And, well, the rest is history. I’m mostly off any sort of medicine now and doing a lot better with my eating habits, but even when I’m bad about it I’ve never experienced that same pain again and I still kind of don’t think it was all due to GERD. Did anyone else have heart pain? Inability to breathe due to pain when your lungs expanded? Is that really a symptom of GERD?</t>
        </is>
      </c>
      <c r="D3589" t="n">
        <v>1</v>
      </c>
      <c r="E3589" t="n">
        <v>2</v>
      </c>
      <c r="F3589">
        <f>HYPERLINK("https://www.reddit.com/r/GERD/comments/duumns/symptoms_chest_pain/")</f>
        <v/>
      </c>
      <c r="G3589" t="inlineStr">
        <is>
          <t>2019-11-11 08:20:17</t>
        </is>
      </c>
      <c r="H3589" t="inlineStr"/>
    </row>
    <row r="3590">
      <c r="A3590" t="inlineStr">
        <is>
          <t>dux3an</t>
        </is>
      </c>
      <c r="B3590" t="inlineStr">
        <is>
          <t>Anyone here have NERD?</t>
        </is>
      </c>
      <c r="C3590" t="inlineStr">
        <is>
          <t>Non erosive reflux disease 
What’s your experience been with it?</t>
        </is>
      </c>
      <c r="D3590" t="n">
        <v>1</v>
      </c>
      <c r="E3590" t="n">
        <v>4</v>
      </c>
      <c r="F3590">
        <f>HYPERLINK("https://www.reddit.com/r/GERD/comments/dux3an/anyone_here_have_nerd/")</f>
        <v/>
      </c>
      <c r="G3590" t="inlineStr">
        <is>
          <t>2019-11-11 11:04:23</t>
        </is>
      </c>
      <c r="H3590" t="inlineStr"/>
    </row>
    <row r="3591">
      <c r="A3591" t="inlineStr">
        <is>
          <t>duxea8</t>
        </is>
      </c>
      <c r="B3591" t="inlineStr">
        <is>
          <t>Whats up with strawberries?</t>
        </is>
      </c>
      <c r="C3591" t="inlineStr">
        <is>
          <t>Anyone ACTUALLY experience problems with Strawberries?? I’ve read online that strawberries can be a problem but....is it really?</t>
        </is>
      </c>
      <c r="D3591" t="n">
        <v>1</v>
      </c>
      <c r="E3591" t="n">
        <v>9</v>
      </c>
      <c r="F3591">
        <f>HYPERLINK("https://www.reddit.com/r/GERD/comments/duxea8/whats_up_with_strawberries/")</f>
        <v/>
      </c>
      <c r="G3591" t="inlineStr">
        <is>
          <t>2019-11-11 11:24:12</t>
        </is>
      </c>
      <c r="H3591" t="inlineStr"/>
    </row>
    <row r="3592">
      <c r="A3592" t="inlineStr">
        <is>
          <t>duxku3</t>
        </is>
      </c>
      <c r="B3592" t="inlineStr">
        <is>
          <t>10 mg Omeprazole</t>
        </is>
      </c>
      <c r="C3592" t="inlineStr">
        <is>
          <t>Is 10 mg too low? I asked the doc to try this before 20mg</t>
        </is>
      </c>
      <c r="D3592" t="n">
        <v>1</v>
      </c>
      <c r="E3592" t="n">
        <v>3</v>
      </c>
      <c r="F3592">
        <f>HYPERLINK("https://www.reddit.com/r/GERD/comments/duxku3/10_mg_omeprazole/")</f>
        <v/>
      </c>
      <c r="G3592" t="inlineStr">
        <is>
          <t>2019-11-11 11:35:43</t>
        </is>
      </c>
      <c r="H3592" t="inlineStr"/>
    </row>
    <row r="3593">
      <c r="A3593" t="inlineStr">
        <is>
          <t>duxtlz</t>
        </is>
      </c>
      <c r="B3593" t="inlineStr">
        <is>
          <t>GERD / Esophageal Strictures / Pills</t>
        </is>
      </c>
      <c r="C3593" t="inlineStr">
        <is>
          <t>Does anyone struggle to swallow PPIs, or have them get stuck in your throat because of Esophageal strictures? This is the only reason I’m afraid to start taking PPIs. My fears concerning pills.</t>
        </is>
      </c>
      <c r="D3593" t="n">
        <v>1</v>
      </c>
      <c r="E3593" t="n">
        <v>0</v>
      </c>
      <c r="F3593">
        <f>HYPERLINK("https://www.reddit.com/r/GERD/comments/duxtlz/gerd_esophageal_strictures_pills/")</f>
        <v/>
      </c>
      <c r="G3593" t="inlineStr">
        <is>
          <t>2019-11-11 11:51:14</t>
        </is>
      </c>
      <c r="H3593" t="inlineStr"/>
    </row>
    <row r="3594">
      <c r="A3594" t="inlineStr">
        <is>
          <t>duy1rb</t>
        </is>
      </c>
      <c r="B3594" t="inlineStr">
        <is>
          <t>Alcohol?</t>
        </is>
      </c>
      <c r="C3594" t="inlineStr">
        <is>
          <t>Do you guys drink at all? If so, how often and how has it changed since gerd?
I've finally decided to work my way off coffee totally, but I'm not giving up alcohol. Nothing like a great class of scotch on the weekend.  I'll just have to drink it after some food, take gaviscon after, etc. Hooray for getting older.</t>
        </is>
      </c>
      <c r="D3594" t="n">
        <v>1</v>
      </c>
      <c r="E3594" t="n">
        <v>12</v>
      </c>
      <c r="F3594">
        <f>HYPERLINK("https://www.reddit.com/r/GERD/comments/duy1rb/alcohol/")</f>
        <v/>
      </c>
      <c r="G3594" t="inlineStr">
        <is>
          <t>2019-11-11 12:05:41</t>
        </is>
      </c>
      <c r="H3594" t="inlineStr"/>
    </row>
    <row r="3595">
      <c r="A3595" t="inlineStr">
        <is>
          <t>duzybr</t>
        </is>
      </c>
      <c r="B3595" t="inlineStr">
        <is>
          <t>Weaning off PPIs</t>
        </is>
      </c>
      <c r="C3595" t="inlineStr">
        <is>
          <t>People who have been successful in weaning off PPIs after using them for greater than 1 year, kindly post your stories. How did you go about it? What issues did you face and Howe did you overcome them?
I have been taking nexium for 6+ years and have been facing a lot of intermittent gastric discomfort over there last seven months. So trying to get off it while using some herbal alternatives. Experiencing my first episode after going off nexium for 7 days and wondering what my next steps should be.</t>
        </is>
      </c>
      <c r="D3595" t="n">
        <v>1</v>
      </c>
      <c r="E3595" t="n">
        <v>4</v>
      </c>
      <c r="F3595">
        <f>HYPERLINK("https://www.reddit.com/r/GERD/comments/duzybr/weaning_off_ppis/")</f>
        <v/>
      </c>
      <c r="G3595" t="inlineStr">
        <is>
          <t>2019-11-11 14:10:24</t>
        </is>
      </c>
      <c r="H3595" t="inlineStr"/>
    </row>
    <row r="3596">
      <c r="A3596" t="inlineStr">
        <is>
          <t>dv09tt</t>
        </is>
      </c>
      <c r="B3596" t="inlineStr">
        <is>
          <t>Gas, spasms and heart palpatations</t>
        </is>
      </c>
      <c r="C3596" t="inlineStr">
        <is>
          <t>I've been getting something lately that's like gas, espohogus/chest spasm, and heart palpatation at the same time, but sometimes without palpatations.  Anyone else have this? Idk if it's related to GERD, but I suspect it is.  I've been to the ER because of it, I've talked to my primary.  They give me ekgs and I'm always fine.  Waiting for results of a 24 hour ekg.  It really freaks me out even though I suspect its harmless.</t>
        </is>
      </c>
      <c r="D3596" t="n">
        <v>1</v>
      </c>
      <c r="E3596" t="n">
        <v>19</v>
      </c>
      <c r="F3596">
        <f>HYPERLINK("https://www.reddit.com/r/GERD/comments/dv09tt/gas_spasms_and_heart_palpatations/")</f>
        <v/>
      </c>
      <c r="G3596" t="inlineStr">
        <is>
          <t>2019-11-11 14:37:16</t>
        </is>
      </c>
      <c r="H3596" t="inlineStr"/>
    </row>
    <row r="3597">
      <c r="A3597" t="inlineStr">
        <is>
          <t>dv14du</t>
        </is>
      </c>
      <c r="B3597" t="inlineStr">
        <is>
          <t>Anyone else becoming super constipated from ppi/antacids?</t>
        </is>
      </c>
      <c r="C3597" t="inlineStr">
        <is>
          <t>That’s mostly what is frustrating me the most. I eat a lot of fiber and that doesn’t even touch it. I go to the gym and RUN everyday lol.... like what more can I do. I drink more water than a normal person I feel like. I’m school I learned the duodenum makes bicarbonate to neutralize the stomach acid contents to go through your small and large intestine. So I’m wondering if that’s affecting that. 
Also I looked up long term medication use (for gerd) can lead to decreased absorption of calcium and magnesium. So I take supplements. But yea if anything I said is wrong let me know, but that’s my take.</t>
        </is>
      </c>
      <c r="D3597" t="n">
        <v>1</v>
      </c>
      <c r="E3597" t="n">
        <v>5</v>
      </c>
      <c r="F3597">
        <f>HYPERLINK("https://www.reddit.com/r/GERD/comments/dv14du/anyone_else_becoming_super_constipated_from/")</f>
        <v/>
      </c>
      <c r="G3597" t="inlineStr">
        <is>
          <t>2019-11-11 15:36:46</t>
        </is>
      </c>
      <c r="H3597" t="inlineStr"/>
    </row>
    <row r="3598">
      <c r="A3598" t="inlineStr">
        <is>
          <t>dv1j8g</t>
        </is>
      </c>
      <c r="B3598" t="inlineStr">
        <is>
          <t>Deviated septum , can it be the culprit of LPR symptoms like ?</t>
        </is>
      </c>
      <c r="C3598" t="inlineStr">
        <is>
          <t>Hi , 24 years old male here  got a sore throat since 38 days ago that started like normal cold without fever , all bloodwork , throat culture and other things turns god, the thing is, I got and X Ray and The ENT notice that I have a deviated septum and that it looked like i have it since childhood , ive never experienced  any sinus problems in my life , my only two main symptoms are post nasal drip , and sore throat Since 38 days ago no other ones , he recomended me a surgery to stop the nasal drip and heal the throat , but the main question is how it possible that I've never experienced any long lasting sore sinus iissues after all this time  to these day, it this possible? Ive been missdiagnosed with LPR? Any opinions  ?</t>
        </is>
      </c>
      <c r="D3598" t="n">
        <v>1</v>
      </c>
      <c r="E3598" t="n">
        <v>4</v>
      </c>
      <c r="F3598">
        <f>HYPERLINK("https://www.reddit.com/r/GERD/comments/dv1j8g/deviated_septum_can_it_be_the_culprit_of_lpr/")</f>
        <v/>
      </c>
      <c r="G3598" t="inlineStr">
        <is>
          <t>2019-11-11 16:06:44</t>
        </is>
      </c>
      <c r="H3598" t="inlineStr"/>
    </row>
    <row r="3599">
      <c r="A3599" t="inlineStr">
        <is>
          <t>dv2zn5</t>
        </is>
      </c>
      <c r="B3599" t="inlineStr">
        <is>
          <t>GERD and Hormones</t>
        </is>
      </c>
      <c r="C3599" t="inlineStr">
        <is>
          <t>Anyone here who gets a bad case of GERD with their monthly cycle? 
I’m 41 and think I’m in perimenopause. Every month is a new symptom. This month, I got a really bad case of acid reflux with a feeling of something stuck in my throat and lots of burping too. It’s driving me crazy!</t>
        </is>
      </c>
      <c r="D3599" t="n">
        <v>1</v>
      </c>
      <c r="E3599" t="n">
        <v>4</v>
      </c>
      <c r="F3599">
        <f>HYPERLINK("https://www.reddit.com/r/GERD/comments/dv2zn5/gerd_and_hormones/")</f>
        <v/>
      </c>
      <c r="G3599" t="inlineStr">
        <is>
          <t>2019-11-11 17:54:23</t>
        </is>
      </c>
      <c r="H3599" t="inlineStr"/>
    </row>
    <row r="3600">
      <c r="A3600" t="inlineStr">
        <is>
          <t>dv3vae</t>
        </is>
      </c>
      <c r="B3600" t="inlineStr">
        <is>
          <t>Discomfort in the upper abdomen?</t>
        </is>
      </c>
      <c r="C3600" t="inlineStr">
        <is>
          <t>Never experienced this one before but it’s definitely been noticeable the last 3 days. 
I’m having noticeable discomfort in the upper/center part of my abdomen. Kind of like a persistent achy pain right below my sternum. Is this a symptom of GERD? My stomach rumbles frequently as well after eating which I believe could be indigestion. Kind of having trouble passing gas as well.</t>
        </is>
      </c>
      <c r="D3600" t="n">
        <v>1</v>
      </c>
      <c r="E3600" t="n">
        <v>4</v>
      </c>
      <c r="F3600">
        <f>HYPERLINK("https://www.reddit.com/r/GERD/comments/dv3vae/discomfort_in_the_upper_abdomen/")</f>
        <v/>
      </c>
      <c r="G3600" t="inlineStr">
        <is>
          <t>2019-11-11 19:02:59</t>
        </is>
      </c>
      <c r="H3600" t="inlineStr"/>
    </row>
    <row r="3601">
      <c r="A3601" t="inlineStr">
        <is>
          <t>dv40d1</t>
        </is>
      </c>
      <c r="B3601" t="inlineStr">
        <is>
          <t>Please help, the anxiety is eating me alive...</t>
        </is>
      </c>
      <c r="C3601" t="inlineStr">
        <is>
          <t>I haven't been officially diagnosed with GERD, but I had an endoscopy/colonoscopy for stomach issues, they didn't find anything except a loose GE junction. The GE specialist didn't tell me anything more than my loose GE junction predisposing acid reflux, never mentioned GERD or LPR. He diagnosed me with IBS and said the IBS was likely the root of my problems.
That was a couple months ago
My symptoms have generally stayed the same with some IBS flareups here and there
But recently I thought back to his comment about the loose GE junction and am now wondering if I have GERD. 
I've been obsessively researching about it daily now, and I feel like the symptoms from my anxiety are confusing me with any possible GERD symptoms. 
I have transient nausea every so often, get gassy and belch frequently.
I rarely have actual burning heartburn, maybe once every couple weeks. I do experience regurgitation at times though. 
But I can also tell my anxiety is at an all time high. Sometimes I'm literally shaking and have to calm myself down.
My quality of life has taken a nose dive to the point where it's spiraling out of control and I almost dont see the point of living like this.
I'm going to call and try to book another followup appointment if I can but that may be months from now (live in Canada). I dont know what else to do...</t>
        </is>
      </c>
      <c r="D3601" t="n">
        <v>1</v>
      </c>
      <c r="E3601" t="n">
        <v>16</v>
      </c>
      <c r="F3601">
        <f>HYPERLINK("https://www.reddit.com/r/GERD/comments/dv40d1/please_help_the_anxiety_is_eating_me_alive/")</f>
        <v/>
      </c>
      <c r="G3601" t="inlineStr">
        <is>
          <t>2019-11-11 19:14:28</t>
        </is>
      </c>
      <c r="H3601" t="inlineStr"/>
    </row>
    <row r="3602">
      <c r="A3602" t="inlineStr">
        <is>
          <t>dv4r87</t>
        </is>
      </c>
      <c r="B3602" t="inlineStr">
        <is>
          <t>Help! Is going to bed hungry OK with GERD?</t>
        </is>
      </c>
      <c r="C3602" t="inlineStr">
        <is>
          <t>You know the deal. At night, everything feels worse. Foods I once tolerated *after* my GERD diagnosis are now making me feel ill if I eat in the evening.
When I can put something small down, I get bloating, nausea, and indigestion, despite my stomach begging for more food. What the actual fuck?
I know the 3 hour rule. Do you eat something late at night anyway and push through staying awake for the next 3 hours, or do you just go to bed hungry?</t>
        </is>
      </c>
      <c r="D3602" t="n">
        <v>1</v>
      </c>
      <c r="E3602" t="n">
        <v>6</v>
      </c>
      <c r="F3602">
        <f>HYPERLINK("https://www.reddit.com/r/GERD/comments/dv4r87/help_is_going_to_bed_hungry_ok_with_gerd/")</f>
        <v/>
      </c>
      <c r="G3602" t="inlineStr">
        <is>
          <t>2019-11-11 20:18:58</t>
        </is>
      </c>
      <c r="H3602" t="inlineStr"/>
    </row>
    <row r="3603">
      <c r="A3603" t="inlineStr">
        <is>
          <t>dv656v</t>
        </is>
      </c>
      <c r="B3603" t="inlineStr">
        <is>
          <t>Do you sometimes get the urge to burp/belch, and then feel better after doing so?</t>
        </is>
      </c>
      <c r="C3603" t="inlineStr">
        <is>
          <t>Just curious</t>
        </is>
      </c>
      <c r="D3603" t="n">
        <v>1</v>
      </c>
      <c r="E3603" t="n">
        <v>9</v>
      </c>
      <c r="F3603">
        <f>HYPERLINK("https://www.reddit.com/r/GERD/comments/dv656v/do_you_sometimes_get_the_urge_to_burpbelch_and/")</f>
        <v/>
      </c>
      <c r="G3603" t="inlineStr">
        <is>
          <t>2019-11-11 22:33:48</t>
        </is>
      </c>
      <c r="H3603" t="inlineStr"/>
    </row>
    <row r="3604">
      <c r="A3604" t="inlineStr">
        <is>
          <t>dv6phu</t>
        </is>
      </c>
      <c r="B3604" t="inlineStr">
        <is>
          <t>Anybody getting extreme hunger pangs when even slightly hungry?</t>
        </is>
      </c>
      <c r="C3604" t="inlineStr">
        <is>
          <t>I have recently been diagnosed with GERD (o still have to do H pylorii test next week though), and next to other symptoms I get extreme hunger cramps/pain/burning/whatever in the upper parts of my stomach whenever I'm slightly hungry,sometimes it wakes me up at night.
Anybody has this? How do you deal with it?</t>
        </is>
      </c>
      <c r="D3604" t="n">
        <v>1</v>
      </c>
      <c r="E3604" t="n">
        <v>5</v>
      </c>
      <c r="F3604">
        <f>HYPERLINK("https://www.reddit.com/r/GERD/comments/dv6phu/anybody_getting_extreme_hunger_pangs_when_even/")</f>
        <v/>
      </c>
      <c r="G3604" t="inlineStr">
        <is>
          <t>2019-11-11 23:33:41</t>
        </is>
      </c>
      <c r="H3604" t="inlineStr"/>
    </row>
    <row r="3605">
      <c r="A3605" t="inlineStr">
        <is>
          <t>dv6xop</t>
        </is>
      </c>
      <c r="B3605" t="inlineStr">
        <is>
          <t>Is LPR constant? +some additional insane questions.</t>
        </is>
      </c>
      <c r="C3605" t="inlineStr">
        <is>
          <t>I'm still unsure as to what's going on with me. It's going to be a bit before I can get to a doctor, so I'm trying to figure out as much as I can. 
My throat is 24/7 sore, localized to the top right only, probably in an area smaller than the tip of my index finger. I also have the feeling of something in my throat often, maybe post nasal drip? But that feeling is in a different location from the soreness. 
I absolutely am an enjoyer of coffee, tea, diet soda, and caffeine, so that gave me a lot of worry that it could be LPR. I cut back completely on all of that for about a week to see if I felt any difference, even minor, and no, not really. Even drank alkaline water to reduce stomach acid or neutralize anything in the throat. To make sure, I had coffee and diet Coke some days, in moderation, and felt no worsening in pain or sensation. In fact, the carbonation provided some short term relief, better than water usually does. 
I have no history of heartburn or anything like that. Literally have never experienced it. Does LPR often happen without EVER being accompanied by heartburn? No difficulty swallowing either. 
I am in a dorm room, and I take allergy medication that clears up pretty much all my issues relating to stuff like grass, but maybe something could still be irritating my throat and nose? Relating to that, I feel no issue breathing. My nose feels perfectly clear, just that weird sensation in the throat. 
Finally, and this is something that may just be paranoia, but I worry about the water I drink. I drink only tap water for the most part, because I am broke and can't afford bottled. This University is old, and I wonder if whatever might be in the pipes comes out with the water, and could be causing some sort of reaction. Sorry for the TMI, but I've noticed that at school, my urine has a fairly strong oder, even when light in color. It doesn't happen that I can remember when I'm on break, so I doubt it's a UTI, and I've no other symptoms of one. When I'm at home, I drink mostly bottled or filtered water. Has anybody had an experience where the tap water they've been drinking has been causing reactions or other odd symptoms? I tend to down a lot of water to manage the discomfort in my throat.</t>
        </is>
      </c>
      <c r="D3605" t="n">
        <v>1</v>
      </c>
      <c r="E3605" t="n">
        <v>2</v>
      </c>
      <c r="F3605">
        <f>HYPERLINK("https://www.reddit.com/r/GERD/comments/dv6xop/is_lpr_constant_some_additional_insane_questions/")</f>
        <v/>
      </c>
      <c r="G3605" t="inlineStr">
        <is>
          <t>2019-11-12 00:00:02</t>
        </is>
      </c>
      <c r="H3605" t="inlineStr"/>
    </row>
    <row r="3606">
      <c r="A3606" t="inlineStr">
        <is>
          <t>dv7wla</t>
        </is>
      </c>
      <c r="B3606" t="inlineStr">
        <is>
          <t>I can’t sleep</t>
        </is>
      </c>
      <c r="C3606" t="inlineStr">
        <is>
          <t>I have the absolute worst gerd right now. I think I have the stomach flu and it triggered a shitstorm of problems. It’s almost 2am and I have to get up at 6 to take my kiddos to school. I’m nauseous, have the shits, and my throat and esophagus is on fire. I’m currently sitting in my rocking chair because laying in my bed isn’t an option at this point. I could seriously cry right now. The only thing I have on hand is Zofran which is combatting the nausea. The burning pain is so bad. Anyone up and have tips for the burning? I just want to be able to relax. I’m so uncomfortable 😣</t>
        </is>
      </c>
      <c r="D3606" t="n">
        <v>1</v>
      </c>
      <c r="E3606" t="n">
        <v>0</v>
      </c>
      <c r="F3606">
        <f>HYPERLINK("https://www.reddit.com/r/GERD/comments/dv7wla/i_cant_sleep/")</f>
        <v/>
      </c>
      <c r="G3606" t="inlineStr">
        <is>
          <t>2019-11-12 01:54:41</t>
        </is>
      </c>
      <c r="H3606" t="inlineStr"/>
    </row>
    <row r="3607">
      <c r="A3607" t="inlineStr">
        <is>
          <t>dv98o0</t>
        </is>
      </c>
      <c r="B3607" t="inlineStr">
        <is>
          <t>How long did it take you to heal esophagitis?</t>
        </is>
      </c>
      <c r="C3607" t="inlineStr">
        <is>
          <t>Hello, about a month ago I had extreme difficulty breathing and I've been diagnosed with esophagitis about 4 weeks ago, and ENT doc put me on pantoprazole 40mg/day. I've been feeling a lot better after 2 weeks and then I had a huge attack where I couldn't breathe and that turned into a panic attack and I went to ER.
&amp;amp;#x200B;
Doctor said to just continue the medication and it will clear up. Now it's been another 2 weeks since the ER visit and my condition is very prone to change. Some days I can breathe normally and I feel great, other days I feel like crap and constantly feel like I can't catch a breath. 
&amp;amp;#x200B;
I don't have any other symptoms other than shortness of breath and air hunger. Should I just be patient and give it some more time? And is there anything I can do to ease my breathing?</t>
        </is>
      </c>
      <c r="D3607" t="n">
        <v>1</v>
      </c>
      <c r="E3607" t="n">
        <v>7</v>
      </c>
      <c r="F3607">
        <f>HYPERLINK("https://www.reddit.com/r/GERD/comments/dv98o0/how_long_did_it_take_you_to_heal_esophagitis/")</f>
        <v/>
      </c>
      <c r="G3607" t="inlineStr">
        <is>
          <t>2019-11-12 04:21:50</t>
        </is>
      </c>
      <c r="H3607" t="inlineStr"/>
    </row>
    <row r="3608">
      <c r="A3608" t="inlineStr">
        <is>
          <t>dval2i</t>
        </is>
      </c>
      <c r="B3608" t="inlineStr">
        <is>
          <t>Omeprazole stops working? Change in generic?</t>
        </is>
      </c>
      <c r="C3608" t="inlineStr">
        <is>
          <t>Can Omeprazole stop working? Been on 40mg delayed released once daily for 4 years. Always fine. A few months ago the prescription pill changed from a yellow and brown pill to a total red pill. Almost instantly I felt I had more symptoms. Now I feel like it's not even working. 
Seeing my gastro in a week. Hoping he can offer something else. Omeprazole is the only one I've ever taken.</t>
        </is>
      </c>
      <c r="D3608" t="n">
        <v>1</v>
      </c>
      <c r="E3608" t="n">
        <v>2</v>
      </c>
      <c r="F3608">
        <f>HYPERLINK("https://www.reddit.com/r/GERD/comments/dval2i/omeprazole_stops_working_change_in_generic/")</f>
        <v/>
      </c>
      <c r="G3608" t="inlineStr">
        <is>
          <t>2019-11-12 06:19:55</t>
        </is>
      </c>
      <c r="H3608" t="inlineStr"/>
    </row>
    <row r="3609">
      <c r="A3609" t="inlineStr">
        <is>
          <t>dvca84</t>
        </is>
      </c>
      <c r="B3609" t="inlineStr">
        <is>
          <t>GERD, Or something more?</t>
        </is>
      </c>
      <c r="C3609" t="inlineStr">
        <is>
          <t>Ive been having some problems with my throat, It started out being hard to swallow, and if i did eat it felt like there was a pressure in my up chest lower throat. Like I need to burp but even if I did it didnt really help me much. Then I started to get these little pings of pain in my chest, they dont hurt much but had me worried. Around two years ago I got choked up eating some chicken so since ive had a little phobia of eating and swallowing. I thought that the throat thing might have just been the change and weather and I had a little swollen throat and my anxiety might have just made it worse and led to the chest feeling. But after about a week and a half i started feeling better and I just chalked it up to the weather for sure. But then 2 days ago it just hit me again and this time the throat stuff wasnt as bad but when i eat it still feels like something is up with my chest/throat area and ive even been a bit nauseous. The little chest pings come and go, mostly has been centered in my middle chest, but the passed few days it’s been on my left and and very rarely on my eighth side. Im 29 almost 30, around 5'9 and weigh around 250. I dont have insurance to just go get checked out, just wonder if anyone has any advice or could shed some light on this situation of mine. Thank you for anyone who answers</t>
        </is>
      </c>
      <c r="D3609" t="n">
        <v>1</v>
      </c>
      <c r="E3609" t="n">
        <v>2</v>
      </c>
      <c r="F3609">
        <f>HYPERLINK("https://www.reddit.com/r/GERD/comments/dvca84/gerd_or_something_more/")</f>
        <v/>
      </c>
      <c r="G3609" t="inlineStr">
        <is>
          <t>2019-11-12 08:26:44</t>
        </is>
      </c>
      <c r="H3609" t="inlineStr"/>
    </row>
    <row r="3610">
      <c r="A3610" t="inlineStr">
        <is>
          <t>dvf6ib</t>
        </is>
      </c>
      <c r="B3610" t="inlineStr">
        <is>
          <t>How strict of a diet do I need to do?</t>
        </is>
      </c>
      <c r="C3610" t="inlineStr">
        <is>
          <t>I'm putting myself on a strict diet of no oil and no acidic foods so I can heal my GERD.  Do you think breaking my diet for one meal a week of spicy fast food will hurt my goal or should I do something like once every two weeks?</t>
        </is>
      </c>
      <c r="D3610" t="n">
        <v>1</v>
      </c>
      <c r="E3610" t="n">
        <v>10</v>
      </c>
      <c r="F3610">
        <f>HYPERLINK("https://www.reddit.com/r/GERD/comments/dvf6ib/how_strict_of_a_diet_do_i_need_to_do/")</f>
        <v/>
      </c>
      <c r="G3610" t="inlineStr">
        <is>
          <t>2019-11-12 11:46:48</t>
        </is>
      </c>
      <c r="H3610" t="inlineStr"/>
    </row>
    <row r="3611">
      <c r="A3611" t="inlineStr">
        <is>
          <t>dvjpyx</t>
        </is>
      </c>
      <c r="B3611" t="inlineStr">
        <is>
          <t>Esomeprazole Magnesium making everything worse?</t>
        </is>
      </c>
      <c r="C3611" t="inlineStr">
        <is>
          <t>I just started Esomeprazole Magnesium and now my acid regurgitation is worse than it's ever been. It used to cause moderate discomfort in my lower esophagus, and now I wake up every morning feeling like I am actually in the process of throwing up (although I never do).
It's ruined my appetite and caused me near constant headache and nausea, but my esophagitis wasn't healing on Prilosec so I'm desperate enough to keep trying.
Has anybody else been on Nexium? What was your experience like?</t>
        </is>
      </c>
      <c r="D3611" t="n">
        <v>1</v>
      </c>
      <c r="E3611" t="n">
        <v>2</v>
      </c>
      <c r="F3611">
        <f>HYPERLINK("https://www.reddit.com/r/GERD/comments/dvjpyx/esomeprazole_magnesium_making_everything_worse/")</f>
        <v/>
      </c>
      <c r="G3611" t="inlineStr">
        <is>
          <t>2019-11-12 16:50:57</t>
        </is>
      </c>
      <c r="H3611" t="inlineStr"/>
    </row>
    <row r="3612">
      <c r="A3612" t="inlineStr">
        <is>
          <t>dvkis9</t>
        </is>
      </c>
      <c r="B3612" t="inlineStr">
        <is>
          <t>Cutting dairy helped me tremendously</t>
        </is>
      </c>
      <c r="C3612" t="inlineStr">
        <is>
          <t>My dad actually recommended it to me. I asked him what he did to help with his reflux so I tried it to see if it'd do the same to the monster known as GERD. I've noticed a huge reduction in my symptoms and have felt much better recently. I started drinking almond milk and water more than anything else. I still have an appointment set for when I get home because there are other symptoms like chest pain, but cutting dairy was the best thing I've done.</t>
        </is>
      </c>
      <c r="D3612" t="n">
        <v>1</v>
      </c>
      <c r="E3612" t="n">
        <v>12</v>
      </c>
      <c r="F3612">
        <f>HYPERLINK("https://www.reddit.com/r/GERD/comments/dvkis9/cutting_dairy_helped_me_tremendously/")</f>
        <v/>
      </c>
      <c r="G3612" t="inlineStr">
        <is>
          <t>2019-11-12 17:53:26</t>
        </is>
      </c>
      <c r="H3612" t="inlineStr"/>
    </row>
    <row r="3613">
      <c r="A3613" t="inlineStr">
        <is>
          <t>dvlfav</t>
        </is>
      </c>
      <c r="B3613" t="inlineStr">
        <is>
          <t>Does stress cause my GERD symptoms to be more serious?</t>
        </is>
      </c>
      <c r="C3613" t="inlineStr">
        <is>
          <t>I had GERD 10 years ago. My symptoms are tightness in my chest, a little heartburn, a feeling of wanting to burp, and many sleepless nights if I don't burp enough. In the evening, when I talk, I feel that gas comes to my chess, so I didn't even want to talk. However, when I was drunk, when I didn't think of GERD, I slept quite good.
Am I too worried about GERD, and make GERD symptoms even more uncomfortable? How can I stop thinking about GERD? I feel anxious and need your advice. GERD is destroying my life.</t>
        </is>
      </c>
      <c r="D3613" t="n">
        <v>1</v>
      </c>
      <c r="E3613" t="n">
        <v>6</v>
      </c>
      <c r="F3613">
        <f>HYPERLINK("https://www.reddit.com/r/GERD/comments/dvlfav/does_stress_cause_my_gerd_symptoms_to_be_more/")</f>
        <v/>
      </c>
      <c r="G3613" t="inlineStr">
        <is>
          <t>2019-11-12 19:06:08</t>
        </is>
      </c>
      <c r="H3613" t="inlineStr"/>
    </row>
    <row r="3614">
      <c r="A3614" t="inlineStr">
        <is>
          <t>dvlxh9</t>
        </is>
      </c>
      <c r="B3614" t="inlineStr">
        <is>
          <t>Does stress cause my GERD?</t>
        </is>
      </c>
      <c r="C3614" t="inlineStr">
        <is>
          <t>I had GERD 10 years ago. My symptoms are tightness in my chest, a little heartburn, a feeling of wanting to burp, and many sleepless nights if I don't burp enough. In the evening, when I talk, I feel that gas comes to my chess, so I didn't even want to talk. However, when I was drunk, when I didn't think of GERD, I slept quite good.
Am I too worried about GERD, and make GERD symptoms even more uncomfortable? How can I stop thinking about GERD? I feel anxious and need your advice. GERD is destroying my life.</t>
        </is>
      </c>
      <c r="D3614" t="n">
        <v>1</v>
      </c>
      <c r="E3614" t="n">
        <v>0</v>
      </c>
      <c r="F3614">
        <f>HYPERLINK("https://www.reddit.com/r/GERD/comments/dvlxh9/does_stress_cause_my_gerd/")</f>
        <v/>
      </c>
      <c r="G3614" t="inlineStr">
        <is>
          <t>2019-11-12 19:48:46</t>
        </is>
      </c>
      <c r="H3614" t="inlineStr"/>
    </row>
    <row r="3615">
      <c r="A3615" t="inlineStr">
        <is>
          <t>dvm5w5</t>
        </is>
      </c>
      <c r="B3615" t="inlineStr">
        <is>
          <t>Help! Random sharp stabbing chest pains... Gerd?</t>
        </is>
      </c>
      <c r="C3615" t="inlineStr">
        <is>
          <t>About eight months ago, I had these random chest pains and discomfort... Accompanied by weird burping and pressure and discomfort in my chest. I saw a cardiologist and did an echocardiogram and stress test... Normal. Saw gi doctor, did an endoscopy and said mild acid reflux was the most he found. They did a tissue biopsy also.
About three months ago, I had this overwhelming pressure sensation in my head. I was so scared, thought I was having a stroke. ER three times, neurologists and ent doctors later... I was diagnosed with vestibular migraine, as all my head and neck xrays and mris negative and my ears were always full and ringing. 
I've been dealing with this migraine issue and trying to be healthy, but my chest has been bothering me a lot again over the last month or so. It get discomfort and pressure when I wake up... And I get these random and unpredictable jolts or squeeze/pressure sensation (hard to explain) that last a second or two max. If I get one, I'll maybe have 1 or 2 in a day max. Kinda scary though and my chest will have lingering discomfort for maybe a minute afterwards max. All symptoms on left side. There are times I know when my discomfort is acid reflux related, but these random Pains scare the crap out of me. Today I had one driving to work and it just sucks. I've been fearful maybe it's a heart issue, but I saw a cardiologist again and my echo avd stress test were fine. He said cardiac pain would last longer and be related to exertion. It makes sense, but it still scares me cause it's an intense symptom. I can't reproduce it with palpation or motion usually... And I can't always figure out or relate it to food and when I ate or didn't eat. Are these random blips of pain common for your guys? Reassurance and more info would greatly help</t>
        </is>
      </c>
      <c r="D3615" t="n">
        <v>1</v>
      </c>
      <c r="E3615" t="n">
        <v>6</v>
      </c>
      <c r="F3615">
        <f>HYPERLINK("https://www.reddit.com/r/GERD/comments/dvm5w5/help_random_sharp_stabbing_chest_pains_gerd/")</f>
        <v/>
      </c>
      <c r="G3615" t="inlineStr">
        <is>
          <t>2019-11-12 20:09:05</t>
        </is>
      </c>
      <c r="H3615" t="inlineStr"/>
    </row>
    <row r="3616">
      <c r="A3616" t="inlineStr">
        <is>
          <t>dvm7aq</t>
        </is>
      </c>
      <c r="B3616" t="inlineStr">
        <is>
          <t>Ribs Popping in left side when taking a deep breath??</t>
        </is>
      </c>
      <c r="C3616" t="inlineStr">
        <is>
          <t>hey guys!
i’ve been worrying myself sick over this for a while now, and i wanted to see if anyone else has experienced these things. i’ve had gerd for a long time, and started having shortness of breath a few months ago, which i (and my gp) think is reflux. my issue now is that when i take a deep breath, there is a popping feeling in my left ribcage area and sometimes in my left chest - almost like something is catching and then it slides off and makes a popping feeling. sometimes a breath (just in the left side) feels kind of bubbly, if that makes sense. i also have pain in my left upper back and shoulder blade, and in my left ribs. has anyone else experienced this?</t>
        </is>
      </c>
      <c r="D3616" t="n">
        <v>1</v>
      </c>
      <c r="E3616" t="n">
        <v>8</v>
      </c>
      <c r="F3616">
        <f>HYPERLINK("https://www.reddit.com/r/GERD/comments/dvm7aq/ribs_popping_in_left_side_when_taking_a_deep/")</f>
        <v/>
      </c>
      <c r="G3616" t="inlineStr">
        <is>
          <t>2019-11-12 20:12:33</t>
        </is>
      </c>
      <c r="H3616" t="inlineStr"/>
    </row>
    <row r="3617">
      <c r="A3617" t="inlineStr">
        <is>
          <t>dvmkzh</t>
        </is>
      </c>
      <c r="B3617" t="inlineStr">
        <is>
          <t>Suicidal 19 year old here because of a sore throat .(LPR)</t>
        </is>
      </c>
      <c r="C3617" t="inlineStr">
        <is>
          <t>Hi, sorry for the edgy title and the stupid rant , I dont even know if I had LPR my two only symptoms are post nasal drip and a non stop 24/7 sore throat since 38 days ago, I have OCD since childhood also a childhood trauma for being sexually abused by an uncle (not for pity just for background info ) , im battling intense depression since these issues begin , im waking up in the middle of the night  covered in sweat with my teeth hurting because of my clunched jaw (without noticing it ) cold air burns my throat and nostrils, this all started after a normal cold and didnt think it was going to get me through hell again crying myself to sleep , I  Fought depression once , but now it cames with revenge , mental pain and physical pain are loosing my mind , in case this  is LPR did the pain of the throat ever goes away ? Also stoped going to the gym and going to the school , the only thing that stop me to kill myself is my amazing family and people around me , I can’t pass my pain to them if I do it , im going back on anti depressants after 3 years without them, the nain question is, did the throat pain ever goes away ¿ i feel sympathy for all of you that fought trough chronic pain like gerd or LPR please help.</t>
        </is>
      </c>
      <c r="D3617" t="n">
        <v>1</v>
      </c>
      <c r="E3617" t="n">
        <v>18</v>
      </c>
      <c r="F3617">
        <f>HYPERLINK("https://www.reddit.com/r/GERD/comments/dvmkzh/suicidal_19_year_old_here_because_of_a_sore/")</f>
        <v/>
      </c>
      <c r="G3617" t="inlineStr">
        <is>
          <t>2019-11-12 20:47:10</t>
        </is>
      </c>
      <c r="H3617" t="inlineStr"/>
    </row>
    <row r="3618">
      <c r="A3618" t="inlineStr">
        <is>
          <t>dvmqng</t>
        </is>
      </c>
      <c r="B3618" t="inlineStr">
        <is>
          <t>Asthma-LRP/GERD connection?</t>
        </is>
      </c>
      <c r="C3618" t="inlineStr">
        <is>
          <t>Looking for some advice before seeing my pcp next week, I'm a 31 year old male, exercise, normal weight. About two weeks ago, I was having shortness of breath, lump in throat feeling, chest tightness, hoarseness. I saw doc, did peak flow test and was at about 80%, so I got prescribed a Ventolin inhaler.
Since then, I haven't had shortness of breath, but still waking up in morning with chest tightness, occasional lump in throat/food stuck in chest feeling (no trouble swallowing but can feel a bit tight going down), and hoarseness that's only really noticeable when I go up in register. Off and on symptoms for my whole life include classic burning in throat/chest, acid burps, throat clearing after eating. My diet is ok, but I do cook a lot with a lot of vinegars, sauces, etc. Does this sound like LRP or GERD? Any questions I should pose to doc? Could inhaler be exacerbating these symptoms for whatever reason? Thanks.</t>
        </is>
      </c>
      <c r="D3618" t="n">
        <v>1</v>
      </c>
      <c r="E3618" t="n">
        <v>5</v>
      </c>
      <c r="F3618">
        <f>HYPERLINK("https://www.reddit.com/r/GERD/comments/dvmqng/asthmalrpgerd_connection/")</f>
        <v/>
      </c>
      <c r="G3618" t="inlineStr">
        <is>
          <t>2019-11-12 21:01:33</t>
        </is>
      </c>
      <c r="H3618" t="inlineStr"/>
    </row>
    <row r="3619">
      <c r="A3619" t="inlineStr">
        <is>
          <t>dvmvg8</t>
        </is>
      </c>
      <c r="B3619" t="inlineStr">
        <is>
          <t>Asthma-LPR/GERD connection?</t>
        </is>
      </c>
      <c r="C3619" t="inlineStr">
        <is>
          <t>Looking for some advice before seeing my pcp next week, I'm a 31 year old male, exercise, normal weight. About two weeks ago, I was having shortness of breath, lump in throat feeling, chest tightness, hoarseness. I saw doc, did peak flow test and was at about 80%, so I got prescribed a Ventolin inhaler.
Since then, I haven't had shortness of breath, but still waking up in morning with chest tightness, occasional lump in throat/food stuck in chest feeling (no trouble swallowing but can feel a bit tight going down), and hoarseness that's only really noticeable when I go up in register. Off and on symptoms for my whole life include classic burning in throat/chest, acid burps, throat clearing after eating, but never coupled with these other symptoms that have been going on for a few weeks now. My diet is ok, but I do cook a lot with a lot of vinegars, sauces, etc. Is this simply a diet issue and does this sound like LRP or GERD? Could inhaler be exacerbating these symptoms for whatever reason? Thanks.</t>
        </is>
      </c>
      <c r="D3619" t="n">
        <v>1</v>
      </c>
      <c r="E3619" t="n">
        <v>0</v>
      </c>
      <c r="F3619">
        <f>HYPERLINK("https://www.reddit.com/r/GERD/comments/dvmvg8/asthmalprgerd_connection/")</f>
        <v/>
      </c>
      <c r="G3619" t="inlineStr">
        <is>
          <t>2019-11-12 21:13:52</t>
        </is>
      </c>
      <c r="H3619" t="inlineStr"/>
    </row>
    <row r="3620">
      <c r="A3620" t="inlineStr">
        <is>
          <t>dvp06w</t>
        </is>
      </c>
      <c r="B3620" t="inlineStr">
        <is>
          <t>Has The Tar Bar helped any smokers with GERD?</t>
        </is>
      </c>
      <c r="C3620" t="inlineStr">
        <is>
          <t xml:space="preserve"> We just recently got these things at the store i work.  Apparently they're a filter you put on your cigarette and it's supposed to filter out the tar and leave you with only flavor.  
Ive tried it out already and it's definitely something that takes a little getting used to but I'm wondering if it's a better alternative and whether or not it may help those of us with GERD that find it increasingly difficult to quit smoking.</t>
        </is>
      </c>
      <c r="D3620" t="n">
        <v>1</v>
      </c>
      <c r="E3620" t="n">
        <v>0</v>
      </c>
      <c r="F3620">
        <f>HYPERLINK("https://www.reddit.com/r/GERD/comments/dvp06w/has_the_tar_bar_helped_any_smokers_with_gerd/")</f>
        <v/>
      </c>
      <c r="G3620" t="inlineStr">
        <is>
          <t>2019-11-13 00:52:17</t>
        </is>
      </c>
      <c r="H3620" t="inlineStr"/>
    </row>
    <row r="3621">
      <c r="A3621" t="inlineStr">
        <is>
          <t>dvplet</t>
        </is>
      </c>
      <c r="B3621" t="inlineStr">
        <is>
          <t>Is it possible for a different section of your digestive symptom causing GERD ?</t>
        </is>
      </c>
      <c r="C3621" t="inlineStr">
        <is>
          <t>What I'm basically asking is, what if your stomach has nothing to do with the GERD contraction, aka stomach acid incorrectly being shot back up your throat/gullet.  Is this even possible ? Is it possible for your Colon, or large intestine, or even small intestine to be causing some type of contraction where it causes a step process that eventually causes gases to open up your LES sphincter and shoot acid up ? I'm doing research and just wondering if anyone would know this, I know GERD has various different causes including hiatal hernia, food allergies , malfunctions.... but what about the possibility if what I'm asking ?</t>
        </is>
      </c>
      <c r="D3621" t="n">
        <v>1</v>
      </c>
      <c r="E3621" t="n">
        <v>4</v>
      </c>
      <c r="F3621">
        <f>HYPERLINK("https://www.reddit.com/r/GERD/comments/dvplet/is_it_possible_for_a_different_section_of_your/")</f>
        <v/>
      </c>
      <c r="G3621" t="inlineStr">
        <is>
          <t>2019-11-13 01:56:48</t>
        </is>
      </c>
      <c r="H3621" t="inlineStr"/>
    </row>
    <row r="3622">
      <c r="A3622" t="inlineStr">
        <is>
          <t>dvrp87</t>
        </is>
      </c>
      <c r="B3622" t="inlineStr">
        <is>
          <t>GERD and gallbladder removal</t>
        </is>
      </c>
      <c r="C3622" t="inlineStr">
        <is>
          <t>This year i was diagnosed with GERD and mild esophagitis + sliding hiatal hernia. Main symptoms -constant sshortness of breath, heart area knife pains (more rare, but when they hallen oh boy, the feeling of death comes to mind), and of course acid coming up if i dont sit/stand straight, but omeprozole seems to help with the acid. So...Today I went to check to have endoscopy on my stomach, I have gas in my stomach (although dont feel it personally), and the Doc said i have a small polyp/ warp on my gallbladder, and since it’s not big enough, it doesn’t require a surgery, just to check it every year to monitor it, whether it becomes bigger or not. I’d like to ask those who have gerd, whether you had nissen/linx, or not, if you had your gallbladder removed, how did it affect your acid reflux/GERD?</t>
        </is>
      </c>
      <c r="D3622" t="n">
        <v>1</v>
      </c>
      <c r="E3622" t="n">
        <v>22</v>
      </c>
      <c r="F3622">
        <f>HYPERLINK("https://www.reddit.com/r/GERD/comments/dvrp87/gerd_and_gallbladder_removal/")</f>
        <v/>
      </c>
      <c r="G3622" t="inlineStr">
        <is>
          <t>2019-11-13 05:23:37</t>
        </is>
      </c>
      <c r="H3622" t="inlineStr"/>
    </row>
    <row r="3623">
      <c r="A3623" t="inlineStr">
        <is>
          <t>dvs1qf</t>
        </is>
      </c>
      <c r="B3623" t="inlineStr">
        <is>
          <t>Sore throat/ lpr/ breathing weird pain</t>
        </is>
      </c>
      <c r="C3623" t="inlineStr">
        <is>
          <t>I was told I have lpr and I also have nodules or Granulomas on my throat I’m guessing from the acid reflux, and I feel my breathing is being affected by this now I recently started taking omeprazole 20 mg but every time I eat I can feel as if the nodules in my throat are burning the crap out of me it feels like stabbing shooting pains I can’t take it anymore I’m missing days from work because of this pain it’s driving me insane any advice?</t>
        </is>
      </c>
      <c r="D3623" t="n">
        <v>1</v>
      </c>
      <c r="E3623" t="n">
        <v>4</v>
      </c>
      <c r="F3623">
        <f>HYPERLINK("https://www.reddit.com/r/GERD/comments/dvs1qf/sore_throat_lpr_breathing_weird_pain/")</f>
        <v/>
      </c>
      <c r="G3623" t="inlineStr">
        <is>
          <t>2019-11-13 05:51:55</t>
        </is>
      </c>
      <c r="H3623" t="inlineStr"/>
    </row>
    <row r="3624">
      <c r="A3624" t="inlineStr">
        <is>
          <t>dvtbcj</t>
        </is>
      </c>
      <c r="B3624" t="inlineStr">
        <is>
          <t>I have been dealing with what feels like bronchitis / pulmonary symptoms for the past months and doctors seem to think I'm ok or that it's just asthma. After some research I suspect this might be LPR, can any one discuss their experience?</t>
        </is>
      </c>
      <c r="C3624" t="inlineStr">
        <is>
          <t>So it's been over a month now and I've seen two o doctors so far that weren't able to figure out what is wrong with me . My symptoms began over a month ago while I was trying to get to bed. I was sitting over my bed when all of a sudden I felt this sort of fizzy feeling rise up chest area and I immdeidalty felt the need to cough and sort of clear my throat. It last for a few hours and I had a shortness of breath kind of feeling . The day after I saw a doctor who diagnosed it as bronchitis . He prescribed me antibiotics and mucinex and send me on my way . The medicine helped for a few days but soon after the symptoms started coming up and came back even more intense . I found my self with heart palpations and shortness of breath with a cough. There after I had frequent throat clearing, coughing and a bit of sinus congestion that is alleviated when I do a nasal drain . After some research I came across LPR and I decided to fix up my diet and one week in because I wanted to give it a try. My symptoms do feel less intense but they are still present during the morning hours and when I'm laying down sometimes I feel like my airways a have sort of bronchitis type of feeling. I am able to sleep most of the time but I have to sleep on several pillows because I csnt sleep laying down . I had an ecg , spirometer test , and a chest x ray done on me on my second doctor visit which led me to believe that this wasnt a obvious pulmonary problem. I still haven't ruled out the possibility that this might not be LPR , but that is why I want to discuss with anyone else about their experience .</t>
        </is>
      </c>
      <c r="D3624" t="n">
        <v>1</v>
      </c>
      <c r="E3624" t="n">
        <v>4</v>
      </c>
      <c r="F3624">
        <f>HYPERLINK("https://www.reddit.com/r/GERD/comments/dvtbcj/i_have_been_dealing_with_what_feels_like/")</f>
        <v/>
      </c>
      <c r="G3624" t="inlineStr">
        <is>
          <t>2019-11-13 07:27:43</t>
        </is>
      </c>
      <c r="H3624" t="inlineStr"/>
    </row>
    <row r="3625">
      <c r="A3625" t="inlineStr">
        <is>
          <t>dvxbi9</t>
        </is>
      </c>
      <c r="B3625" t="inlineStr">
        <is>
          <t>Can GERD or LPR cause asthma like symptoms ?</t>
        </is>
      </c>
      <c r="C3625" t="inlineStr">
        <is>
          <t>I have read that LPR has been linked to asthma and bronchitis. For the past month I've been experiencing what feels like and on and off cough  and overall shortness of breath . In the last week the shortness of breath has subsided but now I feel this sort of chest tightness usually in the mornings to mid afternoon and a more recurring cough. I have that almost cold  type feeling going into my lungs  almost near my lungs when you typically get like a bad cough with a cold but I dont present any other symptoms like fever or runny nose . And while I believed that it might be LPR, this chest tightness feeling is new as of this week but the throat and mucus clearing is still recurring , especially after a meal . I'm not sure what to do , I am not able to see a doctor for a few more weeks due to financial issues . I'm a current college student at a community's college.</t>
        </is>
      </c>
      <c r="D3625" t="n">
        <v>1</v>
      </c>
      <c r="E3625" t="n">
        <v>20</v>
      </c>
      <c r="F3625">
        <f>HYPERLINK("https://www.reddit.com/r/GERD/comments/dvxbi9/can_gerd_or_lpr_cause_asthma_like_symptoms/")</f>
        <v/>
      </c>
      <c r="G3625" t="inlineStr">
        <is>
          <t>2019-11-13 12:00:17</t>
        </is>
      </c>
      <c r="H3625" t="inlineStr"/>
    </row>
    <row r="3626">
      <c r="A3626" t="inlineStr">
        <is>
          <t>dw0f6j</t>
        </is>
      </c>
      <c r="B3626" t="inlineStr">
        <is>
          <t>I was wondering...</t>
        </is>
      </c>
      <c r="C3626" t="inlineStr">
        <is>
          <t>If there's someone here that can give me a copy (ebook) of The Acid Watcher Cookbook?</t>
        </is>
      </c>
      <c r="D3626" t="n">
        <v>1</v>
      </c>
      <c r="E3626" t="n">
        <v>0</v>
      </c>
      <c r="F3626">
        <f>HYPERLINK("https://www.reddit.com/r/GERD/comments/dw0f6j/i_was_wondering/")</f>
        <v/>
      </c>
      <c r="G3626" t="inlineStr">
        <is>
          <t>2019-11-13 15:28:25</t>
        </is>
      </c>
      <c r="H3626" t="inlineStr"/>
    </row>
    <row r="3627">
      <c r="A3627" t="inlineStr">
        <is>
          <t>dw135k</t>
        </is>
      </c>
      <c r="B3627" t="inlineStr">
        <is>
          <t>Anyone else find their single biggest trigger to be overeating?</t>
        </is>
      </c>
      <c r="C3627" t="inlineStr">
        <is>
          <t>Don't get me wrong eating certain foods definitely contributes to my reflux/LPR symptoms, but lately it really seems to be that simply eating too much is my single biggest trigger.
Just consuming roughly more than a cup of food at a time or packing in that one extra late evening meal almost always leads to severe belching, fullness, &amp;amp; reflux regardless of how many enzymes, gas pills, or other meds I take. 
I've been aware of the recommended eat five small meals per day rule instead of three big ones for a while, but as a underweight individual with a big appetite it can be really hard to resist. 
If anyone else deals with a similar issue and wants to vent or share any useful advice I'd really appreciate it.</t>
        </is>
      </c>
      <c r="D3627" t="n">
        <v>1</v>
      </c>
      <c r="E3627" t="n">
        <v>19</v>
      </c>
      <c r="F3627">
        <f>HYPERLINK("https://www.reddit.com/r/GERD/comments/dw135k/anyone_else_find_their_single_biggest_trigger_to/")</f>
        <v/>
      </c>
      <c r="G3627" t="inlineStr">
        <is>
          <t>2019-11-13 16:16:37</t>
        </is>
      </c>
      <c r="H3627" t="inlineStr"/>
    </row>
    <row r="3628">
      <c r="A3628" t="inlineStr">
        <is>
          <t>dw1rej</t>
        </is>
      </c>
      <c r="B3628" t="inlineStr">
        <is>
          <t>Threw up at work</t>
        </is>
      </c>
      <c r="C3628" t="inlineStr">
        <is>
          <t>I’ve only been at this job a month and I threw up today 🙄🙄🙄 I’m so over GERD. It’s fucking embarrassing. I just want back my life</t>
        </is>
      </c>
      <c r="D3628" t="n">
        <v>1</v>
      </c>
      <c r="E3628" t="n">
        <v>4</v>
      </c>
      <c r="F3628">
        <f>HYPERLINK("https://www.reddit.com/r/GERD/comments/dw1rej/threw_up_at_work/")</f>
        <v/>
      </c>
      <c r="G3628" t="inlineStr">
        <is>
          <t>2019-11-13 17:07:12</t>
        </is>
      </c>
      <c r="H3628" t="inlineStr"/>
    </row>
    <row r="3629">
      <c r="A3629" t="inlineStr">
        <is>
          <t>dw2w9f</t>
        </is>
      </c>
      <c r="B3629" t="inlineStr">
        <is>
          <t>Had my first non UR-related flare in months</t>
        </is>
      </c>
      <c r="C3629" t="inlineStr">
        <is>
          <t>I typically get the standard throat gurgles and heartburn when I have post nasal drip from cold/sinus issues, but haven't had an unrelated flare in months. Today I had my favorite Thai dish for lunch (I have this at least once a month without issue) and holy moly, does my body hate me. An hour later my nose got really stuffy, my throat started gurgling and my chest felt so heavy. Had to then sit in a two hour meeting in a tiny room where everyone could definitely hear my gross gurgles. 
What typically works for me:
- brushing my teeth with VERY minty toothpaste (this feels worse before it feels better but is very effective)
- dry heaving (gross and unsuitable for public spaces which is where most of my flares occur)
- drinking a lot of water (100+ oz)
I'm going to try some ginger chews and additional dietary mods thanks to recos from this r/. Thanks for listening, if you've made it this far!</t>
        </is>
      </c>
      <c r="D3629" t="n">
        <v>1</v>
      </c>
      <c r="E3629" t="n">
        <v>1</v>
      </c>
      <c r="F3629">
        <f>HYPERLINK("https://www.reddit.com/r/GERD/comments/dw2w9f/had_my_first_non_urrelated_flare_in_months/")</f>
        <v/>
      </c>
      <c r="G3629" t="inlineStr">
        <is>
          <t>2019-11-13 18:37:40</t>
        </is>
      </c>
      <c r="H3629" t="inlineStr"/>
    </row>
    <row r="3630">
      <c r="A3630" t="inlineStr">
        <is>
          <t>dw39eo</t>
        </is>
      </c>
      <c r="B3630" t="inlineStr">
        <is>
          <t>Have not been officially diagnosed but would like some advice</t>
        </is>
      </c>
      <c r="C3630" t="inlineStr">
        <is>
          <t>Let me start off saying I have had terrible health anxiety for the last four months. I kept going into the doctors thinking I had all sorts of things wrong with me. It was getting so bad to the point I was actually making myself sick and feel physical pain. During this stressful time I started to feel ill. I was having an on and off sore throat and just overall not feeling well. That started on or before October 1st. I started taking Lexapro on October 2nd. The feeling ill part has been gone for a while but I still have a sore throat that has been lingering. I have had two doctors visits since then both doctors said my throat looks a little red and irritated and have checked for strep etc. One doctor did suggest I may have acid reflux and recommend I start Prilosec for two weeks. I’m about ten days in and notice no difference. I have changed some of my eating habits after doing some research on acid reflux. About a week and a half ago I started having ear pain and fullness along with popping sensations. I have absolutely no heartburn and can’t tell if the sore throat is due to acid or not. I’m really trying to not let my thoughts get the best of me and not let Google tell me that I’m dying. I have an ENT appointment on the 26th, but before then does anyone have any thoughts or advice that you can offer before I go in so I don’t drive myself crazy.</t>
        </is>
      </c>
      <c r="D3630" t="n">
        <v>1</v>
      </c>
      <c r="E3630" t="n">
        <v>1</v>
      </c>
      <c r="F3630">
        <f>HYPERLINK("https://www.reddit.com/r/GERD/comments/dw39eo/have_not_been_officially_diagnosed_but_would_like/")</f>
        <v/>
      </c>
      <c r="G3630" t="inlineStr">
        <is>
          <t>2019-11-13 19:08:15</t>
        </is>
      </c>
      <c r="H3630" t="inlineStr"/>
    </row>
    <row r="3631">
      <c r="A3631" t="inlineStr">
        <is>
          <t>dw3lip</t>
        </is>
      </c>
      <c r="B3631" t="inlineStr">
        <is>
          <t>Bad Heartburn After Upper Endoscopy / Esophageal Dilation</t>
        </is>
      </c>
      <c r="C3631" t="inlineStr">
        <is>
          <t>Allow me to preface this by stating that I've never really had problems with heartburn.  After getting diagnosed with what appeared to be GERD, I went in to a gastroenterologist and had an upper endoscopy done. During the procedure the GE found that my esophagus was constricted so he dilated it. Biopsies of stomach/esophagus/small intestine showed everything was normal (no H. pylori), so I got put on a 12-week prescription of 40mg omeprazole and was sent on my way.
For the first few days, I had a sore throat and tightness in my chest that I attributed to the dilation/endoscopy. The feeling remained after about a week, and has since gotten worse in the ~3 weeks since the procedure. At this point I've got a burning, painful sensation in the sternum and have some shallowness of breath/chest tension, which makes me think I'm getting bad heartburn (which I've never had before).
Is it possible for an esophageal dilation to trigger heartburn? I'm planning on calling the GE tomorrow but I wanted to hear if anyone else here has experienced this before.</t>
        </is>
      </c>
      <c r="D3631" t="n">
        <v>1</v>
      </c>
      <c r="E3631" t="n">
        <v>0</v>
      </c>
      <c r="F3631">
        <f>HYPERLINK("https://www.reddit.com/r/GERD/comments/dw3lip/bad_heartburn_after_upper_endoscopy_esophageal/")</f>
        <v/>
      </c>
      <c r="G3631" t="inlineStr">
        <is>
          <t>2019-11-13 19:36:04</t>
        </is>
      </c>
      <c r="H3631" t="inlineStr"/>
    </row>
    <row r="3632">
      <c r="A3632" t="inlineStr">
        <is>
          <t>dw3tns</t>
        </is>
      </c>
      <c r="B3632" t="inlineStr">
        <is>
          <t>Struggling with gerd. They out me on new ppi</t>
        </is>
      </c>
      <c r="C3632" t="inlineStr">
        <is>
          <t>Been really struggling with gerd it sucks when you can barely eat anything. Losing weight like nuts.  I hate this pain. I can at least oit down food now.. I been doing fish and brocolli and chicken and spinach. I was on protonix I was vomiting so they put me on prilosec which I used to have bad bowel movements on like years ago when I was on like 4 years ago. They wanna see if my body has changed that but at the same time it's not that bad of a side effect so to keep taking it.. I also didn't drink as much water as I do now si maybe my body was more dehydrated then. I dont even think I drank one bottle of water then it was only sods</t>
        </is>
      </c>
      <c r="D3632" t="n">
        <v>1</v>
      </c>
      <c r="E3632" t="n">
        <v>0</v>
      </c>
      <c r="F3632">
        <f>HYPERLINK("https://www.reddit.com/r/GERD/comments/dw3tns/struggling_with_gerd_they_out_me_on_new_ppi/")</f>
        <v/>
      </c>
      <c r="G3632" t="inlineStr">
        <is>
          <t>2019-11-13 19:54:55</t>
        </is>
      </c>
      <c r="H3632" t="inlineStr"/>
    </row>
    <row r="3633">
      <c r="A3633" t="inlineStr">
        <is>
          <t>dw636i</t>
        </is>
      </c>
      <c r="B3633" t="inlineStr">
        <is>
          <t>Can GERD/PPI cause cancer?</t>
        </is>
      </c>
      <c r="C3633" t="inlineStr">
        <is>
          <t>Hello!
So I have GERD, got diagnosed in July (this year). Since theb I've heard that both GERD (uncontrolled) and PPI (medicine for GERD), can cause cancer.
I have anxiety and I try telling myself to calm down a little, and just use the pills so my symptoms settle and til I get my diet (acid watcher diet) better under control and that nothing will happen NOW. But if I just keep on having GERD or use the pills for decades thats THAT when it could have bad effects.
Im only wondering cus just as I kinda got a little over it i was brescriped a  new ppi as the one i used in july-september didnt work. And my doctor prescribed the one that was taken off the market for meing contaminated. Aka, it could cause cancer,it was in the same catogory as smoked meat but still.. so it's bren pulled. Ive  had bad exprience with a doctor so that tjis onr didnt seem up yo date kind of had me scared AGAIN. hahhaha any answers appriciated</t>
        </is>
      </c>
      <c r="D3633" t="n">
        <v>1</v>
      </c>
      <c r="E3633" t="n">
        <v>8</v>
      </c>
      <c r="F3633">
        <f>HYPERLINK("https://www.reddit.com/r/GERD/comments/dw636i/can_gerdppi_cause_cancer/")</f>
        <v/>
      </c>
      <c r="G3633" t="inlineStr">
        <is>
          <t>2019-11-13 23:32:30</t>
        </is>
      </c>
      <c r="H3633" t="inlineStr"/>
    </row>
    <row r="3634">
      <c r="A3634" t="inlineStr">
        <is>
          <t>dw6j66</t>
        </is>
      </c>
      <c r="B3634" t="inlineStr">
        <is>
          <t>If you have not got allergy blood test, or any food allergy test , do it</t>
        </is>
      </c>
      <c r="C3634" t="inlineStr">
        <is>
          <t>I'll be getting my first blood test(s) for food allergies next week, and it's definitely something I should have done from the beginning of my GERD symptoms.  I actually stopped eating bread, and mostly anything that involved grains for a while. The last 2-3 days, I've had bread/tortillas, and other products containing wheat... and let me just say my symptoms immediately felt different. My throat feels like someone is choking me at this point, feels like a pinched nerve. I truly truly hope I'm allergic to a food because that would likely mean if I stop for a long period of time, my symptoms SHOULD subside. All I'm advising is, if you've had GERD for a long period of time (months to years), get tested for food allergies.  
&amp;amp;#x200B;
I did have an endoscopy 2-3 months ago that showed no signs of EoE, but I also did avoid Gluten/wheat at the same time that I did have my endoscopy. If It turns out I have celiac or gluten intolerance, then my GERD is explained, obviously</t>
        </is>
      </c>
      <c r="D3634" t="n">
        <v>1</v>
      </c>
      <c r="E3634" t="n">
        <v>1</v>
      </c>
      <c r="F3634">
        <f>HYPERLINK("https://www.reddit.com/r/GERD/comments/dw6j66/if_you_have_not_got_allergy_blood_test_or_any/")</f>
        <v/>
      </c>
      <c r="G3634" t="inlineStr">
        <is>
          <t>2019-11-14 00:20:21</t>
        </is>
      </c>
      <c r="H3634" t="inlineStr"/>
    </row>
    <row r="3635">
      <c r="A3635" t="inlineStr">
        <is>
          <t>dw701j</t>
        </is>
      </c>
      <c r="B3635" t="inlineStr">
        <is>
          <t>When will it end?</t>
        </is>
      </c>
      <c r="C3635" t="inlineStr">
        <is>
          <t>I just need to vent. I’m young and healthy. I always took care of myself so I ask myself everyday, why me? Why do people who eat crap all the time not have to deal with anything i do? I haven’t felt good in a long long time. It’s so discouraging. This has taken away any normalcy in my life and all the little things everyone else gets to enjoy. It’s preventing me from doing well in school and making me rethink moving forward with getting a higher degree. Sometimes i just cry because of how overwhelmed i am by it every day. I just want to live a normal life. I’m just so sad that this is my life now. I want it to stop.</t>
        </is>
      </c>
      <c r="D3635" t="n">
        <v>1</v>
      </c>
      <c r="E3635" t="n">
        <v>24</v>
      </c>
      <c r="F3635">
        <f>HYPERLINK("https://www.reddit.com/r/GERD/comments/dw701j/when_will_it_end/")</f>
        <v/>
      </c>
      <c r="G3635" t="inlineStr">
        <is>
          <t>2019-11-14 01:12:13</t>
        </is>
      </c>
      <c r="H3635" t="inlineStr"/>
    </row>
    <row r="3636">
      <c r="A3636" t="inlineStr">
        <is>
          <t>dw80de</t>
        </is>
      </c>
      <c r="B3636" t="inlineStr">
        <is>
          <t>Anyone here have Esophageal Sensitivity diagnosed ?</t>
        </is>
      </c>
      <c r="C3636" t="inlineStr">
        <is>
          <t>I'm not exactly sure what else to do after multiple endoscopies and biopsies, I guess my next step would be the Esophageal Manometry or Barium Swallow? 
I just wanted to know if anyone on this subreddit has a diagnosed Esophageal Sensitivity. 
I originally had non erosive esophagitis and was prescribed, NOTHING by the way. But I took it in my own hands and took 2 nexiums a day for the past two months ever since the endoscopy. It's been okay but I still will have the absolute WORST symptoms of LPR on days where I'm fully on the 2 Nexiums. Which makes no sense. My symptoms fall in line with Esopahgeal Sensitivity so I definitely want to get this treated with the right medications. The only time that I have no symptoms is when my diet is literally , Steak/Cheese/Eggs, NOTHING else added. If I eat those 3 things, and just my coffee with milk I have no problems mostly, anytime I reintroduce anything else it's game [over.](https://over.So) I've been testing testing and testing and I keep coming back to square one. I sometimes have 'difficulty swallowing', more like... the sensation of it as opposed to actual difficulty, as this symptom is inconsistent.   I will take proper steps of procedure professionally with my Doctor, and i'm also getting multiple food allergy blood tests. 
&amp;amp;#x200B;
I'm only looking to see if anyone has this particular condition just so I could have some clarity as I wait for these procedures. Thank you</t>
        </is>
      </c>
      <c r="D3636" t="n">
        <v>1</v>
      </c>
      <c r="E3636" t="n">
        <v>3</v>
      </c>
      <c r="F3636">
        <f>HYPERLINK("https://www.reddit.com/r/GERD/comments/dw80de/anyone_here_have_esophageal_sensitivity_diagnosed/")</f>
        <v/>
      </c>
      <c r="G3636" t="inlineStr">
        <is>
          <t>2019-11-14 03:02:08</t>
        </is>
      </c>
      <c r="H3636" t="inlineStr"/>
    </row>
    <row r="3637">
      <c r="A3637" t="inlineStr">
        <is>
          <t>dw9n5d</t>
        </is>
      </c>
      <c r="B3637" t="inlineStr">
        <is>
          <t>Non acidic filling foods?</t>
        </is>
      </c>
      <c r="C3637" t="inlineStr">
        <is>
          <t>I pretty much eat boiled egg whites, yogurt, apples, pears, bananas, boiled chicken, rice noodles(the thin kind. Rice itself gives me reflux), cabbage and leafy greens, tuna and strawberries (weirdly when pureed into juice it doesn't give ne acid reflux). However all these foods aren't filling and having salads everyday is boring. Does anyone have any suggestions for a meal that isn't acidic or gives you acid reflux but is super filling? Most of the filling foods give me acid reflux. I don't want to actually get full but feel full if that makes sense.</t>
        </is>
      </c>
      <c r="D3637" t="n">
        <v>1</v>
      </c>
      <c r="E3637" t="n">
        <v>9</v>
      </c>
      <c r="F3637">
        <f>HYPERLINK("https://www.reddit.com/r/GERD/comments/dw9n5d/non_acidic_filling_foods/")</f>
        <v/>
      </c>
      <c r="G3637" t="inlineStr">
        <is>
          <t>2019-11-14 05:37:44</t>
        </is>
      </c>
      <c r="H3637" t="inlineStr"/>
    </row>
    <row r="3638">
      <c r="A3638" t="inlineStr">
        <is>
          <t>dwa7pq</t>
        </is>
      </c>
      <c r="B3638" t="inlineStr">
        <is>
          <t>I have bad breath for over a year. I tried everything nothing worked.</t>
        </is>
      </c>
      <c r="C3638" t="inlineStr">
        <is>
          <t>I’m sure the smell is coming from my stomach. I went to a 4 dentists and they say my teeth and gums are fine. I went and got my sinuses checked out 3 times and it’s fine. I did all of the lab works for liver and kidney functions, complete blood picture, checked for diabetes, zinc, B12, vitamin D. Literally everything and all came back fine. It’s really affecting my life now and I don’t know what to do. I smell feces  from my nose and mouth constantly. I had h pylori and took antibiotics and it went away but the smell did not. I took nexium, zurcal, ezogast, colovorin, ganaton, amipride, zantac, gastrobiotic but nothing worked. Please help.</t>
        </is>
      </c>
      <c r="D3638" t="n">
        <v>1</v>
      </c>
      <c r="E3638" t="n">
        <v>10</v>
      </c>
      <c r="F3638">
        <f>HYPERLINK("https://www.reddit.com/r/GERD/comments/dwa7pq/i_have_bad_breath_for_over_a_year_i_tried/")</f>
        <v/>
      </c>
      <c r="G3638" t="inlineStr">
        <is>
          <t>2019-11-14 06:25:14</t>
        </is>
      </c>
      <c r="H3638" t="inlineStr"/>
    </row>
    <row r="3639">
      <c r="A3639" t="inlineStr">
        <is>
          <t>dwd0a4</t>
        </is>
      </c>
      <c r="B3639" t="inlineStr">
        <is>
          <t>LPR and Tonsils</t>
        </is>
      </c>
      <c r="C3639" t="inlineStr">
        <is>
          <t>I was diagnosed with LPR in the summer by an ENT consultant. My symptoms were post nasal drip, coughing, hoarseness and lump in the throat. I took the PPI meds and they helped for a month or two.
I then stopped taking them to try and control my symptoms myself...
About two weeks later I noticed some discomfort with my tonsils and some nasty white discharge/lumps from behind them. Thought they were tonsil stones but they seemed soft and seem to mostly come from the curtains above the tonsils. Also developed a very sensitive painful tongue, and the same lump in the throat feeling.
Saw the ENT again recently and he puts it all down to acid, says the acid is irritating my tonsils and causing them to over produce mucus etc and cause the gross discharge. He doesn’t think it’s tonsil stones.
He put my back on PPI. Has anyone else with LPR experienced similar before? If so how did you deal with it? Or does this sound like a misdiagnosis?</t>
        </is>
      </c>
      <c r="D3639" t="n">
        <v>1</v>
      </c>
      <c r="E3639" t="n">
        <v>0</v>
      </c>
      <c r="F3639">
        <f>HYPERLINK("https://www.reddit.com/r/GERD/comments/dwd0a4/lpr_and_tonsils/")</f>
        <v/>
      </c>
      <c r="G3639" t="inlineStr">
        <is>
          <t>2019-11-14 09:46:21</t>
        </is>
      </c>
      <c r="H3639" t="inlineStr"/>
    </row>
    <row r="3640">
      <c r="A3640" t="inlineStr">
        <is>
          <t>dwdbtw</t>
        </is>
      </c>
      <c r="B3640" t="inlineStr">
        <is>
          <t>In class and I have a presentation. GERD is acting up.</t>
        </is>
      </c>
      <c r="C3640" t="inlineStr">
        <is>
          <t>My entire abdomen is burning. I don't have any gaviscon on me and I don't know what to do. I have to give a five minute speech and I honestly don't think I can talk without feeling sick.</t>
        </is>
      </c>
      <c r="D3640" t="n">
        <v>1</v>
      </c>
      <c r="E3640" t="n">
        <v>0</v>
      </c>
      <c r="F3640">
        <f>HYPERLINK("https://www.reddit.com/r/GERD/comments/dwdbtw/in_class_and_i_have_a_presentation_gerd_is_acting/")</f>
        <v/>
      </c>
      <c r="G3640" t="inlineStr">
        <is>
          <t>2019-11-14 10:08:18</t>
        </is>
      </c>
      <c r="H3640" t="inlineStr"/>
    </row>
    <row r="3641">
      <c r="A3641" t="inlineStr">
        <is>
          <t>dwdnmd</t>
        </is>
      </c>
      <c r="B3641" t="inlineStr">
        <is>
          <t>Water issues?</t>
        </is>
      </c>
      <c r="C3641" t="inlineStr">
        <is>
          <t>Does anyone have problems drinking water?  Any normal amount causes sinus issues like ear popping and dizziness and disorientation.  I can’t drink what I am used to (I’ve been Keto since Jan 18’ but haven’t been able to maintain it as well as I’d like because of Gerd issues)  Which by the way Keto is supposed to help.  My doc says my likely cause of Silent Gerd/Barrett’s is from alcohol but I was on calcium channel blockers so I’m not sure.  I drank 90 oz of water a day before and now I can barely drink 30.  I know there’s lots of factors like activity etc and I lost a lot of weight so my needs are lower.  I’ve been to ALL the doctors and everything is normal besides the Gerd.  Electrolytes are normal etc.  I am hydrated and maybe I’m just obsessing over the water.  I have a hard time drinking to just to thirst.</t>
        </is>
      </c>
      <c r="D3641" t="n">
        <v>1</v>
      </c>
      <c r="E3641" t="n">
        <v>1</v>
      </c>
      <c r="F3641">
        <f>HYPERLINK("https://www.reddit.com/r/GERD/comments/dwdnmd/water_issues/")</f>
        <v/>
      </c>
      <c r="G3641" t="inlineStr">
        <is>
          <t>2019-11-14 10:31:21</t>
        </is>
      </c>
      <c r="H3641" t="inlineStr"/>
    </row>
    <row r="3642">
      <c r="A3642" t="inlineStr">
        <is>
          <t>dwepuq</t>
        </is>
      </c>
      <c r="B3642" t="inlineStr">
        <is>
          <t>To eat the pizza?</t>
        </is>
      </c>
      <c r="C3642" t="inlineStr">
        <is>
          <t>I have had a sharp pain in my chest for two months and the endoscopy said it was good ol’ reflux.  I have been following The Acid Watcher’s Diet religiously for a month, and I have had absolutely no progress.  There are no triggering factors in my life other than stress, and 20mg omeprazole with 40mg famotidine are not improving things.  I’m considering eating pizza and nachos because I can’t take this boring diet anymore.  What do you all think might happen if I do?</t>
        </is>
      </c>
      <c r="D3642" t="n">
        <v>1</v>
      </c>
      <c r="E3642" t="n">
        <v>15</v>
      </c>
      <c r="F3642">
        <f>HYPERLINK("https://www.reddit.com/r/GERD/comments/dwepuq/to_eat_the_pizza/")</f>
        <v/>
      </c>
      <c r="G3642" t="inlineStr">
        <is>
          <t>2019-11-14 11:46:17</t>
        </is>
      </c>
      <c r="H3642" t="inlineStr"/>
    </row>
    <row r="3643">
      <c r="A3643" t="inlineStr">
        <is>
          <t>dwfnfd</t>
        </is>
      </c>
      <c r="B3643" t="inlineStr">
        <is>
          <t>Hiatal Hernia causing nightmares and globus</t>
        </is>
      </c>
      <c r="C3643" t="inlineStr">
        <is>
          <t>I've had reflux for close to 10 years probably and over the course of the last 2 years I have began having episodes at night where I spring out of bed in a panic. I have been diagnosed with a hiatal hernia and wanted to see if others are able to live with it or how the surgery went. I'm having at least 3 episodes a night. As soon as I hit REM sleep I'm having nightmares where I'm fighting someone or being chocked or chased. Can anyone relate to this?</t>
        </is>
      </c>
      <c r="D3643" t="n">
        <v>1</v>
      </c>
      <c r="E3643" t="n">
        <v>0</v>
      </c>
      <c r="F3643">
        <f>HYPERLINK("https://www.reddit.com/r/GERD/comments/dwfnfd/hiatal_hernia_causing_nightmares_and_globus/")</f>
        <v/>
      </c>
      <c r="G3643" t="inlineStr">
        <is>
          <t>2019-11-14 12:52:29</t>
        </is>
      </c>
      <c r="H3643" t="inlineStr"/>
    </row>
    <row r="3644">
      <c r="A3644" t="inlineStr">
        <is>
          <t>dwgq0e</t>
        </is>
      </c>
      <c r="B3644" t="inlineStr">
        <is>
          <t>Acidic food flavoring broth okay for GERD?</t>
        </is>
      </c>
      <c r="C3644" t="inlineStr">
        <is>
          <t>I understand people react differently, but was wondering what you think.  I was planning to make my own broth and wondered if I flavored it with onion and garlic and remove the onion and garlic if I somehow could get away with having the flavor but whatever acid in it is diluted by a lot of water.</t>
        </is>
      </c>
      <c r="D3644" t="n">
        <v>1</v>
      </c>
      <c r="E3644" t="n">
        <v>0</v>
      </c>
      <c r="F3644">
        <f>HYPERLINK("https://www.reddit.com/r/GERD/comments/dwgq0e/acidic_food_flavoring_broth_okay_for_gerd/")</f>
        <v/>
      </c>
      <c r="G3644" t="inlineStr">
        <is>
          <t>2019-11-14 14:07:25</t>
        </is>
      </c>
      <c r="H3644" t="inlineStr"/>
    </row>
    <row r="3645">
      <c r="A3645" t="inlineStr">
        <is>
          <t>dwh1cp</t>
        </is>
      </c>
      <c r="B3645" t="inlineStr">
        <is>
          <t>Anybody else here deal with constant burping???</t>
        </is>
      </c>
      <c r="C3645" t="inlineStr">
        <is>
          <t>I was just diagnosed with Gerd and started 40 mg of Omeprazol a day. I have been dealing with constant burping/stomach gurgling for weeks. Barely been able to eat because I also caught some kind of stomach virus that I fought off. 
Anybody else here deal with constant burping? It’s really getting to be a struggle for me and I’m hoping Omeprazol will calm it soon. Also keep waking up super nauseous. Any tips for dealing with morning Nausea?</t>
        </is>
      </c>
      <c r="D3645" t="n">
        <v>1</v>
      </c>
      <c r="E3645" t="n">
        <v>16</v>
      </c>
      <c r="F3645">
        <f>HYPERLINK("https://www.reddit.com/r/GERD/comments/dwh1cp/anybody_else_here_deal_with_constant_burping/")</f>
        <v/>
      </c>
      <c r="G3645" t="inlineStr">
        <is>
          <t>2019-11-14 14:28:49</t>
        </is>
      </c>
      <c r="H3645" t="inlineStr"/>
    </row>
    <row r="3646">
      <c r="A3646" t="inlineStr">
        <is>
          <t>dwjm7d</t>
        </is>
      </c>
      <c r="B3646" t="inlineStr">
        <is>
          <t>Recommendations for method to incline a bed frame</t>
        </is>
      </c>
      <c r="C3646" t="inlineStr">
        <is>
          <t>Does anyone have any recommendations on the best way to incline a bed frame? 
I just broke my IKEA frame after putting cinderblocks under it.  I had it inclined for a few months, took them out a while ago, but the cheap MDF frame broke when I went to put them back in.  It wasn’t built to be put on an incline, so not surprised. Wedge pillows are terrible comparatively!
Anyone have any luck, or have a better way to raise the mattress?</t>
        </is>
      </c>
      <c r="D3646" t="n">
        <v>1</v>
      </c>
      <c r="E3646" t="n">
        <v>6</v>
      </c>
      <c r="F3646">
        <f>HYPERLINK("https://www.reddit.com/r/GERD/comments/dwjm7d/recommendations_for_method_to_incline_a_bed_frame/")</f>
        <v/>
      </c>
      <c r="G3646" t="inlineStr">
        <is>
          <t>2019-11-14 17:45:54</t>
        </is>
      </c>
      <c r="H3646" t="inlineStr"/>
    </row>
    <row r="3647">
      <c r="A3647" t="inlineStr">
        <is>
          <t>dwkudd</t>
        </is>
      </c>
      <c r="B3647" t="inlineStr">
        <is>
          <t>Pressure and popping sound in breastbone</t>
        </is>
      </c>
      <c r="C3647" t="inlineStr">
        <is>
          <t>I have severe GERD and have been trying to control it via diet and meds for months.  In the last few months, I’ve been having pressure and a popping sound in my breastbone.   After it pops, the pressure goes away until it builds up again much like popping your fingers or back.  Is anybody else experiencing this?</t>
        </is>
      </c>
      <c r="D3647" t="n">
        <v>1</v>
      </c>
      <c r="E3647" t="n">
        <v>5</v>
      </c>
      <c r="F3647">
        <f>HYPERLINK("https://www.reddit.com/r/GERD/comments/dwkudd/pressure_and_popping_sound_in_breastbone/")</f>
        <v/>
      </c>
      <c r="G3647" t="inlineStr">
        <is>
          <t>2019-11-14 19:27:18</t>
        </is>
      </c>
      <c r="H3647" t="inlineStr"/>
    </row>
    <row r="3648">
      <c r="A3648" t="inlineStr">
        <is>
          <t>dwmqv8</t>
        </is>
      </c>
      <c r="B3648" t="inlineStr">
        <is>
          <t>Recently underwent LNF (laparoscopic nissen fundoplication) Wednesday morning. Questions? Need someone to talk to?</t>
        </is>
      </c>
      <c r="C3648" t="inlineStr">
        <is>
          <t>Any questions? I’d love to help. I only recently found this sub, although I wish I did 2 years ago when my symptoms started.</t>
        </is>
      </c>
      <c r="D3648" t="n">
        <v>1</v>
      </c>
      <c r="E3648" t="n">
        <v>12</v>
      </c>
      <c r="F3648">
        <f>HYPERLINK("https://www.reddit.com/r/GERD/comments/dwmqv8/recently_underwent_lnf_laparoscopic_nissen/")</f>
        <v/>
      </c>
      <c r="G3648" t="inlineStr">
        <is>
          <t>2019-11-14 22:26:02</t>
        </is>
      </c>
      <c r="H3648" t="inlineStr"/>
    </row>
    <row r="3649">
      <c r="A3649" t="inlineStr">
        <is>
          <t>dwn0c2</t>
        </is>
      </c>
      <c r="B3649" t="inlineStr">
        <is>
          <t>When do I know that a PPI isn't right for me?</t>
        </is>
      </c>
      <c r="C3649" t="inlineStr">
        <is>
          <t>I was on Prilosec for a year and honestly I couldn't tell the difference between days I took it and days I didn't. I started Nexium a week ago and it feels like my reflux has gotten twice as bad.
Has anybody had experience with a PPI that made them worse before it made them better? How long should I stick it out if it's exaggerating all of my symptoms?</t>
        </is>
      </c>
      <c r="D3649" t="n">
        <v>1</v>
      </c>
      <c r="E3649" t="n">
        <v>6</v>
      </c>
      <c r="F3649">
        <f>HYPERLINK("https://www.reddit.com/r/GERD/comments/dwn0c2/when_do_i_know_that_a_ppi_isnt_right_for_me/")</f>
        <v/>
      </c>
      <c r="G3649" t="inlineStr">
        <is>
          <t>2019-11-14 22:54:34</t>
        </is>
      </c>
      <c r="H3649" t="inlineStr"/>
    </row>
    <row r="3650">
      <c r="A3650" t="inlineStr">
        <is>
          <t>dwnjn7</t>
        </is>
      </c>
      <c r="B3650" t="inlineStr">
        <is>
          <t>PPIs making me feel worse?</t>
        </is>
      </c>
      <c r="C3650" t="inlineStr">
        <is>
          <t>I have LPR/silent reflux, where I feel no heartburn but deal with acid leaking into my throat every day or waking up choking and gasping for air at night, etc. Zantac 150 had helped me enough to make life manageable, but I recently stopped taking it after places started pulling it from shelves, so things started getting bad again.
I started Nexium because I remember from long ago that it was easier for me to tolerate than omeprazole and wanted to give a PPI another shot because I haven't had luck in the past, but I have been taking it for 1 week now and I just feel worse - pain in my esophagus, food feeling stuck or a sensation in throat, a fullness and tightness in chest, etc. This happened to my years ago. I realize these drugs are often taken for 2-8 weeks before results, but has anyone else here just not been able to use PPIs because of feeling worse?
If so, did you find taking H2 antagonists such as Pepcid the better option?</t>
        </is>
      </c>
      <c r="D3650" t="n">
        <v>1</v>
      </c>
      <c r="E3650" t="n">
        <v>1</v>
      </c>
      <c r="F3650">
        <f>HYPERLINK("https://www.reddit.com/r/GERD/comments/dwnjn7/ppis_making_me_feel_worse/")</f>
        <v/>
      </c>
      <c r="G3650" t="inlineStr">
        <is>
          <t>2019-11-14 23:54:21</t>
        </is>
      </c>
      <c r="H3650" t="inlineStr"/>
    </row>
    <row r="3651">
      <c r="A3651" t="inlineStr">
        <is>
          <t>dwoc8i</t>
        </is>
      </c>
      <c r="B3651" t="inlineStr">
        <is>
          <t>Do you build up a tolerance to h2 blockers?</t>
        </is>
      </c>
      <c r="C3651" t="inlineStr">
        <is>
          <t>If so how long does it usually take?</t>
        </is>
      </c>
      <c r="D3651" t="n">
        <v>1</v>
      </c>
      <c r="E3651" t="n">
        <v>3</v>
      </c>
      <c r="F3651">
        <f>HYPERLINK("https://www.reddit.com/r/GERD/comments/dwoc8i/do_you_build_up_a_tolerance_to_h2_blockers/")</f>
        <v/>
      </c>
      <c r="G3651" t="inlineStr">
        <is>
          <t>2019-11-15 01:21:51</t>
        </is>
      </c>
      <c r="H3651" t="inlineStr"/>
    </row>
    <row r="3652">
      <c r="A3652" t="inlineStr">
        <is>
          <t>dwotsf</t>
        </is>
      </c>
      <c r="B3652" t="inlineStr">
        <is>
          <t>Never trust a doctor</t>
        </is>
      </c>
      <c r="C3652" t="inlineStr">
        <is>
          <t>So last week after clear endoscopy that only showed incompetence of LES, the gastroenterologist told me that my symptoms in throat aren’t caused by reflux, that reflux doesn’t cause mucus buildup and that I should just stop taking omeprazole abruptly after taking high dose for 3+ months. I fortunately didn’t listen to him amd went to an ENT and they told me that it’s most probably reflux and send me to a different gastroenterologist to undergo a Ph metrics. 
Like what the fucking fuck, I’m tired of this shit. First a doctor treated me for H. Pyroli with antibiotics just to undergo gastroscopy and find out that I didn’t have it and now this. My mother was there with me because she is a nurse in the same hospital and I got an earlier appointment thanks to her. Now after the doctor zold me that it’s not reflux she looked at me for a week as if Im a fucking hypochodriac or something. Never trust a fucking doctor.</t>
        </is>
      </c>
      <c r="D3652" t="n">
        <v>1</v>
      </c>
      <c r="E3652" t="n">
        <v>2</v>
      </c>
      <c r="F3652">
        <f>HYPERLINK("https://www.reddit.com/r/GERD/comments/dwotsf/never_trust_a_doctor/")</f>
        <v/>
      </c>
      <c r="G3652" t="inlineStr">
        <is>
          <t>2019-11-15 02:15:59</t>
        </is>
      </c>
      <c r="H3652" t="inlineStr"/>
    </row>
    <row r="3653">
      <c r="A3653" t="inlineStr">
        <is>
          <t>dwqc5p</t>
        </is>
      </c>
      <c r="B3653" t="inlineStr">
        <is>
          <t>Has anyone else's voice changed drastically over the years?</t>
        </is>
      </c>
      <c r="C3653" t="inlineStr">
        <is>
          <t>I have a very deep voice and I'm pretty sure it's because of Gerd. I've had Gerd since I was 7(im now 19) and I used to sound worse around age 11-13 but ever since getting diagnosed and medicated at 13 my voice became better. Now it's not as bad as it used to be but I still sound hoarse and deep. I sound like a boy/a bit mannish which honestly sucks sometimes cus ppl make fun of me for it when they don't know it's not like I make it deep on purpose and I can't control it.
Is it just me or does anyone else's voice change esp when they get reflux? Mine gets like a smoker and deep</t>
        </is>
      </c>
      <c r="D3653" t="n">
        <v>1</v>
      </c>
      <c r="E3653" t="n">
        <v>9</v>
      </c>
      <c r="F3653">
        <f>HYPERLINK("https://www.reddit.com/r/GERD/comments/dwqc5p/has_anyone_elses_voice_changed_drastically_over/")</f>
        <v/>
      </c>
      <c r="G3653" t="inlineStr">
        <is>
          <t>2019-11-15 04:49:42</t>
        </is>
      </c>
      <c r="H3653" t="inlineStr"/>
    </row>
    <row r="3654">
      <c r="A3654" t="inlineStr">
        <is>
          <t>dwqoy1</t>
        </is>
      </c>
      <c r="B3654" t="inlineStr">
        <is>
          <t>4 days of stomach pain</t>
        </is>
      </c>
      <c r="C3654" t="inlineStr">
        <is>
          <t>Back in May this year I had stomach pains just above my belly button that was a constant and dull pain. It lasted for 4 days. Before the pain started I had went to Nandos, so I thought maybe that caused it. But one day after the pain subsided I basically had liquid poo multiple times, but only when the pain went away. What does it sound like I had?
Because in August 2018, 8 months before, I had similar stomach pain that lasted 4-5 days without the diarrhea at the end. They couldn't have been similar things right? Also got stomach pain in September this year that last 2 days, doctors are saying GERD because the pain is above belly button.</t>
        </is>
      </c>
      <c r="D3654" t="n">
        <v>1</v>
      </c>
      <c r="E3654" t="n">
        <v>7</v>
      </c>
      <c r="F3654">
        <f>HYPERLINK("https://www.reddit.com/r/GERD/comments/dwqoy1/4_days_of_stomach_pain/")</f>
        <v/>
      </c>
      <c r="G3654" t="inlineStr">
        <is>
          <t>2019-11-15 05:20:57</t>
        </is>
      </c>
      <c r="H3654" t="inlineStr"/>
    </row>
    <row r="3655">
      <c r="A3655" t="inlineStr">
        <is>
          <t>dwrlwu</t>
        </is>
      </c>
      <c r="B3655" t="inlineStr">
        <is>
          <t>Coughed up bile/acid, question</t>
        </is>
      </c>
      <c r="C3655" t="inlineStr">
        <is>
          <t>I woke up mid reflux with burning throat so bad I couldn't stop coughing and ended up throwing up this orangey nasty liquid which has never happened before. Is this something to worry about? Or is it just the color of the food in stomach from yesterday?</t>
        </is>
      </c>
      <c r="D3655" t="n">
        <v>1</v>
      </c>
      <c r="E3655" t="n">
        <v>2</v>
      </c>
      <c r="F3655">
        <f>HYPERLINK("https://www.reddit.com/r/GERD/comments/dwrlwu/coughed_up_bileacid_question/")</f>
        <v/>
      </c>
      <c r="G3655" t="inlineStr">
        <is>
          <t>2019-11-15 06:36:09</t>
        </is>
      </c>
      <c r="H3655" t="inlineStr"/>
    </row>
    <row r="3656">
      <c r="A3656" t="inlineStr">
        <is>
          <t>dwrqaf</t>
        </is>
      </c>
      <c r="B3656" t="inlineStr">
        <is>
          <t>How do you deal with eructation ?</t>
        </is>
      </c>
      <c r="C3656" t="inlineStr">
        <is>
          <t>I have gerd with chronic duodenitis and I didn't take nexium for over a year now.
My symptoms are triggered by heavy late meals or alcohol drinking (even slightly)</t>
        </is>
      </c>
      <c r="D3656" t="n">
        <v>1</v>
      </c>
      <c r="E3656" t="n">
        <v>0</v>
      </c>
      <c r="F3656">
        <f>HYPERLINK("https://www.reddit.com/r/GERD/comments/dwrqaf/how_do_you_deal_with_eructation/")</f>
        <v/>
      </c>
      <c r="G3656" t="inlineStr">
        <is>
          <t>2019-11-15 06:46:08</t>
        </is>
      </c>
      <c r="H3656" t="inlineStr"/>
    </row>
    <row r="3657">
      <c r="A3657" t="inlineStr">
        <is>
          <t>dws3dj</t>
        </is>
      </c>
      <c r="B3657" t="inlineStr">
        <is>
          <t>Why does my LPR feel like something worse?</t>
        </is>
      </c>
      <c r="C3657" t="inlineStr">
        <is>
          <t xml:space="preserve"> ME: 50 years old, 5’8”, 215lbs
I’ve been going through what I suppose are severe LPS symptoms on and off for a couple years. However, all of the symptoms I feel are compounded by the fact that I have developed pretty severe health anxiety that turns everything I feel into a deadly or chronic illness.
I’m writing this partially to vent, but also to see how closely my experience matches with other people’s symptoms.
My main symptoms: Shortness of breath, a tight feeling around my lungs that makes breathing feel labored, constant clearing of throat, hoarseness, burping (and feeling like I’m going to vomit food when I burp), weird back pains that seem to travel from left to right and up and down, throat mucous and a nagging cough.
More occasional symptoms: Slight wheeze when laying down on my side, or on forced exhalation (sometimes I hear it from my lungs, sometimes from my throat), waking up at 3am with what feels like stomach acid pooled in my throat, dysphagia, globus (a couple years ago), sore throat in the morning, feeling very bloated after a normal meal and even tingling in my fingertips
Most troublesome symptom: I would describe my cough as a “testing cough.” My health anxiety (along with being an ex-smoker) keeps telling me that I have a chronic lung disease. So when I can’t breathe properly or if I feel something is blocking my breathing, I force a cough to try and clear my lungs. (I think: “Will it be a dry or wet cough? Then I’ll know if it’s LPR or something worse!”) Fairly rarely (and usually in the morning), I’ll produce a small bit of clearish phlegm from my lungs and that sets off a wave of panic — like a confirmation that I have a pulmonary illness. This, of course, tightens my chest further, making it harder to breathe. Eventually, it sends me to my doctor or to one of those drop-in emergency clinics.
The fact that I’ve had two recent chest colds (in early August and mid-October) makes me all the more concerned. I rarely get colds.
Over the past four years, I have gotten four chest x-rays, taken four breathing tests and have had several different doctors listen to my lungs. All x-rays were clear, breathing tests came back normal and lungs always sound clear. My most recent chest x-ray was two weeks ago, when I went into one of these clinics to address my chest cold and get a z-pack.
Each time I leave one of these doctor’s appointments, I feel elated, as though I’ve just been handed back my life. I sing in the shower and make plans for the future. I tell myself I’m gonna lose the 70 pounds I’ve put on over the past 6 years and get back into running (I used to run marathons until around 2012). Then a symptom presents itself, or I get a notion in my head and check WebMD, and slowly this feeling of doom returns.
My pulmonologist seems to think I have very mild asthma (so mild, he doesn’t even want to mark it down in his notes). My gastro thinks my asthma symptoms are possibly brought on/exacerbated by my LPR.
Currently, I’m on Symbicort, Albuterol and Claritin for breathing panic/asthma, rabeprazole, Nexium and Pepcid AC to neutralize stomach acid, and Xanax when I freak the eff out. I also occasionally take Gaviscon and a 20 billion probiotic. I’m also seeing a therapist for my health anxiety and I set up an appointment at a weight loss clinic to shed the weight I can’t seem to do by myself. 
Oh, I’ve also had IBS most of my life, which really only bothers me when I overeat and/or eat spicy food.</t>
        </is>
      </c>
      <c r="D3657" t="n">
        <v>1</v>
      </c>
      <c r="E3657" t="n">
        <v>11</v>
      </c>
      <c r="F3657">
        <f>HYPERLINK("https://www.reddit.com/r/GERD/comments/dws3dj/why_does_my_lpr_feel_like_something_worse/")</f>
        <v/>
      </c>
      <c r="G3657" t="inlineStr">
        <is>
          <t>2019-11-15 07:13:35</t>
        </is>
      </c>
      <c r="H3657" t="inlineStr"/>
    </row>
    <row r="3658">
      <c r="A3658" t="inlineStr">
        <is>
          <t>dwth2q</t>
        </is>
      </c>
      <c r="B3658" t="inlineStr">
        <is>
          <t>Is ground cumin safe for gerd?</t>
        </is>
      </c>
      <c r="C3658" t="inlineStr">
        <is>
          <t>Like generally speaking should it make my symptoms worse? I can't find much information about it.</t>
        </is>
      </c>
      <c r="D3658" t="n">
        <v>1</v>
      </c>
      <c r="E3658" t="n">
        <v>0</v>
      </c>
      <c r="F3658">
        <f>HYPERLINK("https://www.reddit.com/r/GERD/comments/dwth2q/is_ground_cumin_safe_for_gerd/")</f>
        <v/>
      </c>
      <c r="G3658" t="inlineStr">
        <is>
          <t>2019-11-15 08:53:00</t>
        </is>
      </c>
      <c r="H3658" t="inlineStr"/>
    </row>
    <row r="3659">
      <c r="A3659" t="inlineStr">
        <is>
          <t>dwtiee</t>
        </is>
      </c>
      <c r="B3659" t="inlineStr">
        <is>
          <t>Is ground cumin safe for gerd?</t>
        </is>
      </c>
      <c r="C3659" t="inlineStr">
        <is>
          <t>Gonna attempt to make a taco-ish seasoning for some meat that's acid reflux friendly. Got some ground cumin. Generally speaking is that spice a trigger for most people with Gerd? Or is it a safe bet.</t>
        </is>
      </c>
      <c r="D3659" t="n">
        <v>1</v>
      </c>
      <c r="E3659" t="n">
        <v>5</v>
      </c>
      <c r="F3659">
        <f>HYPERLINK("https://www.reddit.com/r/GERD/comments/dwtiee/is_ground_cumin_safe_for_gerd/")</f>
        <v/>
      </c>
      <c r="G3659" t="inlineStr">
        <is>
          <t>2019-11-15 08:55:35</t>
        </is>
      </c>
      <c r="H3659" t="inlineStr"/>
    </row>
    <row r="3660">
      <c r="A3660" t="inlineStr">
        <is>
          <t>dwwnc8</t>
        </is>
      </c>
      <c r="B3660" t="inlineStr">
        <is>
          <t>Welp</t>
        </is>
      </c>
      <c r="C3660" t="inlineStr">
        <is>
          <t>Tried peppermint Gaviscon Advance for the first time. 
So now I know what it's like to swallow listerine à la cum.</t>
        </is>
      </c>
      <c r="D3660" t="n">
        <v>1</v>
      </c>
      <c r="E3660" t="n">
        <v>18</v>
      </c>
      <c r="F3660">
        <f>HYPERLINK("https://www.reddit.com/r/GERD/comments/dwwnc8/welp/")</f>
        <v/>
      </c>
      <c r="G3660" t="inlineStr">
        <is>
          <t>2019-11-15 12:45:36</t>
        </is>
      </c>
      <c r="H3660" t="inlineStr"/>
    </row>
    <row r="3661">
      <c r="A3661" t="inlineStr">
        <is>
          <t>dwwuq7</t>
        </is>
      </c>
      <c r="B3661" t="inlineStr">
        <is>
          <t>Does this sound like GERD?</t>
        </is>
      </c>
      <c r="C3661" t="inlineStr">
        <is>
          <t>I have always dealt with heartburn it used to be quite severe but after losing a lot of weight it has subsided. However, I also deal with regurgitation of food, like the food comes up as it went down. Same with drinks. The only thing coming up when I search is GERD. I’m just curious does anyone else deal with regurgitation</t>
        </is>
      </c>
      <c r="D3661" t="n">
        <v>1</v>
      </c>
      <c r="E3661" t="n">
        <v>2</v>
      </c>
      <c r="F3661">
        <f>HYPERLINK("https://www.reddit.com/r/GERD/comments/dwwuq7/does_this_sound_like_gerd/")</f>
        <v/>
      </c>
      <c r="G3661" t="inlineStr">
        <is>
          <t>2019-11-15 13:01:10</t>
        </is>
      </c>
      <c r="H3661" t="inlineStr"/>
    </row>
    <row r="3662">
      <c r="A3662" t="inlineStr">
        <is>
          <t>dwx9ql</t>
        </is>
      </c>
      <c r="B3662" t="inlineStr">
        <is>
          <t>Questions regarding HH/LPR/GERD</t>
        </is>
      </c>
      <c r="C3662" t="inlineStr">
        <is>
          <t>Are there symptoms that are specific to Hiatal Hernia vs GERD vs LPR? Or do they all overlap?</t>
        </is>
      </c>
      <c r="D3662" t="n">
        <v>1</v>
      </c>
      <c r="E3662" t="n">
        <v>1</v>
      </c>
      <c r="F3662">
        <f>HYPERLINK("https://www.reddit.com/r/GERD/comments/dwx9ql/questions_regarding_hhlprgerd/")</f>
        <v/>
      </c>
      <c r="G3662" t="inlineStr">
        <is>
          <t>2019-11-15 13:32:20</t>
        </is>
      </c>
      <c r="H3662" t="inlineStr"/>
    </row>
    <row r="3663">
      <c r="A3663" t="inlineStr">
        <is>
          <t>dx0n2g</t>
        </is>
      </c>
      <c r="B3663" t="inlineStr">
        <is>
          <t>I’m 29 with LPR and had the Nissen fundoplication surgery</t>
        </is>
      </c>
      <c r="C3663" t="inlineStr">
        <is>
          <t>I’m a 29 year-old female and have had LPR for over six years. It’s also worth noting that I’m 5’8”, 135 pounds, extremely fit and outside of my reflux, healthy. My healthcare providers (primary care, gastroenterologist, and surgeon) are baffled each time I walk into their offices with this ongoing issue, given that I’m not the “typical use case” for this condition. I’ve been on everything from Lansoprazole (Prevacid), and in more recent years, Dexilant (60 mg daily). While the meds offered temporary relief in the beginning, it never lasted nor helped my actual symptoms: **chronic hoarseness, shortness of breath, throat clearing, regurgitation**, etc. I never experience heartburn, but rather, just the symptoms that **others** notice, arguably making LPR (as opposed to traditional GERD) even more frustrating to deal with as it impacted my day-to-day communication ability. As a marketer, communicator, and former singer, one could imagine how debilitating LPR can feel. If I have a drink, you’ll hear it in my voice the next day. Same with coffee, tea and just about anything acidic (read: all the good-tasting things). It, of course, seems like the simple answer would be to give up all the bad foods! Stop drinking! Stop eating pizza! But what diet modification misses is the fundamental functional problem - a weak lower esophageal sphincter allowing acid to travel back up, and in the case of LPR, said acid releases pepsin which is the substance that causes the airway and vocal disruptions that result in the aforementioned systems. In my case, I regurgitate just about everything. And while it’s not that I **want** to drink and eat pasta all the time, it’s that I don’t want to be punished every time I do. And when I say punished, I mean the fact that I may not have a voice for a period of time. I mean the fact that I’ll struggle to breathe. I emphasize these latter points to clearly articulate the difference between LPR and your standard-issue GERD. 
All of that being said, after years of struggle, experimenting, limiting acidic foods, drinking gallons of alkaline water, not going to bed less than 4-6 hours after eating, and a number of uncomfortable medical tests, I decided to have the Nissen fundoplication surgery. I had the surgery two days ago as of this post (Nov. 13th, 2019). and I sit before you as someone who, at-present, is wildly thankful she did it. I’d reached the point where I had no other choice **but** to attempt it. While I’m significantly younger than the majority of people who undergo this sort of surgery, the prospect of potentially having decades of relief ahead of me (including some very good, relatively young years still to come) helped me to make this decision now. Too much of my life has already been compromised because of LPR, and one of my goals going into 2019 was to not waste any more time with this condition than necessary.
Okay! That’s plenty for now. At the moment I’m fully focused on recovery and ensuring that everything heals in order for me to have the best chance at true relief in the coming months. I’ll update this post when I have a better indication of said relief. To everyone else out there struggling with the utter nuisance that is LPR, I hope that you found comfort in at least having my story to relate to. I look forward to hopefully being a reflux surgery success story for us. :)</t>
        </is>
      </c>
      <c r="D3663" t="n">
        <v>1</v>
      </c>
      <c r="E3663" t="n">
        <v>0</v>
      </c>
      <c r="F3663">
        <f>HYPERLINK("https://www.reddit.com/r/GERD/comments/dx0n2g/im_29_with_lpr_and_had_the_nissen_fundoplication/")</f>
        <v/>
      </c>
      <c r="G3663" t="inlineStr">
        <is>
          <t>2019-11-15 18:04:17</t>
        </is>
      </c>
      <c r="H3663" t="inlineStr"/>
    </row>
    <row r="3664">
      <c r="A3664" t="inlineStr">
        <is>
          <t>dx0rtd</t>
        </is>
      </c>
      <c r="B3664" t="inlineStr">
        <is>
          <t>I think I might have LPR</t>
        </is>
      </c>
      <c r="C3664" t="inlineStr">
        <is>
          <t>I've been burping constantly for several years now, but never really had heartburn. My doctor suggested acid reflux and I tried every reflux drug there is. Honestly, I wrote down every single one I could find and crossed them off one by one as they proceeded to not help me. I also have constant sinus inflammation and post-nasal drip that nothing helps and I cough for no reason, which are other LPR symptoms as far as I know. Sometimes I get heartburn, but it's very rare and when it happens, it's really mild. Usually I know when I've eaten something triggering when I experience bad back pain and constant burping.
Then it escalated into breathing problems. Not total shortness of breath, but I often can't take a deep breath and it takes me many tries to feel like I've taken a satisfying breath, only to feel that need again five seconds later. This keeps me up a lot at night.
My doctor hasn't been much help. She refused to do breathing tests and and EKG to rule out bigger problems and only suggested melatonin for sleep (didn't help) and also refused to order allergy tests because my symptoms don't sound like allergies. My heart sounded fine to her and my oxygen saturation is 99%, so it seems like the major organs are fine. But still, feeling like I can't breathe is kinda scary!
I saw someone's story about LPR and how they were cured with Vitamin D supplements. I started taking 5,000 IU of Vitamin D3 and I did see a significant decrease in my symptoms. Those worked until they didn't and now I'm back to shortness of breath even with my daily D3 pill.
I hate this, and I know if I go to the hospital and say I can't breathe, one of two things will happen: I'll get told it's just anxiety and to go home, or I'll be sent to the ER because it might be a blood clot (hint: it's not).
I recently ordered Dr. Koufman's Acid Reflux Diet book because it seems to be useful to people with both GERD and silent reflux. I don't know what else to do and I'm miserable. Just the burping by itself was annoying, but tolerable. Being unable to breathe is something I cannot deal with, especially when it messes with my sleep and then I have to take a sick day because I'm too tired to function.
I guess I'm just looking for support.</t>
        </is>
      </c>
      <c r="D3664" t="n">
        <v>1</v>
      </c>
      <c r="E3664" t="n">
        <v>2</v>
      </c>
      <c r="F3664">
        <f>HYPERLINK("https://www.reddit.com/r/GERD/comments/dx0rtd/i_think_i_might_have_lpr/")</f>
        <v/>
      </c>
      <c r="G3664" t="inlineStr">
        <is>
          <t>2019-11-15 18:16:00</t>
        </is>
      </c>
      <c r="H3664" t="inlineStr"/>
    </row>
    <row r="3665">
      <c r="A3665" t="inlineStr">
        <is>
          <t>dx1l1w</t>
        </is>
      </c>
      <c r="B3665" t="inlineStr">
        <is>
          <t>How can you deal with LPR? My symptoms are so aggravating - burning throat, running nose, feeling chest pains when wearing clothing? It's making me depressed...</t>
        </is>
      </c>
      <c r="C3665" t="inlineStr">
        <is>
          <t>i'm only 25 and I shouldn't have to be living like this. 6 months ago I was fine, could eat anything I wanted without any problems, then that changed.
ppi's generally never work for me.
I took action and did an endoscopy and doctor said there was inflammation/gastritis and prescribed me meds to kill H plyoria and as well as a PPI.
Suprisingly, after 3 weeks of that, I felt better and my symptoms were gone.... I got off the ppi's and then a few weeks ago the reflux came back and now i've been on PPIS' again (20mg of Omep, 1 before breakfast, and 1 before dinner) for almost 3 weeks now.... and it's not honestly doing anything.
I'm getting to the point where i'm just done... Have you guys heard of the gavison advance? is it all hype? Should I get that?</t>
        </is>
      </c>
      <c r="D3665" t="n">
        <v>1</v>
      </c>
      <c r="E3665" t="n">
        <v>4</v>
      </c>
      <c r="F3665">
        <f>HYPERLINK("https://www.reddit.com/r/GERD/comments/dx1l1w/how_can_you_deal_with_lpr_my_symptoms_are_so/")</f>
        <v/>
      </c>
      <c r="G3665" t="inlineStr">
        <is>
          <t>2019-11-15 19:29:53</t>
        </is>
      </c>
      <c r="H3665" t="inlineStr"/>
    </row>
    <row r="3666">
      <c r="A3666" t="inlineStr">
        <is>
          <t>dx2234</t>
        </is>
      </c>
      <c r="B3666" t="inlineStr">
        <is>
          <t>How do those of you who are married deal with your GERD?</t>
        </is>
      </c>
      <c r="C3666" t="inlineStr">
        <is>
          <t>So as someone recently diagnosed with Gerd I have struggled with the advice as a married man. Many of the methods to help me would have a negative impact on my wife which makes it difficult. The first being the raising of the head if bad since I have to share a bed. I have not tried a wedge pillow yet but I may give that a shot. The other big method is food control but it is tough to force a diet on someone else unless you are making two meals every night. It just seems like this is one disease that if you treat for yourself you are forcing your significant other into that same treatment and have found that extremely frustrating.</t>
        </is>
      </c>
      <c r="D3666" t="n">
        <v>1</v>
      </c>
      <c r="E3666" t="n">
        <v>13</v>
      </c>
      <c r="F3666">
        <f>HYPERLINK("https://www.reddit.com/r/GERD/comments/dx2234/how_do_those_of_you_who_are_married_deal_with/")</f>
        <v/>
      </c>
      <c r="G3666" t="inlineStr">
        <is>
          <t>2019-11-15 20:14:11</t>
        </is>
      </c>
      <c r="H3666" t="inlineStr"/>
    </row>
    <row r="3667">
      <c r="A3667" t="inlineStr">
        <is>
          <t>dx2n7a</t>
        </is>
      </c>
      <c r="B3667" t="inlineStr">
        <is>
          <t>Treatment with Baclofen</t>
        </is>
      </c>
      <c r="C3667" t="inlineStr">
        <is>
          <t>Has anyone here treated their GERD, LPR, or bile reflux successfully with Baclofen?
I have read quite a few studies that look promising. I have a Dr. appt in a few days and I’m gonna ask about this. 
 I am really game to try it, but I would like to get others input on it and if it is successful. 
I have just been diagnosed with bile reflux, and have all the classic symptoms of LPR. Not much burning sensations until recently.</t>
        </is>
      </c>
      <c r="D3667" t="n">
        <v>1</v>
      </c>
      <c r="E3667" t="n">
        <v>8</v>
      </c>
      <c r="F3667">
        <f>HYPERLINK("https://www.reddit.com/r/GERD/comments/dx2n7a/treatment_with_baclofen/")</f>
        <v/>
      </c>
      <c r="G3667" t="inlineStr">
        <is>
          <t>2019-11-15 21:14:23</t>
        </is>
      </c>
      <c r="H3667" t="inlineStr"/>
    </row>
    <row r="3668">
      <c r="A3668" t="inlineStr">
        <is>
          <t>dx2wi7</t>
        </is>
      </c>
      <c r="B3668" t="inlineStr">
        <is>
          <t>Chewing Gum fixed my GERD</t>
        </is>
      </c>
      <c r="C3668" t="inlineStr">
        <is>
          <t>I never used to chew gum, but two weeks ago a friend asked if I wanted a piece and I accepted. Little did I know it'd resolve chronic GERD.
I've had reflux every day for ten years now. I've tried Histamine Receptor Blockers, PPIs, Magnesium Hydroxide, Calcium Carbonate. I've even tried eating/cutting different foods, eating at different times, to no avail. But last week, about 30 minutes into chewing my first pieces of gum in who-knows-how-long, my esophagus relaxed.
I did my due diligence on pubmed, read enough articles til I felt confident that the gum had a medicinal effect and was not functioning as a placebo.
Either way, I encourage you to check out some of the journal articles and try a piece of gum! Maybe it'll work for you, too!</t>
        </is>
      </c>
      <c r="D3668" t="n">
        <v>1</v>
      </c>
      <c r="E3668" t="n">
        <v>17</v>
      </c>
      <c r="F3668">
        <f>HYPERLINK("https://www.reddit.com/r/GERD/comments/dx2wi7/chewing_gum_fixed_my_gerd/")</f>
        <v/>
      </c>
      <c r="G3668" t="inlineStr">
        <is>
          <t>2019-11-15 21:42:07</t>
        </is>
      </c>
      <c r="H3668" t="inlineStr"/>
    </row>
    <row r="3669">
      <c r="A3669" t="inlineStr">
        <is>
          <t>dx58gu</t>
        </is>
      </c>
      <c r="B3669" t="inlineStr">
        <is>
          <t>Pectin is helping me a lot</t>
        </is>
      </c>
      <c r="C3669" t="inlineStr">
        <is>
          <t>Currently going through a massive experimentation of various things to try and figure out wtf is going on in my body. Adding pectin to my diet has had the most dramatic impact on my symptoms, but first I better give a quick overview of what they actually are:
- started when I was 18, suffered from a gnawing soreness in my stomach, tightness in my throat/vocal chords, seb derm
- developed a sore throat/chronic cough when I was about 24
- soon after started experiencing bloating
- I also suffer from polycystic kidney disease, although it doesn't seem to be related as my kidneys aren't big enough to cause problems
Anyway, so it's kind of a funny story how I realised pectin was helping. I was at some family gathering after about a month of eating the same diet with little to no improvement in most of my symptoms, and I thought what the hell, lets eat whatever I want today. I ate various cakes and chocolates, drank a beer, etc. etc. The next day I woke up and felt the best I had in years - I had slept through the night (I never normally do as my stomach starts hurting after about six hours with no food), and my usual sore throat was very mild. I started thinking back through the foods I had eaten that night, but nothing jumped out at me. Later, I went to the shop and found the only thing I specifically remembered eating - malteasers. I checked the ingredients and bam, they contain pectin (I had heard about pectin helping with GERD before). I actually started laughing, I thought the whole thing was so ridiculous. 
So I started taking pectin from tablets. Worth noting I had tried eating apples to help before and noticed no difference - I recommend getting some tablets. Now, for me at least, if I keep taking pectin I start getting worse. I have to take one every two or three days. It's very strange. The best theory I can come up with is it's feeding some good bacteria in my stomach, but in large quantities it gets left over and bad bacteria end up eating it as well. 
In terms of where I stand now, my stomach pain is all but cured, my throat is about 90% better as long as I stick to the diet I'm on right now (will elaborate), my seb derm is largely better, even joint pains I was having have improved. It's no cure, but it's the closest thing I've found to one so far.
For completeness I'll include the current diet I'm on, although I have very little idea why it's working. I started on this diet because I thought constipation was the cause of my problems, which I no longer believe, but the diet seems to be good for me.
It's basically a shit load of fruit - raisins, apples, grapes, rasberries, plus strawberry and banana smoothies and coconut water. Then I eat a tomato pasta pot and a chicken and basil pasta pot for lunch/dinner (the reason for this is I happened to be eating these when my symptoms got better, and haven't gotten round to changing them as I've been experimenting with pectin amounts). This diet is probably pretty damn good for the gut microbiome, which I think is why its working well for me, but beyond that I have no idea. Potentially I have some kind of sensitivity to fats or proteins or something, as my previous diets were always very high in those.
Anyway, as you can probably tell there are still lots of questions to be answered. This is just what is working for me right now, and I hope it does for some of you as well. I will keep posting on here when I discover new info, and please feel free to ask me questions, I will reply to everything.</t>
        </is>
      </c>
      <c r="D3669" t="n">
        <v>1</v>
      </c>
      <c r="E3669" t="n">
        <v>5</v>
      </c>
      <c r="F3669">
        <f>HYPERLINK("https://www.reddit.com/r/GERD/comments/dx58gu/pectin_is_helping_me_a_lot/")</f>
        <v/>
      </c>
      <c r="G3669" t="inlineStr">
        <is>
          <t>2019-11-16 02:26:33</t>
        </is>
      </c>
      <c r="H3669" t="inlineStr"/>
    </row>
    <row r="3670">
      <c r="A3670" t="inlineStr">
        <is>
          <t>dx6geh</t>
        </is>
      </c>
      <c r="B3670" t="inlineStr">
        <is>
          <t>Gaviscon Advance stopped working ?</t>
        </is>
      </c>
      <c r="C3670" t="inlineStr">
        <is>
          <t>I’m having a horrible LPR flare up, and i have both gaviscon advance tabs and liquid, and have tried both with no relief. I had been using for about a month With no issues. Has anyone else had this issue? I also have gastritis, esophagitis, and a hiatal hernia. Thanks</t>
        </is>
      </c>
      <c r="D3670" t="n">
        <v>1</v>
      </c>
      <c r="E3670" t="n">
        <v>8</v>
      </c>
      <c r="F3670">
        <f>HYPERLINK("https://www.reddit.com/r/GERD/comments/dx6geh/gaviscon_advance_stopped_working/")</f>
        <v/>
      </c>
      <c r="G3670" t="inlineStr">
        <is>
          <t>2019-11-16 04:43:23</t>
        </is>
      </c>
      <c r="H3670" t="inlineStr"/>
    </row>
    <row r="3671">
      <c r="A3671" t="inlineStr">
        <is>
          <t>dxcf1i</t>
        </is>
      </c>
      <c r="B3671" t="inlineStr">
        <is>
          <t>GERD Chronic Cough cured after 500,000 coughs. Cough free since.</t>
        </is>
      </c>
      <c r="C3671" t="inlineStr">
        <is>
          <t>It has been 1 year since they said my daughter had GERD and other things that made her have a chronic cough (all misdiagnosed).  Found Dr. Miles Weinberger, MD  [www.CoughInformation.com](http://www.coughinformation.com/) Helped my daughter. She almost instantly stopped coughing. His work is all "peer reviewed" and "published". Works for children and adults.  Here is her video that Dr. Weinberger uses. [https://youtu.be/31gUKy9UKNo](https://youtu.be/31gUKy9UKNo) Dennis</t>
        </is>
      </c>
      <c r="D3671" t="n">
        <v>1</v>
      </c>
      <c r="E3671" t="n">
        <v>3</v>
      </c>
      <c r="F3671">
        <f>HYPERLINK("https://www.reddit.com/r/GERD/comments/dxcf1i/gerd_chronic_cough_cured_after_500000_coughs/")</f>
        <v/>
      </c>
      <c r="G3671" t="inlineStr">
        <is>
          <t>2019-11-16 12:45:17</t>
        </is>
      </c>
      <c r="H3671" t="inlineStr"/>
    </row>
    <row r="3672">
      <c r="A3672" t="inlineStr">
        <is>
          <t>dxcjqf</t>
        </is>
      </c>
      <c r="B3672" t="inlineStr">
        <is>
          <t>Alkaline water is heaven sent!</t>
        </is>
      </c>
      <c r="C3672" t="inlineStr">
        <is>
          <t>My local gas station has their own brand of 9.5+ alkaline water. It is absolutely amazing in combating and neutralizing stomach acid!! 
I’ve started drinking it daily (just not within an hour of eating) and I can tell a HUGE difference
If you can find something similar give it a go!</t>
        </is>
      </c>
      <c r="D3672" t="n">
        <v>1</v>
      </c>
      <c r="E3672" t="n">
        <v>2</v>
      </c>
      <c r="F3672">
        <f>HYPERLINK("https://www.reddit.com/r/GERD/comments/dxcjqf/alkaline_water_is_heaven_sent/")</f>
        <v/>
      </c>
      <c r="G3672" t="inlineStr">
        <is>
          <t>2019-11-16 12:54:31</t>
        </is>
      </c>
      <c r="H3672" t="inlineStr"/>
    </row>
    <row r="3673">
      <c r="A3673" t="inlineStr">
        <is>
          <t>dxfbnc</t>
        </is>
      </c>
      <c r="B3673" t="inlineStr">
        <is>
          <t>Diet help please - GERD - Ceoliac - Diverticulitis - I'm struggling to find a healthy (appetising diet) for muscle gain</t>
        </is>
      </c>
      <c r="C3673" t="inlineStr">
        <is>
          <t>I'm currently really struggling with the will to eat most days, because it's all a bit too bland to select from.
I don't have a high appetite - I rely on my cravings to prompt meal time.
Only problem is, my favourite foods include garlic almost all the time + just general spice, onion, tomato etc &amp;amp; eating plain food is really putting me off eating all together.
I can't eat raw high fibre food due to diverticulitis, so I always crave salads.
My basic food groups (unless I'm being self destructive &amp;amp; eating whatever as long as it's GF) include bananas, potatoes, plain chicken + the occasional blended fruit juice
But I'm really trying to lose weight &amp;amp; gain A LOT of muscle (for a 5'3 woman's frame) and I am worried I'm under eating/not getting the "right stuff" 
&amp;amp;#x200B;
PLEASE if anyone has a GF meal plan suggestion for this, I would be so grateful</t>
        </is>
      </c>
      <c r="D3673" t="n">
        <v>1</v>
      </c>
      <c r="E3673" t="n">
        <v>9</v>
      </c>
      <c r="F3673">
        <f>HYPERLINK("https://www.reddit.com/r/GERD/comments/dxfbnc/diet_help_please_gerd_ceoliac_diverticulitis_im/")</f>
        <v/>
      </c>
      <c r="G3673" t="inlineStr">
        <is>
          <t>2019-11-16 16:28:34</t>
        </is>
      </c>
      <c r="H3673" t="inlineStr"/>
    </row>
    <row r="3674">
      <c r="A3674" t="inlineStr">
        <is>
          <t>dxgcq9</t>
        </is>
      </c>
      <c r="B3674" t="inlineStr">
        <is>
          <t>Wim Hof breathing method</t>
        </is>
      </c>
      <c r="C3674" t="inlineStr">
        <is>
          <t>Has anyone of you tried the Wim Hof breathing method against GERD? It reduces stress levels, so in theory you should have less symptoms, because stress is also a trigger of reflux. This method should also reduce inflammations, so maybe it could help against gastritis?</t>
        </is>
      </c>
      <c r="D3674" t="n">
        <v>1</v>
      </c>
      <c r="E3674" t="n">
        <v>8</v>
      </c>
      <c r="F3674">
        <f>HYPERLINK("https://www.reddit.com/r/GERD/comments/dxgcq9/wim_hof_breathing_method/")</f>
        <v/>
      </c>
      <c r="G3674" t="inlineStr">
        <is>
          <t>2019-11-16 17:54:12</t>
        </is>
      </c>
      <c r="H3674" t="inlineStr"/>
    </row>
    <row r="3675">
      <c r="A3675" t="inlineStr">
        <is>
          <t>dxln91</t>
        </is>
      </c>
      <c r="B3675" t="inlineStr">
        <is>
          <t>Wedge Pillow</t>
        </is>
      </c>
      <c r="C3675" t="inlineStr">
        <is>
          <t>Hi all!  Has anyone here used a wedge pillow, and does it take some getting used to?  Or is it the sort of think you might be compatible with from the start?  Just spent my first night on one and my neck and back are a bit...confused....</t>
        </is>
      </c>
      <c r="D3675" t="n">
        <v>1</v>
      </c>
      <c r="E3675" t="n">
        <v>7</v>
      </c>
      <c r="F3675">
        <f>HYPERLINK("https://www.reddit.com/r/GERD/comments/dxln91/wedge_pillow/")</f>
        <v/>
      </c>
      <c r="G3675" t="inlineStr">
        <is>
          <t>2019-11-17 03:49:54</t>
        </is>
      </c>
      <c r="H3675" t="inlineStr"/>
    </row>
    <row r="3676">
      <c r="A3676" t="inlineStr">
        <is>
          <t>dxnsqy</t>
        </is>
      </c>
      <c r="B3676" t="inlineStr">
        <is>
          <t>Could LES still be my Issue after Barium Swallow, Endoscopy, 48hr PH Monitor, &amp;amp; Gastric Empty Study mostly came back clean?</t>
        </is>
      </c>
      <c r="C3676" t="inlineStr">
        <is>
          <t>I had all these tests done and the only issue revealed was mild gastritis and non ulcer H.Pylori. I expected the doctor to still order me a motility test to check my LES because I haven't had one in a long time and have had a lot worse symptoms since then, but he frankly acted like it was a waste of time and was only concerned with erradicating the H.Pylori and then imo unnecessarily putting me under a endoscopy again to test and see if it's gone.
After doing a ton of research, and going through a round of treatment it seems very unlikely that H.pylori would be causing my Reflux/LPR symptoms.
So I'm posting here cause I'm curious if anyone had similar tests come back clean only to still have a issue with their LES?
I've frankly been through the ringer with doctors over the past seven years and many put me through unnecessary treatments/surgeries so I really appreciate any responses.</t>
        </is>
      </c>
      <c r="D3676" t="n">
        <v>1</v>
      </c>
      <c r="E3676" t="n">
        <v>8</v>
      </c>
      <c r="F3676">
        <f>HYPERLINK("https://www.reddit.com/r/GERD/comments/dxnsqy/could_les_still_be_my_issue_after_barium_swallow/")</f>
        <v/>
      </c>
      <c r="G3676" t="inlineStr">
        <is>
          <t>2019-11-17 07:25:09</t>
        </is>
      </c>
      <c r="H3676" t="inlineStr"/>
    </row>
    <row r="3677">
      <c r="A3677" t="inlineStr">
        <is>
          <t>dxpnps</t>
        </is>
      </c>
      <c r="B3677" t="inlineStr">
        <is>
          <t>Does protonix make anyone else very fatigued or is this just in my head?</t>
        </is>
      </c>
      <c r="C3677" t="inlineStr">
        <is>
          <t>Ever since starting protonix it seems like I have no energy. Has anyone else experienced this with protonix or is this something else?</t>
        </is>
      </c>
      <c r="D3677" t="n">
        <v>1</v>
      </c>
      <c r="E3677" t="n">
        <v>7</v>
      </c>
      <c r="F3677">
        <f>HYPERLINK("https://www.reddit.com/r/GERD/comments/dxpnps/does_protonix_make_anyone_else_very_fatigued_or/")</f>
        <v/>
      </c>
      <c r="G3677" t="inlineStr">
        <is>
          <t>2019-11-17 09:42:05</t>
        </is>
      </c>
      <c r="H3677" t="inlineStr"/>
    </row>
    <row r="3678">
      <c r="A3678" t="inlineStr">
        <is>
          <t>dxpxi1</t>
        </is>
      </c>
      <c r="B3678" t="inlineStr">
        <is>
          <t>Betain HCL</t>
        </is>
      </c>
      <c r="C3678" t="inlineStr">
        <is>
          <t>Just bought some.  Tried to find the one with the lowest pepsin amount.  I got the Doctors Best brand.  Had a big meal the other day and no reflux at all.  Very surprising.  I took a total of 9 pills.  3 before and 3 in the middle.  Knew I was going to eat some more so took another 3.  Had a big meal plus had to finish what was leftover.</t>
        </is>
      </c>
      <c r="D3678" t="n">
        <v>1</v>
      </c>
      <c r="E3678" t="n">
        <v>0</v>
      </c>
      <c r="F3678">
        <f>HYPERLINK("https://www.reddit.com/r/GERD/comments/dxpxi1/betain_hcl/")</f>
        <v/>
      </c>
      <c r="G3678" t="inlineStr">
        <is>
          <t>2019-11-17 10:02:06</t>
        </is>
      </c>
      <c r="H3678" t="inlineStr"/>
    </row>
    <row r="3679">
      <c r="A3679" t="inlineStr">
        <is>
          <t>dxr1nh</t>
        </is>
      </c>
      <c r="B3679" t="inlineStr">
        <is>
          <t>Constant Burping</t>
        </is>
      </c>
      <c r="C3679" t="inlineStr">
        <is>
          <t>About a week ago, I noticed an occurring belch sort of every once in a while. It was as I said, every once in a while and so it didn’t bring much of a concern to me.
Well, it has gotten much worse. I now feel a constant urgency to burp. If I don’t, I’m left with minor discomfort in my chest. It happens every couple of minutes. Some times seconds.
What could this be? And how can I go about treating it?</t>
        </is>
      </c>
      <c r="D3679" t="n">
        <v>1</v>
      </c>
      <c r="E3679" t="n">
        <v>5</v>
      </c>
      <c r="F3679">
        <f>HYPERLINK("https://www.reddit.com/r/GERD/comments/dxr1nh/constant_burping/")</f>
        <v/>
      </c>
      <c r="G3679" t="inlineStr">
        <is>
          <t>2019-11-17 11:21:16</t>
        </is>
      </c>
      <c r="H3679" t="inlineStr"/>
    </row>
    <row r="3680">
      <c r="A3680" t="inlineStr">
        <is>
          <t>dxrvn0</t>
        </is>
      </c>
      <c r="B3680" t="inlineStr">
        <is>
          <t>Stomach acid - do I have too much or too little?</t>
        </is>
      </c>
      <c r="C3680" t="inlineStr">
        <is>
          <t>29, male, skinny, office-worker. 
I've tried PPI's, lifestyle changes, propping my bed up 4" at the top, etc.
I'm still having chronic sore throat, occasional sour/bitter taste in mouth, burping, what I assume to be heartburn (though it isn't painful), the feeling of regurgitation (though it never comes all the way up), etc. 
It would make sense that low acid could be the underlying culprit, seeing as my larger issues began during a ridiculously stressful month. Perhaps my LES got damaged as a result of any reflux I was having.
Do I go all in on the HCL or do I take Pepcid for another 3-4 weeks in the evening, to try to give my system some time to heal?</t>
        </is>
      </c>
      <c r="D3680" t="n">
        <v>1</v>
      </c>
      <c r="E3680" t="n">
        <v>13</v>
      </c>
      <c r="F3680">
        <f>HYPERLINK("https://www.reddit.com/r/GERD/comments/dxrvn0/stomach_acid_do_i_have_too_much_or_too_little/")</f>
        <v/>
      </c>
      <c r="G3680" t="inlineStr">
        <is>
          <t>2019-11-17 12:18:13</t>
        </is>
      </c>
      <c r="H3680" t="inlineStr"/>
    </row>
    <row r="3681">
      <c r="A3681" t="inlineStr">
        <is>
          <t>dxs8sw</t>
        </is>
      </c>
      <c r="B3681" t="inlineStr">
        <is>
          <t>Does anyone else get vestibular migraines from GERD?</t>
        </is>
      </c>
      <c r="C3681" t="inlineStr">
        <is>
          <t>I was diagnosed with GERD about 4 years ago and since then I’ve developed General Anxiety Disorder from it. I’ve become horribly depressed. And I think it’s been causing me vestibular migraines because my head always hurts. I always feel off balance and vertigo especially after standing for a while. If I look up or down or bend over I feel like I’m going to pass out. I’ve been to the ER so many times thinking I’m dying of a heart attack but Tests are always fine. I even had a ct scan and even that was okay. I haven’t been able to see a doctor because Medicare sucks and I keep getting passed through doctors who either don’t accept it or literally don’t exist. I do however finally get benefits through my recent job that start at the beginning of the year. I’m just so tired of dealing with this. It’s ruined my life.</t>
        </is>
      </c>
      <c r="D3681" t="n">
        <v>1</v>
      </c>
      <c r="E3681" t="n">
        <v>8</v>
      </c>
      <c r="F3681">
        <f>HYPERLINK("https://www.reddit.com/r/GERD/comments/dxs8sw/does_anyone_else_get_vestibular_migraines_from/")</f>
        <v/>
      </c>
      <c r="G3681" t="inlineStr">
        <is>
          <t>2019-11-17 12:43:11</t>
        </is>
      </c>
      <c r="H3681" t="inlineStr"/>
    </row>
    <row r="3682">
      <c r="A3682" t="inlineStr">
        <is>
          <t>dxta6k</t>
        </is>
      </c>
      <c r="B3682" t="inlineStr">
        <is>
          <t>Just had a vodka sauce pizza. Regretting it already.</t>
        </is>
      </c>
      <c r="C3682" t="inlineStr">
        <is>
          <t>I was dumb and had a vodka sauce slice of pizza. I can  already feel the acid. :(</t>
        </is>
      </c>
      <c r="D3682" t="n">
        <v>1</v>
      </c>
      <c r="E3682" t="n">
        <v>5</v>
      </c>
      <c r="F3682">
        <f>HYPERLINK("https://www.reddit.com/r/GERD/comments/dxta6k/just_had_a_vodka_sauce_pizza_regretting_it_already/")</f>
        <v/>
      </c>
      <c r="G3682" t="inlineStr">
        <is>
          <t>2019-11-17 13:55:24</t>
        </is>
      </c>
      <c r="H3682" t="inlineStr"/>
    </row>
    <row r="3683">
      <c r="A3683" t="inlineStr">
        <is>
          <t>dxxswn</t>
        </is>
      </c>
      <c r="B3683" t="inlineStr">
        <is>
          <t>Difficulty swallowing</t>
        </is>
      </c>
      <c r="C3683" t="inlineStr">
        <is>
          <t>I’ve found lately (especially tonight when I was eating a piece of soft toast), that I have to make an effort to swallow. It feels like the food doesn’t go down easily (a little painful if I’m being honest), and I’ve had food caught in the back of my throat when I forget to make the effort to actually swallow whatever it is I’m eating. I’m wondering if I should go to my GI with this, or if I should just see my GP; as I don’t know how much relevance it holds to my case. I’m a little nervous about it to by honest... I’ve had GERD for a long time now, and I’m beginning to wonder if the damage it’s done is just now starting to take its toll on me.</t>
        </is>
      </c>
      <c r="D3683" t="n">
        <v>1</v>
      </c>
      <c r="E3683" t="n">
        <v>21</v>
      </c>
      <c r="F3683">
        <f>HYPERLINK("https://www.reddit.com/r/GERD/comments/dxxswn/difficulty_swallowing/")</f>
        <v/>
      </c>
      <c r="G3683" t="inlineStr">
        <is>
          <t>2019-11-17 19:49:32</t>
        </is>
      </c>
      <c r="H3683" t="inlineStr"/>
    </row>
    <row r="3684">
      <c r="A3684" t="inlineStr">
        <is>
          <t>dxz3xg</t>
        </is>
      </c>
      <c r="B3684" t="inlineStr">
        <is>
          <t>The only thing I can eat at this point without feeling like</t>
        </is>
      </c>
      <c r="C3684" t="inlineStr">
        <is>
          <t>The only thing I can eat at this point without feeling like a piece of poop laying on the side of the street.
Any form of Meat/Poultry/Fish , or eggs. 
&amp;amp;#x200B;
Literally anything else will come with symptoms. 
&amp;amp;#x200B;
What's your diet like now that you have GERD ?</t>
        </is>
      </c>
      <c r="D3684" t="n">
        <v>1</v>
      </c>
      <c r="E3684" t="n">
        <v>0</v>
      </c>
      <c r="F3684">
        <f>HYPERLINK("https://www.reddit.com/r/GERD/comments/dxz3xg/the_only_thing_i_can_eat_at_this_point_without/")</f>
        <v/>
      </c>
      <c r="G3684" t="inlineStr">
        <is>
          <t>2019-11-17 21:55:56</t>
        </is>
      </c>
      <c r="H3684" t="inlineStr"/>
    </row>
    <row r="3685">
      <c r="A3685" t="inlineStr">
        <is>
          <t>dxz8ww</t>
        </is>
      </c>
      <c r="B3685" t="inlineStr">
        <is>
          <t>Salad/sauerkraut at the END of the meal is helping</t>
        </is>
      </c>
      <c r="C3685" t="inlineStr">
        <is>
          <t>A friend who has had GERD for years just suggested ending meals with some salad, with vinagre or lemon juice (as or as part of the dressing). I tried it the other day and it seems to help. Tonight I tried sauerkraut after my meal, which also is raw veggies and sour, and that is sitting very well too. Anybody else doing this? 
I saw another poster talk about how much gum after meals is helping them (not mint!). Another great idea...I've also been chasing meals with a bitters spray from the healthfood store, that seems to help too.</t>
        </is>
      </c>
      <c r="D3685" t="n">
        <v>1</v>
      </c>
      <c r="E3685" t="n">
        <v>0</v>
      </c>
      <c r="F3685">
        <f>HYPERLINK("https://www.reddit.com/r/GERD/comments/dxz8ww/saladsauerkraut_at_the_end_of_the_meal_is_helping/")</f>
        <v/>
      </c>
      <c r="G3685" t="inlineStr">
        <is>
          <t>2019-11-17 22:10:20</t>
        </is>
      </c>
      <c r="H3685" t="inlineStr"/>
    </row>
    <row r="3686">
      <c r="A3686" t="inlineStr">
        <is>
          <t>dxzkm4</t>
        </is>
      </c>
      <c r="B3686" t="inlineStr">
        <is>
          <t>Do I have GERD?</t>
        </is>
      </c>
      <c r="C3686" t="inlineStr">
        <is>
          <t xml:space="preserve"> My symptoms:  
• Chest pain on the left side, mainly when waking up in the morning, but sometimes after big meals and very often when I jog or run. (I've seen a doctor for this and ruled out heart problems).  
• Feeling of lump in my throat that can last for hours, causing constant burping (which temporarily relieves my symptoms).  
• "IBS". Often getting constipated and feeling like I still need to visit the toilet after #2. Bled a lot at two occasions and had a colonoscopy early this year, but no problems were found.  
• Shortness of breath after meals and a coughing.  
• Occasional sour feeling in mouth and reflux (but this is actually pretty rare compared to my other symptoms).
The chest pain feels more like a tightness or pressure (possibly due to gas buildup?) rather than a "burning" sensation and I've noticed that the pain gets worse if I lift my arms straight up after waking up in the morning. It can also get worse by pressing my hand against my chest or twisting my upper body in certain ways.  
I've had some issues with anxiety and I believe both my IBS and chest pains get worse with stress and anxiety. I've also always been prone to overeating as I've been taught to always clean my plate and hate wasting food. I'm trying to eat smaller portions, and I'm also trying to slow down my eating and make sure I don't slouch down in the sofa or lie down immediately after eating.   
I'm 31, I generally eat pretty healthy food and I don't drink coffee or alcohol and I've never smoked. I mostly drink water and tea. I've kept long daily food diaries, and I believe caffeine and fatty foods make my symptoms worse, and maybe chocolate, onions and tomatoes, but it varies so much that I haven't been able to identify any solid triggers.
I am currently not taking any medication, but I have tried Esomeprazole which seemed to help a bit.
Do I have GERD? I started having problems in 2012 and it got much worse in 2015 and has been mostly the same on and off since then. I've had periods with nearly no chest pains for a few days or even a week from time to time, but lately I've woken up with the chest pain basically every night for a few months.  
I'm trying to find my trigger foods, but it's been hard and is causing anxiety which seems to cause more problems. I've also tried putting pillows under my mattress to elevate my upper body, but it is not very comfortable.  
Would love some tips and advice if anyone have any.</t>
        </is>
      </c>
      <c r="D3686" t="n">
        <v>1</v>
      </c>
      <c r="E3686" t="n">
        <v>9</v>
      </c>
      <c r="F3686">
        <f>HYPERLINK("https://www.reddit.com/r/GERD/comments/dxzkm4/do_i_have_gerd/")</f>
        <v/>
      </c>
      <c r="G3686" t="inlineStr">
        <is>
          <t>2019-11-17 22:45:01</t>
        </is>
      </c>
      <c r="H3686" t="inlineStr"/>
    </row>
    <row r="3687">
      <c r="A3687" t="inlineStr">
        <is>
          <t>dy112x</t>
        </is>
      </c>
      <c r="B3687" t="inlineStr">
        <is>
          <t>Honestly I give up even trying to make this better for myself</t>
        </is>
      </c>
      <c r="C3687" t="inlineStr">
        <is>
          <t>I do literally everything I can and still I woke up feeling like shit this morning. 
I ate a low-fat, low-fodmap meal last night and waited 5 hours before going to bed so it wouldn't come back up. I didn't smoke weed in the evening because that worsens the reflux for me, I meditated before bed, I used a wedge pillow, I slept on my left side and yet STILL I woke up every 3 hours needing water to push the acid back down. 
I haven't slept well in almost a month now. The PPIs do sweet fuck all except cause a horrendous increase when I come off them (I'm tapering off this time, not a chance I'm going through that hell again. 
I'm at such a loss for what to do. I feel like I've tried it all and still nothing, so why the fuck not just enjoy the misery and eat shite food and smoke weed? I'm going to feel like shit either way, may as well enjoy myself a little</t>
        </is>
      </c>
      <c r="D3687" t="n">
        <v>1</v>
      </c>
      <c r="E3687" t="n">
        <v>16</v>
      </c>
      <c r="F3687">
        <f>HYPERLINK("https://www.reddit.com/r/GERD/comments/dy112x/honestly_i_give_up_even_trying_to_make_this/")</f>
        <v/>
      </c>
      <c r="G3687" t="inlineStr">
        <is>
          <t>2019-11-18 01:36:32</t>
        </is>
      </c>
      <c r="H3687" t="inlineStr"/>
    </row>
    <row r="3688">
      <c r="A3688" t="inlineStr">
        <is>
          <t>dy31k2</t>
        </is>
      </c>
      <c r="B3688" t="inlineStr">
        <is>
          <t>Yesterday l thought I was going die.</t>
        </is>
      </c>
      <c r="C3688" t="inlineStr">
        <is>
          <t>I was feeling great for the past three days. Right before football I started to feel my esophagus fill up. I can usually burp, chew gum, meditate to calm me down. This time it didn’t matter, I ran and grabbed some Pepcid but that just sat in my throat. I wanted to throw up but couldn’t. It felt like it was right at the top of my throat, burning and blocking. I thought this is it, I won’t be able to breathe and I’ll end up choking. I called my wife to come home right after she left with friends to go eat, which made me feel worse. I couldn’t talk the pain and pressure were so intense. It stayed that way for 2-3 hours. My guess is maybe the Pepcid kicked in. Last night and today it still burns but no pressure, and I feel like I can eat. This morning I woke up and decided to change everything. I’m done smoking cannabis, which is hard because I’m a grower but yesterday scared the shit out of me. I’m changing my diet, started weight watchers, and working out today. If this doesn’t work I at least can show them my progress and get approved for surgery.</t>
        </is>
      </c>
      <c r="D3688" t="n">
        <v>1</v>
      </c>
      <c r="E3688" t="n">
        <v>9</v>
      </c>
      <c r="F3688">
        <f>HYPERLINK("https://www.reddit.com/r/GERD/comments/dy31k2/yesterday_l_thought_i_was_going_die/")</f>
        <v/>
      </c>
      <c r="G3688" t="inlineStr">
        <is>
          <t>2019-11-18 05:15:44</t>
        </is>
      </c>
      <c r="H3688" t="inlineStr"/>
    </row>
    <row r="3689">
      <c r="A3689" t="inlineStr">
        <is>
          <t>dy37hr</t>
        </is>
      </c>
      <c r="B3689" t="inlineStr">
        <is>
          <t>I hate antibiotics</t>
        </is>
      </c>
      <c r="C3689" t="inlineStr">
        <is>
          <t>Anyone else has issues when taking them... I already have stomach pain from GERD and I had an infection so I asked the doctor hay make sure whatever you give me is easy on the stomach....did they do that.....nope.... after having stomach flu-like symptoms and being so incredibly weak for most of the week...I brought out the white flag and said I'm not taking them anymore... Now a few days later my stomach and insides are so dammed tender that it hurts to laugh. Anyone else have issues with antibiotics? Which ones have you found to work better
&amp;amp;#x200B;
PS: I can't take probiotics because they make my stomach pain so much worse...</t>
        </is>
      </c>
      <c r="D3689" t="n">
        <v>1</v>
      </c>
      <c r="E3689" t="n">
        <v>0</v>
      </c>
      <c r="F3689">
        <f>HYPERLINK("https://www.reddit.com/r/GERD/comments/dy37hr/i_hate_antibiotics/")</f>
        <v/>
      </c>
      <c r="G3689" t="inlineStr">
        <is>
          <t>2019-11-18 05:31:21</t>
        </is>
      </c>
      <c r="H3689" t="inlineStr"/>
    </row>
    <row r="3690">
      <c r="A3690" t="inlineStr">
        <is>
          <t>dy37p6</t>
        </is>
      </c>
      <c r="B3690" t="inlineStr">
        <is>
          <t>How can I ween myself off from omeprazole 40mg</t>
        </is>
      </c>
      <c r="C3690" t="inlineStr">
        <is>
          <t>Hello! I've been taking over the counter omeprezole 40mg for 6 months now per my GI. It has helped tremendously and I have had minimal GERD symptoms. Any time I try to lower my dose to 20mg or even 30mg I have the most awful acid reflux.
I really don't like being on medicine, and I've heard omeprazole can lead to weaker bones, liver disease, and alzheimers if taken long term. Any tips on how to ween myself off of this or what medicines to transition myself to?</t>
        </is>
      </c>
      <c r="D3690" t="n">
        <v>1</v>
      </c>
      <c r="E3690" t="n">
        <v>3</v>
      </c>
      <c r="F3690">
        <f>HYPERLINK("https://www.reddit.com/r/GERD/comments/dy37p6/how_can_i_ween_myself_off_from_omeprazole_40mg/")</f>
        <v/>
      </c>
      <c r="G3690" t="inlineStr">
        <is>
          <t>2019-11-18 05:31:52</t>
        </is>
      </c>
      <c r="H3690" t="inlineStr"/>
    </row>
    <row r="3691">
      <c r="A3691" t="inlineStr">
        <is>
          <t>dy4n3h</t>
        </is>
      </c>
      <c r="B3691" t="inlineStr">
        <is>
          <t>Can burping make GERD worse</t>
        </is>
      </c>
      <c r="C3691" t="inlineStr">
        <is>
          <t>After I eat I have a habit of making myself burp. But I can do it a lot, to feel more comfortable but sometimes I can feel some food come back up to my throat and chest. I'm just wondering if it would be  best to limit the burping, if I want to improve my gerd.</t>
        </is>
      </c>
      <c r="D3691" t="n">
        <v>1</v>
      </c>
      <c r="E3691" t="n">
        <v>2</v>
      </c>
      <c r="F3691">
        <f>HYPERLINK("https://www.reddit.com/r/GERD/comments/dy4n3h/can_burping_make_gerd_worse/")</f>
        <v/>
      </c>
      <c r="G3691" t="inlineStr">
        <is>
          <t>2019-11-18 07:29:17</t>
        </is>
      </c>
      <c r="H3691" t="inlineStr"/>
    </row>
    <row r="3692">
      <c r="A3692" t="inlineStr">
        <is>
          <t>dy4ovt</t>
        </is>
      </c>
      <c r="B3692" t="inlineStr">
        <is>
          <t>Gerd is the worst</t>
        </is>
      </c>
      <c r="C3692" t="inlineStr">
        <is>
          <t>I was diagnosed w/ gastritis, diverticulosis, Gerd, and Barrett’s (no dysplasia) last month.  I’d been having reactions to food and issues drinking water as usual since June when I had acute bronchitis.  I did have a couple bouts of abdominal pain earlier in the year.  I thought it was everything but GI including food intolerances or allergies and went to multiple different doctors before diagnosis.  Until this year I was the healthiest I’d been in years on Keto.  Lost 40 pounds, no longer needed NSAIDS (which I took a LOT of for years) Off of BP meds.  Hadn’t been sick for a year and a half...Felt amazing.  I did smoke...and I drank pretty much every day.  Nothing crazy... a couple after work to wind down etc.  Now I’m on 20mg Prilosec, not drinking,  trying to stop smoking, and trying to eat things that don’t trigger me.  I miss my high fat Keto non inflammation high energy days. 
     Here’s my concern question:  I feel like the symptoms I have aren’t described for Gerd often that I have found:
Zero appetite 
Extreme fullness after eating 
Sometimes dizziness or light headed 
Burning sensation in shoulders and back (especially after taking any meds or vitamins or supplements)
Extremely fatigued
Inflammation and soreness 
Tossing and turning in sleep ( sleep apnea returned? )
Night sweats
I’ve been sleeping elevated.
I’m not eating late anymore which in my business is the norm. 
I rarely have cough or sinus and no sore throat or pressure. Are my symptoms Gerd? 
My Gastro has very LITTLE insight on this.  After my procedures he said don’t drink or smoke and take the pill forever and that was it.  No diet advice... nothing.  In fact one of the first things I asked was can I still eat high fat and he said “I’m not sure I think it’s ok”.
Anyone else have these symptoms and have to been able to resolve them.  Anyone else practice Keto or carnivore and are able to continue eating high fat without issue? 
I’ve been trying elimination for the past week to find triggers.  I’ve had some success but nothing concrete so soon when it comes to dairy and gluten and carbs so far. 
I realize I may never be normal again but I’d really like to heal enough to have a new normal and feel human again.  
I wouldn’t wish the way I’ve felt the past 5 or 6 months on my worst enemy.  
Thanks for any insight!</t>
        </is>
      </c>
      <c r="D3692" t="n">
        <v>1</v>
      </c>
      <c r="E3692" t="n">
        <v>2</v>
      </c>
      <c r="F3692">
        <f>HYPERLINK("https://www.reddit.com/r/GERD/comments/dy4ovt/gerd_is_the_worst/")</f>
        <v/>
      </c>
      <c r="G3692" t="inlineStr">
        <is>
          <t>2019-11-18 07:33:06</t>
        </is>
      </c>
      <c r="H3692" t="inlineStr"/>
    </row>
    <row r="3693">
      <c r="A3693" t="inlineStr">
        <is>
          <t>dy515l</t>
        </is>
      </c>
      <c r="B3693" t="inlineStr">
        <is>
          <t>Tips for managing a LPR flare?</t>
        </is>
      </c>
      <c r="C3693" t="inlineStr">
        <is>
          <t>Had a terrible LPR flare last night after going a really long time without one-nasal passages swelled up, horrible throat burning and feeling of closing, burping etc. Literally thought I was going to suffocate. This morning I am still having terrible burning in the back of my throat and pressure in my ears. I have had a sore throat before but never prolonged burning for this long.
I didn’t eat anything aggravating yesterday so I have no idea what this came from but I took tums and alka seltzer gold yet it’s still persisting. Anyone have tips to help soothe a bad flare like this? I need to try and do something for my throat but nothing is working!</t>
        </is>
      </c>
      <c r="D3693" t="n">
        <v>1</v>
      </c>
      <c r="E3693" t="n">
        <v>1</v>
      </c>
      <c r="F3693">
        <f>HYPERLINK("https://www.reddit.com/r/GERD/comments/dy515l/tips_for_managing_a_lpr_flare/")</f>
        <v/>
      </c>
      <c r="G3693" t="inlineStr">
        <is>
          <t>2019-11-18 07:58:26</t>
        </is>
      </c>
      <c r="H3693" t="inlineStr"/>
    </row>
    <row r="3694">
      <c r="A3694" t="inlineStr">
        <is>
          <t>dy59s6</t>
        </is>
      </c>
      <c r="B3694" t="inlineStr">
        <is>
          <t>Endostim is dead</t>
        </is>
      </c>
      <c r="C3694" t="inlineStr">
        <is>
          <t>If you’re waiting for the endostim to come out, it probably won’t. Here’s the supposed letter that was sent out to patients having to have their devices shut off due to lack of funding. 
http://www.endostim.com/wp-content/uploads/2019/11/Patient-Letter15Oct19-.pdf</t>
        </is>
      </c>
      <c r="D3694" t="n">
        <v>1</v>
      </c>
      <c r="E3694" t="n">
        <v>5</v>
      </c>
      <c r="F3694">
        <f>HYPERLINK("https://www.reddit.com/r/GERD/comments/dy59s6/endostim_is_dead/")</f>
        <v/>
      </c>
      <c r="G3694" t="inlineStr">
        <is>
          <t>2019-11-18 08:15:19</t>
        </is>
      </c>
      <c r="H3694" t="inlineStr"/>
    </row>
    <row r="3695">
      <c r="A3695" t="inlineStr">
        <is>
          <t>dy5j5u</t>
        </is>
      </c>
      <c r="B3695" t="inlineStr">
        <is>
          <t>The version of Gaviscon sold in my country helps my LPR significantly.</t>
        </is>
      </c>
      <c r="C3695" t="inlineStr">
        <is>
          <t>So far nothing really worked for my LPR except PPIs, but even those help just a little bit and very slowly. Diet is useless for me, except for maybe avoiding very carbonated drinks and not eating to much. I have 12 day to taper from 20mg omeprazole so I decided to try the Gaviscon syrup sold in my country (Czechia), because it’s much more affordable than the UK version from Amazon and I obviously needed it now not weeks later.
The ingredients in 10ml of the syrup are following:
Natrii Alginas 500mg,
Natrii hydrogencarbonas 267mg
Calcii carbonas 160mg
I tried 20ml after every meal and in the evening. I didn’t really expect much but I was pleasantly surprised. After just two days using it my voice and smell improved a lot. It seems that it helped especially during sleep. I know it’s pretty early to judge it’s effectiveness, but my symptoms have been constant for months and this is the first time that it got so significantly better. I think I will continue to dose it after the main meal of the day and in the evening. Is it safe to use in the long term?</t>
        </is>
      </c>
      <c r="D3695" t="n">
        <v>1</v>
      </c>
      <c r="E3695" t="n">
        <v>0</v>
      </c>
      <c r="F3695">
        <f>HYPERLINK("https://www.reddit.com/r/GERD/comments/dy5j5u/the_version_of_gaviscon_sold_in_my_country_helps/")</f>
        <v/>
      </c>
      <c r="G3695" t="inlineStr">
        <is>
          <t>2019-11-18 08:34:33</t>
        </is>
      </c>
      <c r="H3695" t="inlineStr"/>
    </row>
    <row r="3696">
      <c r="A3696" t="inlineStr">
        <is>
          <t>dy5uv6</t>
        </is>
      </c>
      <c r="B3696" t="inlineStr">
        <is>
          <t>What is causing the LES to malfunction</t>
        </is>
      </c>
      <c r="C3696" t="inlineStr">
        <is>
          <t>I wondered what actually causes the LES to weaken, this article gives some plausible causes:
https://chriskresser.com/the-hidden-causes-of-heartburn-and-gerd/</t>
        </is>
      </c>
      <c r="D3696" t="n">
        <v>1</v>
      </c>
      <c r="E3696" t="n">
        <v>4</v>
      </c>
      <c r="F3696">
        <f>HYPERLINK("https://www.reddit.com/r/GERD/comments/dy5uv6/what_is_causing_the_les_to_malfunction/")</f>
        <v/>
      </c>
      <c r="G3696" t="inlineStr">
        <is>
          <t>2019-11-18 08:58:33</t>
        </is>
      </c>
      <c r="H3696" t="inlineStr"/>
    </row>
    <row r="3697">
      <c r="A3697" t="inlineStr">
        <is>
          <t>dy9qdo</t>
        </is>
      </c>
      <c r="B3697" t="inlineStr">
        <is>
          <t>Swelling feeling on left side under ribs</t>
        </is>
      </c>
      <c r="C3697" t="inlineStr">
        <is>
          <t>Background: I've had gerd issues for the past 5 years, been trying different PPIs and h2 blockers. I've generally stayed away from PPIs because they would give me an uncomfortable dull, swelling feeling on my left side, underneath my ribs (potentially gastritis?). The only one that left me less uncomfortable was Nexium, which I would take only when my gerd would flare up.
Recent issue: I was taking Zantac and was fine on that, switched to Tagamet when the recall happened, was fine at first but after about 2 weeks this stomach swelling feeling is now worse than ever. Worse with alcohol, keeps me up at night, not sharp pain but uncomfortable like a pulled muscle or a cramp when running. Now back on Nexium to try to fix. 
Has anyone had this feeling that I'm describing? Have you had any luck with certain drugs over others?</t>
        </is>
      </c>
      <c r="D3697" t="n">
        <v>1</v>
      </c>
      <c r="E3697" t="n">
        <v>11</v>
      </c>
      <c r="F3697">
        <f>HYPERLINK("https://www.reddit.com/r/GERD/comments/dy9qdo/swelling_feeling_on_left_side_under_ribs/")</f>
        <v/>
      </c>
      <c r="G3697" t="inlineStr">
        <is>
          <t>2019-11-18 13:21:41</t>
        </is>
      </c>
      <c r="H3697" t="inlineStr"/>
    </row>
    <row r="3698">
      <c r="A3698" t="inlineStr">
        <is>
          <t>dybcso</t>
        </is>
      </c>
      <c r="B3698" t="inlineStr">
        <is>
          <t>Sudden bad breath/taste and mild throat pain</t>
        </is>
      </c>
      <c r="C3698" t="inlineStr">
        <is>
          <t>Hi!y
I have gerd and take 40mg of Esomeprazole daily. 
Two days ago i woke up with that globus throat sensation and a bad taste in the back of my throat.
The globus sensation is gone but i still have the nasty taste/breath and a little pain when i eat or drink.
Do you guys think this is Just the GERD or a throat infection?</t>
        </is>
      </c>
      <c r="D3698" t="n">
        <v>1</v>
      </c>
      <c r="E3698" t="n">
        <v>6</v>
      </c>
      <c r="F3698">
        <f>HYPERLINK("https://www.reddit.com/r/GERD/comments/dybcso/sudden_bad_breathtaste_and_mild_throat_pain/")</f>
        <v/>
      </c>
      <c r="G3698" t="inlineStr">
        <is>
          <t>2019-11-18 15:12:17</t>
        </is>
      </c>
      <c r="H3698" t="inlineStr"/>
    </row>
    <row r="3699">
      <c r="A3699" t="inlineStr">
        <is>
          <t>dyefzo</t>
        </is>
      </c>
      <c r="B3699" t="inlineStr">
        <is>
          <t>Vomiting, horrible last few months; hiatal hernia; reflux?!?!!</t>
        </is>
      </c>
      <c r="C3699" t="inlineStr">
        <is>
          <t>To say the least, the last few months have been hell and I am now making links with my symptoms and potential reflux (idk maybe GERD and maybe LPR?). I need your advice to know I'm not just jumping to conclusions!
At first, my symptoms were nausea in the morning (manageable). Then I started vomiting bile/stomach stuff(?) in the morning (and no, I'm not pregnant ;) ) Then my symptoms took a plunge and seemed to get worse and worse, from vomiting food twice a week to almost after every meal in a matter of 2 months. 
Many tests were done, and only a hiatal hernia was found (loads of things were ruled out!).
The doctor that found the hernia decided that I should try Pantoloc (Pantoprazole) again, mainly because I would get pains in my chest. I tried the medication, and within two days I found out I could finally eat solid again without vomiting! Sure, I feel like I'm going to vomit and I burp and kinda regurgitate small amounts, but I'm keeping my food down!
This is a very shortened version of what happened. The doctor was stumped as to what could have caused the vomiting (and therefore caused the hiatal hernia) but do you think it could be possible that my first symptoms (nausea, vomiting in the morning) were bad reflux/GERD/LPR which then caused the hernia which heightened the symptoms and was kinda of in a loop that led to more vomiting-&amp;gt;worse hernia-&amp;gt;worse vomiting-&amp;gt;worse hernia? I asked my doctor if this was possible and she seemed verrrry skeptical and told me reflux/GERD doesn't cause vomiting...
I know I'm all over the place.
TLDR : hiatal hernia caused reflux/GERD, or the other way around? Do my symptoms and narrative work?</t>
        </is>
      </c>
      <c r="D3699" t="n">
        <v>1</v>
      </c>
      <c r="E3699" t="n">
        <v>14</v>
      </c>
      <c r="F3699">
        <f>HYPERLINK("https://www.reddit.com/r/GERD/comments/dyefzo/vomiting_horrible_last_few_months_hiatal_hernia/")</f>
        <v/>
      </c>
      <c r="G3699" t="inlineStr">
        <is>
          <t>2019-11-18 19:02:45</t>
        </is>
      </c>
      <c r="H3699" t="inlineStr"/>
    </row>
    <row r="3700">
      <c r="A3700" t="inlineStr">
        <is>
          <t>dyhhy5</t>
        </is>
      </c>
      <c r="B3700" t="inlineStr">
        <is>
          <t>Anybody else get chestpain on left side and ppis you get nauseous on and vomit??</t>
        </is>
      </c>
      <c r="C3700" t="inlineStr">
        <is>
          <t>I have chestpain on left side. Waiting for referral to go thru to my doctors which absolutely suck. Have no record of diagnosing me of gerd 4 year ago. That's not the only thing with them but I'll continue.. they prescribed me carafate for now. Waiting for my endoscopy which I cant wait. I literally have every symtom of esophagus cancer except diarhea and stomach pain. And not vomiting up blood that I notice. I have esophagus irritation and heartburn occasionally on right now but rare. Sleep elevated at night. And been eating eggs and oatmeal and dairy free cheese and silk almond milk. That's it. Been having chestpain for a month. Waiting on tests and scared for my life. My doctors dont give a shit.</t>
        </is>
      </c>
      <c r="D3700" t="n">
        <v>1</v>
      </c>
      <c r="E3700" t="n">
        <v>2</v>
      </c>
      <c r="F3700">
        <f>HYPERLINK("https://www.reddit.com/r/GERD/comments/dyhhy5/anybody_else_get_chestpain_on_left_side_and_ppis/")</f>
        <v/>
      </c>
      <c r="G3700" t="inlineStr">
        <is>
          <t>2019-11-19 00:03:56</t>
        </is>
      </c>
      <c r="H3700" t="inlineStr"/>
    </row>
    <row r="3701">
      <c r="A3701" t="inlineStr">
        <is>
          <t>dyhxdz</t>
        </is>
      </c>
      <c r="B3701" t="inlineStr">
        <is>
          <t>Just wanted to share my story....maybe it will help someone else</t>
        </is>
      </c>
      <c r="C3701" t="inlineStr">
        <is>
          <t>The last two weeks for me have been Hell. My symptoms were chest pressure and throat pressure/choking sensation. Trouble swallowing, excessive mucus etc. It was so intense it induced panic and made me think I couldn't breathe. 24/7 I felt like I was choking....
&amp;amp;#x200B;
I went to 3 doctors and the first diagnosed me with aniexty/panic disorder, I took the meds but it didn't fix the pressure issue... Just made me not care. My primary care doc told me I had a cold and needed to wait it out... I finally ended up in the ER on the weekend after a particularly bad choking episode and finally got a correct diagnosis.
&amp;amp;#x200B;
Just curious if I'm alone in this but has anyone else had a similar experience? I feel stupid going to the ER for it but I legitimately thought I was going to die.
&amp;amp;#x200B;
I had no idea gerd could be so bad. Thought it was just a heart burn thing. Guess the doctors did too though eh.</t>
        </is>
      </c>
      <c r="D3701" t="n">
        <v>1</v>
      </c>
      <c r="E3701" t="n">
        <v>22</v>
      </c>
      <c r="F3701">
        <f>HYPERLINK("https://www.reddit.com/r/GERD/comments/dyhxdz/just_wanted_to_share_my_storymaybe_it_will_help/")</f>
        <v/>
      </c>
      <c r="G3701" t="inlineStr">
        <is>
          <t>2019-11-19 00:57:36</t>
        </is>
      </c>
      <c r="H3701" t="inlineStr"/>
    </row>
    <row r="3702">
      <c r="A3702" t="inlineStr">
        <is>
          <t>dyk54a</t>
        </is>
      </c>
      <c r="B3702" t="inlineStr">
        <is>
          <t>If Nexium gave me severe headaches will all PPIs do the same?</t>
        </is>
      </c>
      <c r="C3702" t="inlineStr">
        <is>
          <t>I took Nexium for two weeks before realizing that it was the cause of the headaches I was having.
Now my dr wants me to take Protonix for 8 weeks as well as 40 mg famotidine at night. 
I want to try it but I am concerned about getting headaches. I definitely won’t be able to tolerate it. 
Any other options or advice? Thanks!!</t>
        </is>
      </c>
      <c r="D3702" t="n">
        <v>1</v>
      </c>
      <c r="E3702" t="n">
        <v>3</v>
      </c>
      <c r="F3702">
        <f>HYPERLINK("https://www.reddit.com/r/GERD/comments/dyk54a/if_nexium_gave_me_severe_headaches_will_all_ppis/")</f>
        <v/>
      </c>
      <c r="G3702" t="inlineStr">
        <is>
          <t>2019-11-19 05:03:33</t>
        </is>
      </c>
      <c r="H3702" t="inlineStr"/>
    </row>
    <row r="3703">
      <c r="A3703" t="inlineStr">
        <is>
          <t>dykh68</t>
        </is>
      </c>
      <c r="B3703" t="inlineStr">
        <is>
          <t>Rebound reflux (stomach burning) after two weeks on OTC Prilosec, is this normal?</t>
        </is>
      </c>
      <c r="C3703" t="inlineStr">
        <is>
          <t>Hey all,
So, on Halloween I went to urgent care due to globus sensation. I thought I had food stuck in my throat or something and almost went to the ER, but I called my dad first and he said it sounded like GERD so I should take Prilosec. Now I really wish I wouldn’t have taken the Prilosec and just gone straight to the ER where they probably would have given me an endoscopy on the spot. Since globus can be caused by so many things that aren’t GERD (like anxiety and allergies, two things I struggle with) I probably didn’t need Prilosec in the first place. 
Anyway, I finally got to see a GI on Thursday and am waiting for an endoscopy in January. But since stopping Prilosec (also on Thursday) I’ve had a burning feeling in my stomach after I eat. I called my GI doctors office but it turns out he s out of town for three weeks. I was able to talk to him though and he said to try and just take half doses, cutting the medication in half, until I can stop completely. And I will have to be off Prilosec for a minimum of two weeks before having an endoscopy. 
Is this a normal symptom of rebound after only two weeks on Prilosec? My GI seems to think so.  The stomach pain is fairly mild but has me concerned about a possible ulcer so I kind of want an endoscopy as soon as possible. Would going to the ER with the pain accomplish anything or would they just say it’s rebound reflux?</t>
        </is>
      </c>
      <c r="D3703" t="n">
        <v>1</v>
      </c>
      <c r="E3703" t="n">
        <v>4</v>
      </c>
      <c r="F3703">
        <f>HYPERLINK("https://www.reddit.com/r/GERD/comments/dykh68/rebound_reflux_stomach_burning_after_two_weeks_on/")</f>
        <v/>
      </c>
      <c r="G3703" t="inlineStr">
        <is>
          <t>2019-11-19 05:34:36</t>
        </is>
      </c>
      <c r="H3703" t="inlineStr"/>
    </row>
    <row r="3704">
      <c r="A3704" t="inlineStr">
        <is>
          <t>dymsvc</t>
        </is>
      </c>
      <c r="B3704" t="inlineStr">
        <is>
          <t>Low gurgle in throat after swallowing, stomach pain. Wake up everyday with a singed toungue and throat. Tender chest and abdomen.</t>
        </is>
      </c>
      <c r="C3704" t="inlineStr">
        <is>
          <t>Anyone can let me know if I should worry? My doctor suspects GERD but havent seen GI yet.</t>
        </is>
      </c>
      <c r="D3704" t="n">
        <v>1</v>
      </c>
      <c r="E3704" t="n">
        <v>0</v>
      </c>
      <c r="F3704">
        <f>HYPERLINK("https://www.reddit.com/r/GERD/comments/dymsvc/low_gurgle_in_throat_after_swallowing_stomach/")</f>
        <v/>
      </c>
      <c r="G3704" t="inlineStr">
        <is>
          <t>2019-11-19 08:35:19</t>
        </is>
      </c>
      <c r="H3704" t="inlineStr"/>
    </row>
    <row r="3705">
      <c r="A3705" t="inlineStr">
        <is>
          <t>dynmzs</t>
        </is>
      </c>
      <c r="B3705" t="inlineStr">
        <is>
          <t>GERD newbie</t>
        </is>
      </c>
      <c r="C3705" t="inlineStr">
        <is>
          <t>Alright guys, I need advice.
Almost a month ago now, I started having pretty bad reflux. Given that the last time I had it that bad was a few years ago, I remembered I took a 2 week course of Prilosec and was able to go back to normal. This time it was paired with a lump in my throat and I started looking into LPR. My throat was beginning to get so tight and have this globus sensation that it was freaking me out but after a week on the Prilosec it started to go away. I finished the 2 week course per medication instructions and went back to my normal life.
A week or so later sure enough the throat sensation comes back. At this point I call my GP and she notified GI to see if they wanted to see me, but all they said was to continue to take the Prilosec. So now I'm back on it but have been having weird symptoms such as chest pain which I don't usually feel with reflux and also some arm numbness and tingling as well as even some back pain. Last night I was so nauseous I couldn't eat dinner. 
I will admit that I have dealt with anxiety and panic attacks especially recently, and I know that it can make it worse. I'm just at a crossroads and wonder if I should go to urgent care to have them at least just give me a peace of mind that none of this is heart related. Could these other weird symptoms be from anxiety?</t>
        </is>
      </c>
      <c r="D3705" t="n">
        <v>1</v>
      </c>
      <c r="E3705" t="n">
        <v>3</v>
      </c>
      <c r="F3705">
        <f>HYPERLINK("https://www.reddit.com/r/GERD/comments/dynmzs/gerd_newbie/")</f>
        <v/>
      </c>
      <c r="G3705" t="inlineStr">
        <is>
          <t>2019-11-19 09:33:41</t>
        </is>
      </c>
      <c r="H3705" t="inlineStr"/>
    </row>
    <row r="3706">
      <c r="A3706" t="inlineStr">
        <is>
          <t>dynssa</t>
        </is>
      </c>
      <c r="B3706" t="inlineStr">
        <is>
          <t>Anybody else with short treatment courses?</t>
        </is>
      </c>
      <c r="C3706" t="inlineStr">
        <is>
          <t>OK so I was diagnosed with GERD in September, and so far it's very wobbly - good days, bad days. My doctor seems to be very knowledgeable but there's one thing that concerns me. He prescribes VERY short meds courses, like 14-20 days mostly. And when the symptoms come back eventually, it's the same story.  So far we've tried Nexium and Omeprazole, trying Zantac now. The more I read this sub and drug info the more confused I get. For Zantac, it says "minimum is 8-12 weeks", and I'm prescribed 10-14 DAYS. I wonder what's going on here. Anybody else like me?
I'm having it rather mild SO FAR and my doc says I'm actually getting better - less plaque on the tongue, better stool. I still have that lump feeling in my throat (all clear on the endoscopy) but no acid burns. Had high acidity before. Gallbladder removed.</t>
        </is>
      </c>
      <c r="D3706" t="n">
        <v>1</v>
      </c>
      <c r="E3706" t="n">
        <v>2</v>
      </c>
      <c r="F3706">
        <f>HYPERLINK("https://www.reddit.com/r/GERD/comments/dynssa/anybody_else_with_short_treatment_courses/")</f>
        <v/>
      </c>
      <c r="G3706" t="inlineStr">
        <is>
          <t>2019-11-19 09:45:19</t>
        </is>
      </c>
      <c r="H3706" t="inlineStr"/>
    </row>
    <row r="3707">
      <c r="A3707" t="inlineStr">
        <is>
          <t>dyo1fx</t>
        </is>
      </c>
      <c r="B3707" t="inlineStr">
        <is>
          <t>Trouble swallowing, Endoscopy results showed nothing</t>
        </is>
      </c>
      <c r="C3707" t="inlineStr">
        <is>
          <t>Just got my endoscopy done a few weeks ago and it came back as mild inflammation and the doctor said its nothing serious at all. He prescribed some 40mg PPI's, however I still can't believe nothing is wrong. Not all days, but some days it is hard for me to swallow and I have to constantly force a burp out after and during eat (even water). Sometimes i get the lump sensation that can last 1-3 days, other days I feel mostly fine, but those days are less common. I have been taking PPI's for a month now with no difference. Anything else I should try? This has been ongoing for 4 years</t>
        </is>
      </c>
      <c r="D3707" t="n">
        <v>1</v>
      </c>
      <c r="E3707" t="n">
        <v>17</v>
      </c>
      <c r="F3707">
        <f>HYPERLINK("https://www.reddit.com/r/GERD/comments/dyo1fx/trouble_swallowing_endoscopy_results_showed/")</f>
        <v/>
      </c>
      <c r="G3707" t="inlineStr">
        <is>
          <t>2019-11-19 10:02:39</t>
        </is>
      </c>
      <c r="H3707" t="inlineStr"/>
    </row>
    <row r="3708">
      <c r="A3708" t="inlineStr">
        <is>
          <t>dyoz4i</t>
        </is>
      </c>
      <c r="B3708" t="inlineStr">
        <is>
          <t>Overeating. What's normal?</t>
        </is>
      </c>
      <c r="C3708" t="inlineStr">
        <is>
          <t>I think my biggest issue is eating way too much for one meal.  Is it possible that this could be my only trigger? I believe I have the silent kind so it can be hard to tell.  Currently eating fat and acid free, but thinking about trying to add some back in smaller portions.
What size portions should I be eating?  How many cups of food? How long should I wait to eat another meal?</t>
        </is>
      </c>
      <c r="D3708" t="n">
        <v>1</v>
      </c>
      <c r="E3708" t="n">
        <v>8</v>
      </c>
      <c r="F3708">
        <f>HYPERLINK("https://www.reddit.com/r/GERD/comments/dyoz4i/overeating_whats_normal/")</f>
        <v/>
      </c>
      <c r="G3708" t="inlineStr">
        <is>
          <t>2019-11-19 11:05:54</t>
        </is>
      </c>
      <c r="H3708" t="inlineStr"/>
    </row>
    <row r="3709">
      <c r="A3709" t="inlineStr">
        <is>
          <t>dyr60y</t>
        </is>
      </c>
      <c r="B3709" t="inlineStr">
        <is>
          <t>Just diagnosed with esophagitis</t>
        </is>
      </c>
      <c r="C3709" t="inlineStr">
        <is>
          <t>Hey everyone. I am always losing my voice, coughing up phlegm, and I can't jog because after one block I can't breathe and have to spit out a bunch of awful hot sticky phlegm. But my main problem is just this weak throat where I feel like I can't yell or talk for too long. Which is a problem in that I do music, have a podcast, and enjoy talking with friends.
So yeah, I had an endoscopy today and the doctor said I have esophagitis and then the nurse told me to stop having coffee, citrus, etc, etc. 
This is pretty upsetting to me as I bought a $150 coffee maker two weeks ago and I'm a huge huge coffee fan (or snob). I only have one cup in the morning but I just love starting my day with it. I also get espressos and lattes occasionally on my jobs which can be exhausting and very long days and they really keep me going.
Anyway I really don't know how to even compromise on this. I don't even think I drink enough to make it the source of the problem. Like just one cup and honestly, most of it is milk as I like really milky coffee. I am not pounding cup after cup of caffeine. 
I also eat a lot of italian food, tomato sauce, pizza, etc. This is another thing I have no idea how to stop eating. I can definitely decrease it (in fact I have this year due to just trying to eat a bit better), but now it's hard to enjoy knowing it's helping my acid reflux problems. The cup of coffee this morning was not satisfying at all as I felt guilty and wrong for drinking it. 
I'm also incredibly upset that they told me to stop having oranges and grapefruits. A grapefruit in the morning is easily the healthiest thing in my diet and now I can't have it? I had started replacing bowls of sugary cereal with a grapefruit in a bowl and I thought I was making a smart, healthy decision?
Anyway, not trying to whine, but does anyone know anything about how bad this stuff really is? Is coffee a top problem for this?
My doctor prescribed Pantoprazole to me. If I take that does that help the issue? Like would a cup of coffee be OK if I'm taking that daily? And how long does this take to heal normally? I read a few other posts around here, and I am not in bad pain like some other people here, it is more of what I'd call a "weak" feeling, like my voice gets scratchy, I'm constantly clearing my throat, etc.</t>
        </is>
      </c>
      <c r="D3709" t="n">
        <v>1</v>
      </c>
      <c r="E3709" t="n">
        <v>10</v>
      </c>
      <c r="F3709">
        <f>HYPERLINK("https://www.reddit.com/r/GERD/comments/dyr60y/just_diagnosed_with_esophagitis/")</f>
        <v/>
      </c>
      <c r="G3709" t="inlineStr">
        <is>
          <t>2019-11-19 13:31:00</t>
        </is>
      </c>
      <c r="H3709" t="inlineStr"/>
    </row>
    <row r="3710">
      <c r="A3710" t="inlineStr">
        <is>
          <t>dysvl7</t>
        </is>
      </c>
      <c r="B3710" t="inlineStr">
        <is>
          <t>For those with LPR</t>
        </is>
      </c>
      <c r="C3710" t="inlineStr">
        <is>
          <t>Or other extra esophageal symptoms I was looking at The Stretta web page and came across this: 
https://www.restech.com/solutions/dx-ph-system/
Looks like a more comfortable and accurate way to detect gaseous reflux.</t>
        </is>
      </c>
      <c r="D3710" t="n">
        <v>1</v>
      </c>
      <c r="E3710" t="n">
        <v>2</v>
      </c>
      <c r="F3710">
        <f>HYPERLINK("https://www.reddit.com/r/GERD/comments/dysvl7/for_those_with_lpr/")</f>
        <v/>
      </c>
      <c r="G3710" t="inlineStr">
        <is>
          <t>2019-11-19 15:28:06</t>
        </is>
      </c>
      <c r="H3710" t="inlineStr"/>
    </row>
    <row r="3711">
      <c r="A3711" t="inlineStr">
        <is>
          <t>dyu5si</t>
        </is>
      </c>
      <c r="B3711" t="inlineStr">
        <is>
          <t>Nissen Fundoplication 25 years later</t>
        </is>
      </c>
      <c r="C3711" t="inlineStr">
        <is>
          <t>Hey everyone, i've never posted on reddit before but this place seems like a good place to find comfort in a really stressful time in my life. Long story short, i was born with a Hiatal Hernia and i got a Nissen Fundoplication surgery at 1 years old. I've spent the last 25 years of my life completely asymptomatic... until 2 weeks ago. Throat tightness, chest pain, water brash. All "rare" symptoms but i've got them all at once and its driving me insane. I've been put on omeprozole now and i've cut out a bunch of stuff from my diet. I guess i just feel lost... Can i even get my surgery revised? How long do PPi' take to improve my symptoms? Is this just life for me now? (Side note i also have a Trachea oesophageal fistula that was repaired just to make things even more fun for me). I dunno, i guess i'm just grasping for straws but any advice or kind words would be GREATLY appreciated.</t>
        </is>
      </c>
      <c r="D3711" t="n">
        <v>3</v>
      </c>
      <c r="E3711" t="n">
        <v>20</v>
      </c>
      <c r="F3711">
        <f>HYPERLINK("https://www.reddit.com/r/GERD/comments/dyu5si/nissen_fundoplication_25_years_later/")</f>
        <v/>
      </c>
      <c r="G3711" t="inlineStr">
        <is>
          <t>2019-11-19 17:03:33</t>
        </is>
      </c>
      <c r="H3711" t="inlineStr"/>
    </row>
    <row r="3712">
      <c r="A3712" t="inlineStr">
        <is>
          <t>dyvfj7</t>
        </is>
      </c>
      <c r="B3712" t="inlineStr">
        <is>
          <t>Post Car Accident GERD-Like Issues, Help Please!</t>
        </is>
      </c>
      <c r="C3712" t="inlineStr">
        <is>
          <t>Okay, so a little over a month ago I got in a really bad car accident and after that I started having all sorts of stomach issues, regurgitation, heart burn, crazy pain all the time, supper gassy, loss of appetite, the whole 9-yards. I have since gone on 20mg of omeprazole before breakfast and dinner and have gone on a GERD-friendly diet and  that has helped a little bit, I can always tell when I eat something that messes me up and have tried really hard to not go too off the rails on the diet. 
My doctor is confused by the amount of pain I have in my gut so she prescribed me dicyclomine to take three times a day but I just got it so I haven't started it yet. I have gotten a whole battery of tests and they cannot seem to find out what is wrong. I got an upper endoscopy this morning and I really thought they were going to find a hernia in my stomach but in my grogginess, the doctor said that he didn't see anything wrong. 
I am so beyond frustrated. I can barely eat and everything I eat hurts me, it just depends on how much I want to hurt. I am only 22 years old and all I want is to be able to eat normal. I don't know what to do and I am so desperate. Part of me just wants to say "whatever" and get a whole calzone and eat a giant thing of halloween candy to see if it kills me. 
I have heard about some of the Koufman and Aviv books browsing on here, but other than that does anyone have any information about whether this is GERD or what I should do? I am so at the end of my rope. I can barely eat and the food I can eat is so boring, I feel like I'm going insane.</t>
        </is>
      </c>
      <c r="D3712" t="n">
        <v>1</v>
      </c>
      <c r="E3712" t="n">
        <v>7</v>
      </c>
      <c r="F3712">
        <f>HYPERLINK("https://www.reddit.com/r/GERD/comments/dyvfj7/post_car_accident_gerdlike_issues_help_please/")</f>
        <v/>
      </c>
      <c r="G3712" t="inlineStr">
        <is>
          <t>2019-11-19 18:41:46</t>
        </is>
      </c>
      <c r="H3712" t="inlineStr"/>
    </row>
    <row r="3713">
      <c r="A3713" t="inlineStr">
        <is>
          <t>dyvkxu</t>
        </is>
      </c>
      <c r="B3713" t="inlineStr">
        <is>
          <t>Recent LPR (silent reflux) diagnosis, uncertain of the future</t>
        </is>
      </c>
      <c r="C3713" t="inlineStr">
        <is>
          <t>This is more to vent than anything, since I had coffee just a little bit ago and am now suffering the consequences. 
About two months ago I started having really concerning symptoms, which at first were pointing to thyroid issues (seemed plausible, there’s family history and all symptoms checked off for hypothyroidism). After several tests, two ER visits, and two miserable months where I truly thought I was going to die, my doc told me this past Friday that I have silent reflux, amongst a few other things. I was shocked, but everything clicked in my head when he said this. And I’m now wondering if maybe I’ve been dealing with this on some level my whole life, given certain symptoms I’ve had over the years. Weird to think I was being done in by a little stomach acid, but that’s life I suppose.
Doc started me on a generic heartburn pill (famotidine), for two weeks then we’ll do a check-in. And I’ve felt progressively better since I’ve started on it, only having a few bouts of nausea that lasted only a few minutes each, instead of hours like before; my breathing problems and migraines have also lightened up. But it seems I’m still sensitive to triggers like spices and coffee (my first cup in 4 months and it seriously messed me up, I had to take a second heartburn pill and a nausea pill just to level out). So now I’m just left wondering: does it get better? Am I going to have to take medication forever? Will I ever be able to enjoy my favorite foods again, or will I have to make some major changes in my life for the sake of my health? (I’ve been wanting to eat better and exercise more anyway, but I’m still only 26 and would like to enjoy my guilty pleasures while I’m still relatively young.) I’m willing to do what it takes to be healthy, as I have clients who depend on me, but it’s just so frustrating right now. Idk. Just need some words of encouragement I guess.</t>
        </is>
      </c>
      <c r="D3713" t="n">
        <v>1</v>
      </c>
      <c r="E3713" t="n">
        <v>6</v>
      </c>
      <c r="F3713">
        <f>HYPERLINK("https://www.reddit.com/r/GERD/comments/dyvkxu/recent_lpr_silent_reflux_diagnosis_uncertain_of/")</f>
        <v/>
      </c>
      <c r="G3713" t="inlineStr">
        <is>
          <t>2019-11-19 18:53:27</t>
        </is>
      </c>
      <c r="H3713" t="inlineStr"/>
    </row>
    <row r="3714">
      <c r="A3714" t="inlineStr">
        <is>
          <t>dyy8ra</t>
        </is>
      </c>
      <c r="B3714" t="inlineStr">
        <is>
          <t>Back pain at night?</t>
        </is>
      </c>
      <c r="C3714" t="inlineStr">
        <is>
          <t>I’ve woken up with a sore throat for about 7 years from acid reflux but, for the last year or two, have also been woken up in the night from sharp chest and back pain. 
It feels like anywhere in my ribs is free game but worst around the sternum and shoulder blades. Anyone familiar with this?</t>
        </is>
      </c>
      <c r="D3714" t="n">
        <v>1</v>
      </c>
      <c r="E3714" t="n">
        <v>1</v>
      </c>
      <c r="F3714">
        <f>HYPERLINK("https://www.reddit.com/r/GERD/comments/dyy8ra/back_pain_at_night/")</f>
        <v/>
      </c>
      <c r="G3714" t="inlineStr">
        <is>
          <t>2019-11-19 22:45:42</t>
        </is>
      </c>
      <c r="H3714" t="inlineStr"/>
    </row>
    <row r="3715">
      <c r="A3715" t="inlineStr">
        <is>
          <t>dyyabf</t>
        </is>
      </c>
      <c r="B3715" t="inlineStr">
        <is>
          <t>GERD? Looking for advice .... PLEASE!!</t>
        </is>
      </c>
      <c r="C3715" t="inlineStr">
        <is>
          <t>Hi all! Im pretty new to reddit but I thought I'd use it as an outlet and maybe to get some answers/advice. Im 19 years old but around the first week of June I started getting a tight feeling in my chest, and shortness of breath. It occurred  mostly after I ate heavily or if I just ate... It wasn't gradual, one day I just woke up feeling this way. I've always known I'm lactose intolerant, but it never really bothered me too much so I continue to eat cheese and occasionally ice cream (I'm mentioning this because I'm not sure if it has anything to do with the GERD). I don't feel like I can get a full breath in, so sometimes I yawn to get a fulfilling breath (idk if this is normal lol). Also, burping helps a lot. I went to a GI and they've had me on pantoprazole until my follow up appointment this Friday (about 2 months total on the meds).  The meds help sometimes but other times it keeps me up at night because i can't breathe well... Im a pretty anxious person so this has left me uneasy for months! Since this I've tried staying away from all dairy and acidic foods and the GERD still bothers me often... any advice? Please ease my mind lol &amp;lt;3</t>
        </is>
      </c>
      <c r="D3715" t="n">
        <v>1</v>
      </c>
      <c r="E3715" t="n">
        <v>6</v>
      </c>
      <c r="F3715">
        <f>HYPERLINK("https://www.reddit.com/r/GERD/comments/dyyabf/gerd_looking_for_advice_please/")</f>
        <v/>
      </c>
      <c r="G3715" t="inlineStr">
        <is>
          <t>2019-11-19 22:50:09</t>
        </is>
      </c>
      <c r="H3715" t="inlineStr"/>
    </row>
    <row r="3716">
      <c r="A3716" t="inlineStr">
        <is>
          <t>dyz0wc</t>
        </is>
      </c>
      <c r="B3716" t="inlineStr">
        <is>
          <t>Has anyone switched from Nexium to other PPIs and felt better?</t>
        </is>
      </c>
      <c r="C3716" t="inlineStr">
        <is>
          <t>I've been on Nexium 40mg for 2 months now and I'm just not getting better. I still get a lot of acid reflux during the day. My doctor suggested to switch to another PPI, he told me that each PPI actually work on the body in different ways. I did some research and [one paper](https://www.healio.com/gastroenterology/curbside-consultation/%7B748d2bbf-b211-4dbc-93f3-a45978bbc02d%7D/are-there-differences-am) suggests that there's really no point switching except for cost and availability reasons. I didn't listen to him because I know if I'm already on Nexium, which is the strongest PPI, and still not getting better then there's mostly likely nothing out there can help.
Just wondering if yall have experiences with switching from a stronger PPI to another and found it more effective. Also has anyone found that these PPIs works in the beginning but their efficacy decreases overtime? I have read papers that suggest that PPIs don't tend to decrease in efficacy overtime, so that's another reason why I don't think switching will help me.</t>
        </is>
      </c>
      <c r="D3716" t="n">
        <v>1</v>
      </c>
      <c r="E3716" t="n">
        <v>4</v>
      </c>
      <c r="F3716">
        <f>HYPERLINK("https://www.reddit.com/r/GERD/comments/dyz0wc/has_anyone_switched_from_nexium_to_other_ppis_and/")</f>
        <v/>
      </c>
      <c r="G3716" t="inlineStr">
        <is>
          <t>2019-11-20 00:10:27</t>
        </is>
      </c>
      <c r="H3716" t="inlineStr"/>
    </row>
    <row r="3717">
      <c r="A3717" t="inlineStr">
        <is>
          <t>dz180w</t>
        </is>
      </c>
      <c r="B3717" t="inlineStr">
        <is>
          <t>White Fluffy tongue</t>
        </is>
      </c>
      <c r="C3717" t="inlineStr">
        <is>
          <t>Soooo woke up this morning with an extremely white and fluffy tongue. A quick google said it could be caused by my omeprazole. Anyone else here have that before? Should I be worried?</t>
        </is>
      </c>
      <c r="D3717" t="n">
        <v>1</v>
      </c>
      <c r="E3717" t="n">
        <v>2</v>
      </c>
      <c r="F3717">
        <f>HYPERLINK("https://www.reddit.com/r/GERD/comments/dz180w/white_fluffy_tongue/")</f>
        <v/>
      </c>
      <c r="G3717" t="inlineStr">
        <is>
          <t>2019-11-20 04:09:37</t>
        </is>
      </c>
      <c r="H3717" t="inlineStr"/>
    </row>
    <row r="3718">
      <c r="A3718" t="inlineStr">
        <is>
          <t>dz1h4u</t>
        </is>
      </c>
      <c r="B3718" t="inlineStr">
        <is>
          <t>PPI side-effects</t>
        </is>
      </c>
      <c r="C3718" t="inlineStr">
        <is>
          <t>Is it possible to have esomeprazole side effects after week and half after taking 2x40g for a month and half? Sometimes I can feel by heart beating while it is only on 75pbm and sometimes I wake up at night, my heart at 90bmp, pouding like crazy. And I also have muscle twitches. I also have some bad thoughts that are hard to fight and so. I neverd had any issues like this, it is a bit better once I stopped taking it (I had morning nausea, I felt like I am completely alone with no friends (which even if was true I dont normally care about)). I am not sure if I am getting crazy or it is just those pills.
Also, my GERD is gone somehow (I can eat pancakes while laying and still have a good time).</t>
        </is>
      </c>
      <c r="D3718" t="n">
        <v>1</v>
      </c>
      <c r="E3718" t="n">
        <v>15</v>
      </c>
      <c r="F3718">
        <f>HYPERLINK("https://www.reddit.com/r/GERD/comments/dz1h4u/ppi_sideeffects/")</f>
        <v/>
      </c>
      <c r="G3718" t="inlineStr">
        <is>
          <t>2019-11-20 04:34:48</t>
        </is>
      </c>
      <c r="H3718" t="inlineStr"/>
    </row>
    <row r="3719">
      <c r="A3719" t="inlineStr">
        <is>
          <t>dz25c8</t>
        </is>
      </c>
      <c r="B3719" t="inlineStr">
        <is>
          <t>Has anyone tried this supplement regime for Gerd? See link to studies below. 100% regression of symptoms vs 65.7% with omeprazole!!!!</t>
        </is>
      </c>
      <c r="C3719" t="inlineStr">
        <is>
          <t>https://www.ncbi.nlm.nih.gov/m/pubmed/16948779/
This has the dosages:
https://www.ncbi.nlm.nih.gov/m/pubmed/18616070/?i=2&amp;amp;from=/16948779/related
I’m kind of nervous about 6mg of melatonin but I am going to give it a try! 
I was just prescribed another PPI and I already have issues absorbing B vitamins so I would rather not deplete them even further. 
You guys!!! 100 PERCENT regression of symptoms!!! That is incredible!! 
Who’s down to try it?? 🙏🙌</t>
        </is>
      </c>
      <c r="D3719" t="n">
        <v>1</v>
      </c>
      <c r="E3719" t="n">
        <v>11</v>
      </c>
      <c r="F3719">
        <f>HYPERLINK("https://www.reddit.com/r/GERD/comments/dz25c8/has_anyone_tried_this_supplement_regime_for_gerd/")</f>
        <v/>
      </c>
      <c r="G3719" t="inlineStr">
        <is>
          <t>2019-11-20 05:36:52</t>
        </is>
      </c>
      <c r="H3719" t="inlineStr"/>
    </row>
    <row r="3720">
      <c r="A3720" t="inlineStr">
        <is>
          <t>dz4jfc</t>
        </is>
      </c>
      <c r="B3720" t="inlineStr">
        <is>
          <t>What's your go to food/supplement to neutralize stomach acid</t>
        </is>
      </c>
      <c r="C3720" t="inlineStr">
        <is>
          <t>Been reading a lot lately and would like to get some feedback on what foods/supplements work best for you.
I've been experimenting with almonds and apples this week. Might also try oatmeal.</t>
        </is>
      </c>
      <c r="D3720" t="n">
        <v>1</v>
      </c>
      <c r="E3720" t="n">
        <v>28</v>
      </c>
      <c r="F3720">
        <f>HYPERLINK("https://www.reddit.com/r/GERD/comments/dz4jfc/whats_your_go_to_foodsupplement_to_neutralize/")</f>
        <v/>
      </c>
      <c r="G3720" t="inlineStr">
        <is>
          <t>2019-11-20 08:39:25</t>
        </is>
      </c>
      <c r="H3720" t="inlineStr"/>
    </row>
    <row r="3721">
      <c r="A3721" t="inlineStr">
        <is>
          <t>dz716q</t>
        </is>
      </c>
      <c r="B3721" t="inlineStr">
        <is>
          <t>For those looking to wean off of omeprazole, this is how I did it</t>
        </is>
      </c>
      <c r="C3721" t="inlineStr">
        <is>
          <t>Hi all. I've never posted on this subreddit before, but I figured that somebody might make use of this post, given my agonizing year-plus of attempting to wean off of omeprazole after discovering I probably didn't need it, after taking it for several years.
Background:
Now I realize some of you may have various health concerns that prevent you from dropping PPIs altogether. In that case, disregard this post. In my case, I'm a healthy, reasonable-weight 27 year old male with no other medications/ailments to speak of. I started experiencing excess stomach acid and GERD symptoms when I was around 22, which I later suspected was due to stress and unhealthy eating habits. A nurse at my college prescribed omeprazole to me, which I started taking it daily. After reading about some of the suspected risks/nutritional deficiencies of taking omeprazole, In 2018, I decided to wean off of it, after a few years of being on 20mg.  
What I soon began to realize is that PPIs cause mid to long-term changes to your stomach. You start to produce more and more parietal (acid-secreting) cells to compensate for the ones being blocked by the drug. Moreover, it takes a long time (weeks to a month) for this extra "production capacity" to lessen, however that might work. After a brief attempt, I realized that dropping 20mg of omeprazole "cold turkey" was extremely painful. I honestly don't know how anybody has ever done it.  
Weaning:
So my idea was to start tapering down my dosage veeeeerrrry slowly. But I encountered another problem - the generic omeprazole you typically buy in the store in the US is either a tablet, or a capsule full of tiny drug beads. In the case of the former, you don't want to mess with the time-release by crushing the tablet. In the case of the latter, it was more often than not that these capsules were sealed, meaning you couldn't simply pull the tops off and remove some of the beads. Sometimes you might get lucky and find removable-top capsules (especially if you're prescribed them) but I decided (in all my brilliance) to keep buying store-brand generic capsules, and just using an exacto-blade to score a tiny hole in the top to remove the beads.  
For the actual tapering process, I needed to very precisely remove a certain number of omeprazole beads from each capsule, and increase this number each day. I ended up purchasing a milligram scale to do this measuring. I was able to track how close I was to zero by emptying a whole capsule worth of beads into the scale, and taking the fraction of material removed against that total. To maintain comfort levels, I was removing 1 milligram from the capsule's total weight of 27 milligrams every two weeks, with the occasional longer period between dosage drops.  
It took a ridiculously long time to wean off, still. I sometimes had to stick to one lowered-dose step for weeks at a time, because of the discomfort of going down a few milligrams, occasionally. It took an entire year before I was finally off omeprazole comfortably. But here I am now, drug free. I still use tums and D-Limonene to manage occasional acid flareups, and I make sure to sleep on my left side to keep everything under control.  
Hopefully this story helps somebody here, and feel free to shout out with any questions, grievances, or stories of your own. Thanks!</t>
        </is>
      </c>
      <c r="D3721" t="n">
        <v>1</v>
      </c>
      <c r="E3721" t="n">
        <v>21</v>
      </c>
      <c r="F3721">
        <f>HYPERLINK("https://www.reddit.com/r/GERD/comments/dz716q/for_those_looking_to_wean_off_of_omeprazole_this/")</f>
        <v/>
      </c>
      <c r="G3721" t="inlineStr">
        <is>
          <t>2019-11-20 11:34:11</t>
        </is>
      </c>
      <c r="H3721" t="inlineStr"/>
    </row>
    <row r="3722">
      <c r="A3722" t="inlineStr">
        <is>
          <t>dz7jls</t>
        </is>
      </c>
      <c r="B3722" t="inlineStr">
        <is>
          <t>Why does curry not give me heartburn?</t>
        </is>
      </c>
      <c r="C3722" t="inlineStr">
        <is>
          <t>I'm a 20 year old male and I usually have heartburn 1 or 2 times a week, I've had it from a young age. Tomatoes, lemonade, onions etc set me off, but I seem to be able to eat as much curry as I want. Is it just the case that different people have very different and particular triggers</t>
        </is>
      </c>
      <c r="D3722" t="n">
        <v>1</v>
      </c>
      <c r="E3722" t="n">
        <v>2</v>
      </c>
      <c r="F3722">
        <f>HYPERLINK("https://www.reddit.com/r/GERD/comments/dz7jls/why_does_curry_not_give_me_heartburn/")</f>
        <v/>
      </c>
      <c r="G3722" t="inlineStr">
        <is>
          <t>2019-11-20 12:08:27</t>
        </is>
      </c>
      <c r="H3722" t="inlineStr"/>
    </row>
    <row r="3723">
      <c r="A3723" t="inlineStr">
        <is>
          <t>dz8k14</t>
        </is>
      </c>
      <c r="B3723" t="inlineStr">
        <is>
          <t>GERD is not excess stomach acid</t>
        </is>
      </c>
      <c r="C3723" t="inlineStr">
        <is>
          <t>The misconception is that GERD is caused by “too much” stomach acid which is RARELY the case. GERD is caused when the lower esophageal sphincter doesn’t work as it should and it allows the existing acid and other stomach contents to constantly backwash into the esophagus causing heartburn and discomfort 2 or more times a week.</t>
        </is>
      </c>
      <c r="D3723" t="n">
        <v>1</v>
      </c>
      <c r="E3723" t="n">
        <v>25</v>
      </c>
      <c r="F3723">
        <f>HYPERLINK("https://www.reddit.com/r/GERD/comments/dz8k14/gerd_is_not_excess_stomach_acid/")</f>
        <v/>
      </c>
      <c r="G3723" t="inlineStr">
        <is>
          <t>2019-11-20 13:29:29</t>
        </is>
      </c>
      <c r="H3723" t="inlineStr"/>
    </row>
    <row r="3724">
      <c r="A3724" t="inlineStr">
        <is>
          <t>dz9jos</t>
        </is>
      </c>
      <c r="B3724" t="inlineStr">
        <is>
          <t>Anybody had the tif surgery?</t>
        </is>
      </c>
      <c r="C3724" t="inlineStr">
        <is>
          <t>I’m not sure to look into linx or tif</t>
        </is>
      </c>
      <c r="D3724" t="n">
        <v>1</v>
      </c>
      <c r="E3724" t="n">
        <v>20</v>
      </c>
      <c r="F3724">
        <f>HYPERLINK("https://www.reddit.com/r/GERD/comments/dz9jos/anybody_had_the_tif_surgery/")</f>
        <v/>
      </c>
      <c r="G3724" t="inlineStr">
        <is>
          <t>2019-11-20 14:39:45</t>
        </is>
      </c>
      <c r="H3724" t="inlineStr"/>
    </row>
    <row r="3725">
      <c r="A3725" t="inlineStr">
        <is>
          <t>dza87o</t>
        </is>
      </c>
      <c r="B3725" t="inlineStr">
        <is>
          <t>Going to the doc!</t>
        </is>
      </c>
      <c r="C3725" t="inlineStr">
        <is>
          <t>I have recently gone to the doctor who has put me on 40mg of omeprazole 2x a day and a h2  blocker 2x a day, but neither have seemed to help all that much. I dont have heartburn anymore which is nice. But basically I am in pain during every meal whether I eat trigger foods or not. It's hard to explain but after a few bites of food my body immediately wants to regurgitate the food or liquid. I eat super slow, it's just annoying to always feel like air or food is stuck in your throat. Hope's that my appointment tomorrow will help me figure something out or that I can go see a specialist. I'm only 20 yrs old, a healthy weight, and I dont smoke. No risk factors that I'm aware of. It's to the point I dont even want to eat or enjoy eating anymore</t>
        </is>
      </c>
      <c r="D3725" t="n">
        <v>1</v>
      </c>
      <c r="E3725" t="n">
        <v>10</v>
      </c>
      <c r="F3725">
        <f>HYPERLINK("https://www.reddit.com/r/GERD/comments/dza87o/going_to_the_doc/")</f>
        <v/>
      </c>
      <c r="G3725" t="inlineStr">
        <is>
          <t>2019-11-20 15:28:48</t>
        </is>
      </c>
      <c r="H3725" t="inlineStr"/>
    </row>
    <row r="3726">
      <c r="A3726" t="inlineStr">
        <is>
          <t>dzb4yx</t>
        </is>
      </c>
      <c r="B3726" t="inlineStr">
        <is>
          <t>Next step after no significant solutions?</t>
        </is>
      </c>
      <c r="C3726" t="inlineStr">
        <is>
          <t>Hello,
I've been experiencing GERD/LPR for the past 3 years. I have completely cut out chocolate, tomatoes, etc etc from the gerd/lpr list and sleep on an incline. I have been limiting my eating &amp;amp; drinking to 2-3hours before sleep and i still wake up days where I am constantly burping upon waking up and throughout the day. I currently have a sore throat which i am not entirely sure is from LPR or speaking but I have been to ENTs before and they are telling me to go to a speech therapist to help with this. I need to use my voice for a living and would like to get this situated/remedied ASAP.
Any further steps/remedy recommendations?
Do i visit a gastroenterologist at this point? what tests do i recommend? 
I recently bought HCL Pepsin but after hearing some comments here, im not sure if i should be using these just yet until i get a doctors prescription. 
&amp;amp;#x200B;
Thanks in advanced.</t>
        </is>
      </c>
      <c r="D3726" t="n">
        <v>1</v>
      </c>
      <c r="E3726" t="n">
        <v>10</v>
      </c>
      <c r="F3726">
        <f>HYPERLINK("https://www.reddit.com/r/GERD/comments/dzb4yx/next_step_after_no_significant_solutions/")</f>
        <v/>
      </c>
      <c r="G3726" t="inlineStr">
        <is>
          <t>2019-11-20 16:38:04</t>
        </is>
      </c>
      <c r="H3726" t="inlineStr"/>
    </row>
    <row r="3727">
      <c r="A3727" t="inlineStr">
        <is>
          <t>dzbfqa</t>
        </is>
      </c>
      <c r="B3727" t="inlineStr">
        <is>
          <t>LPR itchy throat and inner ears?</t>
        </is>
      </c>
      <c r="C3727" t="inlineStr">
        <is>
          <t>I've been dealing with reflux and lpr symptoms for about a month now. Been taking omeprazole. My throat is still itchy/horse and has now started making my inner ears feel itchy as well. Anyone else feel this??</t>
        </is>
      </c>
      <c r="D3727" t="n">
        <v>1</v>
      </c>
      <c r="E3727" t="n">
        <v>7</v>
      </c>
      <c r="F3727">
        <f>HYPERLINK("https://www.reddit.com/r/GERD/comments/dzbfqa/lpr_itchy_throat_and_inner_ears/")</f>
        <v/>
      </c>
      <c r="G3727" t="inlineStr">
        <is>
          <t>2019-11-20 17:01:46</t>
        </is>
      </c>
      <c r="H3727" t="inlineStr"/>
    </row>
    <row r="3728">
      <c r="A3728" t="inlineStr">
        <is>
          <t>dzdnkr</t>
        </is>
      </c>
      <c r="B3728" t="inlineStr">
        <is>
          <t>Seltzer water as a trigger???</t>
        </is>
      </c>
      <c r="C3728" t="inlineStr">
        <is>
          <t>I can't believe I'm even asking this.
Over a decade ago, I was hospitalized because i thought I was having a heart attack as a teen. Turns out, it was my first GERD attack from eating too much Italian sausage.
I've been on Rabeprazole since then. As long as I avoid trigger foods I'm okay. Even trigger foods don't screw me up as long as they're in moderate amounts.
I got into seltzer water since I decided to give up booze after waking up with chest pains after drinking. But for some reason, stuff like LaCroix, Polar Seltzer and Bubly aggravate my stomach like crazy. They have this weird, dry taste to me and the bubbles are so powerful that they trigger insane heartburn. I could eat a saucy pasta dinner and not feel as gross as a couple of those would make me feel.
Wal Mart has a generic "sparkling water" called Clear American. I can chug their black cherry water and feel okay. But everything else makes me want to puke. I can chug a 12 pack of it in a day and feel wonderful. But that's it. 
Am I a crazy case or has anyone else dealt with this?</t>
        </is>
      </c>
      <c r="D3728" t="n">
        <v>1</v>
      </c>
      <c r="E3728" t="n">
        <v>8</v>
      </c>
      <c r="F3728">
        <f>HYPERLINK("https://www.reddit.com/r/GERD/comments/dzdnkr/seltzer_water_as_a_trigger/")</f>
        <v/>
      </c>
      <c r="G3728" t="inlineStr">
        <is>
          <t>2019-11-20 20:01:54</t>
        </is>
      </c>
      <c r="H3728" t="inlineStr"/>
    </row>
    <row r="3729">
      <c r="A3729" t="inlineStr">
        <is>
          <t>dze5as</t>
        </is>
      </c>
      <c r="B3729" t="inlineStr">
        <is>
          <t>At the ER checking if it's Gerd or heart attack.</t>
        </is>
      </c>
      <c r="C3729" t="inlineStr">
        <is>
          <t>I'm at the ER just to make sure I didn't have a heart attack. I had a little reflux today, like a 3 on a scale from 1 to 10. Then around 5pm I got really light headed and dizzy, my heart started racing and palpetating, and my palms got super sweaty. These symptoms lasted about 3 minutes and kept reoccurring every few minutes. It happened a total of 4 times. My shoulder was tingling too. At the end I was shivering like it was freezing despite it being 75f in my house. 
I had the same thing happen two weeks ago, but that time I had shortness of breath. Thank God I had my inhaler in my pocket that time bc it really helped me. Anyways, they are doing blood work and heart work. They'll also check my thyroid since my pops has thyroid issues.
My regular doc had me do an h pylori test after I told him both my parents and sister had  it a while back. I literally had to beg for it. I'm just waiting for the results now. All these issues started a month and a half ago. Otherwise, I've been quite a healthy  individual my whole life.
I'm super thankful and humble that I have PPO, otherwise I'd be f-d. After this, I'll probably just go follow up with a gastrologist and skip my doctor.</t>
        </is>
      </c>
      <c r="D3729" t="n">
        <v>1</v>
      </c>
      <c r="E3729" t="n">
        <v>7</v>
      </c>
      <c r="F3729">
        <f>HYPERLINK("https://www.reddit.com/r/GERD/comments/dze5as/at_the_er_checking_if_its_gerd_or_heart_attack/")</f>
        <v/>
      </c>
      <c r="G3729" t="inlineStr">
        <is>
          <t>2019-11-20 20:45:16</t>
        </is>
      </c>
      <c r="H3729" t="inlineStr"/>
    </row>
    <row r="3730">
      <c r="A3730" t="inlineStr">
        <is>
          <t>dzk3t5</t>
        </is>
      </c>
      <c r="B3730" t="inlineStr">
        <is>
          <t>Walgreens will fill prescription ranitidine (USA)</t>
        </is>
      </c>
      <c r="C3730" t="inlineStr">
        <is>
          <t>Posting this in case it helps someone else. I finally ran out of the last of my Zantac I had stocked up before the recall. I saw on here that some people had luck getting Zantac filled as a prescription. I called Walgreens (US) first to check and was told that they **are** filling ranitidine 150mg prescriptions using their generic (they still aren't selling it OTC, though). I asked the pharmacist if it was just that Walgreens and she said to her knowledge it was company policy.   
I wanted to share, hopefully if you nee ranitidine and haven't been able to get it this helps. My doctor was able to put in a prescription order for me, I'm just waiting for it to be filled.</t>
        </is>
      </c>
      <c r="D3730" t="n">
        <v>1</v>
      </c>
      <c r="E3730" t="n">
        <v>5</v>
      </c>
      <c r="F3730">
        <f>HYPERLINK("https://www.reddit.com/r/GERD/comments/dzk3t5/walgreens_will_fill_prescription_ranitidine_usa/")</f>
        <v/>
      </c>
      <c r="G3730" t="inlineStr">
        <is>
          <t>2019-11-21 06:31:50</t>
        </is>
      </c>
      <c r="H3730" t="inlineStr"/>
    </row>
    <row r="3731">
      <c r="A3731" t="inlineStr">
        <is>
          <t>dzlfdf</t>
        </is>
      </c>
      <c r="B3731" t="inlineStr">
        <is>
          <t>Is an endoscopy worth it?</t>
        </is>
      </c>
      <c r="C3731" t="inlineStr">
        <is>
          <t>My GERD has been getting significantly worse lately and I’m honestly low-key concerned. Each time I’ve had a MAJOR problem, it’s presented in a different way. The first time, I had chest pain and went to the ER to be told it was only GERD. The second time, I would get real sick when I went to lay down every night. That stopped when I cut coffee out of my diet. Over the summer, I developed a mystery cough and since my doctor couldn’t see me until April I got put on omeprazole, an inhaler, a cough suppressant, and an allergy med. Something in that mix worked and I had been a couple months cough-free until last week. 
I had one (decaf) coffee (not black) four days in a row when I threw up straight acid in my mouth. Was a stupid idiot and continued to drink coffee for maybe four more days. Now my cough is back and just as bad as it was before. I’ve never had such a severe reaction over one (oftentimes only half) cup of coffee per day! I’m honestly a little scared. 
I contacted my doctor and was like “Can I get a referral for an endoscopy? Check out what’s going on?” I got one. Called today and got an appointment for this coming Tuesday. But I am very new at my job and literally JUST asked for time off for Christmas (so my boyfriend can take me down to Disney and propose where we met) and they were very hesitant to give me that time off. Still have only confirmed 3 out of my 4 days. I’m very new here and have had to take off a couple other days for health reasons and I feel like this one next week (when our office is already closed for Wednesday afternoon through the weekend for the holiday) is just too much. I’m very afraid to ask for it off. 
Is it worth it though? Is there a chance the endoscopy can help me? Should I be as scared as I am?
(Also waiting is not an option for me because I lose my insurance in January and there are no open appointments “indefinitely”.)</t>
        </is>
      </c>
      <c r="D3731" t="n">
        <v>1</v>
      </c>
      <c r="E3731" t="n">
        <v>9</v>
      </c>
      <c r="F3731">
        <f>HYPERLINK("https://www.reddit.com/r/GERD/comments/dzlfdf/is_an_endoscopy_worth_it/")</f>
        <v/>
      </c>
      <c r="G3731" t="inlineStr">
        <is>
          <t>2019-11-21 08:05:48</t>
        </is>
      </c>
      <c r="H3731" t="inlineStr"/>
    </row>
    <row r="3732">
      <c r="A3732" t="inlineStr">
        <is>
          <t>dzlg4j</t>
        </is>
      </c>
      <c r="B3732" t="inlineStr">
        <is>
          <t>Do I have GERD??? (honestly I just can't stop overthinking but I would have my consultation with a gastro this weekend)</t>
        </is>
      </c>
      <c r="C3732" t="inlineStr">
        <is>
          <t>Hi, im 25M from the PH. It has already been a week since I started having "symptoms" of GERD / Acid Reflux and I was also rushed to the ED (Emergency Department) during the same day. 
During that day what happened was, I just woke up like an hour later when I fell asleep (fell asleep around 5am woke up 6am) and I had difficulty breathing like something was blocking my breathing and my chest felt heavy (but not that heavy, and I legitimately thought it was a heart attack) when I got to the ED, they did an ECG test on me, a blood test that tested enzymes of my heart and they gave me medicine via dextrose which gave me a relief that night (somehow). I was prescribed to drink Algina 4 times a day after meals and before going to bed, I was also prescribed to drink pantoprazole one pill a day 30 mins before breakfast. that same night I ate a chocolate bar and I smoked half a cigarette (after going to the hospital). The next day I felt like shit and the symptoms just came back, during the night time I felt a little better and I had dinner (ate fried wantons with chili oil) which resulted to me having a panic attack (I also thought this was a heart attack) and was immediately rushed to the ED and was then diagnosed with GERD according to the discharge papers. The prescription was to only extend my medicine to two weeks (14 days) and to continue drinking the Algina. It has been 7 days since my first trip and 6 days since my second hospital incident. I just want to know if I really do have GERD (actually my friend referred this subreddit to me since I kept ranting to him the whole day)
my general symptoms are
1. I can't sleep properly (usually I sleep on my belly side) and ive been waking up almost every hour or two this will happen at least 2-3 times in an 8 hour spawn
2. I can't breathe in properly, like I find it difficult when it comes to taking in heavy breaths
3. I feel gurggling / bubbling sometimes in my stomach area
4. My breathing is not like in a natural manner, like I really have to manually breathe sometimes so I can get air
5. I wake up from chills when I sleep or like when I feel like im running out of breath
&amp;amp;#x200B;
P.S all my tests came back negative of anything, on my second trip they even extracted blood from pulse to check the oxygen from my blood. I also had an xray for my lungs which came back negative to anything that needs medical attention. 
&amp;amp;#x200B;
I just really want a peace of mind and I wanna know if I can recover from this cause it has really disrupted my daily life.
Thanks in advanced everyone!</t>
        </is>
      </c>
      <c r="D3732" t="n">
        <v>1</v>
      </c>
      <c r="E3732" t="n">
        <v>41</v>
      </c>
      <c r="F3732">
        <f>HYPERLINK("https://www.reddit.com/r/GERD/comments/dzlg4j/do_i_have_gerd_honestly_i_just_cant_stop/")</f>
        <v/>
      </c>
      <c r="G3732" t="inlineStr">
        <is>
          <t>2019-11-21 08:07:06</t>
        </is>
      </c>
      <c r="H3732" t="inlineStr"/>
    </row>
    <row r="3733">
      <c r="A3733" t="inlineStr">
        <is>
          <t>dzmqgj</t>
        </is>
      </c>
      <c r="B3733" t="inlineStr">
        <is>
          <t>PPI Timing - when is the best time to take for nighttime reflux?</t>
        </is>
      </c>
      <c r="C3733" t="inlineStr">
        <is>
          <t>Hi guys, so I really don't have a problem with reflux or excess acid during the day. I can eat whatever I want, because my slow gastric motility (food tends to sit in my stomach too long) won't matter because I am upright the whole day.
The problem is at night. If I eat after 6pm or so (bedtime at 11pm) I will have bad heartburn because there is still food in my stomach getting digested. The acid comes up when I sleep and I get sinus issues, sleep apnea, heartburn, etc.
I've gone back on PPIs to avoid esophageal cancer. Should I take these pills before bed? Before dinner? Before breakfast? I intend to experiment myself but I thought someone in a similar situation might have some insight.</t>
        </is>
      </c>
      <c r="D3733" t="n">
        <v>1</v>
      </c>
      <c r="E3733" t="n">
        <v>8</v>
      </c>
      <c r="F3733">
        <f>HYPERLINK("https://www.reddit.com/r/GERD/comments/dzmqgj/ppi_timing_when_is_the_best_time_to_take_for/")</f>
        <v/>
      </c>
      <c r="G3733" t="inlineStr">
        <is>
          <t>2019-11-21 09:34:13</t>
        </is>
      </c>
      <c r="H3733" t="inlineStr"/>
    </row>
    <row r="3734">
      <c r="A3734" t="inlineStr">
        <is>
          <t>dzpt30</t>
        </is>
      </c>
      <c r="B3734" t="inlineStr">
        <is>
          <t>Barium Swallow - harmful? easy?</t>
        </is>
      </c>
      <c r="C3734" t="inlineStr">
        <is>
          <t>Have to do this. Not worried about getting through it. Seems like you choke down a milkshake that tastes terrible. 
Does this test help? Is it harmful? I can’t find doses of radiation online. I hate xrays in general, and this one seems like a lot of pictures.</t>
        </is>
      </c>
      <c r="D3734" t="n">
        <v>1</v>
      </c>
      <c r="E3734" t="n">
        <v>15</v>
      </c>
      <c r="F3734">
        <f>HYPERLINK("https://www.reddit.com/r/GERD/comments/dzpt30/barium_swallow_harmful_easy/")</f>
        <v/>
      </c>
      <c r="G3734" t="inlineStr">
        <is>
          <t>2019-11-21 12:56:16</t>
        </is>
      </c>
      <c r="H3734" t="inlineStr"/>
    </row>
    <row r="3735">
      <c r="A3735" t="inlineStr">
        <is>
          <t>dzpy1l</t>
        </is>
      </c>
      <c r="B3735" t="inlineStr">
        <is>
          <t>Turns out I have H Pylori</t>
        </is>
      </c>
      <c r="C3735" t="inlineStr">
        <is>
          <t>I'll make this brief, but you can check out my original postings if you're interested. About a month and a half ago I started getting the following symptoms. 
Acid Reflux
Heartburn
Indigestion
Globus (feeling something is tuck in throat)
Indigestion
Some bloating
Nausea (very little and only twice). 
Heart Racing, palpitations, cold sweats (episodes of these symptoms combined came in waves of 4 times, each lasting three minutes). The pair of 4 waves happened a total of two times (about two weeks apart). 
I went to the ER yesterday for the heart symptoms to make sure I didn't have a heart attack. Everything came back within normal range, that is, everything looks good. I got my H pylori test today, and it came back positive. I checkout out some h pylori forums and some people do have the symptoms I was having. I will start treatment today and hopefully the damage done to my stomach will heal in weeks and months; I've read it takes some people years to heal after getting rid of the bug. Once the bug is gone, I might face some time with GERD because of the damage. It has also been reported that some people just end up with heartburn for months. I can deal with everything else, except with the dizziness and heart racing with cold sweats, because that is scary. Anyways, I'll keep you all updated on how the treatment goes and symptoms.</t>
        </is>
      </c>
      <c r="D3735" t="n">
        <v>1</v>
      </c>
      <c r="E3735" t="n">
        <v>41</v>
      </c>
      <c r="F3735">
        <f>HYPERLINK("https://www.reddit.com/r/GERD/comments/dzpy1l/turns_out_i_have_h_pylori/")</f>
        <v/>
      </c>
      <c r="G3735" t="inlineStr">
        <is>
          <t>2019-11-21 13:04:55</t>
        </is>
      </c>
      <c r="H3735" t="inlineStr"/>
    </row>
    <row r="3736">
      <c r="A3736" t="inlineStr">
        <is>
          <t>dztcl5</t>
        </is>
      </c>
      <c r="B3736" t="inlineStr">
        <is>
          <t>Random chest pains?</t>
        </is>
      </c>
      <c r="C3736" t="inlineStr">
        <is>
          <t>Not sure if these random chest pains I feel are caused by my acid reflux or not? I'm a teen so I don't know if I should be concerned or not. Been getting these lately, but I have been really anxious lately so could that be it?</t>
        </is>
      </c>
      <c r="D3736" t="n">
        <v>1</v>
      </c>
      <c r="E3736" t="n">
        <v>10</v>
      </c>
      <c r="F3736">
        <f>HYPERLINK("https://www.reddit.com/r/GERD/comments/dztcl5/random_chest_pains/")</f>
        <v/>
      </c>
      <c r="G3736" t="inlineStr">
        <is>
          <t>2019-11-21 17:05:43</t>
        </is>
      </c>
      <c r="H3736" t="inlineStr"/>
    </row>
    <row r="3737">
      <c r="A3737" t="inlineStr">
        <is>
          <t>dzvh7d</t>
        </is>
      </c>
      <c r="B3737" t="inlineStr">
        <is>
          <t>I don't get gerd symptoms when I'm full</t>
        </is>
      </c>
      <c r="C3737" t="inlineStr">
        <is>
          <t>I noticed this after weeks of this gerd thing. I noticed that I only get my heart palpitations and chest pains when I'm on an empty stomach. When I eat, those completely go away for a few hours and all I get is a few wet burps. Does anyone know why this is the case?. 
Also I know I should be eating alot with gerd but honestly I don't get acid reflux going up to my throat. Just chest pain and heart palpitations.</t>
        </is>
      </c>
      <c r="D3737" t="n">
        <v>1</v>
      </c>
      <c r="E3737" t="n">
        <v>10</v>
      </c>
      <c r="F3737">
        <f>HYPERLINK("https://www.reddit.com/r/GERD/comments/dzvh7d/i_dont_get_gerd_symptoms_when_im_full/")</f>
        <v/>
      </c>
      <c r="G3737" t="inlineStr">
        <is>
          <t>2019-11-21 19:54:28</t>
        </is>
      </c>
      <c r="H3737" t="inlineStr"/>
    </row>
    <row r="3738">
      <c r="A3738" t="inlineStr">
        <is>
          <t>dzvkyf</t>
        </is>
      </c>
      <c r="B3738" t="inlineStr">
        <is>
          <t>Have a bad tolerance for PPIs. How much Pepcid can I take a day safely?</t>
        </is>
      </c>
      <c r="C3738" t="inlineStr">
        <is>
          <t>I currently take 20mg in the morning and 20 at night but it has nowhere near the effectiveness nexium had on me. I’ve seemingly developed a big of an allergy to the nexium so I had to stop.(plus the histamine blocking properties of the Pepcid is huge for my mast cel problems so I’d prefer them to another ppi) Anyway, how much Pepcid can I try a day safely?</t>
        </is>
      </c>
      <c r="D3738" t="n">
        <v>1</v>
      </c>
      <c r="E3738" t="n">
        <v>3</v>
      </c>
      <c r="F3738">
        <f>HYPERLINK("https://www.reddit.com/r/GERD/comments/dzvkyf/have_a_bad_tolerance_for_ppis_how_much_pepcid_can/")</f>
        <v/>
      </c>
      <c r="G3738" t="inlineStr">
        <is>
          <t>2019-11-21 20:03:37</t>
        </is>
      </c>
      <c r="H3738" t="inlineStr"/>
    </row>
    <row r="3739">
      <c r="A3739" t="inlineStr">
        <is>
          <t>dzzbj5</t>
        </is>
      </c>
      <c r="B3739" t="inlineStr">
        <is>
          <t>Carafate I an pretty sure was giving me heart palpations</t>
        </is>
      </c>
      <c r="C3739" t="inlineStr">
        <is>
          <t>The minute I took it I started have these flutters in my chest but passed it offf as nothing.. but went to urgent care I was having sinus arrhythmia on one bar... but the flutters subsided by the time i got to urgent care. Been on for 4 or 5 days fuck that. That shit will not give me heart attack or stroke idc how big its helped. I am also on protonix.</t>
        </is>
      </c>
      <c r="D3739" t="n">
        <v>1</v>
      </c>
      <c r="E3739" t="n">
        <v>10</v>
      </c>
      <c r="F3739">
        <f>HYPERLINK("https://www.reddit.com/r/GERD/comments/dzzbj5/carafate_i_an_pretty_sure_was_giving_me_heart/")</f>
        <v/>
      </c>
      <c r="G3739" t="inlineStr">
        <is>
          <t>2019-11-22 02:42:05</t>
        </is>
      </c>
      <c r="H3739" t="inlineStr"/>
    </row>
    <row r="3740">
      <c r="A3740" t="inlineStr">
        <is>
          <t>e00eju</t>
        </is>
      </c>
      <c r="B3740" t="inlineStr">
        <is>
          <t>I need some serious help guys and gals</t>
        </is>
      </c>
      <c r="C3740" t="inlineStr">
        <is>
          <t>[23m] So about 10 months ago I was having difficulties swallowing and a globus sensation (mucus in throat constantly feeling.) Didn’t have heartburn or a cough, but regardless I was diagnosed with LPR. Thats the diagnosis we rolled with and for 10 months, and I’ve been on PPI’s ever since.
Fast forward now and it hasn’t changed a thing, still no heartburn or cough. Same difficulty swallowing (Don’t have constant mucus in my throat feeling anymore though.) The kicker now is though its becoming extremely difficult to swallow in general, regardless or food or anything. I have the ideal diet, only water to drink, 100% clean and low acid eating. Over the past 2 months I’ve lost 29 pounds because I just can’t eat. I have difficulty swallowing even water, let alone food. Its takes about 45 minutes to eat half a sandwich because of the small bites and how much I have to chew. 
Its the area between my adams apple and chin (pretty much the entire area under the tongue/mouth) that feels so weak. This might not even be a GERD issue anymore but after 10 months of multiple doctors not knowing whats going in, I feel like Im losing my life slowly. Has this happened to ANYONE? Suggestions of what to do next?</t>
        </is>
      </c>
      <c r="D3740" t="n">
        <v>1</v>
      </c>
      <c r="E3740" t="n">
        <v>10</v>
      </c>
      <c r="F3740">
        <f>HYPERLINK("https://www.reddit.com/r/GERD/comments/e00eju/i_need_some_serious_help_guys_and_gals/")</f>
        <v/>
      </c>
      <c r="G3740" t="inlineStr">
        <is>
          <t>2019-11-22 04:36:54</t>
        </is>
      </c>
      <c r="H3740" t="inlineStr"/>
    </row>
    <row r="3741">
      <c r="A3741" t="inlineStr">
        <is>
          <t>e01g2i</t>
        </is>
      </c>
      <c r="B3741" t="inlineStr">
        <is>
          <t>PPI vs. Surgery</t>
        </is>
      </c>
      <c r="C3741" t="inlineStr">
        <is>
          <t>23F. I've had stomach problems for as long as I can remember. Started when I was an infant with esophageal dismotility and has gradually increased since then. I started taking a PPI (40mg omeprazole) every day 4-5 years ago, and an H2 blocker for a few years before that, but before even that I had regular heartburn (daily, 1-15 bad bouts of it a day), coughing at night, nighttime vomiting, etc... The PPI is wonderful and I have no symptoms presenting while I take it regularly. 
I had an endoscopy done a few weeks to rule out h pylori and dysplasia, and everything looks good (just GERD), but I was told I may be a good candidate for surgery (I guess either LINX or fundiplication but I have yet to talk to a doctor about those options). I'm wondering what you all think of discontinuing daily PPI use and having surgery to try and correct the problem. I'm very torn because while the 40mg omeprazole is working wonderfully, I still am very scared of the long-term effects. If I were to not have surgery there is no doubt in my mind that I would be on the PPI for the rest of my life. 
I am overweight and have been for a while, but my lifetime of symptoms makes my PCP and myself believe that major lifestyle changes probably won't solve the problem. I wouldn't ordinarily be in a huge rush to make a decision, but I hit my deductible with the EGD and I believe my insurance covers either of these surgeries (I would of course check with them beforehand). My remaining max out-of-pocket is about $1600 so thats all surgery would cost me IF I get it done before end of June 2020 when my insurance rolls over. 
Does anyone who has undergone either of these surgeries have any thoughts on the matter? Or those who have opted to forgo surgery in favor of daily PPI use? I want to hear from anyone who has insight or experience with this.
Also, those who have had the surgeries, what was your experience like? Recovery time, pain levels, quality of life afterwards compared to beforehand?</t>
        </is>
      </c>
      <c r="D3741" t="n">
        <v>1</v>
      </c>
      <c r="E3741" t="n">
        <v>13</v>
      </c>
      <c r="F3741">
        <f>HYPERLINK("https://www.reddit.com/r/GERD/comments/e01g2i/ppi_vs_surgery/")</f>
        <v/>
      </c>
      <c r="G3741" t="inlineStr">
        <is>
          <t>2019-11-22 06:08:28</t>
        </is>
      </c>
      <c r="H3741" t="inlineStr"/>
    </row>
    <row r="3742">
      <c r="A3742" t="inlineStr">
        <is>
          <t>e02cpn</t>
        </is>
      </c>
      <c r="B3742" t="inlineStr">
        <is>
          <t>Has anyone had success using alternative medicine to treat GERD?</t>
        </is>
      </c>
      <c r="C3742" t="inlineStr">
        <is>
          <t>At the moment, I am working in Shanghai and have access to Traditional Chinese Medicine (TCM). There are hospitals here that specialize in those treatments. Acupuncture, herbs, etc. 
Has anyone had any luck with TCM or other alternative medicine systems? Any luck with raw honey or herbs?
I have had acid reflux for a few months. Rabeprazole is working well (10 mg in the morning...30 minutes before breakfast). Have been taking it for a month and will be taking it at least another month. 
Perhaps, I can wean myself off of it. I hope so. Doctor said I likely have esophagitis. (The ranitidine that I was taking previously for over 2 months did not work well.)</t>
        </is>
      </c>
      <c r="D3742" t="n">
        <v>1</v>
      </c>
      <c r="E3742" t="n">
        <v>6</v>
      </c>
      <c r="F3742">
        <f>HYPERLINK("https://www.reddit.com/r/GERD/comments/e02cpn/has_anyone_had_success_using_alternative_medicine/")</f>
        <v/>
      </c>
      <c r="G3742" t="inlineStr">
        <is>
          <t>2019-11-22 07:19:00</t>
        </is>
      </c>
      <c r="H3742" t="inlineStr"/>
    </row>
    <row r="3743">
      <c r="A3743" t="inlineStr">
        <is>
          <t>e02wz6</t>
        </is>
      </c>
      <c r="B3743" t="inlineStr">
        <is>
          <t>What Do You Eat In. A Day?</t>
        </is>
      </c>
      <c r="C3743" t="inlineStr">
        <is>
          <t>I posted here yesterday asking about if I should go to an endoscopy. My insurance answered that one for me when they told me I have to pay $1500. So that’s getting postponed for like a year until I move and get a new job with benefits. So I’m going to try to really, really change my diet (even though I’ve already cut out almost all caffeine and alcohol and I’m only a little bit bitter). I’ve looked up lists of trigger foods for GERD and I’m just wondering like....what is left? When you’re avoiding trigger foods, what do you eat?
Right now my daily diet looks like:
Breakfast 8am
Almond milk + protein powder (could easily switch to a non-whey one)
Lunch 12-5pm tbh
Salad (romaine, cucumber, green bell pepper, Kalamata olives, very little feta, grilled chicken breast, Greek vinaigrette, chickpeas, and croutons) 
1/2 pear
6 yogurt covered pretzels
Sugar free pudding
Dinner 6pm
Leftovers or generally just a Greek yogurt
I think my breakfast is salvageable but my lunch and dinner both need to be completely redone and I am rather upset about it. I’ll also be considering cutting dinner off entirely because I try to get to bed in the 8-9pm range. 
What does a day of eating look like for you?</t>
        </is>
      </c>
      <c r="D3743" t="n">
        <v>1</v>
      </c>
      <c r="E3743" t="n">
        <v>5</v>
      </c>
      <c r="F3743">
        <f>HYPERLINK("https://www.reddit.com/r/GERD/comments/e02wz6/what_do_you_eat_in_a_day/")</f>
        <v/>
      </c>
      <c r="G3743" t="inlineStr">
        <is>
          <t>2019-11-22 08:00:00</t>
        </is>
      </c>
      <c r="H3743" t="inlineStr"/>
    </row>
    <row r="3744">
      <c r="A3744" t="inlineStr">
        <is>
          <t>e046l8</t>
        </is>
      </c>
      <c r="B3744" t="inlineStr">
        <is>
          <t>Please help me get a clearer understanding of GERD &amp;amp; how to deal with it! Doctors are unhelpful.</t>
        </is>
      </c>
      <c r="C3744" t="inlineStr">
        <is>
          <t>tl;dr - I have GERD &amp;amp; hiatal hernia. Please answer as many of the numbered questions as you're willing to. Any help you can give me is **greatly** appreciated.
____________
I have GERD &amp;amp; hiatal hernia, and the only thing I've been told by my doctors is to take Omeprazole. They refuse to give me any other information or advice on what I should do. I don't know where else to turn since doctors won't help me, so I figured I'd turn to people who have GERD.
[So I turned to Google, and found a bunch of sites like this one.](https://www.everydayhealth.com/gerd/preventing.aspx) This seems like very good advice but I don't understand some of the points. Please help with the following:
1. "Don't eat fatty foods."
I've stopped using oil and started using olive oil for literally everything. Whether I fry or ovenbake food, I only use extra virgin olive oil. Is this allowed, or is food cooked in extra virgin olive oil still "fatty foods"? If it's not allowed, how exactly am I supposed to cook food if no type of oil is allowed?
2. "Don't eat 3 hours before sleep."
How strict is this rule? Are we talking meals or anything at all? Are snacks allowed? What about simple foods such as a banana, a boiled potato, rice, or yoghurt? Or snacks like chips, bisquits, minimuffins, etc. I'm too hungry to sleep if I haven't eaten in 3 hours. :/
3. "Lose weight."
Would gaining weight help? I'm underweight and have been my entire life. Recently I've been losing even more weight due to being too scared to eat (the pain after eating is unbearable). Should I lose weight regardless of how skinny I am, or is the point to maintain a balanced weight? If so, why do most sites say "lose weight" rather than "maintain a balanced weight"?
4. "Eat smaller meals."
I have no idea what this means. I lost the ability to feel hunger or fullness when I developed GERD &amp;amp; IBS. All I know is that if I don't eat for a long time, I get heartburn. And if I do eat, the heartburn pops up ~30 minutes later, so there's no way for me to know when I've had enough or when I should stop eating. Is there a clear indication on how much a GERD patient is allowed to eat? I'm too scared to eat more than 2 bites of anything.
5. "Quit smoking."
What about weed? Marijuana helps me with the pain (without it I find myself screaming from pain sometimes, but as soon as I smoke some I instantly calm down both in mind &amp;amp; spirit as well as the esophagus - all pain goes away. Should I still stop? Why?
6. My biggest issue currently is swallowing air and excessive burping/belching. If I drink one sip of water, I'll be burping and belching for ~30 minutes. After eating a meal, I burp &amp;amp; belch for around 2-3 hours. Breathing and coughing is very painful for my esophagus, and recently even burping is extremely painful. (and if I don't burp, my esophagus hurts from being stretched from all the air). Any advice on how to deal with this?
Please do answer as many of these questions as possible. I would really appreciate it. Oh, and, please don't tell me to "go see my doctor". My doctor is literally refusing to see me currently because I've had too many appointments recently - and he always tells me the exact same thing: "Keep taking Omeprazole. If you're having issues, then you're not taking your Omeprazole." I want actual help from real human beings who care. It would be so very appreciated!</t>
        </is>
      </c>
      <c r="D3744" t="n">
        <v>1</v>
      </c>
      <c r="E3744" t="n">
        <v>16</v>
      </c>
      <c r="F3744">
        <f>HYPERLINK("https://www.reddit.com/r/GERD/comments/e046l8/please_help_me_get_a_clearer_understanding_of/")</f>
        <v/>
      </c>
      <c r="G3744" t="inlineStr">
        <is>
          <t>2019-11-22 09:29:39</t>
        </is>
      </c>
      <c r="H3744" t="inlineStr"/>
    </row>
    <row r="3745">
      <c r="A3745" t="inlineStr">
        <is>
          <t>e04zqm</t>
        </is>
      </c>
      <c r="B3745" t="inlineStr">
        <is>
          <t>Pain from the BRAVO procedure?</t>
        </is>
      </c>
      <c r="C3745" t="inlineStr">
        <is>
          <t>I got the BRAVO procedure done this past Monday. I haven’t gotten a call yet from the nurse to explain my results. From what I saw, the ph was completely normal, but I’m not going to go there yet until I see what they say. Anyways, I am dealing with a pretty bad amount of pain when eating/swallowing. Anyone else deal with this? My diet the last few days has had to be pretty soft and I’ve had to way over chew.</t>
        </is>
      </c>
      <c r="D3745" t="n">
        <v>1</v>
      </c>
      <c r="E3745" t="n">
        <v>25</v>
      </c>
      <c r="F3745">
        <f>HYPERLINK("https://www.reddit.com/r/GERD/comments/e04zqm/pain_from_the_bravo_procedure/")</f>
        <v/>
      </c>
      <c r="G3745" t="inlineStr">
        <is>
          <t>2019-11-22 10:24:30</t>
        </is>
      </c>
      <c r="H3745" t="inlineStr"/>
    </row>
    <row r="3746">
      <c r="A3746" t="inlineStr">
        <is>
          <t>e09jd5</t>
        </is>
      </c>
      <c r="B3746" t="inlineStr">
        <is>
          <t>GERD sufferers - what are your typical "symptoms" and how long do they take to happen?</t>
        </is>
      </c>
      <c r="C3746" t="inlineStr">
        <is>
          <t>I've been trying to figure out how I feel after coming off of a short Pantoprazole 3 month prescription. I feel as though it may have screwed up my stomach and gave me more frequent heartburn than I had before. 
Sometimes I feel as though what I consider to be "heartburn" feels so similar to anxiety in my chest, that I may get the two confused from time to time. For me, it's almost like a cold/washy sensation around my gut. It's not really painful? A lot of people seem to express that theirs is painful.</t>
        </is>
      </c>
      <c r="D3746" t="n">
        <v>1</v>
      </c>
      <c r="E3746" t="n">
        <v>3</v>
      </c>
      <c r="F3746">
        <f>HYPERLINK("https://www.reddit.com/r/GERD/comments/e09jd5/gerd_sufferers_what_are_your_typical_symptoms_and/")</f>
        <v/>
      </c>
      <c r="G3746" t="inlineStr">
        <is>
          <t>2019-11-22 15:42:41</t>
        </is>
      </c>
      <c r="H3746" t="inlineStr"/>
    </row>
    <row r="3747">
      <c r="A3747" t="inlineStr">
        <is>
          <t>e0bafa</t>
        </is>
      </c>
      <c r="B3747" t="inlineStr">
        <is>
          <t>Weird acid reflux flare up episode (long post).</t>
        </is>
      </c>
      <c r="C3747" t="inlineStr">
        <is>
          <t>20 yr old female here (with no health insurance) and tbh, I would say all my life so far I’ve had stomach issues like acid reflux, etc. I had my first ulcer when I was 7 (crazy, I know). Just to put into summary, since senior year of high school (when I was 17), I was put on Famotidine 20mg 1-2x day and I’ve taken it all the way until about 6 months ago because it just stopped working. It wouldn’t get rid of heartburn as good as it did originally and eventually it just didn’t do anything for my symptoms. So, I was switched to 20mg Prilosec 2x daily and it actually worked all the way until about late September. I noticed it wasn’t treating my symptoms as well and in the beginning of October, out of the blue, it just stopped working. The night it happened, I had the most severe acid reflux feelings I’ve ever felt. The feeling of hot acid just sloshing in my stomach and like these achey pains and just a terrible taste and feeling in my throat. I tried Prilosec, Pepcid, Tums, and those Pepcid Complete tablets that have the Pepcid, Tums, and Magnesium Hydroxide together and just it wouldn’t stop or go away. And ever since then, it’s been hell. I went to a local clinic for help and immediately, the nurse practitioner referred me to a GI doctor. For the first week after my meds stopped working, I literally was just drinking water and eating maybe a small lactose-free yogurt cup a day and I could barely keep it down and I was living off Zofran pills. I tried taking 20mg of Nexium everyday just to see if something could give me even the smallest bit of relief. About a week  later, I couldn’t take it anymore and my GI appointment wasn’t for another 3 weeks so I went to the ER and all they did was give me a CT scan (no contrast) and basic bloodwork and the doc just sent me home with 20mg Protonix to take once a day and Colace and Dulcolax to help with the constipation from the Zofran. She told me I just needed to get a Endoscopy and they couldn’t give me one there because it’s “not an emergency.” The Protonix actually helped me a bit and about a week later, I was able to eat small salads everyday (just plain rotisserie chicken with a lettuce mix) and I actually felt okay. However, that soon ended. Getting closer to my GI appointment, I noticed my stomach started acting up again and so I saw my GI doc and she had me schedule an endoscopy (which is on January 13th, I saw her Nov. 6th) and prescribed me 40mg Protonix in the morning and 1g Sulcralfate one hour before every meal and at bed time.  Everything went even more downhill from there. My symptoms have gotten worse to the point where the acid was in my throat and I lost my voice and it felt like I had a knife every time I swallowed and I couldn’t even swallow water or soft foods. It’s like nothing is working. I messaged her recently because I can’t afford to go back and see her in person atm and she told me she needs the endoscopy and she just increased my Protonix to 40mg 2x day. My symptoms feel even worse than in the beginning. I literally get the worst acid reflux feelings from just drinking water or eating a banana and I get these terrible aches in my stomach and now I’m starting to get dry mouth and the most disgusting taste in the back of my throat. I’m starting to feel a lump in my throat and have throat tightness and chest pain and trouble breathing sometimes (which didn’t even happen in the beginning) and I feel as if I’m going to have to start living off Zofran again and I’m just so lost. I was able to get a closer endoscopy date on December 3rd but I don’t have insurance and they want over $1000+ down and so at this point, I’m so lost on what to do. I don’t know if I should go to the ER or wait it out or what. Sorry guys, I’m just venting because I’m very worried. I can’t even eat anymore at this point and I feel overwhelmed. I apologize for how long this is. If anyone has any advice, I’d appreciate it. Thank you so much,</t>
        </is>
      </c>
      <c r="D3747" t="n">
        <v>1</v>
      </c>
      <c r="E3747" t="n">
        <v>38</v>
      </c>
      <c r="F3747">
        <f>HYPERLINK("https://www.reddit.com/r/GERD/comments/e0bafa/weird_acid_reflux_flare_up_episode_long_post/")</f>
        <v/>
      </c>
      <c r="G3747" t="inlineStr">
        <is>
          <t>2019-11-22 17:58:40</t>
        </is>
      </c>
      <c r="H3747" t="inlineStr"/>
    </row>
    <row r="3748">
      <c r="A3748" t="inlineStr">
        <is>
          <t>e0gwwx</t>
        </is>
      </c>
      <c r="B3748" t="inlineStr">
        <is>
          <t>Why is the generic working better than nexium?</t>
        </is>
      </c>
      <c r="C3748" t="inlineStr">
        <is>
          <t>So i usually take nexium which sorta works but this script i fucked it and got generic instead. Wow what a change. Why is the generic better than nexium? Anyone else had this?</t>
        </is>
      </c>
      <c r="D3748" t="n">
        <v>1</v>
      </c>
      <c r="E3748" t="n">
        <v>2</v>
      </c>
      <c r="F3748">
        <f>HYPERLINK("https://www.reddit.com/r/GERD/comments/e0gwwx/why_is_the_generic_working_better_than_nexium/")</f>
        <v/>
      </c>
      <c r="G3748" t="inlineStr">
        <is>
          <t>2019-11-23 03:49:36</t>
        </is>
      </c>
      <c r="H3748" t="inlineStr"/>
    </row>
    <row r="3749">
      <c r="A3749" t="inlineStr">
        <is>
          <t>e0ke5h</t>
        </is>
      </c>
      <c r="B3749" t="inlineStr">
        <is>
          <t>Has anyone been diagnosed with bile reflux?</t>
        </is>
      </c>
      <c r="C3749" t="inlineStr">
        <is>
          <t>I had my endoscopy last week and basically I have gastritis, esophagitis and bile reflux -_- I need tips, things that have worked for you, etc. Thanks.</t>
        </is>
      </c>
      <c r="D3749" t="n">
        <v>1</v>
      </c>
      <c r="E3749" t="n">
        <v>15</v>
      </c>
      <c r="F3749">
        <f>HYPERLINK("https://www.reddit.com/r/GERD/comments/e0ke5h/has_anyone_been_diagnosed_with_bile_reflux/")</f>
        <v/>
      </c>
      <c r="G3749" t="inlineStr">
        <is>
          <t>2019-11-23 08:49:36</t>
        </is>
      </c>
      <c r="H3749" t="inlineStr"/>
    </row>
    <row r="3750">
      <c r="A3750" t="inlineStr">
        <is>
          <t>e0kuzu</t>
        </is>
      </c>
      <c r="B3750" t="inlineStr">
        <is>
          <t>Endoscopy came out good, but still having chest pain. Seeing a cardiologist now</t>
        </is>
      </c>
      <c r="C3750" t="inlineStr">
        <is>
          <t>Could it be a sliding hernia? Or my ulcers healed? I do get relief from PPI and I’m very concerned that my pain does not seem to be endo related.</t>
        </is>
      </c>
      <c r="D3750" t="n">
        <v>1</v>
      </c>
      <c r="E3750" t="n">
        <v>23</v>
      </c>
      <c r="F3750">
        <f>HYPERLINK("https://www.reddit.com/r/GERD/comments/e0kuzu/endoscopy_came_out_good_but_still_having_chest/")</f>
        <v/>
      </c>
      <c r="G3750" t="inlineStr">
        <is>
          <t>2019-11-23 09:20:50</t>
        </is>
      </c>
      <c r="H3750" t="inlineStr"/>
    </row>
    <row r="3751">
      <c r="A3751" t="inlineStr">
        <is>
          <t>e0lqb1</t>
        </is>
      </c>
      <c r="B3751" t="inlineStr">
        <is>
          <t>Omeprazole is making me hungry all the time.</t>
        </is>
      </c>
      <c r="C3751" t="inlineStr">
        <is>
          <t>guys I've been taking Omeprazole for about a month, I take it 2 times a day but holy shit I'm starving all the time. like I just want to eat and eat and eat. has anyone else experienced this?</t>
        </is>
      </c>
      <c r="D3751" t="n">
        <v>1</v>
      </c>
      <c r="E3751" t="n">
        <v>11</v>
      </c>
      <c r="F3751">
        <f>HYPERLINK("https://www.reddit.com/r/GERD/comments/e0lqb1/omeprazole_is_making_me_hungry_all_the_time/")</f>
        <v/>
      </c>
      <c r="G3751" t="inlineStr">
        <is>
          <t>2019-11-23 10:21:01</t>
        </is>
      </c>
      <c r="H3751" t="inlineStr"/>
    </row>
    <row r="3752">
      <c r="A3752" t="inlineStr">
        <is>
          <t>e0n4aq</t>
        </is>
      </c>
      <c r="B3752" t="inlineStr">
        <is>
          <t>Integrative medicine Dr</t>
        </is>
      </c>
      <c r="C3752" t="inlineStr">
        <is>
          <t>Has anybody been to an integrative medicine doctor specifically for LPR? If so, what tips did they give and did it help?</t>
        </is>
      </c>
      <c r="D3752" t="n">
        <v>1</v>
      </c>
      <c r="E3752" t="n">
        <v>3</v>
      </c>
      <c r="F3752">
        <f>HYPERLINK("https://www.reddit.com/r/GERD/comments/e0n4aq/integrative_medicine_dr/")</f>
        <v/>
      </c>
      <c r="G3752" t="inlineStr">
        <is>
          <t>2019-11-23 11:56:25</t>
        </is>
      </c>
      <c r="H3752" t="inlineStr"/>
    </row>
    <row r="3753">
      <c r="A3753" t="inlineStr">
        <is>
          <t>e0oe5m</t>
        </is>
      </c>
      <c r="B3753" t="inlineStr">
        <is>
          <t>What's the best time to take PPI's? One 40 Mg before breakfast, or two 20 Mg before breakfast and dinner?</t>
        </is>
      </c>
      <c r="C3753" t="inlineStr">
        <is>
          <t>I've been on the twice 20mg and I haven't been noticing symptom changes in about a month in for far.
Thinking about switching to 40 MG just before breakfast, and then a h2 blocker/ or gavison advance at night</t>
        </is>
      </c>
      <c r="D3753" t="n">
        <v>1</v>
      </c>
      <c r="E3753" t="n">
        <v>8</v>
      </c>
      <c r="F3753">
        <f>HYPERLINK("https://www.reddit.com/r/GERD/comments/e0oe5m/whats_the_best_time_to_take_ppis_one_40_mg_before/")</f>
        <v/>
      </c>
      <c r="G3753" t="inlineStr">
        <is>
          <t>2019-11-23 13:24:56</t>
        </is>
      </c>
      <c r="H3753" t="inlineStr"/>
    </row>
    <row r="3754">
      <c r="A3754" t="inlineStr">
        <is>
          <t>e0p16l</t>
        </is>
      </c>
      <c r="B3754" t="inlineStr">
        <is>
          <t>Gagging while brushing tongue</t>
        </is>
      </c>
      <c r="C3754" t="inlineStr">
        <is>
          <t>I have a strong gag reflux that’s most noticeable when brushing my tongue. Is anyone curious if this worsens a hiatal hernia or could undo a fundoplication?
I tend to brush on an empty stomach, so this is not a problem and I’ve been doing it that way for as long as I can remember.</t>
        </is>
      </c>
      <c r="D3754" t="n">
        <v>1</v>
      </c>
      <c r="E3754" t="n">
        <v>6</v>
      </c>
      <c r="F3754">
        <f>HYPERLINK("https://www.reddit.com/r/GERD/comments/e0p16l/gagging_while_brushing_tongue/")</f>
        <v/>
      </c>
      <c r="G3754" t="inlineStr">
        <is>
          <t>2019-11-23 14:12:05</t>
        </is>
      </c>
      <c r="H3754" t="inlineStr"/>
    </row>
    <row r="3755">
      <c r="A3755" t="inlineStr">
        <is>
          <t>e0qc31</t>
        </is>
      </c>
      <c r="B3755" t="inlineStr">
        <is>
          <t>Kombucha</t>
        </is>
      </c>
      <c r="C3755" t="inlineStr">
        <is>
          <t>Do any of you have a reduction in symptoms after drinking Kombucha for a few days?  It seems to have a positive effect on my symptoms.</t>
        </is>
      </c>
      <c r="D3755" t="n">
        <v>1</v>
      </c>
      <c r="E3755" t="n">
        <v>11</v>
      </c>
      <c r="F3755">
        <f>HYPERLINK("https://www.reddit.com/r/GERD/comments/e0qc31/kombucha/")</f>
        <v/>
      </c>
      <c r="G3755" t="inlineStr">
        <is>
          <t>2019-11-23 15:47:50</t>
        </is>
      </c>
      <c r="H3755" t="inlineStr"/>
    </row>
    <row r="3756">
      <c r="A3756" t="inlineStr">
        <is>
          <t>e0qro2</t>
        </is>
      </c>
      <c r="B3756" t="inlineStr">
        <is>
          <t>Is this accurate to GERD, and is there ever hope for it to end?</t>
        </is>
      </c>
      <c r="C3756" t="inlineStr">
        <is>
          <t>Hey everyone. I started having issues about 3 months ago in September, at which point I really just had a lack of appetite. It seemed to go away, but by early October I began having worse issues. My throat began to feel constricted, it became increasingly hard to swallow, I was salivating like crazy and waking up gasping.
 I went to an Urgent Care and the doctor assumed it was some sort of infection. He prescribed me a full round of antibiotic and a full round of steroid. It did nothing. 
I called him, explained that I was getting no relief at all, and he ordered a refill. So I did a second round of both, and it did nothing. 
Finally, at the beginning of this month after not being able to swallow anything at all and having one of the worst panic attacks I've had in a long time, I went to a new Urgent Care doctor. She took one look, asked about the symptoms and history until this point, and said it was GERD. I found it weird as I haven't been having heartburn or anything like that, but a friend of mine who has GERD said my symptoms seemed to match hers. She prescribed Omeprazole in the morning and Ranitidine at night for  a month, and told me I needed to follow up with my Primary Care Doctor (I don't have one). This is now 3 weeks into the treatment and I don't feel much relief. My salivation has gone down, but if anything I feel like I experience more weird things now. Now I get more nauseous, and have abdominal pain and diarrhea. Worst of all, is my throat still is tight feeling and it's incredibly difficult to swallow anything, even stuff like ice cream and mashed potatoes, things that should be easy to swallow. After deciding to look in my throat again today, I noticed the back on my throat is covered in these white spots that almost look like dead skin or something. I'm not even sure.
I'm just so tired of dealing with this, I haven't had a full meal in three months as I can barely eat. I'm constantly uncomfortable. I haven't felt healthy in forever. I can't even afford to go to a doctor as I don't have insurance, and I've spent too much already. 
I'm just really frustrated, really beaten. Does it ever go away?</t>
        </is>
      </c>
      <c r="D3756" t="n">
        <v>1</v>
      </c>
      <c r="E3756" t="n">
        <v>4</v>
      </c>
      <c r="F3756">
        <f>HYPERLINK("https://www.reddit.com/r/GERD/comments/e0qro2/is_this_accurate_to_gerd_and_is_there_ever_hope/")</f>
        <v/>
      </c>
      <c r="G3756" t="inlineStr">
        <is>
          <t>2019-11-23 16:21:30</t>
        </is>
      </c>
      <c r="H3756" t="inlineStr"/>
    </row>
    <row r="3757">
      <c r="A3757" t="inlineStr">
        <is>
          <t>e0rxup</t>
        </is>
      </c>
      <c r="B3757" t="inlineStr">
        <is>
          <t>Inflammation above the LES?</t>
        </is>
      </c>
      <c r="C3757" t="inlineStr">
        <is>
          <t>Recent visit to gastro and he can feel in my chest where the inflammation is coming from. He said it’s right above the LES. It’s swollen a bit and sticking out. If you push in a certain spot it hurts. He says it’s common, but I don’t fully understand it.  I think it’s chronic inflammation from heartburn but not sure. 
It barely bothers me now after a huge diet change and using gaviscon. Does anyone else have this? Will it eventually calm down if I keep the symptoms down?
He’s ordering a barium swallow and another endoscopy just to make sure nothing major is going on.</t>
        </is>
      </c>
      <c r="D3757" t="n">
        <v>1</v>
      </c>
      <c r="E3757" t="n">
        <v>1</v>
      </c>
      <c r="F3757">
        <f>HYPERLINK("https://www.reddit.com/r/GERD/comments/e0rxup/inflammation_above_the_les/")</f>
        <v/>
      </c>
      <c r="G3757" t="inlineStr">
        <is>
          <t>2019-11-23 17:54:35</t>
        </is>
      </c>
      <c r="H3757" t="inlineStr"/>
    </row>
    <row r="3758">
      <c r="A3758" t="inlineStr">
        <is>
          <t>e0sb96</t>
        </is>
      </c>
      <c r="B3758" t="inlineStr">
        <is>
          <t>Turns out my mom's soup fixes everything</t>
        </is>
      </c>
      <c r="C3758" t="inlineStr">
        <is>
          <t>I was basically dying from horrific heartburn like 20 minutes ago. Nothing unusual, just feeling nasty in general. Anyway, my mom likes to make from-scratch chicken soup and I was like "may as well, can't get much worse" and had a mugful. 5 minutes later, feeling infinitely better.
Moms truly are magical</t>
        </is>
      </c>
      <c r="D3758" t="n">
        <v>1</v>
      </c>
      <c r="E3758" t="n">
        <v>9</v>
      </c>
      <c r="F3758">
        <f>HYPERLINK("https://www.reddit.com/r/GERD/comments/e0sb96/turns_out_my_moms_soup_fixes_everything/")</f>
        <v/>
      </c>
      <c r="G3758" t="inlineStr">
        <is>
          <t>2019-11-23 18:25:25</t>
        </is>
      </c>
      <c r="H3758" t="inlineStr"/>
    </row>
    <row r="3759">
      <c r="A3759" t="inlineStr">
        <is>
          <t>e0suao</t>
        </is>
      </c>
      <c r="B3759" t="inlineStr">
        <is>
          <t>Undo damage to vocal cords due to GERD?</t>
        </is>
      </c>
      <c r="C3759" t="inlineStr">
        <is>
          <t>Hey guys! Are there any ways to undo the damage GERD does to your vocal cords? I started having this disease about three months ago and only recently (about a week ago) I was able to mitigate the pain it caused in my throat. One of the things that has helped me the most is chewing gum...
However, sometimes, when I talk my throat, I get some scratchiness in my throat and if I don't drink water or chew some gum it gets worse :( Luckily my voice hasn't changed at all – I haven't lost my voice even once since I got the disease...
So, do you have any tips about protecting/healing your vocals cords from GERD? :)</t>
        </is>
      </c>
      <c r="D3759" t="n">
        <v>1</v>
      </c>
      <c r="E3759" t="n">
        <v>0</v>
      </c>
      <c r="F3759">
        <f>HYPERLINK("https://www.reddit.com/r/GERD/comments/e0suao/undo_damage_to_vocal_cords_due_to_gerd/")</f>
        <v/>
      </c>
      <c r="G3759" t="inlineStr">
        <is>
          <t>2019-11-23 19:08:50</t>
        </is>
      </c>
      <c r="H3759" t="inlineStr"/>
    </row>
    <row r="3760">
      <c r="A3760" t="inlineStr">
        <is>
          <t>e0tdxv</t>
        </is>
      </c>
      <c r="B3760" t="inlineStr">
        <is>
          <t>What do people know about Omeprazole and depression?</t>
        </is>
      </c>
      <c r="C3760" t="inlineStr">
        <is>
          <t>Has anyone else experienced this? 
I just came out or “woke up” from a major stare of depression after smoking (weed) for the first time in almost a month. I’m not a heavy smoker usually, but I usually smoke at least once every three weeks. Though I have gone longer than a month many times since starting smoking. So I know these things aren’t linked. 
But anyway, during this same period that I wasn’t smoking, I’d begun taking Omeprazole. And a pretty heavy dose of it. My doctor never said anything about depression being a side effect, but after smoking and realizing how fucked I’d been these last few weeks, I did some research and found that there are some studies out that believe the two may be linked. Though it’s not confirmed. 
I think I’m gonna call my doctor tomorrow to see what they think.</t>
        </is>
      </c>
      <c r="D3760" t="n">
        <v>1</v>
      </c>
      <c r="E3760" t="n">
        <v>2</v>
      </c>
      <c r="F3760">
        <f>HYPERLINK("https://www.reddit.com/r/GERD/comments/e0tdxv/what_do_people_know_about_omeprazole_and/")</f>
        <v/>
      </c>
      <c r="G3760" t="inlineStr">
        <is>
          <t>2019-11-23 19:55:31</t>
        </is>
      </c>
      <c r="H3760" t="inlineStr"/>
    </row>
    <row r="3761">
      <c r="A3761" t="inlineStr">
        <is>
          <t>e0u00a</t>
        </is>
      </c>
      <c r="B3761" t="inlineStr">
        <is>
          <t>Is it normal to feel fairly depressed when GERD issues hit?</t>
        </is>
      </c>
      <c r="C3761" t="inlineStr">
        <is>
          <t>I’m not sure why, but whenever my GERD acts up (basically every day...) I tend to get fairly depressed. It’s exhausting being uncomfortable, nauseous and unable to eat all the time... I ate out of my 12p-8p window tonight and ate dumplings that were fried and obviously this isn’t a good idea but now I have this horrible lump sensation in my throat and like I need to burp but I can’t and I’ve had two Pepcid now and it’s not going away. It’s just exhausting to feel like this and it makes me sad that I can’t eat ANYTHING without worrying. I feel like I’m just constantly kind of depressed because I have no reflux until I eat anything and it makes me just not want to eat. Sorry to ramble. Just feeling down.</t>
        </is>
      </c>
      <c r="D3761" t="n">
        <v>1</v>
      </c>
      <c r="E3761" t="n">
        <v>12</v>
      </c>
      <c r="F3761">
        <f>HYPERLINK("https://www.reddit.com/r/GERD/comments/e0u00a/is_it_normal_to_feel_fairly_depressed_when_gerd/")</f>
        <v/>
      </c>
      <c r="G3761" t="inlineStr">
        <is>
          <t>2019-11-23 20:50:29</t>
        </is>
      </c>
      <c r="H3761" t="inlineStr"/>
    </row>
    <row r="3762">
      <c r="A3762" t="inlineStr">
        <is>
          <t>e0vqi5</t>
        </is>
      </c>
      <c r="B3762" t="inlineStr">
        <is>
          <t>Had a really terrible day, does anyone else experience this?</t>
        </is>
      </c>
      <c r="C3762" t="inlineStr">
        <is>
          <t>I have been reading some posts from this subreddit and relate a lot to them. I often wake up at night with the worst acid reflux and my heart racing like crazy. Last night I drank a lot of red wine, smoked cigarettes, and ate a bunch of food like salami, chicken wings, and soup and then went straight to bed. I woke up about 4 hours later with my heart racing and terrible acid reflux, I even had nausea and threw up several times. Its the evening now and my heart rate is still high, I also have high blood pressure, and bad anxiety, and pain in my center chest the whole day from acid reflux. Can anyone relate to these symptoms or this situation? 
&amp;amp;#x200B;
Thank you for taking the time to read this</t>
        </is>
      </c>
      <c r="D3762" t="n">
        <v>1</v>
      </c>
      <c r="E3762" t="n">
        <v>9</v>
      </c>
      <c r="F3762">
        <f>HYPERLINK("https://www.reddit.com/r/GERD/comments/e0vqi5/had_a_really_terrible_day_does_anyone_else/")</f>
        <v/>
      </c>
      <c r="G3762" t="inlineStr">
        <is>
          <t>2019-11-24 00:03:06</t>
        </is>
      </c>
      <c r="H3762" t="inlineStr"/>
    </row>
    <row r="3763">
      <c r="A3763" t="inlineStr">
        <is>
          <t>e0wacl</t>
        </is>
      </c>
      <c r="B3763" t="inlineStr">
        <is>
          <t>The relationship between GERD and anxiety has proven difficult for me lately.</t>
        </is>
      </c>
      <c r="C3763" t="inlineStr">
        <is>
          <t>I am aware that it isn't news around here that GERD can fuel anxiety, and anxiety can fuel GERD, but I suppose chiming in with my current experience and struggles might connect to someone else who either is in the same boat as me or found some relief, which could be valuable.
I had been taking Zantac 150 in the evening for about 1.5 years but discontinued recently after the recalls a couple months ago, Previously, I had tried PPIs with my gastro doctor, but we ultimately found they didn't work for me, which was why I was on the Zantac.
I would say Zantac helped give about 40% relief (or maybe even just had a placebo effect), but I was still dealing with some nights of choking or waking up gasping for air, and mostly the daily sensation of reflux or back-up sitting at the top of my throat or putting pressure in my chest, which constantly fueled my panic and anxiety disorder, I became hyper aware of it and breathing felt labored. I never had classic heartburn though, which the doctor said was actually common.
When I got off Zantac, I thought I would try life without it. Yikes. Within about 6 weeks, I started getting pain in my chest and could feel the reflux coming back. I tried a PPI again (Nexium) for the hell of it, and in 7 days got bad diarrhea and muscle aches, and then had food getting stuck in my throat so I stopped. It made even more anxious.
I went to see a specialist and she put me on 40mh of Pepcid as a Zantac alternative, and in 3 days my anxiety amplified by 10x and the reflux issues remained. Apparently this isn't too uncommon for people who already have anxiety for it to be exacerbated by Famotidine. 
Sometimes I wonder if I even really have GERD in the classic sense. I do feel the acid come up to my throat, I do wake up choking and burping constantly after meals or taste acid sometimes, but it is strange that no medication seems to really make any direct impact. It makes me wonder how much of my anxiety disorder can fuel these symptoms and keep me in a loop, or if I found a med that worked, how much of my mental health would improve?
They scheduled three tests, barium swallow, endoscopy with PH sensor, and a motility test, but it is so bothersome that they are booked 2 months out. Makes me feel like I will have done too much more damage in that time alone.
Anyways, any one else manage the balance between anxiety and GERD? Did you find SSRIs helpful or some alternative method to manage symptoms?</t>
        </is>
      </c>
      <c r="D3763" t="n">
        <v>1</v>
      </c>
      <c r="E3763" t="n">
        <v>0</v>
      </c>
      <c r="F3763">
        <f>HYPERLINK("https://www.reddit.com/r/GERD/comments/e0wacl/the_relationship_between_gerd_and_anxiety_has/")</f>
        <v/>
      </c>
      <c r="G3763" t="inlineStr">
        <is>
          <t>2019-11-24 01:12:46</t>
        </is>
      </c>
      <c r="H3763" t="inlineStr"/>
    </row>
    <row r="3764">
      <c r="A3764" t="inlineStr">
        <is>
          <t>e10q8y</t>
        </is>
      </c>
      <c r="B3764" t="inlineStr">
        <is>
          <t>Variation in H2 Blocker Efficacy?</t>
        </is>
      </c>
      <c r="C3764" t="inlineStr">
        <is>
          <t>Hi all, 
About seven months ago, I had a horrible and long-lasting flare-up of GERD, and decided to seek treatment. First, I was on Protonix 40mg for about 6 weeks, and then got an endoscopy, which showed nothing but "mild reflux" (in the GI's own words). Because of a reluctance to stay on the PPI for too long, I tapered off to 20mg of Protonix the next month, switched to Zantac 300mg for two months, and then managed to get down to 150mg for the last two months. With the exception of some short-term rebound reflux between Protonix and Zantac, I adjusted to each taper fairly well - however, any time I switched medication or dosages, I would end up experiencing excessive burping (without acid) for about a month after switching. Given the literature on the limited effectiveness of H2 blockers over time, I was surprised that being on Zantac for four months worked wonderfully. Except for caffeine and greasy foods, I was more or less able to return to my pre-GERD diet with few problems. It was as if the GERD was cured entirely.
Because of the ranitidine recall, however, I abruptly stopped taking 150mg  Zantac about 10 days ago, and switched to 20mg generic famotidine (Pepcid) once a day. Since then, I noticed an unfortunately all too familiar increase in burping - but that didn't cause much alarm because, as I said earlier, it always went away within 2-3 weeks of taking either Protonix or Zantac. Here, however, the frequency of burping has only increased, and it's started to get acidic to the point where I needed a few Tums to supplement things. I didn't want to return to Protonix because I did experience some rebound for a week or two when initially switching from 20mg to Zantac 300mg, and also because of the adverse effects in the long term. I'm also afraid that a future stint on Protonix might last longer because I'm not entirely sure what to take next, if Zantac doesn't ultimately return to the market. 
Does anyone else find huge variation in the overall effectiveness of H2 blockers? It's odd to me that Zantac worked so wonderfully for me for so long, whereas Pepcid seems to be so woefully inadequate. Is it possible that I am experiencing some sort of rebound heartburn from stopping Zantac that Pepcid isn't fully fixing? If anyone else has made the switch because of the recall, did you find any successful strategy to adjust smoothly? Thanks!</t>
        </is>
      </c>
      <c r="D3764" t="n">
        <v>1</v>
      </c>
      <c r="E3764" t="n">
        <v>8</v>
      </c>
      <c r="F3764">
        <f>HYPERLINK("https://www.reddit.com/r/GERD/comments/e10q8y/variation_in_h2_blocker_efficacy/")</f>
        <v/>
      </c>
      <c r="G3764" t="inlineStr">
        <is>
          <t>2019-11-24 08:35:26</t>
        </is>
      </c>
      <c r="H3764" t="inlineStr"/>
    </row>
    <row r="3765">
      <c r="A3765" t="inlineStr">
        <is>
          <t>e11mxu</t>
        </is>
      </c>
      <c r="B3765" t="inlineStr">
        <is>
          <t>Stopping acidic food and drinks makes it worse?</t>
        </is>
      </c>
      <c r="C3765" t="inlineStr">
        <is>
          <t>Over the past two days I have stopped drinking coffee and alcohol, and I have not eaten any acidic food.
Why does it seem to be getting worse all of a sudden?</t>
        </is>
      </c>
      <c r="D3765" t="n">
        <v>1</v>
      </c>
      <c r="E3765" t="n">
        <v>1</v>
      </c>
      <c r="F3765">
        <f>HYPERLINK("https://www.reddit.com/r/GERD/comments/e11mxu/stopping_acidic_food_and_drinks_makes_it_worse/")</f>
        <v/>
      </c>
      <c r="G3765" t="inlineStr">
        <is>
          <t>2019-11-24 09:39:49</t>
        </is>
      </c>
      <c r="H3765" t="inlineStr"/>
    </row>
    <row r="3766">
      <c r="A3766" t="inlineStr">
        <is>
          <t>e11vl7</t>
        </is>
      </c>
      <c r="B3766" t="inlineStr">
        <is>
          <t>How to prevent damage to vocal cords from GERD?</t>
        </is>
      </c>
      <c r="C3766" t="inlineStr">
        <is>
          <t>Hey  guys! What are the best ways to prevent/undo the damage GERD does to your vocal  cords? I've been having this disease for about three months now and even though my voice hasn't changed at all I still get some scratchiness in my throat when I talk :( Nothing too serious, but I'm worried the disease will eventually damage my vocal cords</t>
        </is>
      </c>
      <c r="D3766" t="n">
        <v>1</v>
      </c>
      <c r="E3766" t="n">
        <v>7</v>
      </c>
      <c r="F3766">
        <f>HYPERLINK("https://www.reddit.com/r/GERD/comments/e11vl7/how_to_prevent_damage_to_vocal_cords_from_gerd/")</f>
        <v/>
      </c>
      <c r="G3766" t="inlineStr">
        <is>
          <t>2019-11-24 09:56:52</t>
        </is>
      </c>
      <c r="H3766" t="inlineStr"/>
    </row>
    <row r="3767">
      <c r="A3767" t="inlineStr">
        <is>
          <t>e12529</t>
        </is>
      </c>
      <c r="B3767" t="inlineStr">
        <is>
          <t>Food stuck in throat and load of saliva build up</t>
        </is>
      </c>
      <c r="C3767" t="inlineStr">
        <is>
          <t>I have been suffering with GERD for many years with no progress in healing myself. I find that I always have a lump sensation in my throat and when I eat I get food stuck up in there. I can cough the food up easily which brings an acid taste with it.
I also have saliva build up all the time which is annoying and I get quite burpy throughout the day through the different things I eat
I currently am drinking ginger tea with honey as I heard that was good for your throat. I don't drink dairy but I do have tomatoes some times (as I'm Italian, it's like a sin to not have them lol). 
How long do I have to be on a strict diet to see some progress?
I was just wondering if anyone else gets like this and any tips on how I can reduce these symptoms
Any help would be appreciated :)</t>
        </is>
      </c>
      <c r="D3767" t="n">
        <v>1</v>
      </c>
      <c r="E3767" t="n">
        <v>5</v>
      </c>
      <c r="F3767">
        <f>HYPERLINK("https://www.reddit.com/r/GERD/comments/e12529/food_stuck_in_throat_and_load_of_saliva_build_up/")</f>
        <v/>
      </c>
      <c r="G3767" t="inlineStr">
        <is>
          <t>2019-11-24 10:15:42</t>
        </is>
      </c>
      <c r="H3767" t="inlineStr"/>
    </row>
    <row r="3768">
      <c r="A3768" t="inlineStr">
        <is>
          <t>e125yq</t>
        </is>
      </c>
      <c r="B3768" t="inlineStr">
        <is>
          <t>2 things</t>
        </is>
      </c>
      <c r="C3768" t="inlineStr">
        <is>
          <t>1 GERD makes me wanna fucking jump off a bridge.
2. Does anyone else feel their heart beat very strongly when they’re bloated and gerded.</t>
        </is>
      </c>
      <c r="D3768" t="n">
        <v>1</v>
      </c>
      <c r="E3768" t="n">
        <v>6</v>
      </c>
      <c r="F3768">
        <f>HYPERLINK("https://www.reddit.com/r/GERD/comments/e125yq/2_things/")</f>
        <v/>
      </c>
      <c r="G3768" t="inlineStr">
        <is>
          <t>2019-11-24 10:17:24</t>
        </is>
      </c>
      <c r="H3768" t="inlineStr"/>
    </row>
    <row r="3769">
      <c r="A3769" t="inlineStr">
        <is>
          <t>e12gki</t>
        </is>
      </c>
      <c r="B3769" t="inlineStr">
        <is>
          <t>GERD and Me so far...</t>
        </is>
      </c>
      <c r="C3769" t="inlineStr">
        <is>
          <t>This post will be a long one. It began with panic attacks back in September 2018. I remember feeling chest discomfort. I ate a bowl of Honey bunches of oats and a few minutes later my heart began racing and I went to the bathroom to puke. I went to ER where they found I was dehydrated by caffeine and I had high blood sugars in the diabetic range. My heart was fine so they thought it was a panic attack caused by these dehydration, stress and high sugars. They prescribed Metformin and that was it. 
For a month I took metformin and my sugars to this day have remained constant in the a1c in the border between pre-diabetes and normal.
Stress is one of the biggies in panic attacks. I kept getting them. By the end of the year I noticed that I could not drink my favorite go to drink for energy: coffee. I also found that eating big meals or meals high in fat gave me panic attacks after. 
I constantly went to the doc. Eventually the classic symptom of heartburn came up. GERD had shown its ugly head by March of this year. I was given lorezapam for panic attacks and a two week therapy of omeprazole. It somewhat stopped it. I noticed my statin medication flared up my GERD so I discontinued from taking it. Then it came back again. Between April and September I figured out that to cancel the panic attacks quickly a combo of lorezapam and omeprazole worked best. I also began taking 500mg antacids to counter it as well. I began wating smaller portions. Ate oatmeal for breakfast and foods that would not trigger the GERD. 
Then I met my gastro after asking my doc for a referral in September. She prescribed an 8 week omeprazole therapy session. On top of that I took 50k units of vitamin D as I was extremely deficient. 
On my part I have begun taking 1000mg of fish oil and 1 multi-vitamins daily. 
In these eight weeks I have a ton of extra energy, feel less stressed out and my symptoms of GERD have diminished to only some discomfort in evenings. I hope I don’t get rebounds. I am scheduled to have an endoscopy in December. I hope I can now manage GERD and get past this new norm of always focusing on it.</t>
        </is>
      </c>
      <c r="D3769" t="n">
        <v>1</v>
      </c>
      <c r="E3769" t="n">
        <v>15</v>
      </c>
      <c r="F3769">
        <f>HYPERLINK("https://www.reddit.com/r/GERD/comments/e12gki/gerd_and_me_so_far/")</f>
        <v/>
      </c>
      <c r="G3769" t="inlineStr">
        <is>
          <t>2019-11-24 10:37:29</t>
        </is>
      </c>
      <c r="H3769" t="inlineStr"/>
    </row>
    <row r="3770">
      <c r="A3770" t="inlineStr">
        <is>
          <t>e13xrv</t>
        </is>
      </c>
      <c r="B3770" t="inlineStr">
        <is>
          <t>I haven't been diagnosed just yet, I only suspect because of certain symtoms I have been having for over a month now. I have read that vitamin D deficiency can be a factor of GERD. Can someone help me on this matter ?</t>
        </is>
      </c>
      <c r="C3770" t="inlineStr">
        <is>
          <t>So before any of my symtoms started showing up, I  had a recent trip to the doctors office for a physical and blood work .  Granted this was about a month before my first episode you could say , and after my blood work came back , there was nothing out of the normal or out of range that would indicate I had a vitamin d deficiency.  I guess what I'm trying to figure out is that , is it possibly for your vitamin D levels to change so suddenly ?  My levels were okay before my symptoms started happening.</t>
        </is>
      </c>
      <c r="D3770" t="n">
        <v>1</v>
      </c>
      <c r="E3770" t="n">
        <v>8</v>
      </c>
      <c r="F3770">
        <f>HYPERLINK("https://www.reddit.com/r/GERD/comments/e13xrv/i_havent_been_diagnosed_just_yet_i_only_suspect/")</f>
        <v/>
      </c>
      <c r="G3770" t="inlineStr">
        <is>
          <t>2019-11-24 12:16:28</t>
        </is>
      </c>
      <c r="H3770" t="inlineStr"/>
    </row>
    <row r="3771">
      <c r="A3771" t="inlineStr">
        <is>
          <t>e14xxn</t>
        </is>
      </c>
      <c r="B3771" t="inlineStr">
        <is>
          <t>Difference between LPR and GERD?</t>
        </is>
      </c>
      <c r="C3771" t="inlineStr">
        <is>
          <t>What is the difference between LPR and GERD? To me LPR seems to where the acid gets up to the throat area while in GERD it doesn't. Is LPR an extreme form of GERD? I've read some stuff online and couldn't make sense of it. My symptoms seems closer to LPR.</t>
        </is>
      </c>
      <c r="D3771" t="n">
        <v>1</v>
      </c>
      <c r="E3771" t="n">
        <v>7</v>
      </c>
      <c r="F3771">
        <f>HYPERLINK("https://www.reddit.com/r/GERD/comments/e14xxn/difference_between_lpr_and_gerd/")</f>
        <v/>
      </c>
      <c r="G3771" t="inlineStr">
        <is>
          <t>2019-11-24 13:23:22</t>
        </is>
      </c>
      <c r="H3771" t="inlineStr"/>
    </row>
    <row r="3772">
      <c r="A3772" t="inlineStr">
        <is>
          <t>e15n6t</t>
        </is>
      </c>
      <c r="B3772" t="inlineStr">
        <is>
          <t>Routine GERD flare ups</t>
        </is>
      </c>
      <c r="C3772" t="inlineStr">
        <is>
          <t>Hi everyone,
I'm wondering if anyone else has any experiences similar to mine.
I've had GERD symptoms for awhile now (approximately 1.5 years) and have recently began recording my food intake/trigger foods/flare ups to better manage my conditon. I've found that my symptoms only flare up every ~10 days, give or take 1 day, regardless of what I eat or what medication I am taking (PPIs), with only minor symptoms such as burping and indigestion the rest of the time.
I've brought this up with my doctor who was unable to give an explanation for this.
Has anyone else dealt with symptoms like this? Or have any ideas what the issue is? Thinking of getting an endoscopy performed as I read online that a sliding hernia may be a cause for this but am unsure.
Thanks :)</t>
        </is>
      </c>
      <c r="D3772" t="n">
        <v>1</v>
      </c>
      <c r="E3772" t="n">
        <v>1</v>
      </c>
      <c r="F3772">
        <f>HYPERLINK("https://www.reddit.com/r/GERD/comments/e15n6t/routine_gerd_flare_ups/")</f>
        <v/>
      </c>
      <c r="G3772" t="inlineStr">
        <is>
          <t>2019-11-24 14:08:17</t>
        </is>
      </c>
      <c r="H3772" t="inlineStr"/>
    </row>
    <row r="3773">
      <c r="A3773" t="inlineStr">
        <is>
          <t>e177fw</t>
        </is>
      </c>
      <c r="B3773" t="inlineStr">
        <is>
          <t>Is this normal in GERD?</t>
        </is>
      </c>
      <c r="C3773" t="inlineStr">
        <is>
          <t>I'm a female in my 20s with frequent anxiety symptoms (palpitations, numbness, chest pressure etc.). I have been to the doctor/ER many times for these symptoms and I'm always clear cardiac wise. I also suspect I may have GERD since I have frequent episodes of mild bloating and burping, feeling like there is a lump in my throat and sometimes feelings of acid in the epigastric area. Today I had a moderate anxiety attack with the palpitations, then developed some indigestion right away. I was constantly nauseous and burping every few minutes, which makes the nausea better. I am going to see my doctor soon to tell him about this (and to also get referral for anxiety/therapy), but is it normal for GERD to be related to anxiety? I suspect my indigestion problems stem from being anxious all the time, and gets worse when I have full blown anxiety attacks. I have a test tomorrow that I feel very unprepared for and this may have triggered  my episode today.</t>
        </is>
      </c>
      <c r="D3773" t="n">
        <v>1</v>
      </c>
      <c r="E3773" t="n">
        <v>3</v>
      </c>
      <c r="F3773">
        <f>HYPERLINK("https://www.reddit.com/r/GERD/comments/e177fw/is_this_normal_in_gerd/")</f>
        <v/>
      </c>
      <c r="G3773" t="inlineStr">
        <is>
          <t>2019-11-24 15:54:09</t>
        </is>
      </c>
      <c r="H3773" t="inlineStr"/>
    </row>
    <row r="3774">
      <c r="A3774" t="inlineStr">
        <is>
          <t>e17rou</t>
        </is>
      </c>
      <c r="B3774" t="inlineStr">
        <is>
          <t>Snacks before bedtime</t>
        </is>
      </c>
      <c r="C3774" t="inlineStr">
        <is>
          <t>Is there anything I can have for a snack during that 3 hours before bed no eating time? I have LPR. That's the hardest time for me!</t>
        </is>
      </c>
      <c r="D3774" t="n">
        <v>1</v>
      </c>
      <c r="E3774" t="n">
        <v>14</v>
      </c>
      <c r="F3774">
        <f>HYPERLINK("https://www.reddit.com/r/GERD/comments/e17rou/snacks_before_bedtime/")</f>
        <v/>
      </c>
      <c r="G3774" t="inlineStr">
        <is>
          <t>2019-11-24 16:34:22</t>
        </is>
      </c>
      <c r="H3774" t="inlineStr"/>
    </row>
    <row r="3775">
      <c r="A3775" t="inlineStr">
        <is>
          <t>e1826n</t>
        </is>
      </c>
      <c r="B3775" t="inlineStr">
        <is>
          <t>When to take ginger?</t>
        </is>
      </c>
      <c r="C3775" t="inlineStr">
        <is>
          <t>I've bought ginger pills (500mg of fresh ginger) and will buy ginger root to substitute my white/black tea for a ginger tea. Should I take it before/with foods? On lunch and dinner? Is it compatible with taking Betaine HCL? Or should I just leave those only for high protein foods?
I have SIBO and one of the things I feel is my stomach not emptying 
or food stuck there for hours. I've bought Betaine HCL as well as it seems it's a great use for low stomach acid/bad food digestion at stomach. Also have intermitent LPR: I can deal with the feeling of a lump stuck in my throat, but I can't stand feeling my throat so harsh I feel the need to swallow saliva every second (and salivate like a dog), it's disgusting.</t>
        </is>
      </c>
      <c r="D3775" t="n">
        <v>1</v>
      </c>
      <c r="E3775" t="n">
        <v>5</v>
      </c>
      <c r="F3775">
        <f>HYPERLINK("https://www.reddit.com/r/GERD/comments/e1826n/when_to_take_ginger/")</f>
        <v/>
      </c>
      <c r="G3775" t="inlineStr">
        <is>
          <t>2019-11-24 16:56:27</t>
        </is>
      </c>
      <c r="H3775" t="inlineStr"/>
    </row>
    <row r="3776">
      <c r="A3776" t="inlineStr">
        <is>
          <t>e19364</t>
        </is>
      </c>
      <c r="B3776" t="inlineStr">
        <is>
          <t>Throat mystery. dr put me on PPI, does this sound right?</t>
        </is>
      </c>
      <c r="C3776" t="inlineStr">
        <is>
          <t>Long story short for the last year I was being treated (many failed medications and procedures) for an esophagus mobility disorder due to clear upper endoscopy and failed manometry (I did not tolerate well). This mystery throat tightness has been going on for 3 years (over 10 doctors I've been to trying to find answers (I've been cleared by pulmonary and cardiology)). Finally, redid the manometry since I had a dilation with botox done (which made things worse). Well this manometry experience was manageable and they cleared my UES. My ENT specialist really did nothing for me so my primary who is the only one that seems to want to figure this out consulted a head and neck specialist. This leads me to my pantoprazole rx. She said it can take a few months to kick in. 
&amp;amp;#x200B;
Can you just have throat tightness from GERD with no other symptoms? I've had heartburn, but that's once in a blue moon, this throat tightness is constant. It feels almost like inflammation or someone has their hands around my throat.</t>
        </is>
      </c>
      <c r="D3776" t="n">
        <v>1</v>
      </c>
      <c r="E3776" t="n">
        <v>12</v>
      </c>
      <c r="F3776">
        <f>HYPERLINK("https://www.reddit.com/r/GERD/comments/e19364/throat_mystery_dr_put_me_on_ppi_does_this_sound/")</f>
        <v/>
      </c>
      <c r="G3776" t="inlineStr">
        <is>
          <t>2019-11-24 18:15:21</t>
        </is>
      </c>
      <c r="H3776" t="inlineStr"/>
    </row>
    <row r="3777">
      <c r="A3777" t="inlineStr">
        <is>
          <t>e19j7z</t>
        </is>
      </c>
      <c r="B3777" t="inlineStr">
        <is>
          <t>Terrible flare up</t>
        </is>
      </c>
      <c r="C3777" t="inlineStr">
        <is>
          <t>I can’t help but be depressed that nothing  is sitting well with me and thanksgiving is right around the corner. So mush to be thankful for but stomach issues are so complicated. I just want to be ok.</t>
        </is>
      </c>
      <c r="D3777" t="n">
        <v>1</v>
      </c>
      <c r="E3777" t="n">
        <v>22</v>
      </c>
      <c r="F3777">
        <f>HYPERLINK("https://www.reddit.com/r/GERD/comments/e19j7z/terrible_flare_up/")</f>
        <v/>
      </c>
      <c r="G3777" t="inlineStr">
        <is>
          <t>2019-11-24 18:49:52</t>
        </is>
      </c>
      <c r="H3777" t="inlineStr"/>
    </row>
    <row r="3778">
      <c r="A3778" t="inlineStr">
        <is>
          <t>e1ana1</t>
        </is>
      </c>
      <c r="B3778" t="inlineStr">
        <is>
          <t>How is it possible to have LPR without also having GERD?</t>
        </is>
      </c>
      <c r="C3778" t="inlineStr">
        <is>
          <t>I've seen so many people say that you can have one without the other. How does this work? Wouldn't stomach contents, including stomach acid, etc. need to travel through the esophagus, up through the UES, and into the throat etc. in order to do damage? Wouldn't this also damage the esophagus at the same time, hence having both?</t>
        </is>
      </c>
      <c r="D3778" t="n">
        <v>1</v>
      </c>
      <c r="E3778" t="n">
        <v>2</v>
      </c>
      <c r="F3778">
        <f>HYPERLINK("https://www.reddit.com/r/GERD/comments/e1ana1/how_is_it_possible_to_have_lpr_without_also/")</f>
        <v/>
      </c>
      <c r="G3778" t="inlineStr">
        <is>
          <t>2019-11-24 20:19:23</t>
        </is>
      </c>
      <c r="H3778" t="inlineStr"/>
    </row>
    <row r="3779">
      <c r="A3779" t="inlineStr">
        <is>
          <t>e1bpck</t>
        </is>
      </c>
      <c r="B3779" t="inlineStr">
        <is>
          <t>I have LPR and been on ppis for about a month and generally eating non-acidic food and a lot of water. I recently caved in tonight and got Taco Bell and spicy cheetos and coke. Instead of tremendous pain, my throat is feeling slightly better than from what it did before. Am I going crazy?</t>
        </is>
      </c>
      <c r="C3779" t="inlineStr">
        <is>
          <t>I caved in because i've been on a lot of anxiety over having these problems in my throat and the constant reflux pain</t>
        </is>
      </c>
      <c r="D3779" t="n">
        <v>1</v>
      </c>
      <c r="E3779" t="n">
        <v>0</v>
      </c>
      <c r="F3779">
        <f>HYPERLINK("https://www.reddit.com/r/GERD/comments/e1bpck/i_have_lpr_and_been_on_ppis_for_about_a_month_and/")</f>
        <v/>
      </c>
      <c r="G3779" t="inlineStr">
        <is>
          <t>2019-11-24 21:58:41</t>
        </is>
      </c>
      <c r="H3779" t="inlineStr"/>
    </row>
    <row r="3780">
      <c r="A3780" t="inlineStr">
        <is>
          <t>e1bxgc</t>
        </is>
      </c>
      <c r="B3780" t="inlineStr">
        <is>
          <t>Nausea and medication has seemed to stop working</t>
        </is>
      </c>
      <c r="C3780" t="inlineStr">
        <is>
          <t>Symptoms started showing up for me around 2 years ago. I was having a hard time eating much of anything. A couple bites followed by nausea. No heartburn or other symptoms, just nausea. I got an endoscopy done and was diagnosed with a hiatal hernia and GERD. I was put on 40mg daily of omeprazole and started following the standard GERD diet. My symptoms started to get better but I attribute that success to most likely being from the diet changes as well as eating smaller meals. I still had trouble with nausea if I ate more than my stomach was comfortable with, but it was much easier to deal with.
Fast forward to a few months ago and things were looking a bit better, pretty infrequent nausea and I started putting the weight back on. Then all of the sudden, I started getting a lot of heartburn. Constantly. Every day. Nothing I did would completely get rid of it, and now the nausea is coming back. I got prescribed a couple different medications due to this. I tried taking pantoprazole and by the 4th day, I was literally unable to eat anything. A couple bites of rice per day and the nausea was aggressive. I stopped taking that and the nausea subsided over the course of a couple days (was great that my heartburn went away on that though). My doctor prescribed me zantac 150mg twice daily, and I am on that now. Heartburn is still there, but I’m still having more trouble eating that normal.
I have another endoscopy scheduled in a couple months as well as a gastric emptying test. Is it possible that all of these medications have caused me to develop delayed gastric emptying and that is why strong medication/high dosage gives me a hard time with eating? I’m curious if anyone else has any similar symptoms to these.</t>
        </is>
      </c>
      <c r="D3780" t="n">
        <v>1</v>
      </c>
      <c r="E3780" t="n">
        <v>0</v>
      </c>
      <c r="F3780">
        <f>HYPERLINK("https://www.reddit.com/r/GERD/comments/e1bxgc/nausea_and_medication_has_seemed_to_stop_working/")</f>
        <v/>
      </c>
      <c r="G3780" t="inlineStr">
        <is>
          <t>2019-11-24 22:20:43</t>
        </is>
      </c>
      <c r="H3780" t="inlineStr"/>
    </row>
    <row r="3781">
      <c r="A3781" t="inlineStr">
        <is>
          <t>e1cew0</t>
        </is>
      </c>
      <c r="B3781" t="inlineStr">
        <is>
          <t>Anyone else constipated with meds?</t>
        </is>
      </c>
      <c r="C3781" t="inlineStr">
        <is>
          <t>Lol so I was taking omeprazole for 2 weeks, was off it for a bit until the lpr symptoms came back and was told by my dr to go on it again. This time around I started getting backed up and also having some weird side effects so I switched to famotidine but still having constipation lol.</t>
        </is>
      </c>
      <c r="D3781" t="n">
        <v>1</v>
      </c>
      <c r="E3781" t="n">
        <v>3</v>
      </c>
      <c r="F3781">
        <f>HYPERLINK("https://www.reddit.com/r/GERD/comments/e1cew0/anyone_else_constipated_with_meds/")</f>
        <v/>
      </c>
      <c r="G3781" t="inlineStr">
        <is>
          <t>2019-11-24 23:10:50</t>
        </is>
      </c>
      <c r="H3781" t="inlineStr"/>
    </row>
    <row r="3782">
      <c r="A3782" t="inlineStr">
        <is>
          <t>e1crv4</t>
        </is>
      </c>
      <c r="B3782" t="inlineStr">
        <is>
          <t>Currently having some strong chest pain because of acid reflux</t>
        </is>
      </c>
      <c r="C3782" t="inlineStr">
        <is>
          <t>It has been a while since I’ve had some reflux and pain like this that is keeping me awake. Started like an hour after I ate dinner. Took a zantac and that didn’t really help so I drank chamomile tea and that helped a bit but flared up again. I then took a Pepcid and it helped for like 20min and now it’s flaring hope again and I can’t sleep.
What should I do? Feels like I already took too much OTC stuff. My next option was going to be pepto</t>
        </is>
      </c>
      <c r="D3782" t="n">
        <v>1</v>
      </c>
      <c r="E3782" t="n">
        <v>0</v>
      </c>
      <c r="F3782">
        <f>HYPERLINK("https://www.reddit.com/r/GERD/comments/e1crv4/currently_having_some_strong_chest_pain_because/")</f>
        <v/>
      </c>
      <c r="G3782" t="inlineStr">
        <is>
          <t>2019-11-24 23:50:25</t>
        </is>
      </c>
      <c r="H3782" t="inlineStr"/>
    </row>
    <row r="3783">
      <c r="A3783" t="inlineStr">
        <is>
          <t>e1d0d1</t>
        </is>
      </c>
      <c r="B3783" t="inlineStr">
        <is>
          <t>What just happend to me?</t>
        </is>
      </c>
      <c r="C3783" t="inlineStr">
        <is>
          <t>So, I am off the PPI for about two weeks now, after 6 weeks on them. I stoped taking them due to side-effects and everything was actually good. I could eat whatever, without having any real issues. But this night, I went to toilet, and all of sudden, I felt burning in my chest, it felt like I want to hrow up and I could not breath for a good 15 seconds, I think. After that, I burbed a lot and then it was fine.... I was pretty scared I could not sleep again.</t>
        </is>
      </c>
      <c r="D3783" t="n">
        <v>1</v>
      </c>
      <c r="E3783" t="n">
        <v>14</v>
      </c>
      <c r="F3783">
        <f>HYPERLINK("https://www.reddit.com/r/GERD/comments/e1d0d1/what_just_happend_to_me/")</f>
        <v/>
      </c>
      <c r="G3783" t="inlineStr">
        <is>
          <t>2019-11-25 00:15:16</t>
        </is>
      </c>
      <c r="H3783" t="inlineStr"/>
    </row>
    <row r="3784">
      <c r="A3784" t="inlineStr">
        <is>
          <t>e1dwxh</t>
        </is>
      </c>
      <c r="B3784" t="inlineStr">
        <is>
          <t>Midnight hunger and what to do</t>
        </is>
      </c>
      <c r="C3784" t="inlineStr">
        <is>
          <t>I continually will be woken up at 2 am famished. I feel like I’m stuck between a rock and a hard place because if I eat I will get heartburn but can’t sleep because I’m so darn hungry. Does anyone have some way to deal with this?</t>
        </is>
      </c>
      <c r="D3784" t="n">
        <v>1</v>
      </c>
      <c r="E3784" t="n">
        <v>7</v>
      </c>
      <c r="F3784">
        <f>HYPERLINK("https://www.reddit.com/r/GERD/comments/e1dwxh/midnight_hunger_and_what_to_do/")</f>
        <v/>
      </c>
      <c r="G3784" t="inlineStr">
        <is>
          <t>2019-11-25 01:56:26</t>
        </is>
      </c>
      <c r="H3784" t="inlineStr"/>
    </row>
    <row r="3785">
      <c r="A3785" t="inlineStr">
        <is>
          <t>e1iwvw</t>
        </is>
      </c>
      <c r="B3785" t="inlineStr">
        <is>
          <t>Taking PPI when symptoms arise</t>
        </is>
      </c>
      <c r="C3785" t="inlineStr">
        <is>
          <t xml:space="preserve">
I’ve been prescribed the lowest dosage (10mg) of Omeprazole for my heartburn. Instructed to take one daily before breakfast, they seem to be helping and I havnt had heartburn in a month or so.
I haven taken a pill in 5+ days and still feel fine. Now I’m thinking, what if I only take the pills when needed? Like when I start to feel symptoms or if I know my diet will suck that day. Why do I have to take one EVERYDAY, why not every other day? Will they not work if taken sporadically? Info on PPIs and why I need to take them everyday will be much appreciated.</t>
        </is>
      </c>
      <c r="D3785" t="n">
        <v>1</v>
      </c>
      <c r="E3785" t="n">
        <v>7</v>
      </c>
      <c r="F3785">
        <f>HYPERLINK("https://www.reddit.com/r/GERD/comments/e1iwvw/taking_ppi_when_symptoms_arise/")</f>
        <v/>
      </c>
      <c r="G3785" t="inlineStr">
        <is>
          <t>2019-11-25 09:03:10</t>
        </is>
      </c>
      <c r="H3785" t="inlineStr"/>
    </row>
    <row r="3786">
      <c r="A3786" t="inlineStr">
        <is>
          <t>e1iz94</t>
        </is>
      </c>
      <c r="B3786" t="inlineStr">
        <is>
          <t>Carafate/Protonix?</t>
        </is>
      </c>
      <c r="C3786" t="inlineStr">
        <is>
          <t>my roommate has gerd / acid reflux and he hasn’t eaten anything in the last 4 days. he wants to know if he should go to work or not. he’s taking these 2 pills and he says it makes him feel good but his stomach is still hurting. any advice?</t>
        </is>
      </c>
      <c r="D3786" t="n">
        <v>1</v>
      </c>
      <c r="E3786" t="n">
        <v>13</v>
      </c>
      <c r="F3786">
        <f>HYPERLINK("https://www.reddit.com/r/GERD/comments/e1iz94/carafateprotonix/")</f>
        <v/>
      </c>
      <c r="G3786" t="inlineStr">
        <is>
          <t>2019-11-25 09:07:16</t>
        </is>
      </c>
      <c r="H3786" t="inlineStr"/>
    </row>
    <row r="3787">
      <c r="A3787" t="inlineStr">
        <is>
          <t>e1j9ej</t>
        </is>
      </c>
      <c r="B3787" t="inlineStr">
        <is>
          <t>Poopin' topic. How badly GERD affects your stool?</t>
        </is>
      </c>
      <c r="C3787" t="inlineStr">
        <is>
          <t>How's your number 2 business going, guys?</t>
        </is>
      </c>
      <c r="D3787" t="n">
        <v>1</v>
      </c>
      <c r="E3787" t="n">
        <v>11</v>
      </c>
      <c r="F3787">
        <f>HYPERLINK("https://www.reddit.com/r/GERD/comments/e1j9ej/poopin_topic_how_badly_gerd_affects_your_stool/")</f>
        <v/>
      </c>
      <c r="G3787" t="inlineStr">
        <is>
          <t>2019-11-25 09:24:53</t>
        </is>
      </c>
      <c r="H3787" t="inlineStr"/>
    </row>
    <row r="3788">
      <c r="A3788" t="inlineStr">
        <is>
          <t>e1kn4f</t>
        </is>
      </c>
      <c r="B3788" t="inlineStr">
        <is>
          <t>Wedge pillow ineffective?</t>
        </is>
      </c>
      <c r="C3788" t="inlineStr">
        <is>
          <t>I was wondering if anyone tried using a wedge pillow and still experienced GERD symptoms? I'm trying to observe my wildly inconsistent symtoms (which may or may not be GERD or solely GERD), and it seems like when I'm on a bad flare up, ranitidine before bed, a 2 week course of omeprazole, and/or a 6-7" raised wedge pillow will not prevent me from waking up at 3 am feeling hot sweaty, and a burning between my navel and breastbone. Other times, I can eat whatever I want, lay flat to sleep, and I'm fine. I thought if it was GERD, raising your body up would help no matter what since gravity is letting the acid flow up.. but can it still happen anyway?</t>
        </is>
      </c>
      <c r="D3788" t="n">
        <v>1</v>
      </c>
      <c r="E3788" t="n">
        <v>21</v>
      </c>
      <c r="F3788">
        <f>HYPERLINK("https://www.reddit.com/r/GERD/comments/e1kn4f/wedge_pillow_ineffective/")</f>
        <v/>
      </c>
      <c r="G3788" t="inlineStr">
        <is>
          <t>2019-11-25 10:53:25</t>
        </is>
      </c>
      <c r="H3788" t="inlineStr"/>
    </row>
    <row r="3789">
      <c r="A3789" t="inlineStr">
        <is>
          <t>e1kt9x</t>
        </is>
      </c>
      <c r="B3789" t="inlineStr">
        <is>
          <t>What do you do to relieve water brash as you're starting to feel it?</t>
        </is>
      </c>
      <c r="C3789" t="inlineStr">
        <is>
          <t>Yes, stopping the consumption of the problem food/beverage keeps the symptoms from getting worse, but is there something you do actively give you relief? I feel like antacids and H2 blockers are hit or miss and consuming something like spinach gives some relief reliably, but it's minimal. Thank you in advance!</t>
        </is>
      </c>
      <c r="D3789" t="n">
        <v>1</v>
      </c>
      <c r="E3789" t="n">
        <v>2</v>
      </c>
      <c r="F3789">
        <f>HYPERLINK("https://www.reddit.com/r/GERD/comments/e1kt9x/what_do_you_do_to_relieve_water_brash_as_youre/")</f>
        <v/>
      </c>
      <c r="G3789" t="inlineStr">
        <is>
          <t>2019-11-25 11:04:39</t>
        </is>
      </c>
      <c r="H3789" t="inlineStr"/>
    </row>
    <row r="3790">
      <c r="A3790" t="inlineStr">
        <is>
          <t>e1lkqw</t>
        </is>
      </c>
      <c r="B3790" t="inlineStr">
        <is>
          <t>Follow up of "What just happend to me?"</t>
        </is>
      </c>
      <c r="C3790" t="inlineStr">
        <is>
          <t>OP: https://old.reddit.com/r/GERD/comments/e1d0d1/what_just_happend_to_me/
So, I was eating dinner and I had some issues swallowing some pieces, even if chewed properly. Then I realized that I have some issues breathing... like not I am going to die, but enough to make me worried. Now I have this weird feeling in my neck.... and I thought that my GERD is solved, seems like I still have silent reflux... or I do not know. I do not want to go back on PPI, I was going mental from them (I had panic attacks few times, anxiety, I feared to be left alone in room and the only place I felt safe was at home, I was completely hopeles).</t>
        </is>
      </c>
      <c r="D3790" t="n">
        <v>1</v>
      </c>
      <c r="E3790" t="n">
        <v>0</v>
      </c>
      <c r="F3790">
        <f>HYPERLINK("https://www.reddit.com/r/GERD/comments/e1lkqw/follow_up_of_what_just_happend_to_me/")</f>
        <v/>
      </c>
      <c r="G3790" t="inlineStr">
        <is>
          <t>2019-11-25 11:53:50</t>
        </is>
      </c>
      <c r="H3790" t="inlineStr"/>
    </row>
    <row r="3791">
      <c r="A3791" t="inlineStr">
        <is>
          <t>e1mred</t>
        </is>
      </c>
      <c r="B3791" t="inlineStr">
        <is>
          <t>Does anyone get flare ups with even a very mild dose of caffeine?</t>
        </is>
      </c>
      <c r="C3791" t="inlineStr">
        <is>
          <t>I used to be a caffeine addict but about 6 months ago I started getting flare ups so I began having lattes, but even that causes flare ups now.</t>
        </is>
      </c>
      <c r="D3791" t="n">
        <v>1</v>
      </c>
      <c r="E3791" t="n">
        <v>2</v>
      </c>
      <c r="F3791">
        <f>HYPERLINK("https://www.reddit.com/r/GERD/comments/e1mred/does_anyone_get_flare_ups_with_even_a_very_mild/")</f>
        <v/>
      </c>
      <c r="G3791" t="inlineStr">
        <is>
          <t>2019-11-25 13:09:10</t>
        </is>
      </c>
      <c r="H3791" t="inlineStr"/>
    </row>
    <row r="3792">
      <c r="A3792" t="inlineStr">
        <is>
          <t>e1myjy</t>
        </is>
      </c>
      <c r="B3792" t="inlineStr">
        <is>
          <t>Figuring out what causes flare ups takes a lot</t>
        </is>
      </c>
      <c r="C3792" t="inlineStr">
        <is>
          <t>The strangest combinations of things cause me grief: any kind of soda, coffee, Dominos’ pizza (probably because of its sauce) and popcorn.
Going to the movies is never gonna be the same again unless I’m willing to deal with 3 days of agony after popcorn.</t>
        </is>
      </c>
      <c r="D3792" t="n">
        <v>1</v>
      </c>
      <c r="E3792" t="n">
        <v>4</v>
      </c>
      <c r="F3792">
        <f>HYPERLINK("https://www.reddit.com/r/GERD/comments/e1myjy/figuring_out_what_causes_flare_ups_takes_a_lot/")</f>
        <v/>
      </c>
      <c r="G3792" t="inlineStr">
        <is>
          <t>2019-11-25 13:21:52</t>
        </is>
      </c>
      <c r="H3792" t="inlineStr"/>
    </row>
    <row r="3793">
      <c r="A3793" t="inlineStr">
        <is>
          <t>e1n6hd</t>
        </is>
      </c>
      <c r="B3793" t="inlineStr">
        <is>
          <t>Newly diagnosed need some advice</t>
        </is>
      </c>
      <c r="C3793" t="inlineStr">
        <is>
          <t>A few days ago I choked on some food and it ended up going down eventually! However it felt like something was still stuck in my throat so I went to the emergency room to check. They did an endescopy and didn’t find any food but found a ‘severe amount’ of acid in my stomach. The doctor explained that the acid was getting to my throat and causing the discomfort. He prescribed me some omeprazole and sent me home. Since having choked, I have not eaten a single thing because I feel my throat has tightened up! I have lost 6kilos in weight and feel very dehydrated. Everytime I try to drink water it will feel like the lump is big or closing my throat. The medication isnt working either and ive also tried Gaviscon Advance. I went back to the emergency room today because I fainted from not eating and all they said was ive now developed an ear infection as a result from the acid reflux and I have to continue my medication as normal. 
Im quite new to this and have no idea what to expect. The doctor said it could take ‘months’?! I feel like I have post nasal drip or like a golf ball stuck in my throat. Everytime I swallow my saliva I feel like ive swalled mucus or something. 
Ive drank some almond milk as im vegan but I really dont know what else to do. Am I experiencing post nasal drip? Am I imagining this closing feeling? Any home remedies for the throat tightness? 
Im so desperate to feel normal in my throat!</t>
        </is>
      </c>
      <c r="D3793" t="n">
        <v>1</v>
      </c>
      <c r="E3793" t="n">
        <v>2</v>
      </c>
      <c r="F3793">
        <f>HYPERLINK("https://www.reddit.com/r/GERD/comments/e1n6hd/newly_diagnosed_need_some_advice/")</f>
        <v/>
      </c>
      <c r="G3793" t="inlineStr">
        <is>
          <t>2019-11-25 13:36:13</t>
        </is>
      </c>
      <c r="H3793" t="inlineStr"/>
    </row>
    <row r="3794">
      <c r="A3794" t="inlineStr">
        <is>
          <t>e1oq8i</t>
        </is>
      </c>
      <c r="B3794" t="inlineStr">
        <is>
          <t>GI psychologist for GERD</t>
        </is>
      </c>
      <c r="C3794" t="inlineStr">
        <is>
          <t>Recently started seeing a GI psychologist for my digestive issues and it’s helped tremendously. I encourage those out there who are having a hard time accepting what’s happening to give it a shot. Anxiety, depression, and stress have been correlated to either causing the reflux in the first place, or exacerbating symptoms you have already.</t>
        </is>
      </c>
      <c r="D3794" t="n">
        <v>1</v>
      </c>
      <c r="E3794" t="n">
        <v>14</v>
      </c>
      <c r="F3794">
        <f>HYPERLINK("https://www.reddit.com/r/GERD/comments/e1oq8i/gi_psychologist_for_gerd/")</f>
        <v/>
      </c>
      <c r="G3794" t="inlineStr">
        <is>
          <t>2019-11-25 15:19:21</t>
        </is>
      </c>
      <c r="H3794" t="inlineStr"/>
    </row>
    <row r="3795">
      <c r="A3795" t="inlineStr">
        <is>
          <t>e1otzf</t>
        </is>
      </c>
      <c r="B3795" t="inlineStr">
        <is>
          <t>My situation with GERD</t>
        </is>
      </c>
      <c r="C3795" t="inlineStr">
        <is>
          <t>I've had GERD for about 3 months now. I am relatively healthy and have no diagnosed anxiety, stress or depression. In my teens aswell. However I believe my GERD may be from the fact that my ex is in most of my school classes (coincidentally) and I have very tough classes.(Stress) I took a 40mg medicine once a day for about 2 of those months. Eventually it started giving me headaches so I went to my Gastro and asked bout an alternative. He prescribed me with 40 mg esomeprazole pills. And I'm supposed to take 1 or 2 per day. Since taking it for the past month, it's help somewhat, and for the past few days, it's been giving me headaches for a few hours after taking it and (I believe) making defecation less frequent. So I'm thinking about taking it once every other day to see if that helps the side effects.</t>
        </is>
      </c>
      <c r="D3795" t="n">
        <v>1</v>
      </c>
      <c r="E3795" t="n">
        <v>30</v>
      </c>
      <c r="F3795">
        <f>HYPERLINK("https://www.reddit.com/r/GERD/comments/e1otzf/my_situation_with_gerd/")</f>
        <v/>
      </c>
      <c r="G3795" t="inlineStr">
        <is>
          <t>2019-11-25 15:26:35</t>
        </is>
      </c>
      <c r="H3795" t="inlineStr"/>
    </row>
    <row r="3796">
      <c r="A3796" t="inlineStr">
        <is>
          <t>e1pyti</t>
        </is>
      </c>
      <c r="B3796" t="inlineStr">
        <is>
          <t>No idea what's going on with me. Could really use some help and support.</t>
        </is>
      </c>
      <c r="C3796" t="inlineStr">
        <is>
          <t>TL;DR: I have a GERD diagnosis and there's possible some gastritis as well. I'm feel very lost and distraught and have no idea what could be causing this since it started all of a sudden. Negative h pylori, negative hernia, negative ulcer. Lots of despair.
\---
26, female. This all started three months ago when I was prescribed prednisone for an allergic reaction. 4 days after taking it I got this ENDLESS burning pain in the middle of my chest. Never had any kind of reflux before in my life. After a few days (and after stopping the prednisone), I started shaking, full body shaking, I had loose stools and frequent urination. I went to the ER and they basically gave me pepto bismol and sent me home. It worked for a day and I was in pain again, and I didn't want to take meds (they prescribed omeprazole).
I live close to this really well-reviewed herbalist, no joke, the pain disappeared in less than a week! I felt normal for three weeks. I ate pizza and tomato sauce and a burger in those three weeks. And lemonade. But she didn't tell me about dietary changes and I didn't know I had to (with no prior experience with reflux). And the burning, over the course of another 1.5 weeks, came back.
Now, she's a tibetan herbalist, and her english isn't the best, so I wish I knew what I took to tell you all but I don't. However I went back to her and she gave me some different herbs, and like the previous time, the symptoms began to ease in less than a week.
Despite a committment to being more careful, I still didn't know all my triggers, and had a small bit of black pepper (in a spoonful of soup). 
This ended me. IMMEDIATE pain. The shaking and loose stools come back, though less intense then before. The herbs stop working despite me continuing to take them and avoid trigger foods for the next week, so I eventually give up on this set of herbs. 
**However, this is where it gets weird.** From this point on (so from mid October) I develop additional symptoms. The acid reflux is much less, but now I have a sore throat or cough on occasion--it's coming up higher. I have gnawing pains below my ribcage and in my abdomen all over the place; they come and go. I get sweet/sour tastes in my mouth. And last night I had a flare up for unknown reasons, and for hours my stomach had this weird throbbing pain, I had the shakes *again*, and a mild fever.  This has all calmed down but not gone away completely over the last 24 hours.
I've been taking Famotidine for a month, and it helps but doesn't eliminate everything. Tums does literally nothing for me. I had an endoscopy last week from which they determined no h pylori, no hiatal hernia, and no ulcer. Everything marked as "normal mucosa" across the board. Both my pcp doctor and my herbalist don't have many answers anymore. My doctor wants me to trial PPIs, but I'm just at a loss.
Before all of this, I had occasional issues with gas buildup in my intestinal track, and some constipation, but no other major issues. Never smoked, don't drink, and eat fairly clean and even shop at whole foods. Needless to say I have spent the last couple days nearly suicidal. I do not understand how people deal with this for years on end, PPIs or not.
I'm at my wit's end and terrified. My appointment with a GI doc isn't until late February. If you were me, what would you do? I feel like I'm never going to get better.</t>
        </is>
      </c>
      <c r="D3796" t="n">
        <v>1</v>
      </c>
      <c r="E3796" t="n">
        <v>5</v>
      </c>
      <c r="F3796">
        <f>HYPERLINK("https://www.reddit.com/r/GERD/comments/e1pyti/no_idea_whats_going_on_with_me_could_really_use/")</f>
        <v/>
      </c>
      <c r="G3796" t="inlineStr">
        <is>
          <t>2019-11-25 16:48:21</t>
        </is>
      </c>
      <c r="H3796" t="inlineStr"/>
    </row>
    <row r="3797">
      <c r="A3797" t="inlineStr">
        <is>
          <t>e1q2em</t>
        </is>
      </c>
      <c r="B3797" t="inlineStr">
        <is>
          <t>GERD and working out? First time in awhile this morning and it was horrible (nausea, dizziness, etc)</t>
        </is>
      </c>
      <c r="C3797" t="inlineStr">
        <is>
          <t>Hi all. Today was the first time I went to the gym in awhile and it was not a great experience. My exercise of choice this morning was swimming and things were going good for the first 10 mins, but then I started getting really nauseas and slightly dizzy/weak and my acid reflux seemed to flare up.
I had blood tests and heart exams done a few months back and I’m not diabetic or anything and my heart is healthy - so I don’t think this was caused by anything like this...  but I do think I may have IBS.
I went to the gym with only having maybe consumed half a cup of water on an empty stomach. No food. Could this be why? Do I need more water, or should I try consuming something small beforehand? Only problem is that I’m trying to go to the gym early in the morning before work, so around 5:30 am.
Can anyone relate? Is it just me? Any advice would be great!</t>
        </is>
      </c>
      <c r="D3797" t="n">
        <v>1</v>
      </c>
      <c r="E3797" t="n">
        <v>4</v>
      </c>
      <c r="F3797">
        <f>HYPERLINK("https://www.reddit.com/r/GERD/comments/e1q2em/gerd_and_working_out_first_time_in_awhile_this/")</f>
        <v/>
      </c>
      <c r="G3797" t="inlineStr">
        <is>
          <t>2019-11-25 16:55:52</t>
        </is>
      </c>
      <c r="H3797" t="inlineStr"/>
    </row>
    <row r="3798">
      <c r="A3798" t="inlineStr">
        <is>
          <t>e1ropr</t>
        </is>
      </c>
      <c r="B3798" t="inlineStr">
        <is>
          <t>Safe to add Caffeine back to my diet (GERD/hiatal hernia)?</t>
        </is>
      </c>
      <c r="C3798" t="inlineStr">
        <is>
          <t>After suffering for quite some time with GERD, desperation caused me to cut out most food and drinks from my diet.   
 This, along with many other lifestyle changes and PPIs, managed to get things 90% under control outside of flare ups.
Over the past year or so, I have slowly added a few things back, and I was thinking about adding back some caffeine, first with green tea but perhaps eventually coffee.  It would be nice to be able to get that "kick" some mornings.
I already drink herbal teas regularly, so in the case of green tea it would literally just be the difference of caffeine vs no caffeine in my diet.
How bad of an idea do you guys think this is?</t>
        </is>
      </c>
      <c r="D3798" t="n">
        <v>1</v>
      </c>
      <c r="E3798" t="n">
        <v>21</v>
      </c>
      <c r="F3798">
        <f>HYPERLINK("https://www.reddit.com/r/GERD/comments/e1ropr/safe_to_add_caffeine_back_to_my_diet_gerdhiatal/")</f>
        <v/>
      </c>
      <c r="G3798" t="inlineStr">
        <is>
          <t>2019-11-25 19:01:35</t>
        </is>
      </c>
      <c r="H3798" t="inlineStr"/>
    </row>
    <row r="3799">
      <c r="A3799" t="inlineStr">
        <is>
          <t>e1vo44</t>
        </is>
      </c>
      <c r="B3799" t="inlineStr">
        <is>
          <t>GERD help</t>
        </is>
      </c>
      <c r="C3799" t="inlineStr">
        <is>
          <t>Does GERD ever give you guys sharp chest pain? or like your lungs are tight?</t>
        </is>
      </c>
      <c r="D3799" t="n">
        <v>1</v>
      </c>
      <c r="E3799" t="n">
        <v>4</v>
      </c>
      <c r="F3799">
        <f>HYPERLINK("https://www.reddit.com/r/GERD/comments/e1vo44/gerd_help/")</f>
        <v/>
      </c>
      <c r="G3799" t="inlineStr">
        <is>
          <t>2019-11-26 01:33:27</t>
        </is>
      </c>
      <c r="H3799" t="inlineStr"/>
    </row>
    <row r="3800">
      <c r="A3800" t="inlineStr">
        <is>
          <t>e1x59u</t>
        </is>
      </c>
      <c r="B3800" t="inlineStr">
        <is>
          <t>After the cough..</t>
        </is>
      </c>
      <c r="C3800" t="inlineStr">
        <is>
          <t>After a reflux episode- is there a wholistic method to calm things down ? - TIA..</t>
        </is>
      </c>
      <c r="D3800" t="n">
        <v>1</v>
      </c>
      <c r="E3800" t="n">
        <v>4</v>
      </c>
      <c r="F3800">
        <f>HYPERLINK("https://www.reddit.com/r/GERD/comments/e1x59u/after_the_cough/")</f>
        <v/>
      </c>
      <c r="G3800" t="inlineStr">
        <is>
          <t>2019-11-26 04:14:02</t>
        </is>
      </c>
      <c r="H3800" t="inlineStr"/>
    </row>
    <row r="3801">
      <c r="A3801" t="inlineStr">
        <is>
          <t>e1xyq0</t>
        </is>
      </c>
      <c r="B3801" t="inlineStr">
        <is>
          <t>Slight Uncomfortable Irritation in the back of throat for 3-4 years, is this a sign of LPR?</t>
        </is>
      </c>
      <c r="C3801" t="inlineStr">
        <is>
          <t>It started roughly in grade 11, I get heartburn maybe once a year, but almost every day I feel the need to clear my throat. Nothing hurts but its just slightly uncomfortable. It usually is the most profound after I eat something.
Would you think this is a sign of LPR?</t>
        </is>
      </c>
      <c r="D3801" t="n">
        <v>1</v>
      </c>
      <c r="E3801" t="n">
        <v>5</v>
      </c>
      <c r="F3801">
        <f>HYPERLINK("https://www.reddit.com/r/GERD/comments/e1xyq0/slight_uncomfortable_irritation_in_the_back_of/")</f>
        <v/>
      </c>
      <c r="G3801" t="inlineStr">
        <is>
          <t>2019-11-26 05:30:37</t>
        </is>
      </c>
      <c r="H3801" t="inlineStr"/>
    </row>
    <row r="3802">
      <c r="A3802" t="inlineStr">
        <is>
          <t>e1y2cf</t>
        </is>
      </c>
      <c r="B3802" t="inlineStr">
        <is>
          <t>Surprising cause for my GERD/Gastritis symptoms</t>
        </is>
      </c>
      <c r="C3802" t="inlineStr">
        <is>
          <t>Tested for HPylori and Yeast conventional (fecal matter analysis), but signed up for a Dysbiosis test which came back positive for Yeast (both strains) as well as a greatly reduced population of E-coli.   
I also had some anti-GERD symptoms, like: I could eat acidic food and drink acidic beverages (sometimes) without feeling ill, just better actually. For example, if I drink coke after a large fried meal (fries and sausages for example), I feel better than drinking anything else- 0 reflux except it has a lot of oil or it's badly cooked Also, espresso makes my stomach de-bloat and leads me to burping, which releases the pressure. It feels like that pressure was keeping the valve open and letting pepsin and acid out.  
After some research, I found that Yeast ferments a lot of food, especially in the stomach and lower intestine (smaller population of bacteria compared to the colon), generating a high volume of gas along the gut.  
I also get rashes similar to Dermatographia and a stuffed nose or rhinitis when eating specific foods which by definition are non acidic. I also cannot eat fresh legume as a main course anymore. I used to eat avocado/carrot/fish salads - which were fresh (not cooked) - I get a super strange sensation of ill after eating it, close to depersonalization, and a lower flow of blood to my limbs (feels like stepping on clouds, in a bad way) - probably due to anxiety generated by the first symptoms after eating that food.
I haven't gotten a treatment yet because my doctor doesn't believe the tests I ordered for myself all the way from Germany (send my poop there), and ordered to do another yeast test at the clinic. Which is stupid, because:  
1. The conventional yeast test is fecal based (the one at the clinic too) - meaning it detects yeast presence in the fecal matter, which would need be in the colon or lower end in a great presence.
2. The test I did involved growing bacteria from my feces and analyzing it using a Maldi-Tof, which is actually  a new technique I view as more appropriate for that matter *(I understand how it works about 70% because I have a medical engineering background and also friends and ex-colleagues who use it for bacteria analysis in other circumstances)* , that's why it started to be highly used. Due to the costly infrastructure, not many medical facilities afford it, that's why they make cotracts with other clinics (like the lab I went to, in Romania, not part of the clinic my doctor is working at, made a contract with that lab from Heidelberg Germany).
&amp;amp;#x200B;
Has anyone tests for something similar? or used the technique?  
I thought about attaching the tests here, but not</t>
        </is>
      </c>
      <c r="D3802" t="n">
        <v>1</v>
      </c>
      <c r="E3802" t="n">
        <v>0</v>
      </c>
      <c r="F3802">
        <f>HYPERLINK("https://www.reddit.com/r/GERD/comments/e1y2cf/surprising_cause_for_my_gerdgastritis_symptoms/")</f>
        <v/>
      </c>
      <c r="G3802" t="inlineStr">
        <is>
          <t>2019-11-26 05:39:17</t>
        </is>
      </c>
      <c r="H3802" t="inlineStr"/>
    </row>
    <row r="3803">
      <c r="A3803" t="inlineStr">
        <is>
          <t>e1yi9w</t>
        </is>
      </c>
      <c r="B3803" t="inlineStr">
        <is>
          <t>Does lack of sleep or bad sleep cause you to have worse symptoms?</t>
        </is>
      </c>
      <c r="C3803" t="inlineStr">
        <is>
          <t>Just curious</t>
        </is>
      </c>
      <c r="D3803" t="n">
        <v>1</v>
      </c>
      <c r="E3803" t="n">
        <v>16</v>
      </c>
      <c r="F3803">
        <f>HYPERLINK("https://www.reddit.com/r/GERD/comments/e1yi9w/does_lack_of_sleep_or_bad_sleep_cause_you_to_have/")</f>
        <v/>
      </c>
      <c r="G3803" t="inlineStr">
        <is>
          <t>2019-11-26 06:16:45</t>
        </is>
      </c>
      <c r="H3803" t="inlineStr"/>
    </row>
    <row r="3804">
      <c r="A3804" t="inlineStr">
        <is>
          <t>e222gu</t>
        </is>
      </c>
      <c r="B3804" t="inlineStr">
        <is>
          <t>GERD diagnosis</t>
        </is>
      </c>
      <c r="C3804" t="inlineStr">
        <is>
          <t>I see a lot of people here who do a lot of self diagnosing for their symptoms which can actually do more harm than good because of the numerous things that can cause the symptoms. Finding a doctor and going through the tests is actually the best route you can choose along with taking the medication. I’ve seen too many cases where people thought they knew better and went the holistic route and wound up with esophageal strictures, ulcers, and even cancer. Take the medication because it takes 15 plus years before any side effects occur if they even do. 
Also, don’t demand tests and medications from your doctor. They are less likely to receive that information as helpful and will shoot you down pretty quickly. Instead, suggest that you’ve done some reading and explain your findings to them and ask if it would be helpful in your situation or not. 
Finding doctors that listen to you is another main thing you should do to be able to take the issues as a team.</t>
        </is>
      </c>
      <c r="D3804" t="n">
        <v>1</v>
      </c>
      <c r="E3804" t="n">
        <v>11</v>
      </c>
      <c r="F3804">
        <f>HYPERLINK("https://www.reddit.com/r/GERD/comments/e222gu/gerd_diagnosis/")</f>
        <v/>
      </c>
      <c r="G3804" t="inlineStr">
        <is>
          <t>2019-11-26 10:25:15</t>
        </is>
      </c>
      <c r="H3804" t="inlineStr"/>
    </row>
    <row r="3805">
      <c r="A3805" t="inlineStr">
        <is>
          <t>e25cga</t>
        </is>
      </c>
      <c r="B3805" t="inlineStr">
        <is>
          <t>Barium Swallow - experience and confusing results</t>
        </is>
      </c>
      <c r="C3805" t="inlineStr">
        <is>
          <t>So quick history.  Started getting chronic acid reflux about 4 years ago.  Went on 40mg omeprazole daily.  Got an endoscopy done which showed nothing major other than mild esophagitis.  Things have been fine since.  GERD under control.
2 months ago starting having worse symptoms.  Found coffee is my #1 enemy.  Stopped it.  Still having regular aching in the sternum region.  Pretty much no acid reflux at all though. 
Just did a barium swallow.  First of all, holy shit you swallow straight up glue.  That was fun (not).  Radiologist was awesome.  Showed me the screen and told me everything.  He said nothing found that is concerning.  No hernia, ulcers, etc.  Just signs of acid reflux.  
Well doc office calls.  I have a small hernia.  Not sure what happened from exam until now.  I'll see the doc again for a 2nd endoscopy to ensure everything still looks okay.  
I guess this hernia I'll just live with right?  Who knows how long I've had it.  I'm confused why I changed my diet, dropped coffee, experience little to no acid reflux, and my chest area still has an ache.  It it possible I really aggravated it weeks ago and it will just take forever to calm down?  Never had such a prolonged irritation like this.</t>
        </is>
      </c>
      <c r="D3805" t="n">
        <v>1</v>
      </c>
      <c r="E3805" t="n">
        <v>13</v>
      </c>
      <c r="F3805">
        <f>HYPERLINK("https://www.reddit.com/r/GERD/comments/e25cga/barium_swallow_experience_and_confusing_results/")</f>
        <v/>
      </c>
      <c r="G3805" t="inlineStr">
        <is>
          <t>2019-11-26 13:58:17</t>
        </is>
      </c>
      <c r="H3805" t="inlineStr"/>
    </row>
    <row r="3806">
      <c r="A3806" t="inlineStr">
        <is>
          <t>e27ybd</t>
        </is>
      </c>
      <c r="B3806" t="inlineStr">
        <is>
          <t>Very new to GERD and trying to understand my recent barium test. It shows GERD and “ diminished esophageal motility.” What does the latter mean? Is that a structural defect? Reading on here my understanding is that the esophageal sphincter can strengthen and/or heal over time, correct? Thank you!</t>
        </is>
      </c>
      <c r="C3806" t="inlineStr">
        <is>
          <t>I’m a 32-year-old female with a connective tissue disorder called Ehlers-Danlos, which is known to be comorbid with various G.I. Disorders. Essentially it involves a defect in the collagen which causes laxity in the joints, though I’m not exactly clear about how it affects the internal organs – it does seem to cause a “looseness” in those areas as well.
I’m extremely fit despite not being able to do regular sports &amp;amp; high impact exercise. I am very lean and have a lot of lean muscle mass due to conservative strength training and loads of walking every day. (10 to 15 miles on my treadmill desk)
A few months ago I started having severe nausea &amp;amp; stomach cramping with food. I believe it was brought on by drinking too much coffee. My doctor had warned me to cut down after I had told her that I was experiencing nausea, but I continued to drink 3 cups per day, even on an empty stomach in the mornings.
After eliminating many foods, things have gotten better and I am now experiencing just heartburn. I’ve slowly been adding back foods and have been able to have sone unsweetened dark chocolate, some spices, etc. Raw garlic seems to always have been fine.
I am seeing a G.I. doctor in a couple of months to explain the results of the test but was hoping to have more information before then. Primarily I’m interested to know if this is now a permanent condition that I will have to manage and whether or not “diminished esophageale motility” indicates some kind of structural defect. Aside from that &amp;amp; the GERD, there were no abnormal results on the test. The results of an H pylori breath test that I took should be available in a week or two.
I’ve already learned so much just reading through the posts on this sub. It’s really great so many knowledgeable people are on this sub &amp;amp;  I feel a lot less alone in this otherwise very frightening condition that has suddenly arisen on top of all my other health issues. I’m going to order the Kaufman as well as Acid Watchers book and follow the guidelines there.</t>
        </is>
      </c>
      <c r="D3806" t="n">
        <v>1</v>
      </c>
      <c r="E3806" t="n">
        <v>18</v>
      </c>
      <c r="F3806">
        <f>HYPERLINK("https://www.reddit.com/r/GERD/comments/e27ybd/very_new_to_gerd_and_trying_to_understand_my/")</f>
        <v/>
      </c>
      <c r="G3806" t="inlineStr">
        <is>
          <t>2019-11-26 16:58:24</t>
        </is>
      </c>
      <c r="H3806" t="inlineStr"/>
    </row>
    <row r="3807">
      <c r="A3807" t="inlineStr">
        <is>
          <t>e28kft</t>
        </is>
      </c>
      <c r="B3807" t="inlineStr">
        <is>
          <t>Be your own health advocate: my 18yr experience with PPIs and severe GERD</t>
        </is>
      </c>
      <c r="C3807" t="inlineStr">
        <is>
          <t>When I was 10 years old, I was diagnosed with GERD and put on PPIs. I was skinny even prior to being diagnosed with GERD. I had the side effect of PPIs making me extremely nauseous to point that I would eat very little or end up vomiting. At this time, it was either not known or no one mentioned that PPIs effect vitamin absorption (especially vit D and B12), so I was not taking any supplements. I got sick a lot. As a kid, both my parents and doctors assumed I was just being a picky eater or exaggerating my nausea. Even as a kid, my barium swallow showed liquid coming up after just minor tilts. 
At age 17, I really wanted to get surgery and asked my GI dr. The dr was skeptical and claimed I did not need it (without having done a ph study or manometry). My mom was worried about surgery side effects and permanently changing the anatomy. I didn’t push too hard for surgery since I figured the doctor knew best. I got distracted with other medical issues. I developed a panic disorder(controlled now with CBT and exposure therapy) and chronic UTIs (fixed with 5 yr of antibiotics and rapaflo). Off to college I went. At that point I had accepted that nausea and life-long PPIs would be my life so I focused on other things. 
My vomiting progressively got worse. By the time I got my first job at age 23, I randomly vomited at least three times a week. It has been awhile since I saw a GI dr so I found one in my area and again asked about surgery or other medications. That GI dr was not helpful. I decided to see a surgeon in my hometown. 
The surgeon seemed to be the only one that actually cared about my nausea and suggested Dexilant (delayed release PPI). To my surprise this medication actually reduced my nausea! I had become so accustomed to nausea and suddenly the intensity  of the nausea decreased. I was very happy (temporarily). I still had major regurgitation and occasionally vomiting that prevented me from exercising (was still skinny though). All tests ok’d me for surgery until I got a manometry. Very little movement was shown.
I decided to go to a top university motility specialist to see wtf was going on. They had to redo the manometry since it was not done well previously (that dr didn’t know what he was doing, he got it in my air pipe the first time). The manometry was torture for me, I felt everything and I kept vomiting. My body was already irritated from being off PPIs twice in a year for these tests. That manometry concluded I had very little motility. My colon was also very slow. I was diagnosed with amotility (aka achalasia type I). Causes not well known but it is seen in people with long term GERD exposure. The specialist told me there was no surgery option. I asked about clinical trials and was told about Endostim device which I could maybe get into. 
I had to do the manometry again a year later as I tried to get in on the clinical trial. My motility had gotten even worse with only the swallowing mechanism working. Of course I wasn’t allowed into the trial. Again different doctors told me no surgery was possible. This broke me. After 17 years of PPIs and regurgitation and pain, I could not take it anymore.
I got a new job in a different city. Weed had just been legalized and I used this to deal with my broken state of mind, to deal with the nausea, and force myself to eat (I hated eating since I was a child due to GERD). 
I eventually saw a GI dr in this new city. He told me I could get surgery and was very surprised others had told me I could not. There was a very skilled surgeon in my area who dealt with difficult cases and fixed others screw ups. 
Long story short, I got the surgery (partial fundoplication) and it has changed my life. No regurgitation! I am off PPIs and on H2 blockers. I can exercise!
But I was also recently diagnosed with a rare osteo autoimmune. In this case, PPIs definitely make it worse by reducing vit D and other absorption. Autoimmune is associated with lower vit D (vit D increases amount of T regulatory cells). I am negative for the genetic variation that is associated with this autoimmune (90% of people with disease are positive for this genetic variation). I can’t help but wonder if I had gotten surgery earlier whether I would have this autoimmune or motility issues. 
My advice: be your own health advocate and if doctors are not listening to you, find ones that will.</t>
        </is>
      </c>
      <c r="D3807" t="n">
        <v>1</v>
      </c>
      <c r="E3807" t="n">
        <v>13</v>
      </c>
      <c r="F3807">
        <f>HYPERLINK("https://www.reddit.com/r/GERD/comments/e28kft/be_your_own_health_advocate_my_18yr_experience/")</f>
        <v/>
      </c>
      <c r="G3807" t="inlineStr">
        <is>
          <t>2019-11-26 17:44:44</t>
        </is>
      </c>
      <c r="H3807" t="inlineStr"/>
    </row>
    <row r="3808">
      <c r="A3808" t="inlineStr">
        <is>
          <t>e298yn</t>
        </is>
      </c>
      <c r="B3808" t="inlineStr">
        <is>
          <t>Has anyone ever passed out from GERD?</t>
        </is>
      </c>
      <c r="C3808" t="inlineStr">
        <is>
          <t>I experience this at random times, mostly with alcohol. Where I start feeling the sharp chest pain reflux symptoms, then suddenly get tunnel vision, clammy skin, and if I am really lucky (kidding) I collapse. It happens randomly but usually if I take tums in time I am ok. 
Was on first date tonight where it occurs and had to ask date to give me a minute to collect myself. I didn’t faint this time luckily.</t>
        </is>
      </c>
      <c r="D3808" t="n">
        <v>1</v>
      </c>
      <c r="E3808" t="n">
        <v>6</v>
      </c>
      <c r="F3808">
        <f>HYPERLINK("https://www.reddit.com/r/GERD/comments/e298yn/has_anyone_ever_passed_out_from_gerd/")</f>
        <v/>
      </c>
      <c r="G3808" t="inlineStr">
        <is>
          <t>2019-11-26 18:35:31</t>
        </is>
      </c>
      <c r="H3808" t="inlineStr"/>
    </row>
    <row r="3809">
      <c r="A3809" t="inlineStr">
        <is>
          <t>e29jt4</t>
        </is>
      </c>
      <c r="B3809" t="inlineStr">
        <is>
          <t>How do you ease the burned/burning sensation left over in your throat? Or speed up the healing process?</t>
        </is>
      </c>
      <c r="C3809" t="inlineStr">
        <is>
          <t>Thing I hate most about GERD is the hoarse, burning, soar effect that it leaves in your throat. How do you make it feel better or heal quicker? Or does new acid reflux occurrences start it over ?</t>
        </is>
      </c>
      <c r="D3809" t="n">
        <v>1</v>
      </c>
      <c r="E3809" t="n">
        <v>10</v>
      </c>
      <c r="F3809">
        <f>HYPERLINK("https://www.reddit.com/r/GERD/comments/e29jt4/how_do_you_ease_the_burnedburning_sensation_left/")</f>
        <v/>
      </c>
      <c r="G3809" t="inlineStr">
        <is>
          <t>2019-11-26 18:58:03</t>
        </is>
      </c>
      <c r="H3809" t="inlineStr"/>
    </row>
    <row r="3810">
      <c r="A3810" t="inlineStr">
        <is>
          <t>e29kuz</t>
        </is>
      </c>
      <c r="B3810" t="inlineStr">
        <is>
          <t>GERD &amp;amp; NSAID's (Ibuprofen, etc.)</t>
        </is>
      </c>
      <c r="C3810" t="inlineStr">
        <is>
          <t>If you have GERD, how likely are NSAID's such as Ibuprofin going to trigger reflux / irritation?</t>
        </is>
      </c>
      <c r="D3810" t="n">
        <v>1</v>
      </c>
      <c r="E3810" t="n">
        <v>9</v>
      </c>
      <c r="F3810">
        <f>HYPERLINK("https://www.reddit.com/r/GERD/comments/e29kuz/gerd_nsaids_ibuprofen_etc/")</f>
        <v/>
      </c>
      <c r="G3810" t="inlineStr">
        <is>
          <t>2019-11-26 19:00:26</t>
        </is>
      </c>
      <c r="H3810" t="inlineStr"/>
    </row>
    <row r="3811">
      <c r="A3811" t="inlineStr">
        <is>
          <t>e29ns8</t>
        </is>
      </c>
      <c r="B3811" t="inlineStr">
        <is>
          <t>Is it possible for someone in their 20s to live a happy rest of their life with GERD?</t>
        </is>
      </c>
      <c r="C3811" t="inlineStr">
        <is>
          <t>I'm honestly really bummed out and depressed right now. I haven't been 100% diagnosed with GERD but I'm pretty sure I have it or am on my way to having it. My gastro did an endoscopy for other gastro problems and noted that I had a loose GE junction. 
There's so much I still want to do in life but it seems like this thing will always just be a giant shadow over me every day. 
I want to find love, get married, have kids, be **happy**. Be there for my kids. Maybe its the anxiety and depression talking but I feel like that stuff will never happen now.
Am I just supposed to live the rest of my days just.. getting by?</t>
        </is>
      </c>
      <c r="D3811" t="n">
        <v>1</v>
      </c>
      <c r="E3811" t="n">
        <v>34</v>
      </c>
      <c r="F3811">
        <f>HYPERLINK("https://www.reddit.com/r/GERD/comments/e29ns8/is_it_possible_for_someone_in_their_20s_to_live_a/")</f>
        <v/>
      </c>
      <c r="G3811" t="inlineStr">
        <is>
          <t>2019-11-26 19:06:52</t>
        </is>
      </c>
      <c r="H3811" t="inlineStr"/>
    </row>
    <row r="3812">
      <c r="A3812" t="inlineStr">
        <is>
          <t>e2b4ay</t>
        </is>
      </c>
      <c r="B3812" t="inlineStr">
        <is>
          <t>How do you know if it's your body, or the pills?</t>
        </is>
      </c>
      <c r="C3812" t="inlineStr">
        <is>
          <t>Hey everyone! I've been on pantoprazole for about three years now for gerd. On the drug I feel perfect. I can eat anything in any quantity. I thought I could be on it for life (I'm 22F) until I got a new doctor recently who told me of the risks of these medications.
He wants me off the pills and after reading your experiences in this sub I want off too. One of my concerns is that I don't know if my symptoms on a lower dose is my gerd, or if it's withdrawals (if that's what it's called). I'm having bloating, stomach pain, nausea, lump in my throat, acid, constant need to burp, even hiccups. I don't want to spend weeks coming off them for nothing. 
How do I successfully wean off of these pills? I spent a couple weeks feeling like crap from splitting my 40mg in half before realising they're not to be split. I don't know if I can manage a day without medication.
Looking for success stories and encouragement!</t>
        </is>
      </c>
      <c r="D3812" t="n">
        <v>1</v>
      </c>
      <c r="E3812" t="n">
        <v>9</v>
      </c>
      <c r="F3812">
        <f>HYPERLINK("https://www.reddit.com/r/GERD/comments/e2b4ay/how_do_you_know_if_its_your_body_or_the_pills/")</f>
        <v/>
      </c>
      <c r="G3812" t="inlineStr">
        <is>
          <t>2019-11-26 21:13:27</t>
        </is>
      </c>
      <c r="H3812" t="inlineStr"/>
    </row>
    <row r="3813">
      <c r="A3813" t="inlineStr">
        <is>
          <t>e2c486</t>
        </is>
      </c>
      <c r="B3813" t="inlineStr">
        <is>
          <t>Anyone else wake up in the middle of the night feeling like their body is on fire?</t>
        </is>
      </c>
      <c r="C3813" t="inlineStr">
        <is>
          <t>Been experiencing this and its getting worse. I feel it's related to my gerd. Maybe gerd causing sleep apnea or something.</t>
        </is>
      </c>
      <c r="D3813" t="n">
        <v>1</v>
      </c>
      <c r="E3813" t="n">
        <v>2</v>
      </c>
      <c r="F3813">
        <f>HYPERLINK("https://www.reddit.com/r/GERD/comments/e2c486/anyone_else_wake_up_in_the_middle_of_the_night/")</f>
        <v/>
      </c>
      <c r="G3813" t="inlineStr">
        <is>
          <t>2019-11-26 22:47:46</t>
        </is>
      </c>
      <c r="H3813" t="inlineStr"/>
    </row>
    <row r="3814">
      <c r="A3814" t="inlineStr">
        <is>
          <t>e2c9zb</t>
        </is>
      </c>
      <c r="B3814" t="inlineStr">
        <is>
          <t>What all do you eat in a day?</t>
        </is>
      </c>
      <c r="C3814" t="inlineStr">
        <is>
          <t>I know what foods to avoid. Pretty much every thing I used to eat was gerd inducing. What all do you eat in a day?</t>
        </is>
      </c>
      <c r="D3814" t="n">
        <v>1</v>
      </c>
      <c r="E3814" t="n">
        <v>13</v>
      </c>
      <c r="F3814">
        <f>HYPERLINK("https://www.reddit.com/r/GERD/comments/e2c9zb/what_all_do_you_eat_in_a_day/")</f>
        <v/>
      </c>
      <c r="G3814" t="inlineStr">
        <is>
          <t>2019-11-26 23:02:37</t>
        </is>
      </c>
      <c r="H3814" t="inlineStr"/>
    </row>
    <row r="3815">
      <c r="A3815" t="inlineStr">
        <is>
          <t>e2co06</t>
        </is>
      </c>
      <c r="B3815" t="inlineStr">
        <is>
          <t>Another sleepless night thanks to gerd</t>
        </is>
      </c>
      <c r="C3815" t="inlineStr">
        <is>
          <t>I started having some weird pain in the right side of my throat. It feels like somethings in there throbbing and burning but not like it’s acid coming up. I don’t know what it is but it’s causing a TON of anxiety. I have an important meeting early in the morning and I need sleep desperately ):</t>
        </is>
      </c>
      <c r="D3815" t="n">
        <v>1</v>
      </c>
      <c r="E3815" t="n">
        <v>4</v>
      </c>
      <c r="F3815">
        <f>HYPERLINK("https://www.reddit.com/r/GERD/comments/e2co06/another_sleepless_night_thanks_to_gerd/")</f>
        <v/>
      </c>
      <c r="G3815" t="inlineStr">
        <is>
          <t>2019-11-26 23:40:39</t>
        </is>
      </c>
      <c r="H3815" t="inlineStr"/>
    </row>
    <row r="3816">
      <c r="A3816" t="inlineStr">
        <is>
          <t>e2d0ro</t>
        </is>
      </c>
      <c r="B3816" t="inlineStr">
        <is>
          <t>Anyone else wheezing on inhale?</t>
        </is>
      </c>
      <c r="C3816" t="inlineStr">
        <is>
          <t>I sort of suspect this has transitioned into LPR as a lot of the symptoms when I read up on it are familiar to me. A while back, my doc prescribed an inhaler even though I was visiting for GERD. In retrospect, I’m a bit surprised he didn’t connect these things.
When I breathe in lately I notice a slight whine or whistling through my nose and I’m wondering if this is a symptom of LPR. I don’t sense any difficulty breathing but it is a bit worrisome to be doing that.</t>
        </is>
      </c>
      <c r="D3816" t="n">
        <v>1</v>
      </c>
      <c r="E3816" t="n">
        <v>0</v>
      </c>
      <c r="F3816">
        <f>HYPERLINK("https://www.reddit.com/r/GERD/comments/e2d0ro/anyone_else_wheezing_on_inhale/")</f>
        <v/>
      </c>
      <c r="G3816" t="inlineStr">
        <is>
          <t>2019-11-27 00:17:29</t>
        </is>
      </c>
      <c r="H3816" t="inlineStr"/>
    </row>
    <row r="3817">
      <c r="A3817" t="inlineStr">
        <is>
          <t>e2fnhy</t>
        </is>
      </c>
      <c r="B3817" t="inlineStr">
        <is>
          <t>Are citrus fruits off limits?</t>
        </is>
      </c>
      <c r="C3817" t="inlineStr">
        <is>
          <t>So today I’ve been put on antireflux diet because I’ve been experiencing heartburn (Also, I’ve been prescribed Nexium). There are a lot of things that I like to eat in that list however I can see myself not eating them for my health but I also noticed one thing. I can’t eat citrus fruit! And that’s my favourite type of fruits :(( 
Then I read online that some things may influence you before bed but not if you eat them in the morning/afternoon. So I wanted to ask if eating tangerines in the afternoon would make me experience heartburn?</t>
        </is>
      </c>
      <c r="D3817" t="n">
        <v>1</v>
      </c>
      <c r="E3817" t="n">
        <v>3</v>
      </c>
      <c r="F3817">
        <f>HYPERLINK("https://www.reddit.com/r/GERD/comments/e2fnhy/are_citrus_fruits_off_limits/")</f>
        <v/>
      </c>
      <c r="G3817" t="inlineStr">
        <is>
          <t>2019-11-27 04:56:26</t>
        </is>
      </c>
      <c r="H3817" t="inlineStr"/>
    </row>
    <row r="3818">
      <c r="A3818" t="inlineStr">
        <is>
          <t>e2fo6t</t>
        </is>
      </c>
      <c r="B3818" t="inlineStr">
        <is>
          <t>mucas and saliva</t>
        </is>
      </c>
      <c r="C3818" t="inlineStr">
        <is>
          <t>can gerd cause mucas and excessive saliva?</t>
        </is>
      </c>
      <c r="D3818" t="n">
        <v>1</v>
      </c>
      <c r="E3818" t="n">
        <v>3</v>
      </c>
      <c r="F3818">
        <f>HYPERLINK("https://www.reddit.com/r/GERD/comments/e2fo6t/mucas_and_saliva/")</f>
        <v/>
      </c>
      <c r="G3818" t="inlineStr">
        <is>
          <t>2019-11-27 04:58:27</t>
        </is>
      </c>
      <c r="H3818" t="inlineStr"/>
    </row>
    <row r="3819">
      <c r="A3819" t="inlineStr">
        <is>
          <t>e2h2f9</t>
        </is>
      </c>
      <c r="B3819" t="inlineStr">
        <is>
          <t>Recipe ideas</t>
        </is>
      </c>
      <c r="C3819" t="inlineStr">
        <is>
          <t>Anyone got any good ideas? Living off brown rice, toast and yogurt is getting proper depressing after a few months</t>
        </is>
      </c>
      <c r="D3819" t="n">
        <v>1</v>
      </c>
      <c r="E3819" t="n">
        <v>9</v>
      </c>
      <c r="F3819">
        <f>HYPERLINK("https://www.reddit.com/r/GERD/comments/e2h2f9/recipe_ideas/")</f>
        <v/>
      </c>
      <c r="G3819" t="inlineStr">
        <is>
          <t>2019-11-27 06:53:14</t>
        </is>
      </c>
      <c r="H3819" t="inlineStr"/>
    </row>
    <row r="3820">
      <c r="A3820" t="inlineStr">
        <is>
          <t>e2h885</t>
        </is>
      </c>
      <c r="B3820" t="inlineStr">
        <is>
          <t>Soft drinks</t>
        </is>
      </c>
      <c r="C3820" t="inlineStr">
        <is>
          <t>Are soft drinks an instant flare up for everyone else? I'm pretty new to this issue. 32/m. I'm a long time energy drink drinker. I've not had one for a few weeks(used to have one or more monsters a day) and I don't drink any other carbonated drinks. Some days when I feel like I need some caffeine I have a diet Pepsi. It seems I only have issues recently when I have a Pepsi. And it's almost instant heart burn. Is it the caffeine or the carbonation? Do I have to cut caffeine out completely? It's starting to seem so. I'm struggling with it.</t>
        </is>
      </c>
      <c r="D3820" t="n">
        <v>1</v>
      </c>
      <c r="E3820" t="n">
        <v>21</v>
      </c>
      <c r="F3820">
        <f>HYPERLINK("https://www.reddit.com/r/GERD/comments/e2h885/soft_drinks/")</f>
        <v/>
      </c>
      <c r="G3820" t="inlineStr">
        <is>
          <t>2019-11-27 07:05:15</t>
        </is>
      </c>
      <c r="H3820" t="inlineStr"/>
    </row>
    <row r="3821">
      <c r="A3821" t="inlineStr">
        <is>
          <t>e2j58y</t>
        </is>
      </c>
      <c r="B3821" t="inlineStr">
        <is>
          <t>What will you miss eating during Thanksgiving?</t>
        </is>
      </c>
      <c r="C3821" t="inlineStr">
        <is>
          <t>Really annoying almost everything tasty begins at onion and garlic. As a whole, minced, seasoning, dehydrated powder... This sucks.
Anything with chocolate and dairy for me especially. I’m lactose intolerant. Lactaid pills can’t even help my stomach acid with this reflux.
The family is coming over to cook Thanksgiving morning and everyone will drink coffee except me.
What about you?</t>
        </is>
      </c>
      <c r="D3821" t="n">
        <v>1</v>
      </c>
      <c r="E3821" t="n">
        <v>11</v>
      </c>
      <c r="F3821">
        <f>HYPERLINK("https://www.reddit.com/r/GERD/comments/e2j58y/what_will_you_miss_eating_during_thanksgiving/")</f>
        <v/>
      </c>
      <c r="G3821" t="inlineStr">
        <is>
          <t>2019-11-27 09:14:42</t>
        </is>
      </c>
      <c r="H3821" t="inlineStr"/>
    </row>
    <row r="3822">
      <c r="A3822" t="inlineStr">
        <is>
          <t>e2lvc1</t>
        </is>
      </c>
      <c r="B3822" t="inlineStr">
        <is>
          <t>Pain in lower esophagus with solid food</t>
        </is>
      </c>
      <c r="C3822" t="inlineStr">
        <is>
          <t>Been having pretty bad reflux the past 18 hours or so, but it's improved a bit since it started. Had some toast for breakfast and I noticed that every time I swallowed, about 5 or 6 seconds later I'd have pain in my lower esophagus, close to where I estimate my LES is. Always in the same spot. Bigger amounts of swallowed food hurt a bit more, but smaller amounts hurt too (all thoroughly chewed). Liquids don't hurt at all. 
Has anyone else experienced this?</t>
        </is>
      </c>
      <c r="D3822" t="n">
        <v>1</v>
      </c>
      <c r="E3822" t="n">
        <v>5</v>
      </c>
      <c r="F3822">
        <f>HYPERLINK("https://www.reddit.com/r/GERD/comments/e2lvc1/pain_in_lower_esophagus_with_solid_food/")</f>
        <v/>
      </c>
      <c r="G3822" t="inlineStr">
        <is>
          <t>2019-11-27 12:05:20</t>
        </is>
      </c>
      <c r="H3822" t="inlineStr"/>
    </row>
    <row r="3823">
      <c r="A3823" t="inlineStr">
        <is>
          <t>e2oete</t>
        </is>
      </c>
      <c r="B3823" t="inlineStr">
        <is>
          <t>Gaining weight with GERD</t>
        </is>
      </c>
      <c r="C3823" t="inlineStr">
        <is>
          <t>I can’t find anything for someone like me that needs to maintain or even gain weight. I’ve always been very skinny and GERD friendly diets doesn’t help me at all to gain weight. I kept my weight going to the gym and drinking protein shakes but this is intolerable for me now. All I read is that loosing weight helps with the symptoms but what about skinny people with the condition.  Have some recs?  Thank you.</t>
        </is>
      </c>
      <c r="D3823" t="n">
        <v>1</v>
      </c>
      <c r="E3823" t="n">
        <v>9</v>
      </c>
      <c r="F3823">
        <f>HYPERLINK("https://www.reddit.com/r/GERD/comments/e2oete/gaining_weight_with_gerd/")</f>
        <v/>
      </c>
      <c r="G3823" t="inlineStr">
        <is>
          <t>2019-11-27 14:55:42</t>
        </is>
      </c>
      <c r="H3823" t="inlineStr"/>
    </row>
    <row r="3824">
      <c r="A3824" t="inlineStr">
        <is>
          <t>e2sziz</t>
        </is>
      </c>
      <c r="B3824" t="inlineStr">
        <is>
          <t>Anyone injure their throat from throwing up too much? How long did it take to heal?</t>
        </is>
      </c>
      <c r="C3824" t="inlineStr">
        <is>
          <t>I take a PPI and have been doing decent, but I came down with food poisoning and threw up about half a dozen times and must have injured my throat because ever since (two weeks now) I have had this obnoxious sore throat. My throat feels constantly dry like I’ve slept with my mouth open and it leaves a bad taste in my mouth. I went to my ENT and he offered me little advice but to stay on my PPI and it will take time to heal. Can anyone relate? How long did it take your throat to heal and do you have any tips?</t>
        </is>
      </c>
      <c r="D3824" t="n">
        <v>1</v>
      </c>
      <c r="E3824" t="n">
        <v>7</v>
      </c>
      <c r="F3824">
        <f>HYPERLINK("https://www.reddit.com/r/GERD/comments/e2sziz/anyone_injure_their_throat_from_throwing_up_too/")</f>
        <v/>
      </c>
      <c r="G3824" t="inlineStr">
        <is>
          <t>2019-11-27 20:54:37</t>
        </is>
      </c>
      <c r="H3824" t="inlineStr"/>
    </row>
    <row r="3825">
      <c r="A3825" t="inlineStr">
        <is>
          <t>e2xf9k</t>
        </is>
      </c>
      <c r="B3825" t="inlineStr">
        <is>
          <t>how does GERD begins?</t>
        </is>
      </c>
      <c r="C3825" t="inlineStr">
        <is>
          <t>Hi, 
I am curious to learn about your experiences about the beginning of GERD symptoms in someone that has never experienced them before. 
Were the symptoms slowly appearing over time or the transition from symptomless to having issues was more immediate?
Thansk</t>
        </is>
      </c>
      <c r="D3825" t="n">
        <v>1</v>
      </c>
      <c r="E3825" t="n">
        <v>14</v>
      </c>
      <c r="F3825">
        <f>HYPERLINK("https://www.reddit.com/r/GERD/comments/e2xf9k/how_does_gerd_begins/")</f>
        <v/>
      </c>
      <c r="G3825" t="inlineStr">
        <is>
          <t>2019-11-28 04:32:09</t>
        </is>
      </c>
      <c r="H3825" t="inlineStr"/>
    </row>
    <row r="3826">
      <c r="A3826" t="inlineStr">
        <is>
          <t>e2ywh1</t>
        </is>
      </c>
      <c r="B3826" t="inlineStr">
        <is>
          <t>Does anyone have trouble swallowing solid foods because of Gerd?</t>
        </is>
      </c>
      <c r="C3826" t="inlineStr">
        <is>
          <t>I've had Gerd for a few years now and a few months back I had a really bad flare up and had to go to the emergency room because I was having trouble breathing as if something was stuck in my throat. Now I can't really eat solid foods at all without it feeling like it's getting stuck. So now I have Gerd and Dyspasia. I've done a Endoscopy and Esopogial Manomatry which all came back normal. I'm working closely with an ENT and GI doctor to figure out what's going on. I'm on Pantoprazole 40MG 1 daily in the morning, I sleep upright, I'm on a strict diet obviously because I can't eat. Nothing seems to be working. Any thoughts would be much appreciated. I feel lost as if I have no options. Now on top of all this anxiety has crept through the door. I refuse to take anxiety meds, tried it once and it made me feel really unstable. Been trying to become more spiritual for the anxiety, asking God for forgiveness and mercy. I've taken CBD oil at night for a week, not sure if it helps but it certainly doesn't seem to be harming me. Again, any thoughts on this would be much appreciated it, I'm at a dead end here.</t>
        </is>
      </c>
      <c r="D3826" t="n">
        <v>1</v>
      </c>
      <c r="E3826" t="n">
        <v>7</v>
      </c>
      <c r="F3826">
        <f>HYPERLINK("https://www.reddit.com/r/GERD/comments/e2ywh1/does_anyone_have_trouble_swallowing_solid_foods/")</f>
        <v/>
      </c>
      <c r="G3826" t="inlineStr">
        <is>
          <t>2019-11-28 06:43:59</t>
        </is>
      </c>
      <c r="H3826" t="inlineStr"/>
    </row>
    <row r="3827">
      <c r="A3827" t="inlineStr">
        <is>
          <t>e306lp</t>
        </is>
      </c>
      <c r="B3827" t="inlineStr">
        <is>
          <t>On Pantoprazole for a week and symptoms worse?</t>
        </is>
      </c>
      <c r="C3827" t="inlineStr">
        <is>
          <t>Has anyone experienced this?
I got an endoscopy and the doctor said I have esophagitis. I had been having difficulty losing my voice and throat irritation.
I've been on Pantoprazole for a week and it's like my acid reflux has gone crazy. It's incredibly more intrusive into my life and noticeable. I have this rancid taste in my mouth and my throat feels like it's hot. This is NOT what I had gone to get the endoscopy for.
I have made some dietary changes like giving up caffeine (by like 90%), stopping eating 3 or 4 hours before bed, and no citrus. 
But the acid reflux is worse than ever. I kind of hate this doctor so I'd rather ask people on reddit. Any idea what is going on?</t>
        </is>
      </c>
      <c r="D3827" t="n">
        <v>1</v>
      </c>
      <c r="E3827" t="n">
        <v>13</v>
      </c>
      <c r="F3827">
        <f>HYPERLINK("https://www.reddit.com/r/GERD/comments/e306lp/on_pantoprazole_for_a_week_and_symptoms_worse/")</f>
        <v/>
      </c>
      <c r="G3827" t="inlineStr">
        <is>
          <t>2019-11-28 08:23:05</t>
        </is>
      </c>
      <c r="H3827" t="inlineStr"/>
    </row>
    <row r="3828">
      <c r="A3828" t="inlineStr">
        <is>
          <t>e30dgh</t>
        </is>
      </c>
      <c r="B3828" t="inlineStr">
        <is>
          <t>GERD/LPR Rant/Vent</t>
        </is>
      </c>
      <c r="C3828" t="inlineStr">
        <is>
          <t>I was diagnosed with GERD a few years ago after a lifetime of acid reflux.  I started taking a PPI daily and more or less watching what I ate and for the most part it worked.
Now I'm in my third flare up of LPR.  I only now know what LPR is and the past two flare ups I had were frustrating in their own right for taking forever to get better and also never getting an actual diagnosis.  But now I know what is happening and this flare up is lasting forever it seems and I just want to bang my fucking head against the wall.
This one started seven weeks ago with what I thought was bad allergies or a cold (thinking back the past two flare ups started the same way).  I've not been flipping between very hoarse or no voice at all, still have that lump feeling in my throat, have had horrible acid reflux (to the point of waking up during the night with acid in my mouth and nearly puking it up at work), and have had bouts of IBS.  Doctor upped me to Nexium 40 mg twice a day, I've been eating a bland diet, making sure I don't eat or drink 3 hours before bed, and have slept on the couch for the past seven fucking weeks.
The last two flare ups lasted for several months - but I was really hoping that now that I know what it is this time it wouldn't last as long.  I am seriously going insane - I can't speak, I can't sleep, I can't eat much... I want to pound my fucking head through the wall.</t>
        </is>
      </c>
      <c r="D3828" t="n">
        <v>1</v>
      </c>
      <c r="E3828" t="n">
        <v>8</v>
      </c>
      <c r="F3828">
        <f>HYPERLINK("https://www.reddit.com/r/GERD/comments/e30dgh/gerdlpr_rantvent/")</f>
        <v/>
      </c>
      <c r="G3828" t="inlineStr">
        <is>
          <t>2019-11-28 08:36:31</t>
        </is>
      </c>
      <c r="H3828" t="inlineStr"/>
    </row>
    <row r="3829">
      <c r="A3829" t="inlineStr">
        <is>
          <t>e30wtf</t>
        </is>
      </c>
      <c r="B3829" t="inlineStr">
        <is>
          <t>The day of dread is here / Best time to take omeprazole</t>
        </is>
      </c>
      <c r="C3829" t="inlineStr">
        <is>
          <t>So Thanksgiving is here. I wish I could enjoy this holiday like I used to, but now it’s spent calculating how much I have to eat to not offend people vs the pain I’ll be in for doing so,
I started taking a dissolvable store brand tablet (20mg) at night because that’s when my symptoms are the worst (I’m always in pain waking up), but I’m noticing it’s not helping.
Could this be due to the form not being as effective (dissolvable tablet vs capsules I previously took that worked better), or is taking them at night a bad idea? (Or should I consider that the problem is getting worse?)
What time would you all say is most effective for PPIs for people who mainly experience symptoms over night?</t>
        </is>
      </c>
      <c r="D3829" t="n">
        <v>1</v>
      </c>
      <c r="E3829" t="n">
        <v>13</v>
      </c>
      <c r="F3829">
        <f>HYPERLINK("https://www.reddit.com/r/GERD/comments/e30wtf/the_day_of_dread_is_here_best_time_to_take/")</f>
        <v/>
      </c>
      <c r="G3829" t="inlineStr">
        <is>
          <t>2019-11-28 09:13:33</t>
        </is>
      </c>
      <c r="H3829" t="inlineStr"/>
    </row>
    <row r="3830">
      <c r="A3830" t="inlineStr">
        <is>
          <t>e32t0g</t>
        </is>
      </c>
      <c r="B3830" t="inlineStr">
        <is>
          <t>So much phlegm in my throat</t>
        </is>
      </c>
      <c r="C3830" t="inlineStr">
        <is>
          <t>I thought it was due to nexium (17 days) so I stopped using it (day 2 without it) I’m only taking Pepcid and tums. The phlegm is just annoying, dose anyone have any tips.</t>
        </is>
      </c>
      <c r="D3830" t="n">
        <v>1</v>
      </c>
      <c r="E3830" t="n">
        <v>1</v>
      </c>
      <c r="F3830">
        <f>HYPERLINK("https://www.reddit.com/r/GERD/comments/e32t0g/so_much_phlegm_in_my_throat/")</f>
        <v/>
      </c>
      <c r="G3830" t="inlineStr">
        <is>
          <t>2019-11-28 11:21:58</t>
        </is>
      </c>
      <c r="H3830" t="inlineStr"/>
    </row>
    <row r="3831">
      <c r="A3831" t="inlineStr">
        <is>
          <t>e3575c</t>
        </is>
      </c>
      <c r="B3831" t="inlineStr">
        <is>
          <t>Turkey had onion, garlic, and cranberry stuffing. Turkey itself has no seasoning. Is it ok to eat?</t>
        </is>
      </c>
      <c r="C3831" t="inlineStr">
        <is>
          <t>I had to stare at the table and *eat absolutely nothing* out of fear. Help 😔</t>
        </is>
      </c>
      <c r="D3831" t="n">
        <v>1</v>
      </c>
      <c r="E3831" t="n">
        <v>3</v>
      </c>
      <c r="F3831">
        <f>HYPERLINK("https://www.reddit.com/r/GERD/comments/e3575c/turkey_had_onion_garlic_and_cranberry_stuffing/")</f>
        <v/>
      </c>
      <c r="G3831" t="inlineStr">
        <is>
          <t>2019-11-28 14:13:23</t>
        </is>
      </c>
      <c r="H3831" t="inlineStr"/>
    </row>
    <row r="3832">
      <c r="A3832" t="inlineStr">
        <is>
          <t>e378wb</t>
        </is>
      </c>
      <c r="B3832" t="inlineStr">
        <is>
          <t>Association Between Acute Gastroenteritis and ongoing PPI use in winter</t>
        </is>
      </c>
      <c r="C3832" t="inlineStr">
        <is>
          <t xml:space="preserve"> [https://jamanetwork.com/journals/jamanetworkopen/fullarticle/2755852](https://jamanetwork.com/journals/jamanetworkopen/fullarticle/2755852) 
&amp;gt;For every 153 patients who receive PPI therapy during winter months, one could be expected to fall ill from an enteric virus, report Ana-Maria Vilcu, MSc, from Sorbonne Université in Paris, and colleagues in an article published online November 27 in JAMA Network Open.
Looks like a rather small data pool but worth keeping an eye on maybe...</t>
        </is>
      </c>
      <c r="D3832" t="n">
        <v>1</v>
      </c>
      <c r="E3832" t="n">
        <v>0</v>
      </c>
      <c r="F3832">
        <f>HYPERLINK("https://www.reddit.com/r/GERD/comments/e378wb/association_between_acute_gastroenteritis_and/")</f>
        <v/>
      </c>
      <c r="G3832" t="inlineStr">
        <is>
          <t>2019-11-28 17:01:29</t>
        </is>
      </c>
      <c r="H3832" t="inlineStr"/>
    </row>
    <row r="3833">
      <c r="A3833" t="inlineStr">
        <is>
          <t>e38f6a</t>
        </is>
      </c>
      <c r="B3833" t="inlineStr">
        <is>
          <t>What percentage of GERD cases turn into cancer?</t>
        </is>
      </c>
      <c r="C3833" t="inlineStr">
        <is>
          <t>Is this a serious threat or more of a "having gerd increases your chances of getting cancer by 0.1%" type deal?</t>
        </is>
      </c>
      <c r="D3833" t="n">
        <v>1</v>
      </c>
      <c r="E3833" t="n">
        <v>38</v>
      </c>
      <c r="F3833">
        <f>HYPERLINK("https://www.reddit.com/r/GERD/comments/e38f6a/what_percentage_of_gerd_cases_turn_into_cancer/")</f>
        <v/>
      </c>
      <c r="G3833" t="inlineStr">
        <is>
          <t>2019-11-28 18:40:43</t>
        </is>
      </c>
      <c r="H3833" t="inlineStr"/>
    </row>
    <row r="3834">
      <c r="A3834" t="inlineStr">
        <is>
          <t>e39bg8</t>
        </is>
      </c>
      <c r="B3834" t="inlineStr">
        <is>
          <t>Constant throat tightness for 3 years, still no formal dx. Diet help.</t>
        </is>
      </c>
      <c r="C3834" t="inlineStr">
        <is>
          <t>I've been to many drs and had everything from a PFT to a manometry ect. Now my primary wants to try a strong PPI to see if it is LPR. I'm on board if it will cure me. Now how do I eat? I have been lurking this board and I have the main points down like no more coffee, carbonation, spicy, garlic, onions, peppers, tomatoes. I'm very out of my element now since I've been a hardcore paleo diet person for the past 4.5 years (lost 80 lbs). Does anyone have any good LPR/GERD recipe sites? Thanks guys!</t>
        </is>
      </c>
      <c r="D3834" t="n">
        <v>1</v>
      </c>
      <c r="E3834" t="n">
        <v>7</v>
      </c>
      <c r="F3834">
        <f>HYPERLINK("https://www.reddit.com/r/GERD/comments/e39bg8/constant_throat_tightness_for_3_years_still_no/")</f>
        <v/>
      </c>
      <c r="G3834" t="inlineStr">
        <is>
          <t>2019-11-28 19:56:36</t>
        </is>
      </c>
      <c r="H3834" t="inlineStr"/>
    </row>
    <row r="3835">
      <c r="A3835" t="inlineStr">
        <is>
          <t>e39ufv</t>
        </is>
      </c>
      <c r="B3835" t="inlineStr">
        <is>
          <t>H pylori</t>
        </is>
      </c>
      <c r="C3835" t="inlineStr">
        <is>
          <t>Anyone else got gerd after h pylori treatment if so how do you manage it?? I’ve been dealing with this for almost 3 years ....</t>
        </is>
      </c>
      <c r="D3835" t="n">
        <v>1</v>
      </c>
      <c r="E3835" t="n">
        <v>2</v>
      </c>
      <c r="F3835">
        <f>HYPERLINK("https://www.reddit.com/r/GERD/comments/e39ufv/h_pylori/")</f>
        <v/>
      </c>
      <c r="G3835" t="inlineStr">
        <is>
          <t>2019-11-28 20:45:11</t>
        </is>
      </c>
      <c r="H3835" t="inlineStr"/>
    </row>
    <row r="3836">
      <c r="A3836" t="inlineStr">
        <is>
          <t>e3bcsa</t>
        </is>
      </c>
      <c r="B3836" t="inlineStr">
        <is>
          <t>Does anyone else find relief with pills that relieve bloating?</t>
        </is>
      </c>
      <c r="C3836" t="inlineStr">
        <is>
          <t>So I’ve been dealing with uncomfortable and at times extremely painful GERD for years now. I’ve almost become accustomed to the pain and know that I just have to ride it out for a few hours until it’s over. 
I was talking to my sister about my issues and she seemed to think a lot of my pain derived from “gas” or bloating. While I do sometimes experience acid rising up, back pain, feelings of throat closing, etc, my main grief seems to be from nausea and bloating. Is that the case for you all too or do you mainly deal with acid and throat issues?
Anyway, my sister (who is lactose intolerant and has IBS) recommended that I try taking gas-x and lactaid. I didn’t have much hope seeing as how tums and other related over the counter heartburn products do not work for me, but within 30 minutes I went from feeling like crying, throwing up, etc to being totally fine. It’s crazy.
It’s been a life saver for me lately and apparently there are no long term side effects of taking these every day. Just thought I’d share for anyone who’s desperate and has similar symptoms to me..</t>
        </is>
      </c>
      <c r="D3836" t="n">
        <v>1</v>
      </c>
      <c r="E3836" t="n">
        <v>6</v>
      </c>
      <c r="F3836">
        <f>HYPERLINK("https://www.reddit.com/r/GERD/comments/e3bcsa/does_anyone_else_find_relief_with_pills_that/")</f>
        <v/>
      </c>
      <c r="G3836" t="inlineStr">
        <is>
          <t>2019-11-28 23:11:12</t>
        </is>
      </c>
      <c r="H3836" t="inlineStr"/>
    </row>
    <row r="3837">
      <c r="A3837" t="inlineStr">
        <is>
          <t>e3bfni</t>
        </is>
      </c>
      <c r="B3837" t="inlineStr">
        <is>
          <t>Any GERD-friendly chewing gums? Mint-free and acidic fruit-free gum are hard to come by.</t>
        </is>
      </c>
      <c r="C3837" t="inlineStr">
        <is>
          <t>I’ve been suggested to try this to create more saliva therefore neutralizing stomach acid. Any brands/specific products that you recommend?</t>
        </is>
      </c>
      <c r="D3837" t="n">
        <v>1</v>
      </c>
      <c r="E3837" t="n">
        <v>13</v>
      </c>
      <c r="F3837">
        <f>HYPERLINK("https://www.reddit.com/r/GERD/comments/e3bfni/any_gerdfriendly_chewing_gums_mintfree_and_acidic/")</f>
        <v/>
      </c>
      <c r="G3837" t="inlineStr">
        <is>
          <t>2019-11-28 23:19:35</t>
        </is>
      </c>
      <c r="H3837" t="inlineStr"/>
    </row>
    <row r="3838">
      <c r="A3838" t="inlineStr">
        <is>
          <t>e3d2we</t>
        </is>
      </c>
      <c r="B3838" t="inlineStr">
        <is>
          <t>Sleep</t>
        </is>
      </c>
      <c r="C3838" t="inlineStr">
        <is>
          <t>Hello, I have mild GERD and whenever I fall asleep sitting up, at about a 45 degree angle, I wake up completely off the pillow and on my side, flat. Any tips for staying upright while sleeping?</t>
        </is>
      </c>
      <c r="D3838" t="n">
        <v>1</v>
      </c>
      <c r="E3838" t="n">
        <v>3</v>
      </c>
      <c r="F3838">
        <f>HYPERLINK("https://www.reddit.com/r/GERD/comments/e3d2we/sleep/")</f>
        <v/>
      </c>
      <c r="G3838" t="inlineStr">
        <is>
          <t>2019-11-29 02:27:18</t>
        </is>
      </c>
      <c r="H3838" t="inlineStr"/>
    </row>
    <row r="3839">
      <c r="A3839" t="inlineStr">
        <is>
          <t>e3djt7</t>
        </is>
      </c>
      <c r="B3839" t="inlineStr">
        <is>
          <t>What sports to play</t>
        </is>
      </c>
      <c r="C3839" t="inlineStr">
        <is>
          <t>Im trying to be more active but am really finding it hard cause of GERD/LPR. I'm a skater, my uncle taught me to roll around on a board before i could walk properly, but now if i try to go out to skate i get 3 tricks in before i feel like im about to fall apart and have to sit on the sidelines and watch my mates. Ive only really done 'extreme' sports, shit like jogging would do my nut in and where i live is 90% hill so long bike rides are out of the question. I'm really stumped on what to do, i changed my diet and do all of what i need to to keep my gerd at bay but nothing helps. I'm also allergic to lansoprazole and omeprazole does nothing.</t>
        </is>
      </c>
      <c r="D3839" t="n">
        <v>1</v>
      </c>
      <c r="E3839" t="n">
        <v>0</v>
      </c>
      <c r="F3839">
        <f>HYPERLINK("https://www.reddit.com/r/GERD/comments/e3djt7/what_sports_to_play/")</f>
        <v/>
      </c>
      <c r="G3839" t="inlineStr">
        <is>
          <t>2019-11-29 03:22:47</t>
        </is>
      </c>
      <c r="H3839" t="inlineStr"/>
    </row>
    <row r="3840">
      <c r="A3840" t="inlineStr">
        <is>
          <t>e3evfq</t>
        </is>
      </c>
      <c r="B3840" t="inlineStr">
        <is>
          <t>Brainfog while on PPIs?</t>
        </is>
      </c>
      <c r="C3840" t="inlineStr">
        <is>
          <t>Ive been on 40mg of pantaprazole for 2 weeks now and Ive noticed I get really bad brain fog. Im having trouble reading and concentrating on things, it feels like a dull numbness in my head that blocks my thought process. Anyone have any similar feelings or experiences, could it be something else instead of the PPIs?</t>
        </is>
      </c>
      <c r="D3840" t="n">
        <v>1</v>
      </c>
      <c r="E3840" t="n">
        <v>4</v>
      </c>
      <c r="F3840">
        <f>HYPERLINK("https://www.reddit.com/r/GERD/comments/e3evfq/brainfog_while_on_ppis/")</f>
        <v/>
      </c>
      <c r="G3840" t="inlineStr">
        <is>
          <t>2019-11-29 05:40:42</t>
        </is>
      </c>
      <c r="H3840" t="inlineStr"/>
    </row>
    <row r="3841">
      <c r="A3841" t="inlineStr">
        <is>
          <t>e3fz1f</t>
        </is>
      </c>
      <c r="B3841" t="inlineStr">
        <is>
          <t>Anyone take probiotics?</t>
        </is>
      </c>
      <c r="C3841" t="inlineStr">
        <is>
          <t>Have they made a real difference in your symptoms?</t>
        </is>
      </c>
      <c r="D3841" t="n">
        <v>1</v>
      </c>
      <c r="E3841" t="n">
        <v>6</v>
      </c>
      <c r="F3841">
        <f>HYPERLINK("https://www.reddit.com/r/GERD/comments/e3fz1f/anyone_take_probiotics/")</f>
        <v/>
      </c>
      <c r="G3841" t="inlineStr">
        <is>
          <t>2019-11-29 07:16:41</t>
        </is>
      </c>
      <c r="H3841" t="inlineStr"/>
    </row>
    <row r="3842">
      <c r="A3842" t="inlineStr">
        <is>
          <t>e3g1ce</t>
        </is>
      </c>
      <c r="B3842" t="inlineStr">
        <is>
          <t>PPI and bone density</t>
        </is>
      </c>
      <c r="C3842" t="inlineStr">
        <is>
          <t>My pharmacist told me today taking a PPI for many years puts one at great risk for bone density issues. Is this true? My GI doc says they are pretty safe. The pharmacist said they are safe but this is definitely a risk since they stop your body from absorbing calcium. Thoughts?</t>
        </is>
      </c>
      <c r="D3842" t="n">
        <v>1</v>
      </c>
      <c r="E3842" t="n">
        <v>16</v>
      </c>
      <c r="F3842">
        <f>HYPERLINK("https://www.reddit.com/r/GERD/comments/e3g1ce/ppi_and_bone_density/")</f>
        <v/>
      </c>
      <c r="G3842" t="inlineStr">
        <is>
          <t>2019-11-29 07:21:50</t>
        </is>
      </c>
      <c r="H3842" t="inlineStr"/>
    </row>
    <row r="3843">
      <c r="A3843" t="inlineStr">
        <is>
          <t>e3i7j4</t>
        </is>
      </c>
      <c r="B3843" t="inlineStr">
        <is>
          <t>Ranitidine coming back?</t>
        </is>
      </c>
      <c r="C3843" t="inlineStr">
        <is>
          <t>I was on ranitidine for years, but since the cancer scare it's been completely taken off the market. I've since tried cimetidine and famotidine, but neither are as effective as the ranitidine.
Is ranitidine coming back once the cancer causing agent is removed?
Anyone know where to get some ranitidine in the mean time?
Thank you.</t>
        </is>
      </c>
      <c r="D3843" t="n">
        <v>1</v>
      </c>
      <c r="E3843" t="n">
        <v>18</v>
      </c>
      <c r="F3843">
        <f>HYPERLINK("https://www.reddit.com/r/GERD/comments/e3i7j4/ranitidine_coming_back/")</f>
        <v/>
      </c>
      <c r="G3843" t="inlineStr">
        <is>
          <t>2019-11-29 10:01:02</t>
        </is>
      </c>
      <c r="H3843" t="inlineStr"/>
    </row>
    <row r="3844">
      <c r="A3844" t="inlineStr">
        <is>
          <t>e3k5pu</t>
        </is>
      </c>
      <c r="B3844" t="inlineStr">
        <is>
          <t>looking confirmation</t>
        </is>
      </c>
      <c r="C3844" t="inlineStr">
        <is>
          <t>for a couple of years now i have been getting bouts of what i think is gerd.  trapped wind style pain usually centre and below of my rib cage,  wind / bruise feeling pain up the left hand side of my chest (and occasionally right side) and arm ache and hand.  I have been to see my dr several times (who has never got to the bottom of it). 
i  have had enough ecg's to last a life time thanks to trips to A@E (as well as the heart stress test).  I don't think this is heart related as i run a lot and never get this type of pain or uncomfortableness when doing so.
Seems to be worse when sitting or lying down ( i do an office job).  
At the moment im going through another bout which has been coming on since the Sunday and its getting steadily worse.  I am taking omniprazole twice daily (as i have had some left from my last bout)  but know this can take a few days to take affect.)  is this similar to others symptoms?  if so what do you find helps.</t>
        </is>
      </c>
      <c r="D3844" t="n">
        <v>1</v>
      </c>
      <c r="E3844" t="n">
        <v>7</v>
      </c>
      <c r="F3844">
        <f>HYPERLINK("https://www.reddit.com/r/GERD/comments/e3k5pu/looking_confirmation/")</f>
        <v/>
      </c>
      <c r="G3844" t="inlineStr">
        <is>
          <t>2019-11-29 12:13:35</t>
        </is>
      </c>
      <c r="H3844" t="inlineStr"/>
    </row>
    <row r="3845">
      <c r="A3845" t="inlineStr">
        <is>
          <t>e3kmzj</t>
        </is>
      </c>
      <c r="B3845" t="inlineStr">
        <is>
          <t>Can I ever expect full or near-full “remission” from LPR/GERD if I follow a strict Acid Watcher Diet for at least 1.5-2 months?</t>
        </is>
      </c>
      <c r="C3845" t="inlineStr">
        <is>
          <t>I have moderate LPR/GERD, although the GERD is hardly noticeable to me at this point because the pantoprazole 40mg twice a day is helping a lot with it - but does nothing for LPR. I haven’t gotten an EGD yet to know if I’m just numb to my esophageal reflux, but since taking the pantoprazole, I’ve noticed MUCH less regurgitation, so I think it’s working... I’ve already been watching my diet very closely to reduce acidic foods for LPR. Can I expect to ever eat the foods I used to? This condition is so depressing, lol. I want pizza, tomato pasta, chocolate, and fried chicken again!!!
I’ve been on the acid Watcher Diet by Dr. Aviv for a few days now and it’s been up and down - but I cheated a little for thanksgiving. Now I’m losing my voice but that started before thanksgiving... probably a virus.
Can I expect remission, ever?? 😭</t>
        </is>
      </c>
      <c r="D3845" t="n">
        <v>1</v>
      </c>
      <c r="E3845" t="n">
        <v>35</v>
      </c>
      <c r="F3845">
        <f>HYPERLINK("https://www.reddit.com/r/GERD/comments/e3kmzj/can_i_ever_expect_full_or_nearfull_remission_from/")</f>
        <v/>
      </c>
      <c r="G3845" t="inlineStr">
        <is>
          <t>2019-11-29 12:46:46</t>
        </is>
      </c>
      <c r="H3845" t="inlineStr"/>
    </row>
    <row r="3846">
      <c r="A3846" t="inlineStr">
        <is>
          <t>e3l0et</t>
        </is>
      </c>
      <c r="B3846" t="inlineStr">
        <is>
          <t>Chips Alternative</t>
        </is>
      </c>
      <c r="C3846" t="inlineStr">
        <is>
          <t>I miss chips so much!!! Anyone have any chip alternative? Just don’t say cucumbers or carrots for crunch. I’ve already tried that 😫</t>
        </is>
      </c>
      <c r="D3846" t="n">
        <v>1</v>
      </c>
      <c r="E3846" t="n">
        <v>17</v>
      </c>
      <c r="F3846">
        <f>HYPERLINK("https://www.reddit.com/r/GERD/comments/e3l0et/chips_alternative/")</f>
        <v/>
      </c>
      <c r="G3846" t="inlineStr">
        <is>
          <t>2019-11-29 13:12:18</t>
        </is>
      </c>
      <c r="H3846" t="inlineStr"/>
    </row>
    <row r="3847">
      <c r="A3847" t="inlineStr">
        <is>
          <t>e3ne35</t>
        </is>
      </c>
      <c r="B3847" t="inlineStr">
        <is>
          <t>TIMING OF PPI</t>
        </is>
      </c>
      <c r="C3847" t="inlineStr">
        <is>
          <t>My doctor prescribed me a PPI. She told me to take it 15 mins before a meal. But since I've had my fair share of knowledge and I read the information on the leaflet, both suggest taking it an hour before a meal and that's what I've been doing. But I've been taking it for 5 days and haven't noticed a significant amount of difference. I read somewhere that timing is everything. Not too long before a meal or after. Could it be that I'm taking it way before I have my meal?</t>
        </is>
      </c>
      <c r="D3847" t="n">
        <v>1</v>
      </c>
      <c r="E3847" t="n">
        <v>5</v>
      </c>
      <c r="F3847">
        <f>HYPERLINK("https://www.reddit.com/r/GERD/comments/e3ne35/timing_of_ppi/")</f>
        <v/>
      </c>
      <c r="G3847" t="inlineStr">
        <is>
          <t>2019-11-29 15:54:20</t>
        </is>
      </c>
      <c r="H3847" t="inlineStr"/>
    </row>
    <row r="3848">
      <c r="A3848" t="inlineStr">
        <is>
          <t>e3opoz</t>
        </is>
      </c>
      <c r="B3848" t="inlineStr">
        <is>
          <t>Can you have acid reflux or GERD with clear mucus?</t>
        </is>
      </c>
      <c r="C3848" t="inlineStr">
        <is>
          <t>I've been having a sore throat and been coughing for a week.  My sore throat is on the lower half of my neck. The mucus I have been coughing up is 95% clear with maybe some white tho it is infrequently. I know other conditions have white mucus as well and I herd that GERD is one of them. SO I wanted to know if any people with acid reflux have had clear mucus.</t>
        </is>
      </c>
      <c r="D3848" t="n">
        <v>1</v>
      </c>
      <c r="E3848" t="n">
        <v>4</v>
      </c>
      <c r="F3848">
        <f>HYPERLINK("https://www.reddit.com/r/GERD/comments/e3opoz/can_you_have_acid_reflux_or_gerd_with_clear_mucus/")</f>
        <v/>
      </c>
      <c r="G3848" t="inlineStr">
        <is>
          <t>2019-11-29 17:40:28</t>
        </is>
      </c>
      <c r="H3848" t="inlineStr"/>
    </row>
    <row r="3849">
      <c r="A3849" t="inlineStr">
        <is>
          <t>e3t023</t>
        </is>
      </c>
      <c r="B3849" t="inlineStr">
        <is>
          <t>For those who’ve found meditation has helped, what kind/how?</t>
        </is>
      </c>
      <c r="C3849" t="inlineStr">
        <is>
          <t>I listen to relaxing music every night for an hour or two while chilling out in bed. I always thought of that as a sort of destressing period but it’s truly done nothing to help me where this is concerned. A few of the songs have even been proven to physically reduce stress (lower blood pressure, increase sleepiness, etc) and nothing.
I know this isn’t quite meditation, so I’m willing to give it a go. What forms have you found helpful?</t>
        </is>
      </c>
      <c r="D3849" t="n">
        <v>1</v>
      </c>
      <c r="E3849" t="n">
        <v>0</v>
      </c>
      <c r="F3849">
        <f>HYPERLINK("https://www.reddit.com/r/GERD/comments/e3t023/for_those_whove_found_meditation_has_helped_what/")</f>
        <v/>
      </c>
      <c r="G3849" t="inlineStr">
        <is>
          <t>2019-11-30 00:14:32</t>
        </is>
      </c>
      <c r="H3849" t="inlineStr"/>
    </row>
    <row r="3850">
      <c r="A3850" t="inlineStr">
        <is>
          <t>e3t0co</t>
        </is>
      </c>
      <c r="B3850" t="inlineStr">
        <is>
          <t>Acid reflux diet and tips (my own experience so far)</t>
        </is>
      </c>
      <c r="C3850" t="inlineStr">
        <is>
          <t>Okay. My situation is I am underweight and need to gain weight, where as some people are standard overweight and in need of dropping pounds.
My reflux is result of a food poisoning episode. Have had reflux since this day I tried to strain canned meat with water, but ended up contaminating the meat with said water. That was 3 months ago.
What I am doing so far:
First off, ignore all the guidelines and buzz that say eat 4-5-6-8 meals a day. These were obviously written by rich people, or people who have personal chefs; ex: not actual everyman people who work 9-5 jobs or have crazy schedules. Like me, I am moving around all day and can't stop and cook all these meals or snack.
Here are my breakfast ideas:
- candy bars; i know people will scoff and say junkfood, but reflux for a lot of people is more about carbs causing inflammation or eating too big a meal. Here is the thing, though. Candy bars are smaller, compact. Most candy bars are also made with fewer and healthier ingredients than most bread or pasta. Maybe not pasta, but there is less sugar content in two candy bars than a serving of rice or pasta, but twice the calories.
From my own experience, there are relatively healthy candy bars you can safely eat every day. These are minimally processed.
PAYDAY, Reeses peanut butter cups or chocolate lovers or white chocolate &amp;gt; I was eating these. These are made with peanuts. However, Reeses may be easier on the stomach due to not having physical peanuts around the bar.
Hershey's Symphony chocolate bars. Not dark chocolate, but the almonds may upset people's stomach.
Milk chocolate candy bars. Key here is milk chocolate, the caffeine content in milk chocolate is trivial and shouldn't trigger your gerd. The other Candy bars I mentioned also don't have chocolate, but are more caramel based.
So, the ingredients to avoid are anything caffeinated(unless it's milk chocolate or it says less than 2% cocoa) or cinnamon; watch the hell out for cinnamon. Companies are starting to put this in most pastries and cake due to the ever growing obesity and diabetes crisis. Cinnamon increases heart rate, supposed to aid in insulin resistance and weight loss.
Yes, you can have cake or cookies or donuts. Just watch out for the ingredients I mentioned. Also, wheats and grains or gluten. These are bad for reflux, and you won't just find them in bread or pasta. They are even in a lot of candy bars or donuts, but some companies make their pastries without all this junk. If you see "wheat flour" or "enriched wheat flour" avoid.
- 2/4 cup of rice with two cheese slices (the fat grams should equal 14 or more). This should be filling, but not too large in size to upset the stomach/gerd much. it should have decent calories and carbs and protein; 8g protein, 25g carbs, 280 calories. add some extra virgin olive oil(look at serving size, add 8 or 16 g of fat for calories).
- eggs
i found i can eat a lot of these without much or any reflux. add cheese or oil for calories. could maybe have one or two with the rice.
Not sure if many people here can eat rice. I using black rice, not white or brown.
- bananas with eggs. Fiber content of bananas are filling. you could add oil or butter to the eggs to have with this.
As I mentioned above. Extra virgin olive oil is great for gerd/reflux. It should help with inflammation.
Not breakfast related:
So, another thing about cakes and stuff. Very important to avoid anything with nuts. I found I could handle pumpkin pie, so long as without cinnamon, but the pecan pie triggered my reflux me up. nut fibers are more filling, so they add to the fat content of the pie slice itself. So, any slice that says 15g of fat, or more likely higher once you combine the veg oil and the nut fat content.
I suggested the candy bars I could find in my stores that don't have the high fructose corn syrup or too many weird ingredients. If anyone else has any, feel free to suggest.
Also, avoid potatoes. If you want potatoes, eat the sweet potatoes. They have alkaline and are actually good for the stomach.
If I think of any lunch ideas, I'll post. But i've found that i can handle a bigger lunch than breakfast. so i am not eating dinner.</t>
        </is>
      </c>
      <c r="D3850" t="n">
        <v>1</v>
      </c>
      <c r="E3850" t="n">
        <v>2</v>
      </c>
      <c r="F3850">
        <f>HYPERLINK("https://www.reddit.com/r/GERD/comments/e3t0co/acid_reflux_diet_and_tips_my_own_experience_so_far/")</f>
        <v/>
      </c>
      <c r="G3850" t="inlineStr">
        <is>
          <t>2019-11-30 00:15:31</t>
        </is>
      </c>
      <c r="H3850" t="inlineStr"/>
    </row>
    <row r="3851">
      <c r="A3851" t="inlineStr">
        <is>
          <t>e3t0d5</t>
        </is>
      </c>
      <c r="B3851" t="inlineStr">
        <is>
          <t>Loss of sleep</t>
        </is>
      </c>
      <c r="C3851" t="inlineStr">
        <is>
          <t>Woke up at 2am with heartburn after sleeping elevated, taking meds, and drinking milk (the only thing that ever helps me). Still in pain and cant fall asleep. *sigh*. Sometimes I'll have heartburn for hours and hours. Cant enjoy the foods I eat ever and cant sleep properly sometimes either. I know I'm not alone on this one.</t>
        </is>
      </c>
      <c r="D3851" t="n">
        <v>1</v>
      </c>
      <c r="E3851" t="n">
        <v>5</v>
      </c>
      <c r="F3851">
        <f>HYPERLINK("https://www.reddit.com/r/GERD/comments/e3t0d5/loss_of_sleep/")</f>
        <v/>
      </c>
      <c r="G3851" t="inlineStr">
        <is>
          <t>2019-11-30 00:15:33</t>
        </is>
      </c>
      <c r="H3851" t="inlineStr"/>
    </row>
    <row r="3852">
      <c r="A3852" t="inlineStr">
        <is>
          <t>e3telm</t>
        </is>
      </c>
      <c r="B3852" t="inlineStr">
        <is>
          <t>Avoid PPI's and drugs</t>
        </is>
      </c>
      <c r="C3852" t="inlineStr">
        <is>
          <t>https://www.youtube.com/watch?v=ORY1cUB_k6M
Old video, but you don't want the drugs. They can cause pneumonia, and can prevent the body from absorbing minerals; you can develop ibs, depression, hip fracture, enema, fatigue, nerve damage, or dementia. 
2:35
Anything that actually blocks acid is bad, and you can actually develop bad bacteria in your stomach taking these drugs.
5:30
he provides some natural remedies to try.</t>
        </is>
      </c>
      <c r="D3852" t="n">
        <v>1</v>
      </c>
      <c r="E3852" t="n">
        <v>2</v>
      </c>
      <c r="F3852">
        <f>HYPERLINK("https://www.reddit.com/r/GERD/comments/e3telm/avoid_ppis_and_drugs/")</f>
        <v/>
      </c>
      <c r="G3852" t="inlineStr">
        <is>
          <t>2019-11-30 00:53:26</t>
        </is>
      </c>
      <c r="H3852" t="inlineStr"/>
    </row>
    <row r="3853">
      <c r="A3853" t="inlineStr">
        <is>
          <t>e3trzi</t>
        </is>
      </c>
      <c r="B3853" t="inlineStr">
        <is>
          <t>Pains in my throat?!?</t>
        </is>
      </c>
      <c r="C3853" t="inlineStr">
        <is>
          <t>So I don’t actually have gerd. It was originally thought I had gastritis. I found out via endoscopy a couple weeks ago. My stomach and throat are healthy. Currently half way weaning myself off omeprezol. 
When I swallowed a big tablet in the past, noticed that I get pains in my throat like a shooting pain that started from my chest to right the back of my throat. Pretty painful, would feel like the tablet would get stuck. This was while I was on omeprezol 20mg. 
Last night I took a tablet of Ibuprofen, which I’ve taken before without issues, I took it with only a little water and was a hard tablet not a capsule. I started getting the throat pain super badly. The shooting pains killed me. They hurt so bad! My entire throat felt like it was on fire! I was getting chest pains too and was finding it hard to breath and swallow. It was so painful!!!!! I tried drinking a little water which helped and ig eventually went away after like half an hour. But I’ve woken up thus morning and still getting minor shooting pains. What’s up with me? 😂</t>
        </is>
      </c>
      <c r="D3853" t="n">
        <v>1</v>
      </c>
      <c r="E3853" t="n">
        <v>0</v>
      </c>
      <c r="F3853">
        <f>HYPERLINK("https://www.reddit.com/r/GERD/comments/e3trzi/pains_in_my_throat/")</f>
        <v/>
      </c>
      <c r="G3853" t="inlineStr">
        <is>
          <t>2019-11-30 01:31:28</t>
        </is>
      </c>
      <c r="H3853" t="inlineStr"/>
    </row>
    <row r="3854">
      <c r="A3854" t="inlineStr">
        <is>
          <t>e3ub3g</t>
        </is>
      </c>
      <c r="B3854" t="inlineStr">
        <is>
          <t>Reflux friendly weight gain shakes/smoothies?</t>
        </is>
      </c>
      <c r="C3854" t="inlineStr">
        <is>
          <t>Lost too much weight over past few months. Anyone have recipes or resources for healthy shakes or smoothies to help gain weight. Obviously trying to avoid trigger foods and acidic ingredients.
Thanks!</t>
        </is>
      </c>
      <c r="D3854" t="n">
        <v>1</v>
      </c>
      <c r="E3854" t="n">
        <v>8</v>
      </c>
      <c r="F3854">
        <f>HYPERLINK("https://www.reddit.com/r/GERD/comments/e3ub3g/reflux_friendly_weight_gain_shakessmoothies/")</f>
        <v/>
      </c>
      <c r="G3854" t="inlineStr">
        <is>
          <t>2019-11-30 02:21:23</t>
        </is>
      </c>
      <c r="H3854" t="inlineStr"/>
    </row>
    <row r="3855">
      <c r="A3855" t="inlineStr">
        <is>
          <t>e3vxbn</t>
        </is>
      </c>
      <c r="B3855" t="inlineStr">
        <is>
          <t>Can you push your sternum to amplify pain?</t>
        </is>
      </c>
      <c r="C3855" t="inlineStr">
        <is>
          <t>Dealing with a bit of esophagitis. Is it normal to be able to push on your chest and find the pain? I feel like it should be deeper and therefore not possible to push on the sensitive area.</t>
        </is>
      </c>
      <c r="D3855" t="n">
        <v>1</v>
      </c>
      <c r="E3855" t="n">
        <v>2</v>
      </c>
      <c r="F3855">
        <f>HYPERLINK("https://www.reddit.com/r/GERD/comments/e3vxbn/can_you_push_your_sternum_to_amplify_pain/")</f>
        <v/>
      </c>
      <c r="G3855" t="inlineStr">
        <is>
          <t>2019-11-30 04:59:13</t>
        </is>
      </c>
      <c r="H3855" t="inlineStr"/>
    </row>
    <row r="3856">
      <c r="A3856" t="inlineStr">
        <is>
          <t>e3wsbu</t>
        </is>
      </c>
      <c r="B3856" t="inlineStr">
        <is>
          <t>The Developmental Impacts on Children with Chronically Ill Parents</t>
        </is>
      </c>
      <c r="C3856" t="inlineStr">
        <is>
          <t>The purpose of this sample survey is to conduct research on the developmental impacts of chronically ill parents on their children. The following survey is completely anonymous and the information collected will be used for research purposes only.
The survey should only take 5-10 minutes, and your responses are completely anonymous.
If you have any questions about the survey, please email at; victoria.thacker@ocsbstudent.ca
Your participation is much appreciated.
[The Developmental Impacts on Children with Chronically Ill Parents](https://forms.gle/fwJLLRePfxy4g8KP8)</t>
        </is>
      </c>
      <c r="D3856" t="n">
        <v>1</v>
      </c>
      <c r="E3856" t="n">
        <v>0</v>
      </c>
      <c r="F3856">
        <f>HYPERLINK("https://www.reddit.com/r/GERD/comments/e3wsbu/the_developmental_impacts_on_children_with/")</f>
        <v/>
      </c>
      <c r="G3856" t="inlineStr">
        <is>
          <t>2019-11-30 06:06:36</t>
        </is>
      </c>
      <c r="H3856" t="inlineStr"/>
    </row>
    <row r="3857">
      <c r="A3857" t="inlineStr">
        <is>
          <t>e40vlv</t>
        </is>
      </c>
      <c r="B3857" t="inlineStr">
        <is>
          <t>Can LPR/GERD cause enlarged lymph nodes?</t>
        </is>
      </c>
      <c r="C3857" t="inlineStr">
        <is>
          <t>I recently noticed this ball in the left side of my neck where my shoulder and neck meet. It's rubbery and moves around when I touch it. During Thanksgiving I ate pretty terrible tbh. I've had a sore throat for 3 days now. I'm keeping an eye on it for now and getting it checked out by the Dr if it stays the same. Is there any correlation between enlarged lymph nodes and lpr/gerd?</t>
        </is>
      </c>
      <c r="D3857" t="n">
        <v>1</v>
      </c>
      <c r="E3857" t="n">
        <v>15</v>
      </c>
      <c r="F3857">
        <f>HYPERLINK("https://www.reddit.com/r/GERD/comments/e40vlv/can_lprgerd_cause_enlarged_lymph_nodes/")</f>
        <v/>
      </c>
      <c r="G3857" t="inlineStr">
        <is>
          <t>2019-11-30 10:19:29</t>
        </is>
      </c>
      <c r="H3857" t="inlineStr"/>
    </row>
    <row r="3858">
      <c r="A3858" t="inlineStr">
        <is>
          <t>e42cg9</t>
        </is>
      </c>
      <c r="B3858" t="inlineStr">
        <is>
          <t>Fish oil supps?</t>
        </is>
      </c>
      <c r="C3858" t="inlineStr">
        <is>
          <t>Wondering if fish oil has been a trigger or helped in any way... I want to start taking for my general health but I’m still recovering from a flare up so I don’t want to risk it... lol any thoughts?</t>
        </is>
      </c>
      <c r="D3858" t="n">
        <v>1</v>
      </c>
      <c r="E3858" t="n">
        <v>3</v>
      </c>
      <c r="F3858">
        <f>HYPERLINK("https://www.reddit.com/r/GERD/comments/e42cg9/fish_oil_supps/")</f>
        <v/>
      </c>
      <c r="G3858" t="inlineStr">
        <is>
          <t>2019-11-30 11:54:55</t>
        </is>
      </c>
      <c r="H3858" t="inlineStr"/>
    </row>
    <row r="3859">
      <c r="A3859" t="inlineStr">
        <is>
          <t>e42cgq</t>
        </is>
      </c>
      <c r="B3859" t="inlineStr">
        <is>
          <t>Recommendations on beverages?</t>
        </is>
      </c>
      <c r="C3859" t="inlineStr">
        <is>
          <t>Noticing the older I get the less I can drink without breakthrough gerd symptoms for both alcohol and even cold brew coffee. Wondering if anyone has alcoholic drink and cold brew brand suggestions that they find to be the least irritating? Thanks!</t>
        </is>
      </c>
      <c r="D3859" t="n">
        <v>1</v>
      </c>
      <c r="E3859" t="n">
        <v>2</v>
      </c>
      <c r="F3859">
        <f>HYPERLINK("https://www.reddit.com/r/GERD/comments/e42cgq/recommendations_on_beverages/")</f>
        <v/>
      </c>
      <c r="G3859" t="inlineStr">
        <is>
          <t>2019-11-30 11:54:57</t>
        </is>
      </c>
      <c r="H3859" t="inlineStr"/>
    </row>
    <row r="3860">
      <c r="A3860" t="inlineStr">
        <is>
          <t>e44bzv</t>
        </is>
      </c>
      <c r="B3860" t="inlineStr">
        <is>
          <t>Feeling Nauseous after switching to Famotidine</t>
        </is>
      </c>
      <c r="C3860" t="inlineStr">
        <is>
          <t>Hi everyone,
I have been having GERD symptoms since late September. Initially on Omeprazole 20 mg once a day now DR. has switched to Famotidine 20 mg twice a day (due to an upcoming endoscopy). I have been having nausea since last night. Has anyone had this?</t>
        </is>
      </c>
      <c r="D3860" t="n">
        <v>1</v>
      </c>
      <c r="E3860" t="n">
        <v>0</v>
      </c>
      <c r="F3860">
        <f>HYPERLINK("https://www.reddit.com/r/GERD/comments/e44bzv/feeling_nauseous_after_switching_to_famotidine/")</f>
        <v/>
      </c>
      <c r="G3860" t="inlineStr">
        <is>
          <t>2019-11-30 14:06:16</t>
        </is>
      </c>
      <c r="H3860" t="inlineStr"/>
    </row>
    <row r="3861">
      <c r="A3861" t="inlineStr">
        <is>
          <t>e47ogl</t>
        </is>
      </c>
      <c r="B3861" t="inlineStr">
        <is>
          <t>Does this sound like GERD?</t>
        </is>
      </c>
      <c r="C3861" t="inlineStr">
        <is>
          <t>hey all, Im having a rough time right now.
I keep getting this feeling that like, some kind of liquid is coming up my throat, and I haven't vomited and I don't feel sick, its mainly just after eating and when I'm lying down or not sat upright enough. I've also been feeling really nauseatious the last few days.</t>
        </is>
      </c>
      <c r="D3861" t="n">
        <v>1</v>
      </c>
      <c r="E3861" t="n">
        <v>16</v>
      </c>
      <c r="F3861">
        <f>HYPERLINK("https://www.reddit.com/r/GERD/comments/e47ogl/does_this_sound_like_gerd/")</f>
        <v/>
      </c>
      <c r="G3861" t="inlineStr">
        <is>
          <t>2019-11-30 17:42:40</t>
        </is>
      </c>
      <c r="H3861" t="inlineStr"/>
    </row>
    <row r="3862">
      <c r="A3862" t="inlineStr">
        <is>
          <t>e47zer</t>
        </is>
      </c>
      <c r="B3862" t="inlineStr">
        <is>
          <t>Suddenly got this, looking for advice on where to go from here.</t>
        </is>
      </c>
      <c r="C3862" t="inlineStr">
        <is>
          <t>Recently started dealing with acid reflux and I'm wondering -
1. Is this likely to be permanent?
2. Should I see a doctor again? 
3. What else can I try?
I read about what can cause this and I have apparently basically been trying to get this since I combine coffee, ~heavy drinking, carbonated beverages, large meals that are heavy and/or spicy on most weekends plus drinking and coffee on weekdays. And then I go home and sleep right after... sometimes with one last drink before climbing in bed... which apparently is bad. 
I had a particularly heavy week of this and suddenly started getting heartburn and bloated feeling with lots of burping. It would last 2-4 hours and made me quite miserable. Tums didn't work or at least not enough to really mitigate it noticeable. I tried removing things from my diet - my #1 suspect was coffee, then alcohol, but even with neither spicy/acidic foods would just murder me.
I am not overweight and have no (other) health issues, have had no issues with this before. But I have gradually increased the behaviors that cause this over time and I also considered that not getting much sleep isn't allowed my body to rest and maybe this LES muscle just got worn out or overloaded.
So I did some interwebs research on what to do, and the approach was taking omeprazole and went very low acid, no alcohol or coffee for a couple weeks. Also angled my bed as recommended. Tried to get more sleep. Symptoms went away aside from occasionally minor ones compared to what I started with if I strayed a little bit from my diet. But... I can tell it's still kinda here and so am now kind of worried about it being a permanent thing since I still haven't recovered yet.</t>
        </is>
      </c>
      <c r="D3862" t="n">
        <v>1</v>
      </c>
      <c r="E3862" t="n">
        <v>5</v>
      </c>
      <c r="F3862">
        <f>HYPERLINK("https://www.reddit.com/r/GERD/comments/e47zer/suddenly_got_this_looking_for_advice_on_where_to/")</f>
        <v/>
      </c>
      <c r="G3862" t="inlineStr">
        <is>
          <t>2019-11-30 18:00:37</t>
        </is>
      </c>
      <c r="H3862" t="inlineStr"/>
    </row>
    <row r="3863">
      <c r="A3863" t="inlineStr">
        <is>
          <t>e48ubg</t>
        </is>
      </c>
      <c r="B3863" t="inlineStr">
        <is>
          <t>Has anyone done The Acid Watcher Diet</t>
        </is>
      </c>
      <c r="C3863" t="inlineStr">
        <is>
          <t>I am in the process of reading this book and I am wondering if anyone here has done it. If so, did you stop taking acid reflux medications?</t>
        </is>
      </c>
      <c r="D3863" t="n">
        <v>1</v>
      </c>
      <c r="E3863" t="n">
        <v>18</v>
      </c>
      <c r="F3863">
        <f>HYPERLINK("https://www.reddit.com/r/GERD/comments/e48ubg/has_anyone_done_the_acid_watcher_diet/")</f>
        <v/>
      </c>
      <c r="G3863" t="inlineStr">
        <is>
          <t>2019-11-30 18:51:46</t>
        </is>
      </c>
      <c r="H3863" t="inlineStr"/>
    </row>
    <row r="3864">
      <c r="A3864" t="inlineStr">
        <is>
          <t>e499bn</t>
        </is>
      </c>
      <c r="B3864" t="inlineStr">
        <is>
          <t>Have LPR, and I never realized how much acid was in my diet</t>
        </is>
      </c>
      <c r="C3864" t="inlineStr">
        <is>
          <t>I was having issues breathing for a few months and I'm pretty sure it was due to LPR, and while my breathing isn't 100% back to normal, I no longer struggle to breathe simply from reducing the amount of acid I was consuming.
I purchased Dr. Koufman's Acid Reflux Diet book and while I didn't commit yet to a high-alkaline diet, the book did make me stop and consider my diet. I can't believe how much acid I was eating. Aside from eating things like onions and jalapenos on a pretty regular basis, I drank water with Mio constantly (Mio has citric acid in it), I'm talking like 6-7 cups a day. My fiber supplements and multi-vitamins are the chewable gummy kind and those both contained citric acid. I started eating more fruit like apples, which are also acidic and I drink coffee and tea every day.
So I didn't make a huge change, I just laid off the onions, apples, peppers and coffee/tea, stopped the supplements immediately and switched to plain water instead of water and Mio. Just for like two weeks.
Within a couple days, I noticed an improvement in my breathing. Before, I might have made 10 attempts to take a deep, satisfying breath before actually getting one, only to feel the need to take another one immediately. Now, I can get that big deep breath on the first try just about every single time. The only time I had trouble was when I ate a little too much really dense food (like mashed potatoes), and that only happened once.
My other symptoms seem to still be there, but the breathing was the most troubling thing I was feeling. I guess I just wanted to share this to let folks with LPR know that symptom reduction can happen just a little bit by doing something as minor as cutting out a couple foods. Obviously if you have multiple symptoms or severe ones, you'd want to follow a stricter diet, but just cutting back on acidic foods is a good start.
I also noticed my symptoms improved with Vitamin D3 supplements and I think the Pepcid I take every night before bed might be helping too.</t>
        </is>
      </c>
      <c r="D3864" t="n">
        <v>1</v>
      </c>
      <c r="E3864" t="n">
        <v>8</v>
      </c>
      <c r="F3864">
        <f>HYPERLINK("https://www.reddit.com/r/GERD/comments/e499bn/have_lpr_and_i_never_realized_how_much_acid_was/")</f>
        <v/>
      </c>
      <c r="G3864" t="inlineStr">
        <is>
          <t>2019-11-30 19:16:35</t>
        </is>
      </c>
      <c r="H3864" t="inlineStr"/>
    </row>
    <row r="3865">
      <c r="A3865" t="inlineStr">
        <is>
          <t>e4d8wr</t>
        </is>
      </c>
      <c r="B3865" t="inlineStr">
        <is>
          <t>Tips on how to get gas out (burping)</t>
        </is>
      </c>
      <c r="C3865" t="inlineStr">
        <is>
          <t>I’m just tired of feeling like air bubbles are in the back of my throat. I also have the full feeling in my chest a lot. Tonight it happened after a salad and it’s preventing me from getting some much needed rest. 
What do you do when you need to get some burps out?</t>
        </is>
      </c>
      <c r="D3865" t="n">
        <v>1</v>
      </c>
      <c r="E3865" t="n">
        <v>3</v>
      </c>
      <c r="F3865">
        <f>HYPERLINK("https://www.reddit.com/r/GERD/comments/e4d8wr/tips_on_how_to_get_gas_out_burping/")</f>
        <v/>
      </c>
      <c r="G3865" t="inlineStr">
        <is>
          <t>2019-11-30 23:33:59</t>
        </is>
      </c>
      <c r="H3865" t="inlineStr"/>
    </row>
    <row r="3866">
      <c r="A3866" t="inlineStr">
        <is>
          <t>e4fxzj</t>
        </is>
      </c>
      <c r="B3866" t="inlineStr">
        <is>
          <t>Still uncertain if my cough and heart palpations are caused by GERD.</t>
        </is>
      </c>
      <c r="C3866" t="inlineStr">
        <is>
          <t>Had an endoscopy yesterday to check for conformation of reflux.  The doctor found i have a very swollen esophagus , a small hernia , as well as polyps in my throat/esophagus .   I got this done in  mexico and because something's got  lost in translation, I wasn't sure if he diagnosed me with GERD but in any case I was in bad shape and in need of treatment . I was prescribed a few things and went on my way.   I'm not sure if anyone has experienced cough and bronchitis type symtomps with their reflux but I'm curious as to if that is normal ? And if it is,  does anyone else recommend I get some cough medicine or seek antibiotics from a regular doctor. I've had these bronchitis type symptoms for over a month now and I'm really hoping that initiating my reflux treatment will help alleviate associated symtoms such as bronchitis.  If I'm taking this  approach all wrong,  does someone recommend I seek other possibly underlying problems and see a pulmonologist or ent ?  I'm new to all of this and would like some advice from anyone who has experienced anything similar</t>
        </is>
      </c>
      <c r="D3866" t="n">
        <v>1</v>
      </c>
      <c r="E3866" t="n">
        <v>3</v>
      </c>
      <c r="F3866">
        <f>HYPERLINK("https://www.reddit.com/r/GERD/comments/e4fxzj/still_uncertain_if_my_cough_and_heart_palpations/")</f>
        <v/>
      </c>
      <c r="G3866" t="inlineStr">
        <is>
          <t>2019-12-01 03:05:11</t>
        </is>
      </c>
      <c r="H3866" t="inlineStr"/>
    </row>
    <row r="3867">
      <c r="A3867" t="inlineStr">
        <is>
          <t>e4g0un</t>
        </is>
      </c>
      <c r="B3867" t="inlineStr">
        <is>
          <t>New to this and I need advice to help me ease through this anxiety .</t>
        </is>
      </c>
      <c r="C3867" t="inlineStr">
        <is>
          <t>After a recent endoscopy , I was told I have a very swollen esophagus , a small hernia , as well as polyps in my throat/esophagus . Outside of the usually diagnoses ,  I also have daily nasal congestion  and typical bronchitis symptoms that I have dealt with for over a month and a half now.  It's taking a toll on my daily activities and I was wondering if anyone can give me advice or direct me  to some information regarding GERd or LPR, and allergy or lung type symptoms. I'm new to this and I'm not sure what to think of all of this.</t>
        </is>
      </c>
      <c r="D3867" t="n">
        <v>1</v>
      </c>
      <c r="E3867" t="n">
        <v>5</v>
      </c>
      <c r="F3867">
        <f>HYPERLINK("https://www.reddit.com/r/GERD/comments/e4g0un/new_to_this_and_i_need_advice_to_help_me_ease/")</f>
        <v/>
      </c>
      <c r="G3867" t="inlineStr">
        <is>
          <t>2019-12-01 03:14:16</t>
        </is>
      </c>
      <c r="H3867" t="inlineStr"/>
    </row>
    <row r="3868">
      <c r="A3868" t="inlineStr">
        <is>
          <t>e4ghv0</t>
        </is>
      </c>
      <c r="B3868" t="inlineStr">
        <is>
          <t>Suspected LPR, what can I do?</t>
        </is>
      </c>
      <c r="C3868" t="inlineStr">
        <is>
          <t>First, I know I shouldn't self-diagnose. But I went to an ENT and he told me everything was fine (looked through my nose with a camera). But the symptoms just keep getting worse:
\-Hoarse voice (especially bad)
\-Constant throat-clearing
\-Pain and discomfort on left side of chest and left shoulder blade
\-But NO typical burning which usually comes with acid reflux, thats why I suspect LPR
I have IBS-D which is largely under control, so the presence of reflux wouldn't surprise me. **What tests can they do to determine if it's LPR or LSN or something related?** I also have allergies but these symptoms are not alleviated with allergy medications or neti pot use.</t>
        </is>
      </c>
      <c r="D3868" t="n">
        <v>1</v>
      </c>
      <c r="E3868" t="n">
        <v>2</v>
      </c>
      <c r="F3868">
        <f>HYPERLINK("https://www.reddit.com/r/GERD/comments/e4ghv0/suspected_lpr_what_can_i_do/")</f>
        <v/>
      </c>
      <c r="G3868" t="inlineStr">
        <is>
          <t>2019-12-01 03:51:48</t>
        </is>
      </c>
      <c r="H3868" t="inlineStr"/>
    </row>
    <row r="3869">
      <c r="A3869" t="inlineStr">
        <is>
          <t>e4j8yy</t>
        </is>
      </c>
      <c r="B3869" t="inlineStr">
        <is>
          <t>How often do you let yourself enjoy the food you shouldn’t eat?</t>
        </is>
      </c>
      <c r="C3869" t="inlineStr">
        <is>
          <t>So... I read more about this acid reflux diet and saw that I can eat whole grain spaghetti. I like them and luckily I even had them today, so I started preparing my lunch and realised that I can’t eat sun dried tomatoes and cheese. From those two ingredients I do my sauce, so I was heartbroken. Then after pondering for a bit I decided to switch from heartbreak to heartburn later on. 
Now I feel kind of guilty and I just wanted to ask how often do you let yourself enjoy your favourite foods that you can’t eat? Also, maybe you have recommendations for spaghetti sauce that won’t trigger heartburn?</t>
        </is>
      </c>
      <c r="D3869" t="n">
        <v>1</v>
      </c>
      <c r="E3869" t="n">
        <v>6</v>
      </c>
      <c r="F3869">
        <f>HYPERLINK("https://www.reddit.com/r/GERD/comments/e4j8yy/how_often_do_you_let_yourself_enjoy_the_food_you/")</f>
        <v/>
      </c>
      <c r="G3869" t="inlineStr">
        <is>
          <t>2019-12-01 08:05:54</t>
        </is>
      </c>
      <c r="H3869" t="inlineStr"/>
    </row>
    <row r="3870">
      <c r="A3870" t="inlineStr">
        <is>
          <t>e4ku8v</t>
        </is>
      </c>
      <c r="B3870" t="inlineStr">
        <is>
          <t>Omeprazole works really well for me</t>
        </is>
      </c>
      <c r="C3870" t="inlineStr">
        <is>
          <t>I've had terrible gerd and I'm currently on day 5 of taking omeprazole and it works so well that I competently forgot that I even have gerd!
Is there any downside to taking omeprazole every day forever?
I am not super fat, but i am a few pounds overweight, but if gerd is caused by fat, why don't all fat people have gerd? seems like lot of fat people walk around and do these and seem fine and happy</t>
        </is>
      </c>
      <c r="D3870" t="n">
        <v>1</v>
      </c>
      <c r="E3870" t="n">
        <v>27</v>
      </c>
      <c r="F3870">
        <f>HYPERLINK("https://www.reddit.com/r/GERD/comments/e4ku8v/omeprazole_works_really_well_for_me/")</f>
        <v/>
      </c>
      <c r="G3870" t="inlineStr">
        <is>
          <t>2019-12-01 09:55:57</t>
        </is>
      </c>
      <c r="H3870" t="inlineStr"/>
    </row>
    <row r="3871">
      <c r="A3871" t="inlineStr">
        <is>
          <t>e4lcpq</t>
        </is>
      </c>
      <c r="B3871" t="inlineStr">
        <is>
          <t>Barrier meds plus diarrhea med</t>
        </is>
      </c>
      <c r="C3871" t="inlineStr">
        <is>
          <t>I’m working with an allergist and GI doc so I’m off PPI and, of course, ranitidine. Dx GERD or PPI- responsive esophogitis. Six plus (tomato corn beans) food elimination   I get bad pain and the antacids and barrier meds (Mylanta gaviscon) work pretty well but need pepto bismol for the side effects. Anyone else have any luck with some combination like this?</t>
        </is>
      </c>
      <c r="D3871" t="n">
        <v>1</v>
      </c>
      <c r="E3871" t="n">
        <v>0</v>
      </c>
      <c r="F3871">
        <f>HYPERLINK("https://www.reddit.com/r/GERD/comments/e4lcpq/barrier_meds_plus_diarrhea_med/")</f>
        <v/>
      </c>
      <c r="G3871" t="inlineStr">
        <is>
          <t>2019-12-01 10:30:25</t>
        </is>
      </c>
      <c r="H3871" t="inlineStr"/>
    </row>
    <row r="3872">
      <c r="A3872" t="inlineStr">
        <is>
          <t>e4ls7t</t>
        </is>
      </c>
      <c r="B3872" t="inlineStr">
        <is>
          <t>Do PPIs make mucous thicker?</t>
        </is>
      </c>
      <c r="C3872" t="inlineStr">
        <is>
          <t>Nexium is seemingly making it thicker and thinking about switching over to Rabeprazole. Is this a mechanism of all PPIs?</t>
        </is>
      </c>
      <c r="D3872" t="n">
        <v>1</v>
      </c>
      <c r="E3872" t="n">
        <v>2</v>
      </c>
      <c r="F3872">
        <f>HYPERLINK("https://www.reddit.com/r/GERD/comments/e4ls7t/do_ppis_make_mucous_thicker/")</f>
        <v/>
      </c>
      <c r="G3872" t="inlineStr">
        <is>
          <t>2019-12-01 10:59:09</t>
        </is>
      </c>
      <c r="H3872" t="inlineStr"/>
    </row>
    <row r="3873">
      <c r="A3873" t="inlineStr">
        <is>
          <t>e4nc4j</t>
        </is>
      </c>
      <c r="B3873" t="inlineStr">
        <is>
          <t>Is this something that happens with GERD?</t>
        </is>
      </c>
      <c r="C3873" t="inlineStr">
        <is>
          <t>Hello!
About 3 weeks ago, I started getting heartburn in the evening. As time went on, I started getting it everyday. Now, it's happening all day everyday. The only time I dont have heartburn is when I wake up. Once I start moving, it comes right back.
Its not hard to swallow or anything, I dont feel like anything is stuck in my throat. At times I can feel food coming back up, but Im able to just swallow and it goes back. Its not painful, and I havent had an nausea or anything. Everything else is good, except for this nagging heartburn. 
Almost 2 weeks ago, I went to my doctor who told me I have GERD and to take Nexium once a day for a month. The box says it may take up to 4 days to start working. Its been 2 weeks and there has been no change.
On Friday, I used the Teledoc service to see if maybe they had a different opinion. All he said was to avoid Caffeine and any spicy foods and to take Nexium. Which I started doing, but again, no change.
Im wondering if this is normal? I'm going to call Monday and see if I can get a referral to a specialist to see what's going on, but really wanted to know if having it all day everyday is the norm for GERD? Nothing seems to help. 
Any info is appreciated. 
I apologize if this isnt the place for these questions, Im not looking for a diagnosis, just wanted to hear what others experiences were.</t>
        </is>
      </c>
      <c r="D3873" t="n">
        <v>1</v>
      </c>
      <c r="E3873" t="n">
        <v>3</v>
      </c>
      <c r="F3873">
        <f>HYPERLINK("https://www.reddit.com/r/GERD/comments/e4nc4j/is_this_something_that_happens_with_gerd/")</f>
        <v/>
      </c>
      <c r="G3873" t="inlineStr">
        <is>
          <t>2019-12-01 12:40:17</t>
        </is>
      </c>
      <c r="H3873" t="inlineStr"/>
    </row>
    <row r="3874">
      <c r="A3874" t="inlineStr">
        <is>
          <t>e4npum</t>
        </is>
      </c>
      <c r="B3874" t="inlineStr">
        <is>
          <t>Having Linx Surgery for GERD</t>
        </is>
      </c>
      <c r="C3874" t="inlineStr">
        <is>
          <t>Having Linx surgery for GERD. very soon. I've heard drinking liquids can be difficult during the recovery when the scar tissue builds.  I have a condition where I need to drink a lot of fluids daily to keep my blood pressure up. Anyone who had the surgery have tips for drinking fluids in the recovery phase? Will it be possible to get a lot of fluids in?</t>
        </is>
      </c>
      <c r="D3874" t="n">
        <v>1</v>
      </c>
      <c r="E3874" t="n">
        <v>15</v>
      </c>
      <c r="F3874">
        <f>HYPERLINK("https://www.reddit.com/r/GERD/comments/e4npum/having_linx_surgery_for_gerd/")</f>
        <v/>
      </c>
      <c r="G3874" t="inlineStr">
        <is>
          <t>2019-12-01 13:05:16</t>
        </is>
      </c>
      <c r="H3874" t="inlineStr"/>
    </row>
    <row r="3875">
      <c r="A3875" t="inlineStr">
        <is>
          <t>e4p2v7</t>
        </is>
      </c>
      <c r="B3875" t="inlineStr">
        <is>
          <t>I'm panicking guys. Endoscopy tomorrow.</t>
        </is>
      </c>
      <c r="C3875" t="inlineStr">
        <is>
          <t>Getting an endo because I've had burning in my stomach on/off for 2 years. I am afraid for a few reasons. The first 2 are tied.
1. I don't like anesthesia. I don't like the loss of control and possibility of it making me nauseated (I have severe emetophobia). 
2. I'm afraid the doc will find cancer or something that is pre-cancerous.
Also, I was like re-reading the info sheet they gave me and realized I took a bunch of advil last week bc of menstrual cramps (about 12-16 gelcaps total between wednesday and friday). And the sheet says you shouldn’t take advil a week before procedure. Is it a huge deal? 
Gosh I'm so scared guys. My husband isn't being very supportive. That's why I'm seeking out to strangers on the internet. He thinks it's an unnecessary procedure (yes, I have hypchondria but he's not the one dealing with GERD) and even makes me fears and worries seem insignificant...but that's a whole other issue.
Would like some kind words and honest words as well if anyone has had an experience with endoscopies.</t>
        </is>
      </c>
      <c r="D3875" t="n">
        <v>1</v>
      </c>
      <c r="E3875" t="n">
        <v>18</v>
      </c>
      <c r="F3875">
        <f>HYPERLINK("https://www.reddit.com/r/GERD/comments/e4p2v7/im_panicking_guys_endoscopy_tomorrow/")</f>
        <v/>
      </c>
      <c r="G3875" t="inlineStr">
        <is>
          <t>2019-12-01 14:35:55</t>
        </is>
      </c>
      <c r="H3875" t="inlineStr"/>
    </row>
    <row r="3876">
      <c r="A3876" t="inlineStr">
        <is>
          <t>e4r4h0</t>
        </is>
      </c>
      <c r="B3876" t="inlineStr">
        <is>
          <t>LPR, zantac, possible options</t>
        </is>
      </c>
      <c r="C3876" t="inlineStr">
        <is>
          <t>hello I have been battling LPR since 2013. 
\- At this point I really don't feel anything consciously but my throat has tightened up and I will suddenly realize there is a warm undigested food or acid touching the top of my throat and it will freak me out. This is definitely messing up my sleep and causing TMJ jaw clenching in my sleep. 
\- I have mild sleep apnea, tried CPAP for 9 months never got relief from it, stopped.
\- PPI's make my stomach feel way worse, and don't seem to help the throat or sleep.
\- Elevating my bed helps a little, but it makes my neck get really stiff and jaw clenching worse - I think it's because it creates the sensation of slipping down or falling, being off balance.
\- Zantac helps me sometimes. QUESTION: When is the most effective time to take it? Before/during a meal? Before bed?
\- Dietary changes don't really seem to help except avoiding the big obvious things like soda, alcohol, spices
\- SSRIs give me heart palpitations and make my jaw clenching way worse
\- Megadosing D3 helped me some, but I started getting weird skin rashes on my nose from it and had to stop, the skin rashes have been healing since then, and taking a lot of Vit K2
\- I've always suspected Candida (although I know it's kind of an "internet disease"). I have a Candida Cleanse supplement but it has to many ingredients I have been too chicken to take it more than 2 days in a row.
\- Doc OPTIONS: I went to an allergist last week, waiting for test results. I can get a new sleep specialist and start over. I could get a new GI specialist and start over.</t>
        </is>
      </c>
      <c r="D3876" t="n">
        <v>1</v>
      </c>
      <c r="E3876" t="n">
        <v>0</v>
      </c>
      <c r="F3876">
        <f>HYPERLINK("https://www.reddit.com/r/GERD/comments/e4r4h0/lpr_zantac_possible_options/")</f>
        <v/>
      </c>
      <c r="G3876" t="inlineStr">
        <is>
          <t>2019-12-01 17:05:46</t>
        </is>
      </c>
      <c r="H3876" t="inlineStr"/>
    </row>
    <row r="3877">
      <c r="A3877" t="inlineStr">
        <is>
          <t>e4rfrd</t>
        </is>
      </c>
      <c r="B3877" t="inlineStr">
        <is>
          <t>I just had some chamomile tea</t>
        </is>
      </c>
      <c r="C3877" t="inlineStr">
        <is>
          <t>I read online that chamomile tea can help with GERD so I decided to buy it. I’ve noticed that the burning has calmed down a bit and I don’t feel bad. Does anyone else have any experience with tea as a remedy?</t>
        </is>
      </c>
      <c r="D3877" t="n">
        <v>1</v>
      </c>
      <c r="E3877" t="n">
        <v>1</v>
      </c>
      <c r="F3877">
        <f>HYPERLINK("https://www.reddit.com/r/GERD/comments/e4rfrd/i_just_had_some_chamomile_tea/")</f>
        <v/>
      </c>
      <c r="G3877" t="inlineStr">
        <is>
          <t>2019-12-01 17:31:02</t>
        </is>
      </c>
      <c r="H3877" t="inlineStr"/>
    </row>
    <row r="3878">
      <c r="A3878" t="inlineStr">
        <is>
          <t>e4rxuy</t>
        </is>
      </c>
      <c r="B3878" t="inlineStr">
        <is>
          <t>Belsey Procedure</t>
        </is>
      </c>
      <c r="C3878" t="inlineStr">
        <is>
          <t>Has anyone in here had the Belsey Procedure and also had severe IEM? If so how did it go? Any post op dysphagia? Any Belsey procedures without IEM? I am aware that the Belsey is not a common procedure but its worth a try to ask in here.</t>
        </is>
      </c>
      <c r="D3878" t="n">
        <v>1</v>
      </c>
      <c r="E3878" t="n">
        <v>8</v>
      </c>
      <c r="F3878">
        <f>HYPERLINK("https://www.reddit.com/r/GERD/comments/e4rxuy/belsey_procedure/")</f>
        <v/>
      </c>
      <c r="G3878" t="inlineStr">
        <is>
          <t>2019-12-01 18:10:33</t>
        </is>
      </c>
      <c r="H3878" t="inlineStr"/>
    </row>
    <row r="3879">
      <c r="A3879" t="inlineStr">
        <is>
          <t>e4so76</t>
        </is>
      </c>
      <c r="B3879" t="inlineStr">
        <is>
          <t>Pain/burning under tongue?</t>
        </is>
      </c>
      <c r="C3879" t="inlineStr">
        <is>
          <t>I’ve been having this weird burning irritation under my tongue where it connects and some burning on the tip. I’ve also had throat pain and ear pain. The ent said it’s heartburn irritation in my throat and ears but he wasn’t sure about the tongue. It’s just really annoying. Has anyone experienced this at all?</t>
        </is>
      </c>
      <c r="D3879" t="n">
        <v>1</v>
      </c>
      <c r="E3879" t="n">
        <v>10</v>
      </c>
      <c r="F3879">
        <f>HYPERLINK("https://www.reddit.com/r/GERD/comments/e4so76/painburning_under_tongue/")</f>
        <v/>
      </c>
      <c r="G3879" t="inlineStr">
        <is>
          <t>2019-12-01 19:08:14</t>
        </is>
      </c>
      <c r="H3879" t="inlineStr"/>
    </row>
    <row r="3880">
      <c r="A3880" t="inlineStr">
        <is>
          <t>e4umqj</t>
        </is>
      </c>
      <c r="B3880" t="inlineStr">
        <is>
          <t>colonoscopy / endoscopy on Friday</t>
        </is>
      </c>
      <c r="C3880" t="inlineStr">
        <is>
          <t>I'm scheduled for the said procedure, I've had endoscopy twice and just new with colonoscopy. The reason for the test is that I pooped with blood once last Oct 20 and it never happened again. I'm worried about the colonoscopy procedure and the risk, is this really worth it at my age at late 20s?</t>
        </is>
      </c>
      <c r="D3880" t="n">
        <v>1</v>
      </c>
      <c r="E3880" t="n">
        <v>13</v>
      </c>
      <c r="F3880">
        <f>HYPERLINK("https://www.reddit.com/r/GERD/comments/e4umqj/colonoscopy_endoscopy_on_friday/")</f>
        <v/>
      </c>
      <c r="G3880" t="inlineStr">
        <is>
          <t>2019-12-01 21:55:31</t>
        </is>
      </c>
      <c r="H3880" t="inlineStr"/>
    </row>
    <row r="3881">
      <c r="A3881" t="inlineStr">
        <is>
          <t>e4uvlq</t>
        </is>
      </c>
      <c r="B3881" t="inlineStr">
        <is>
          <t>Intermittent fasting has helped with my LPR symptoms.</t>
        </is>
      </c>
      <c r="C3881" t="inlineStr">
        <is>
          <t>Hey everyone, I’ve been on here a while and have tried a bunch of different things to try to ease my LPR &amp;amp; Gerd symptoms after suffering for over a year. I recently tried intermittent fasting and that coupled with stress &amp;amp; anxiety management and exercise has drastically improved my symptoms.
Anyone else try it and it worked for them? If you haven’t given it a try, I would look into it. For me I think it helped reduced the load on my digestive system.
Anyways my sympathies for anyone struggling and good luck on your journey.</t>
        </is>
      </c>
      <c r="D3881" t="n">
        <v>1</v>
      </c>
      <c r="E3881" t="n">
        <v>20</v>
      </c>
      <c r="F3881">
        <f>HYPERLINK("https://www.reddit.com/r/GERD/comments/e4uvlq/intermittent_fasting_has_helped_with_my_lpr/")</f>
        <v/>
      </c>
      <c r="G3881" t="inlineStr">
        <is>
          <t>2019-12-01 22:17:38</t>
        </is>
      </c>
      <c r="H3881" t="inlineStr"/>
    </row>
    <row r="3882">
      <c r="A3882" t="inlineStr">
        <is>
          <t>e53x04</t>
        </is>
      </c>
      <c r="B3882" t="inlineStr">
        <is>
          <t>Seeking pepsin info</t>
        </is>
      </c>
      <c r="C3882" t="inlineStr">
        <is>
          <t>Hi all!
I’ve heard mention of Pepsin a lot in this sub, but my doctors have never mentioned it and neither do articles I’ve read about gerd.  I did some searching and it seems some people know a lot about the role pepsin plays and others don’t, but there’s no real basics about pepsin that I’ve found.  What exactly is it?  
I understand it plays a significant role in damaging the esophagus and that it can be “airborne”—is this what causes LPR?  I’ve heard mention of neutralizing pepsin, and I’ve also been wondering if PPIs and H2 blockers affect pepsin, or how it might be produced...
Basically, seeking any info about pepsin!
Best,
Gwaine</t>
        </is>
      </c>
      <c r="D3882" t="n">
        <v>1</v>
      </c>
      <c r="E3882" t="n">
        <v>15</v>
      </c>
      <c r="F3882">
        <f>HYPERLINK("https://www.reddit.com/r/GERD/comments/e53x04/seeking_pepsin_info/")</f>
        <v/>
      </c>
      <c r="G3882" t="inlineStr">
        <is>
          <t>2019-12-02 11:19:19</t>
        </is>
      </c>
      <c r="H3882" t="inlineStr"/>
    </row>
    <row r="3883">
      <c r="A3883" t="inlineStr">
        <is>
          <t>e54n7u</t>
        </is>
      </c>
      <c r="B3883" t="inlineStr">
        <is>
          <t>Choking and other things...</t>
        </is>
      </c>
      <c r="C3883" t="inlineStr">
        <is>
          <t>Lately, I’ve noticed that I’m choking a lot more than I used to. I’m having trouble swallowing as well, it’s getting to the point where I have to actively make an effort to swallow the food (or drink) I’m trying to consume. If I start choking, I throw it up or need to have a large drink (while trying to actively swallow everything)... it’s getting awful, and I’m exhausted from just trying to eat and drink like I used to. I’m tired of throwing up, and I’m tired of feeling like I’ve swallowed gasoline... 
I’ve been on every stomach, acid reducing, protecting pill on the market (this isn’t an exaggeration, I have the pill list to prove it)... and they didn’t help. My GI specialist sent me to a surgeon, and I’m just waiting for an appointment with him/her now. I’m going to see my GI Specialist on the 10th, and I’m going to update him on everything that’s going on. This is so stressful, and embarrassing to go through... it also doesn’t help that my esophagus isn’t strong enough to push whatever I eat/drink down... so my esophagus s basically just a tube that doesn’t contract hard enough to move anything out of it. 
I’m sorry for this long rant, I’m crying because my stomach burns really badly and I’m tired of being sick and tired. If I have any spelling or grammar errors, I’m sorry.</t>
        </is>
      </c>
      <c r="D3883" t="n">
        <v>1</v>
      </c>
      <c r="E3883" t="n">
        <v>11</v>
      </c>
      <c r="F3883">
        <f>HYPERLINK("https://www.reddit.com/r/GERD/comments/e54n7u/choking_and_other_things/")</f>
        <v/>
      </c>
      <c r="G3883" t="inlineStr">
        <is>
          <t>2019-12-02 12:08:04</t>
        </is>
      </c>
      <c r="H3883" t="inlineStr"/>
    </row>
    <row r="3884">
      <c r="A3884" t="inlineStr">
        <is>
          <t>e55003</t>
        </is>
      </c>
      <c r="B3884" t="inlineStr">
        <is>
          <t>Chest Pain after eating without drinking?</t>
        </is>
      </c>
      <c r="C3884" t="inlineStr">
        <is>
          <t>I don't know if this is one of the results of GERD but I've been having this problem for years, today was the worst case I've gotten. I've never heard anyone talk about it and I haven't seen anything about it on the internet..
The feeling is all in my chest, expanding painfully with the feeling of something going down my chest slowly. My mouth won't stop salivating, it hurts to swallow so I spit the stuff out constantly. It was so bad earlier that I thought I couldn't breathe for a short moment. It usually lasts an hour until the water stops coming out and the pain eases. 
Today, I decided to eat a slice of pizza and have it with some water that I had left in my bag, it was only a little bit but as long as I drank something nothing would happen, that's what I thought but I was wrong. I guess I need to drink a lot with my food, and it's frustrating because sometimes I rather just eat my food instead of having to drink juice constantly. Drinks with gas always makes it hard for me to swallow anything even itself so I drink lots of juice and water, no alcohol.
Afterwards, I came home and already felt like my chest was hurting. I really don't understand, in the beginning I thought it was allergies but it happens with anything that I eat and it's always when I don't have anything to drink or drink too little. 
Any advice or guesses? I really have no idea what's going on.</t>
        </is>
      </c>
      <c r="D3884" t="n">
        <v>1</v>
      </c>
      <c r="E3884" t="n">
        <v>1</v>
      </c>
      <c r="F3884">
        <f>HYPERLINK("https://www.reddit.com/r/GERD/comments/e55003/chest_pain_after_eating_without_drinking/")</f>
        <v/>
      </c>
      <c r="G3884" t="inlineStr">
        <is>
          <t>2019-12-02 12:31:12</t>
        </is>
      </c>
      <c r="H3884" t="inlineStr"/>
    </row>
    <row r="3885">
      <c r="A3885" t="inlineStr">
        <is>
          <t>e55noa</t>
        </is>
      </c>
      <c r="B3885" t="inlineStr">
        <is>
          <t>Pressure when I standup</t>
        </is>
      </c>
      <c r="C3885" t="inlineStr">
        <is>
          <t>Does anyone else experience pressure in their chest like it is hard to take a deep breath as soon as you stand? It doesn't make me feel faint or anything just like I am being squeezed for a few seconds. I noticed that a big burp often follows.</t>
        </is>
      </c>
      <c r="D3885" t="n">
        <v>1</v>
      </c>
      <c r="E3885" t="n">
        <v>1</v>
      </c>
      <c r="F3885">
        <f>HYPERLINK("https://www.reddit.com/r/GERD/comments/e55noa/pressure_when_i_standup/")</f>
        <v/>
      </c>
      <c r="G3885" t="inlineStr">
        <is>
          <t>2019-12-02 13:15:13</t>
        </is>
      </c>
      <c r="H3885" t="inlineStr"/>
    </row>
    <row r="3886">
      <c r="A3886" t="inlineStr">
        <is>
          <t>e59mua</t>
        </is>
      </c>
      <c r="B3886" t="inlineStr">
        <is>
          <t>Taking PPI after dinner before bed to prevent stomach issues?</t>
        </is>
      </c>
      <c r="C3886" t="inlineStr">
        <is>
          <t>For LPR purposes, wouldn’t it make sense to wait until after you are dinner to take your PPI, that way you have some acid to digest the meal, but before bed you take the PPI to prevent any acid back flow into your throat overnight.
Asking because after a couple months, I constantly feel bloated after dinner and slightly constipated</t>
        </is>
      </c>
      <c r="D3886" t="n">
        <v>1</v>
      </c>
      <c r="E3886" t="n">
        <v>13</v>
      </c>
      <c r="F3886">
        <f>HYPERLINK("https://www.reddit.com/r/GERD/comments/e59mua/taking_ppi_after_dinner_before_bed_to_prevent/")</f>
        <v/>
      </c>
      <c r="G3886" t="inlineStr">
        <is>
          <t>2019-12-02 17:54:29</t>
        </is>
      </c>
      <c r="H3886" t="inlineStr"/>
    </row>
    <row r="3887">
      <c r="A3887" t="inlineStr">
        <is>
          <t>e5auh5</t>
        </is>
      </c>
      <c r="B3887" t="inlineStr">
        <is>
          <t>Where to find ranitidine/Zantac?</t>
        </is>
      </c>
      <c r="C3887" t="inlineStr">
        <is>
          <t>Can't seem to find any anywhere since the carcinogen scare.</t>
        </is>
      </c>
      <c r="D3887" t="n">
        <v>1</v>
      </c>
      <c r="E3887" t="n">
        <v>2</v>
      </c>
      <c r="F3887">
        <f>HYPERLINK("https://www.reddit.com/r/GERD/comments/e5auh5/where_to_find_ranitidinezantac/")</f>
        <v/>
      </c>
      <c r="G3887" t="inlineStr">
        <is>
          <t>2019-12-02 19:28:27</t>
        </is>
      </c>
      <c r="H3887" t="inlineStr"/>
    </row>
    <row r="3888">
      <c r="A3888" t="inlineStr">
        <is>
          <t>e5bina</t>
        </is>
      </c>
      <c r="B3888" t="inlineStr">
        <is>
          <t>What is wrong with me?</t>
        </is>
      </c>
      <c r="C3888" t="inlineStr">
        <is>
          <t>I am suffering (Yes, suffering the best word I can find) from what seems to be  water brash from June this year. This feeling of "something" stuck in the throat, like liquid that no matter how much I swallow is still there, drives me insane.
H2, PIPs do not work for me (At least haven't after 6 and 4 weeks treatment respectively), so I am not trying these again for the near term. Endoscopy found nothing, Doctor said everything looks normal, did not even take any samples. Only thing that I tried and helped me a bit was to give up on meat completely, which made the taste of the liquid more tasteless than the sour/bitter taste it had before, which also helped resolve the nausea. Also changing positions (Standing up, or lying down on my left side) makes it better, also not thinking on it, thou it is quite hard. The most frustrating thing is that it does seem to improve slowly (But very slowly, I sometimes wonder if it really improves), I now went 2 weeks without this horrible feelings, to just get it back yesterday/today again.
My doctor thinks that the acid just jumps straight to my throat/mouth, that is why stomach and the rest look normal, thou not sure how physically that is possible. He sent me to ENT, which I will go to an appointment next week but I do not think there will be any new findings there and I am not sure what next. 
I do not want to suffer for this condition any longer. :(</t>
        </is>
      </c>
      <c r="D3888" t="n">
        <v>1</v>
      </c>
      <c r="E3888" t="n">
        <v>5</v>
      </c>
      <c r="F3888">
        <f>HYPERLINK("https://www.reddit.com/r/GERD/comments/e5bina/what_is_wrong_with_me/")</f>
        <v/>
      </c>
      <c r="G3888" t="inlineStr">
        <is>
          <t>2019-12-02 20:21:26</t>
        </is>
      </c>
      <c r="H3888" t="inlineStr"/>
    </row>
    <row r="3889">
      <c r="A3889" t="inlineStr">
        <is>
          <t>e5dcey</t>
        </is>
      </c>
      <c r="B3889" t="inlineStr">
        <is>
          <t>Is anybody else's stomach super sensitive to pills like Tylenol?</t>
        </is>
      </c>
      <c r="C3889" t="inlineStr">
        <is>
          <t>I seem to have to eat a good bit with any pill or I'll feel nausea, burping, acid reflux. Is anybody else the same way? It all started about 2 years ago when my symptoms showed up</t>
        </is>
      </c>
      <c r="D3889" t="n">
        <v>1</v>
      </c>
      <c r="E3889" t="n">
        <v>12</v>
      </c>
      <c r="F3889">
        <f>HYPERLINK("https://www.reddit.com/r/GERD/comments/e5dcey/is_anybody_elses_stomach_super_sensitive_to_pills/")</f>
        <v/>
      </c>
      <c r="G3889" t="inlineStr">
        <is>
          <t>2019-12-02 23:07:33</t>
        </is>
      </c>
      <c r="H3889" t="inlineStr"/>
    </row>
    <row r="3890">
      <c r="A3890" t="inlineStr">
        <is>
          <t>e5dgfv</t>
        </is>
      </c>
      <c r="B3890" t="inlineStr">
        <is>
          <t>DO I HAVE THIS</t>
        </is>
      </c>
      <c r="C3890" t="inlineStr">
        <is>
          <t>What the actual fuck, this has been going on for like a week. I suddenly lost the ability to sleep laying down, because if I lay down I start fighting the urge to vomit. I can only sleep sitting upright against the wall with a pillow in my lap. It is absolute hell. I can't lay down, I just start burping and feeling sick. My throat feels like a lump or something small is in it. I have never had this before and it came up suddenly. I never had a diet change or anything change in my life. So if this is Gerd, and it's permanent, should I just end it with a bullet in my head because I didn't ask for this. I'm not going to change my lifestyle because I didn't do anything to cause it. I just suddenly lost the ability to sleep like a person. I'm not fat or obese or unhealthy or anything. I'm an 18 year old long distance runner and I'm fairly active. So what gives?</t>
        </is>
      </c>
      <c r="D3890" t="n">
        <v>1</v>
      </c>
      <c r="E3890" t="n">
        <v>22</v>
      </c>
      <c r="F3890">
        <f>HYPERLINK("https://www.reddit.com/r/GERD/comments/e5dgfv/do_i_have_this/")</f>
        <v/>
      </c>
      <c r="G3890" t="inlineStr">
        <is>
          <t>2019-12-02 23:18:16</t>
        </is>
      </c>
      <c r="H3890" t="inlineStr"/>
    </row>
    <row r="3891">
      <c r="A3891" t="inlineStr">
        <is>
          <t>e5e737</t>
        </is>
      </c>
      <c r="B3891" t="inlineStr">
        <is>
          <t>Just coming here to vent about myself.</t>
        </is>
      </c>
      <c r="C3891" t="inlineStr">
        <is>
          <t>The past two days, I’ve awoken several times in the middle of the night with the feeling that I’ve almost thrown up in my sleep. It comes with an acidic, bitter taste that legitimately makes me want to scream. My dad suffered from GERD because of his love of spicy food, and honestly, I’m just mad at myself for not thinking I could suffer from it. I’m wildly in love with hot sauce and all acidic foods, so honestly it’s no wonder this has finally started to occur, but I’m mad at myself for not taking care of symptoms before. I’ve suffered from symptoms of acid reflux for awhile now, but didn’t think to treat it like a normal person because it really wasn’t severe. My mom kept telling me it’s better to start treating it now rather than later, when the problem will have inevitably worsened, and my nearly 25 year old ass said “what’s the worst that could happen?!”
Well, random vomiting during my day and during my sleep...that’s pretty shitty circumstances. Now I’m lying in bed wide awake at 2 am because I’ve been woken three times to the taste of bile in my mouth. 
Thanks for coming to my TED Talk. Please punch me in the throat for being irresponsible.</t>
        </is>
      </c>
      <c r="D3891" t="n">
        <v>1</v>
      </c>
      <c r="E3891" t="n">
        <v>0</v>
      </c>
      <c r="F3891">
        <f>HYPERLINK("https://www.reddit.com/r/GERD/comments/e5e737/just_coming_here_to_vent_about_myself/")</f>
        <v/>
      </c>
      <c r="G3891" t="inlineStr">
        <is>
          <t>2019-12-03 00:33:04</t>
        </is>
      </c>
      <c r="H3891" t="inlineStr"/>
    </row>
    <row r="3892">
      <c r="A3892" t="inlineStr">
        <is>
          <t>e5fbiz</t>
        </is>
      </c>
      <c r="B3892" t="inlineStr">
        <is>
          <t>Silent Reflux - Diet</t>
        </is>
      </c>
      <c r="C3892" t="inlineStr">
        <is>
          <t>I had sinusitis in February 2018 and for the next several months had a constant feeling of post-nasal drip and a tickly sensation behind my breastbone. If I eat certain foods or drink the wrong things, I ended up feeling more congested over time and then get coughing fits to the point of retching.
The only thing that seemed to help or hinder was my diet. I completely stopped drinking Diet Coke and other fizzy drinks, I stopped eating chocolate and ice cream and any other creamy desserts. A few months ago, I started feeling worse even drinking fruit juice, so now I only drink water, tea and coffee.
The only thing that seems to help the symptoms is tea.
From what I gather, many of the dietary changes I made seem to be in line with GERD as well, although I don't get heartburn, which is more in line with silent reflux.
Do any of you who have a similar dietary experience either with GERD or with silent reflux? If so, are there any foods / drinks you find particularly helpful? I'm looking to expand my options.</t>
        </is>
      </c>
      <c r="D3892" t="n">
        <v>1</v>
      </c>
      <c r="E3892" t="n">
        <v>10</v>
      </c>
      <c r="F3892">
        <f>HYPERLINK("https://www.reddit.com/r/GERD/comments/e5fbiz/silent_reflux_diet/")</f>
        <v/>
      </c>
      <c r="G3892" t="inlineStr">
        <is>
          <t>2019-12-03 02:34:39</t>
        </is>
      </c>
      <c r="H3892" t="inlineStr"/>
    </row>
    <row r="3893">
      <c r="A3893" t="inlineStr">
        <is>
          <t>e5hc01</t>
        </is>
      </c>
      <c r="B3893" t="inlineStr">
        <is>
          <t>I suspect I have LPR</t>
        </is>
      </c>
      <c r="C3893" t="inlineStr">
        <is>
          <t>When I was pregnant with my 2nd baby last year I had terrible reflux. It was mostly just throat gurgling and burping, not any kind of heartburn. My OB gave me meds but I never took them because Tums seemed to help. I was able to not take any meds for it, though, and after delivery things seemed to go back to normal.
Every fall I always get a bad cold with a hacking cough. I mean, every single fall. I even had it on my honeymoon. It goes away. 
A few weeks ago I got the cough again, with all the accompanying things like sore throat, runny nose, post-nasal drip, etc. It went away but the sore throat lingered. It’s been lingering. I’m *constantly* clearing my throat and the post nasal drip is horrendous. I’ve been keeping a food diary and I get what I can describe as a “throat-clearing” cough after eating tomato sauce or drinking ginger ale (I drink water with an occasional glass of ginger ale)
I drink A LOT of coffee, eat A LOT of tomato based foods (I love Italian food what can I say lol) and I do love wine. Obviously these are all not great.
I also feel like I have an increase in saliva and a gross “taste” in the back of my mouth. It’s hard to describe.
I should probably see an ENT but I have severe health anxiety and suffer from panic attacks when I do see one. So it’s difficult for me.
Is there anything I can do in the meantime to get some relief?</t>
        </is>
      </c>
      <c r="D3893" t="n">
        <v>1</v>
      </c>
      <c r="E3893" t="n">
        <v>6</v>
      </c>
      <c r="F3893">
        <f>HYPERLINK("https://www.reddit.com/r/GERD/comments/e5hc01/i_suspect_i_have_lpr/")</f>
        <v/>
      </c>
      <c r="G3893" t="inlineStr">
        <is>
          <t>2019-12-03 05:47:22</t>
        </is>
      </c>
      <c r="H3893" t="inlineStr"/>
    </row>
    <row r="3894">
      <c r="A3894" t="inlineStr">
        <is>
          <t>e5hzrs</t>
        </is>
      </c>
      <c r="B3894" t="inlineStr">
        <is>
          <t>NAFLD causing Epigastric pain</t>
        </is>
      </c>
      <c r="C3894" t="inlineStr">
        <is>
          <t>I have constant, achy/dull pain in my epigastric area. I’ve been dealing with G.I. issues for about a year now and I finally got insurance and was able to go to the doctor. My PCP found a fatty liver and enlarged spleen. I have started working out and meal prepping but diet changes haven’t really helped my pain.
Could the fatty liver be causing my pain? Has anyone dealt with something similar?
A G.I. referral got me three months of a PPI and I don’t go back until February. I’d really like to make myself comfortable until then.
Any supplements, suggestions, advice, similar stories? I could use some relief!</t>
        </is>
      </c>
      <c r="D3894" t="n">
        <v>1</v>
      </c>
      <c r="E3894" t="n">
        <v>0</v>
      </c>
      <c r="F3894">
        <f>HYPERLINK("https://www.reddit.com/r/GERD/comments/e5hzrs/nafld_causing_epigastric_pain/")</f>
        <v/>
      </c>
      <c r="G3894" t="inlineStr">
        <is>
          <t>2019-12-03 06:38:22</t>
        </is>
      </c>
      <c r="H3894" t="inlineStr"/>
    </row>
    <row r="3895">
      <c r="A3895" t="inlineStr">
        <is>
          <t>e5jfdz</t>
        </is>
      </c>
      <c r="B3895" t="inlineStr">
        <is>
          <t>Exercising</t>
        </is>
      </c>
      <c r="C3895" t="inlineStr">
        <is>
          <t>What workouts are good for gerd?</t>
        </is>
      </c>
      <c r="D3895" t="n">
        <v>1</v>
      </c>
      <c r="E3895" t="n">
        <v>2</v>
      </c>
      <c r="F3895">
        <f>HYPERLINK("https://www.reddit.com/r/GERD/comments/e5jfdz/exercising/")</f>
        <v/>
      </c>
      <c r="G3895" t="inlineStr">
        <is>
          <t>2019-12-03 08:20:54</t>
        </is>
      </c>
      <c r="H3895" t="inlineStr"/>
    </row>
    <row r="3896">
      <c r="A3896" t="inlineStr">
        <is>
          <t>e5kk66</t>
        </is>
      </c>
      <c r="B3896" t="inlineStr">
        <is>
          <t>Should you take extra acid or not?</t>
        </is>
      </c>
      <c r="C3896" t="inlineStr">
        <is>
          <t>I wonder how many people in this sub took extra acid to cure their GERD and LES ( like apple cider vinegar). There is a popular anecdote that it helps by forcing LES to shut close.  Why anecdote? Because why I ask forums and friends, they swear it cured them. But when I ask doctors or diatologist they say its bulshit.
In my particular case, it just made it worse. I couldn't stay more than a week on a keto diet because everywhere ( intestines, chest, .etc) was burning. Same if I took acid stuff like pills or apple cider vinegar. Had to get back to the usual diet and PPIs to get myself to a normal position.  
Now I wonder if I just cut it too soon or  it was actually bad for me.</t>
        </is>
      </c>
      <c r="D3896" t="n">
        <v>1</v>
      </c>
      <c r="E3896" t="n">
        <v>7</v>
      </c>
      <c r="F3896">
        <f>HYPERLINK("https://www.reddit.com/r/GERD/comments/e5kk66/should_you_take_extra_acid_or_not/")</f>
        <v/>
      </c>
      <c r="G3896" t="inlineStr">
        <is>
          <t>2019-12-03 09:38:06</t>
        </is>
      </c>
      <c r="H3896" t="inlineStr"/>
    </row>
    <row r="3897">
      <c r="A3897" t="inlineStr">
        <is>
          <t>e5lasn</t>
        </is>
      </c>
      <c r="B3897" t="inlineStr">
        <is>
          <t>Anyone try baking soda?</t>
        </is>
      </c>
      <c r="C3897" t="inlineStr">
        <is>
          <t>Supposed to be good for reflux but also has other health benefits too.</t>
        </is>
      </c>
      <c r="D3897" t="n">
        <v>1</v>
      </c>
      <c r="E3897" t="n">
        <v>7</v>
      </c>
      <c r="F3897">
        <f>HYPERLINK("https://www.reddit.com/r/GERD/comments/e5lasn/anyone_try_baking_soda/")</f>
        <v/>
      </c>
      <c r="G3897" t="inlineStr">
        <is>
          <t>2019-12-03 10:27:39</t>
        </is>
      </c>
      <c r="H3897" t="inlineStr"/>
    </row>
    <row r="3898">
      <c r="A3898" t="inlineStr">
        <is>
          <t>e5lev2</t>
        </is>
      </c>
      <c r="B3898" t="inlineStr">
        <is>
          <t>Feels like there is something stuck in my esophagus or I'm being choked out.</t>
        </is>
      </c>
      <c r="C3898" t="inlineStr">
        <is>
          <t>I went to my family doctor on Nov. 6th. I keep having these "episodes" where my esophagus feels all tight. They last 2-3 days. It feels like someone is choking me.  I can barely eat anything and what I do sometimes is regurgitated. In addition, I have lower abdomen gas and thin stools while this is going on (probably IBS). These "episodes" have happened to me 5 times since the beginning of October. He put me on a prescription for Protonix for 30 days 40 mg which has caused a really bitter taste in my mouth. I have been taking it for 24 days and am still experiencing this. This is severly impacting my quality of life. I am miserable. I tried to call my doctor back and I left a message because there was no answer. I am really at wits end of what to do. I'm thinking of going to the emergency room and asking for endoscopy because I just can't take it anymore. I couldn't enjoy Thanksgiving and I'm losing weight (only like 5 lbs so far) and my follow up appointment isn't until Jan 8. I am suffering. Where do I go now?</t>
        </is>
      </c>
      <c r="D3898" t="n">
        <v>1</v>
      </c>
      <c r="E3898" t="n">
        <v>5</v>
      </c>
      <c r="F3898">
        <f>HYPERLINK("https://www.reddit.com/r/GERD/comments/e5lev2/feels_like_there_is_something_stuck_in_my/")</f>
        <v/>
      </c>
      <c r="G3898" t="inlineStr">
        <is>
          <t>2019-12-03 10:35:14</t>
        </is>
      </c>
      <c r="H3898" t="inlineStr"/>
    </row>
    <row r="3899">
      <c r="A3899" t="inlineStr">
        <is>
          <t>e5o8bi</t>
        </is>
      </c>
      <c r="B3899" t="inlineStr">
        <is>
          <t>Can anybody please make sense of the past few weeks</t>
        </is>
      </c>
      <c r="C3899" t="inlineStr">
        <is>
          <t>I will be as brief as possible. You can also refer to my previous posts here this week. I have now seen a second GI doctor and I am no closer to answers. The whole story:
\- Went to an ENT and complained that I lose my voice. Nothing more.
\- He referred me to get an endoscopy. I did.
\- Endoscopy found esophagitis. I was put on pantoprazole and told to follow a strict acid reflux diet. Having acid reflux was totally new to me as I never felt obvious symptoms from it.
\- After 2 or 3 days on pantoprazole, I got a rancid disgusting taste in my mouth and a hot burning and sore throat, and pains in my chest.
\- I stopped the medication.
\- Two separate GI doctors tell me they don't think it was the pantoprazole because they have never heard of it doing that. One of them told me to try Omneprazole 40 mg instead. Neither of them can explain what happened. I told them prior to the endoscopy I had almost no symptoms of acid reflux besides losing my voice easily.
\- It is now days later and my mouth still tastes bad and my throat is still hurting. The second doctor lectured me about what acid reflux is but did nothing to clear up what has happened to me. I am considering seeing a third GI doctor because I am incredibly frustrated.
&amp;amp;#x200B;
Can anyone tell me what has happened to me? Again, I have gone to two doctors already and nobody can help me.</t>
        </is>
      </c>
      <c r="D3899" t="n">
        <v>1</v>
      </c>
      <c r="E3899" t="n">
        <v>16</v>
      </c>
      <c r="F3899">
        <f>HYPERLINK("https://www.reddit.com/r/GERD/comments/e5o8bi/can_anybody_please_make_sense_of_the_past_few/")</f>
        <v/>
      </c>
      <c r="G3899" t="inlineStr">
        <is>
          <t>2019-12-03 13:43:24</t>
        </is>
      </c>
      <c r="H3899" t="inlineStr"/>
    </row>
    <row r="3900">
      <c r="A3900" t="inlineStr">
        <is>
          <t>e5o9k6</t>
        </is>
      </c>
      <c r="B3900" t="inlineStr">
        <is>
          <t>Medications!</t>
        </is>
      </c>
      <c r="C3900" t="inlineStr">
        <is>
          <t>I was taking ranitidine (zantac) before the recall, what OTC medication are also helpful for treating heartburn? (Looking for one that has more than 14 tablets per pack or bottle)</t>
        </is>
      </c>
      <c r="D3900" t="n">
        <v>1</v>
      </c>
      <c r="E3900" t="n">
        <v>4</v>
      </c>
      <c r="F3900">
        <f>HYPERLINK("https://www.reddit.com/r/GERD/comments/e5o9k6/medications/")</f>
        <v/>
      </c>
      <c r="G3900" t="inlineStr">
        <is>
          <t>2019-12-03 13:45:48</t>
        </is>
      </c>
      <c r="H3900" t="inlineStr"/>
    </row>
    <row r="3901">
      <c r="A3901" t="inlineStr">
        <is>
          <t>e5pwrh</t>
        </is>
      </c>
      <c r="B3901" t="inlineStr">
        <is>
          <t>Want some opinions on my sudden onset symptoms before speaking to my GP.</t>
        </is>
      </c>
      <c r="C3901" t="inlineStr">
        <is>
          <t>31 Year Old Male. never had any stomach problems more than very occasional heartburn. Don't know it it could be the cause or related, but I have had some significant stressors lately, I have a 3 month old, so lacking sleep, and my signifcant other got a very serious medical diagnosis which has been on our minds. Again don't know if the stress is related, just trying to figure out what this could be.
Beginning on Thursday of last week (Thanksgiving) I have been having  almost constant indigestion at every single meal.  My symptoms are a slight burning/gnawing pain in-between the bottom of my breastbone and my navel, normally inbetween meals. The pain is not intense, but I feel it for multiple hours a day, every day for the last 5 days. When I eat a meal the burning pain goes away but after I eat I just cannot stop burping. I probably let out 20-30 big burps in the hour or so after a meal. All the gas buildup makes my upper abdomen feel a bit tight and like I get full faster, always feel better after I burp. I also have some chest/throat congestion, I don't know if it's in response to acid from heartburn, but I don't ever feel the intense burn in my chest or taste the sourness, the only pain is the gnawing in my upper abdomen.
None of the symptoms are terribly painful, just annoying, and a bit scary because I have never had indigestion and now It's been a constant problem at every single meal for almost a week. Antacids/Pepto haven't done much. I just bought a course of Prevacid but have only taken it for 2 days so don't know if it has or will have any effect yet?
Does this sound serious at all, should I make a GP appointment quickly or wait and see another 4-5 days to see if it clears up? Just wondering what it could be as I thought indigestion/heartburn was something that was occasional and this has been pretty constant and with every meal.</t>
        </is>
      </c>
      <c r="D3901" t="n">
        <v>1</v>
      </c>
      <c r="E3901" t="n">
        <v>5</v>
      </c>
      <c r="F3901">
        <f>HYPERLINK("https://www.reddit.com/r/GERD/comments/e5pwrh/want_some_opinions_on_my_sudden_onset_symptoms/")</f>
        <v/>
      </c>
      <c r="G3901" t="inlineStr">
        <is>
          <t>2019-12-03 15:35:00</t>
        </is>
      </c>
      <c r="H3901" t="inlineStr"/>
    </row>
    <row r="3902">
      <c r="A3902" t="inlineStr">
        <is>
          <t>e5qgly</t>
        </is>
      </c>
      <c r="B3902" t="inlineStr">
        <is>
          <t>Does this sound like GERD?</t>
        </is>
      </c>
      <c r="C3902" t="inlineStr">
        <is>
          <t>Been having this for years and it's been getting worse and worse. :/
Bad tightness in my chest and neck, it can be squeezing or feel like a lot of pressure. I never ever taste that acidic taste that people talk about though, and I don't seem to have issues swallowing. But the pain is getting to be hard to bear. It does seem to get worse if I drink coffee, especially espresso, making me think yep, it's probably GERD.
My doctor has said it might just be coming from anxiety. I know GERD and anxiety can be related but I haven't felt anxious at aaaall recently so why am I in so much pain all the time?
On top of it, I swear it's making me feel dizzy and just emotionally bad all the time because it can be so painful and distracting.</t>
        </is>
      </c>
      <c r="D3902" t="n">
        <v>1</v>
      </c>
      <c r="E3902" t="n">
        <v>2</v>
      </c>
      <c r="F3902">
        <f>HYPERLINK("https://www.reddit.com/r/GERD/comments/e5qgly/does_this_sound_like_gerd/")</f>
        <v/>
      </c>
      <c r="G3902" t="inlineStr">
        <is>
          <t>2019-12-03 16:12:28</t>
        </is>
      </c>
      <c r="H3902" t="inlineStr"/>
    </row>
    <row r="3903">
      <c r="A3903" t="inlineStr">
        <is>
          <t>e5qvc0</t>
        </is>
      </c>
      <c r="B3903" t="inlineStr">
        <is>
          <t>Does stomach acid have an effect on medications taken orally?</t>
        </is>
      </c>
      <c r="C3903" t="inlineStr">
        <is>
          <t>If i take an antacid before taking the medication, will it increase the absorption? I’ve heard taking a TUMS antacid would help with THC absorption, so I was wondering if it prevented stomach acids from burning up normal meds.</t>
        </is>
      </c>
      <c r="D3903" t="n">
        <v>1</v>
      </c>
      <c r="E3903" t="n">
        <v>0</v>
      </c>
      <c r="F3903">
        <f>HYPERLINK("https://www.reddit.com/r/GERD/comments/e5qvc0/does_stomach_acid_have_an_effect_on_medications/")</f>
        <v/>
      </c>
      <c r="G3903" t="inlineStr">
        <is>
          <t>2019-12-03 16:41:59</t>
        </is>
      </c>
      <c r="H3903" t="inlineStr"/>
    </row>
    <row r="3904">
      <c r="A3904" t="inlineStr">
        <is>
          <t>e5qvhg</t>
        </is>
      </c>
      <c r="B3904" t="inlineStr">
        <is>
          <t>Esophagitis Healing Time</t>
        </is>
      </c>
      <c r="C3904" t="inlineStr">
        <is>
          <t>I was diagnosed with Grade A Esophagitis 3 months ago after suffering from severe heartburn for a month, I've been taking 40 mg of Pantoprazole daily since then, as well as going on a diet to calm the symptoms down a bit. I tried getting off medication but the symptoms still come back. How long does it usually take to fully heal?</t>
        </is>
      </c>
      <c r="D3904" t="n">
        <v>1</v>
      </c>
      <c r="E3904" t="n">
        <v>3</v>
      </c>
      <c r="F3904">
        <f>HYPERLINK("https://www.reddit.com/r/GERD/comments/e5qvhg/esophagitis_healing_time/")</f>
        <v/>
      </c>
      <c r="G3904" t="inlineStr">
        <is>
          <t>2019-12-03 16:42:18</t>
        </is>
      </c>
      <c r="H3904" t="inlineStr"/>
    </row>
    <row r="3905">
      <c r="A3905" t="inlineStr">
        <is>
          <t>e5r22a</t>
        </is>
      </c>
      <c r="B3905" t="inlineStr">
        <is>
          <t>My endoscopy went well, I think...</t>
        </is>
      </c>
      <c r="C3905" t="inlineStr">
        <is>
          <t>I made a post over the weekend about how nervous I was. Yup, I was super scared. Thankfully the anesthesiologist was comforting and reassuring and so was my doctor.
After I woke up, my doctor who performed the endo came and told me everything looked good. The part I am confused about is his findings. He told me he listed "mild gastritis" as the diagnosis, and when I asked, "oh, I have gastritis?" he said, "No, I just listed that as a code word ..." and that's all I remember (I was still feeling heavy/groggy after waking up). He took a few biopsies and said to make a follow up appointment for 4 weeks from now and that was it.
So now I'm just sitting here thinking, do I have gastritis or no? Lol. I got the procedure because my stomach has been burning on/off since spring 2017. 
What would you guys do? Should I give the office a call tomorrow?</t>
        </is>
      </c>
      <c r="D3905" t="n">
        <v>1</v>
      </c>
      <c r="E3905" t="n">
        <v>4</v>
      </c>
      <c r="F3905">
        <f>HYPERLINK("https://www.reddit.com/r/GERD/comments/e5r22a/my_endoscopy_went_well_i_think/")</f>
        <v/>
      </c>
      <c r="G3905" t="inlineStr">
        <is>
          <t>2019-12-03 16:55:28</t>
        </is>
      </c>
      <c r="H3905" t="inlineStr"/>
    </row>
    <row r="3906">
      <c r="A3906" t="inlineStr">
        <is>
          <t>e5rg01</t>
        </is>
      </c>
      <c r="B3906" t="inlineStr">
        <is>
          <t>Slow digestion?</t>
        </is>
      </c>
      <c r="C3906" t="inlineStr">
        <is>
          <t>I was sick yesterday. Woke up with a migraine feeling very pukey and had the cold sweats on and off, I’m assuming I ate something that was a bit off the night before. 
I ate a banana at around 6:45-7am, then puked it up at 5pm with still identifiable chew marks on it. It wasn’t digested at all. That puke also contained two undigested fruit cups I ate between 7 and 5
That seems like a long time for my stomach to not be digesting food? Does this happen to anyone else? I’ve been having some issues with fullness and low appetite lately and wonder if there’s something wrong with my stomach. 
(I have stress related gerd, this digestion thing is relatively new and I’m not sure what it is)</t>
        </is>
      </c>
      <c r="D3906" t="n">
        <v>1</v>
      </c>
      <c r="E3906" t="n">
        <v>2</v>
      </c>
      <c r="F3906">
        <f>HYPERLINK("https://www.reddit.com/r/GERD/comments/e5rg01/slow_digestion/")</f>
        <v/>
      </c>
      <c r="G3906" t="inlineStr">
        <is>
          <t>2019-12-03 17:24:06</t>
        </is>
      </c>
      <c r="H3906" t="inlineStr"/>
    </row>
    <row r="3907">
      <c r="A3907" t="inlineStr">
        <is>
          <t>e5rpd5</t>
        </is>
      </c>
      <c r="B3907" t="inlineStr">
        <is>
          <t>Rumination Syndrome</t>
        </is>
      </c>
      <c r="C3907" t="inlineStr">
        <is>
          <t>Does anyone have or know anyone with rumination syndrome or maybe something similar where you constantly have to regurgitate food to feel okay? I've had gerd for a few years but it has gotten progressively worse so I am finally going to a GI specialist. I dont know if I have mentioned syndrome or what the hell it is, but I have every symptom and literally EVERYTHING I eat my body tries to regurgitate moments (yes, moments) later.
 Literally I can wake up in the am on a full or empty stomach and take a sip of water and my body doesnt want to make it go down and tries to throw the water up. If I dont let it come up, which I almost always have to , I have bad chest pains and can literally feel the liquid (or food if I'm eating) travel down my esophagus into my stomach. 
If I ate hours before bed and take a sip of water when I wake up the water is regurgitated with food that was eaten 8+ hours before. It's weird but I can literally feel food go downwards into my stomach and it's sometimes painful, almost like the food being digested is a blockage being dislodged. I know this sounds crazy but it doesnt matter what I eat or when I eat. If I eat toast, veggies, eggs, unacidic fruit, anything, it fucks me up. Like I couldn't even finish a lunchable today without feeling like shit. A single lunchable. I hate this. I cant live normally. I cant eat at work unless I want to embarrass myself. Let's hope when I go to the specialist he finds something so I can get on the track to healing :(</t>
        </is>
      </c>
      <c r="D3907" t="n">
        <v>1</v>
      </c>
      <c r="E3907" t="n">
        <v>0</v>
      </c>
      <c r="F3907">
        <f>HYPERLINK("https://www.reddit.com/r/GERD/comments/e5rpd5/rumination_syndrome/")</f>
        <v/>
      </c>
      <c r="G3907" t="inlineStr">
        <is>
          <t>2019-12-03 17:43:34</t>
        </is>
      </c>
      <c r="H3907" t="inlineStr"/>
    </row>
    <row r="3908">
      <c r="A3908" t="inlineStr">
        <is>
          <t>e5s3jf</t>
        </is>
      </c>
      <c r="B3908" t="inlineStr">
        <is>
          <t>Esophagitis &amp;amp; GERD newbie</t>
        </is>
      </c>
      <c r="C3908" t="inlineStr">
        <is>
          <t>I just started having symptoms of GERD/esophagitis after taking doxycycline for 7 days. Commonish side effect apparently. I’ve had persistent chest pain and waves of nausea for 3 days. Tried ACV, 1000 mg tums, just prescribed Prilosec 40 mg/day which I’ve taken once thus far. Nothing has helped. Any tips on how to help my esophagus heal from the antibiotic and make the chest pain go away?</t>
        </is>
      </c>
      <c r="D3908" t="n">
        <v>1</v>
      </c>
      <c r="E3908" t="n">
        <v>16</v>
      </c>
      <c r="F3908">
        <f>HYPERLINK("https://www.reddit.com/r/GERD/comments/e5s3jf/esophagitis_gerd_newbie/")</f>
        <v/>
      </c>
      <c r="G3908" t="inlineStr">
        <is>
          <t>2019-12-03 18:13:38</t>
        </is>
      </c>
      <c r="H3908" t="inlineStr"/>
    </row>
    <row r="3909">
      <c r="A3909" t="inlineStr">
        <is>
          <t>e5t9iu</t>
        </is>
      </c>
      <c r="B3909" t="inlineStr">
        <is>
          <t>Can Gerd cause constant breathing discomfort?</t>
        </is>
      </c>
      <c r="C3909" t="inlineStr">
        <is>
          <t>I'm driving myself mad and I'm depressed because my breathing is so uncomfortable. I cant take a full breath and it basically feels like I held my breath and started breathing on top of that. It feels like someone took a bicycle pump and jammed in into my chest and inflated me(if that makes sense haha). My stomach doesn't necessarily seem to be bloated though. This has been going on nonstop for 7 ish months.
I do have asthma and I've seen a pulmonologist multiple times who said my lungs sound clear. My breathing tests were decent, I haven't had an attack in months, and my chest x ray came out normal. So I'm starting to think this might not be asthma related.
These symptoms started after getting a cold and taking very large doses of Prednisone for like 2 weeks. I read online that Prednisone can damage your stomach and possibly cause Gerd? My only other symptoms are large amounts of post nasal drip and lots of throat clearing. I drink a lot of alcohol and eat like crap if I'm going to be honest.
My ENT gave me 20mg of Prilosec twice a day and I've been taking it for a couple months now with mo relief at all. Is it normal to have Gerd symptoms 24/7 or is this most likely something else?</t>
        </is>
      </c>
      <c r="D3909" t="n">
        <v>1</v>
      </c>
      <c r="E3909" t="n">
        <v>25</v>
      </c>
      <c r="F3909">
        <f>HYPERLINK("https://www.reddit.com/r/GERD/comments/e5t9iu/can_gerd_cause_constant_breathing_discomfort/")</f>
        <v/>
      </c>
      <c r="G3909" t="inlineStr">
        <is>
          <t>2019-12-03 19:44:44</t>
        </is>
      </c>
      <c r="H3909" t="inlineStr"/>
    </row>
    <row r="3910">
      <c r="A3910" t="inlineStr">
        <is>
          <t>e5ti3n</t>
        </is>
      </c>
      <c r="B3910" t="inlineStr">
        <is>
          <t>Enamel erosion - HELP</t>
        </is>
      </c>
      <c r="C3910" t="inlineStr">
        <is>
          <t>Has anyone experienced enamel erosion from their GERD? I’m noticing my teeth are becoming more translucent, and it’s really frustrating, especially since I’m really struggling with healing my GERD. Any advice on how to fix or prevent more erosion?</t>
        </is>
      </c>
      <c r="D3910" t="n">
        <v>1</v>
      </c>
      <c r="E3910" t="n">
        <v>3</v>
      </c>
      <c r="F3910">
        <f>HYPERLINK("https://www.reddit.com/r/GERD/comments/e5ti3n/enamel_erosion_help/")</f>
        <v/>
      </c>
      <c r="G3910" t="inlineStr">
        <is>
          <t>2019-12-03 20:03:59</t>
        </is>
      </c>
      <c r="H3910" t="inlineStr"/>
    </row>
    <row r="3911">
      <c r="A3911" t="inlineStr">
        <is>
          <t>e5ttp6</t>
        </is>
      </c>
      <c r="B3911" t="inlineStr">
        <is>
          <t>Does anyone take Pepcid/Famotidine prescriptions daily that may be able to help me?</t>
        </is>
      </c>
      <c r="C3911" t="inlineStr">
        <is>
          <t>Okay so I took 300mg Ranitrine for 4 years before they recalled it and my doctor is now wanting me to switch over to Pepcid. I used to take my Ranitdine ones a day before bed because that’s when it helped the most. 
However this new script says to take 1 40mg Pepcid tablet 2x daily. Should I just take 40mg once a day at bed like I did with the last or take the two pills at bed time (80mg) and do that? I’m not good at taking pills during the day since I forget allot unless it’s right before bedtime. 
How many mg do you take? How often and do you feel it benefits you as well as Ranitidine. I’m not sure what to do here tbh! Please help!</t>
        </is>
      </c>
      <c r="D3911" t="n">
        <v>1</v>
      </c>
      <c r="E3911" t="n">
        <v>5</v>
      </c>
      <c r="F3911">
        <f>HYPERLINK("https://www.reddit.com/r/GERD/comments/e5ttp6/does_anyone_take_pepcidfamotidine_prescriptions/")</f>
        <v/>
      </c>
      <c r="G3911" t="inlineStr">
        <is>
          <t>2019-12-03 20:31:35</t>
        </is>
      </c>
      <c r="H3911" t="inlineStr"/>
    </row>
    <row r="3912">
      <c r="A3912" t="inlineStr">
        <is>
          <t>e5uxvc</t>
        </is>
      </c>
      <c r="B3912" t="inlineStr">
        <is>
          <t>Water Brash - How does it feel like?</t>
        </is>
      </c>
      <c r="C3912" t="inlineStr">
        <is>
          <t>Hello,
Wanted to know how is your water brash feel like. I searched online but there seems to be more limited information on water brash and Gerd. Water Brash is my only symptom, it feels like small amount of liquid is stuck somewhere in the back of my mouth (between my mouth and throat) and not matter how much I swallow it does not got away. It is usually tasteless, but sometimes it has unpleasant taste (it was sour/bitter, until I gave up on meat). For me it comes in waves, few days of water brash then it disappears for few days and then it starts again. I am not taking any medications as medications seemed to make it worst (When I was on medications, I almost did not have liquid, but had very sour/bitter taste).</t>
        </is>
      </c>
      <c r="D3912" t="n">
        <v>1</v>
      </c>
      <c r="E3912" t="n">
        <v>6</v>
      </c>
      <c r="F3912">
        <f>HYPERLINK("https://www.reddit.com/r/GERD/comments/e5uxvc/water_brash_how_does_it_feel_like/")</f>
        <v/>
      </c>
      <c r="G3912" t="inlineStr">
        <is>
          <t>2019-12-03 22:11:34</t>
        </is>
      </c>
      <c r="H3912" t="inlineStr"/>
    </row>
    <row r="3913">
      <c r="A3913" t="inlineStr">
        <is>
          <t>e5vkdj</t>
        </is>
      </c>
      <c r="B3913" t="inlineStr">
        <is>
          <t>Did anyone else have to get a ct scan related to their GERD?</t>
        </is>
      </c>
      <c r="C3913" t="inlineStr">
        <is>
          <t>And i was also curious if anyone else can’t sleep cause of how nauseous i get at night and any recommendations to avoid that</t>
        </is>
      </c>
      <c r="D3913" t="n">
        <v>1</v>
      </c>
      <c r="E3913" t="n">
        <v>2</v>
      </c>
      <c r="F3913">
        <f>HYPERLINK("https://www.reddit.com/r/GERD/comments/e5vkdj/did_anyone_else_have_to_get_a_ct_scan_related_to/")</f>
        <v/>
      </c>
      <c r="G3913" t="inlineStr">
        <is>
          <t>2019-12-03 23:13:42</t>
        </is>
      </c>
      <c r="H3913" t="inlineStr"/>
    </row>
    <row r="3914">
      <c r="A3914" t="inlineStr">
        <is>
          <t>e5xb65</t>
        </is>
      </c>
      <c r="B3914" t="inlineStr">
        <is>
          <t>Ran out of my acid reflux medication</t>
        </is>
      </c>
      <c r="C3914" t="inlineStr">
        <is>
          <t>So I'm currently in Washington State, visiting family for a a week and a half and I ran out of my acid reflux medication a few days ago. The heartburn just now hit me today and I am feeling the burn! Kill me now, please.</t>
        </is>
      </c>
      <c r="D3914" t="n">
        <v>1</v>
      </c>
      <c r="E3914" t="n">
        <v>10</v>
      </c>
      <c r="F3914">
        <f>HYPERLINK("https://www.reddit.com/r/GERD/comments/e5xb65/ran_out_of_my_acid_reflux_medication/")</f>
        <v/>
      </c>
      <c r="G3914" t="inlineStr">
        <is>
          <t>2019-12-04 02:29:19</t>
        </is>
      </c>
      <c r="H3914" t="inlineStr"/>
    </row>
    <row r="3915">
      <c r="A3915" t="inlineStr">
        <is>
          <t>e5ykix</t>
        </is>
      </c>
      <c r="B3915" t="inlineStr">
        <is>
          <t>Nighttime Mucus</t>
        </is>
      </c>
      <c r="C3915" t="inlineStr">
        <is>
          <t>I wondered if this rings any bells with anyone...
I often wake up with a tight chest, diagnosed with asthma and LPR 6 months ago, GERD 3 years ago. Cough up lots of mucus first thing - I’d be lying if I said I wasn’t still a smoker, but I’m working on it. After reading this forum I’ve been taking Gaviscon Advance before bed as well as ranitidine (PPIs don’t agree with me, taking my chances with the H2 for now), and there’s been a big improvement in both the amount of funk coughed up and the chest tightness.
No improvement though of other nocturnal symptoms - pins and needles in my arm and chest, arrhythmias when waking up, pain on my left side abdomen and under the ribs. Cardiology results all normal, no diabetes, no deficiencies that I know of, though I’m having bloods redone this week for B12 etc. Had an endoscopy 3 years ago and they found H Pylori but no hint of cancer or anything. I have dropped 10kg since coming off Omeprazoke a year ago, but that has just taken me back to the weight I was 5 years ago.
I thought taking care of the cough might help everything else, so am a little disappointed. I’ve also been prescribed amitryptaline but I’m holding out for the blood results before starting (arrhythmias making me nervous about that too). Has anyone had any benefit from those kinds of meds and GERD/LPR?
Thanks!</t>
        </is>
      </c>
      <c r="D3915" t="n">
        <v>1</v>
      </c>
      <c r="E3915" t="n">
        <v>3</v>
      </c>
      <c r="F3915">
        <f>HYPERLINK("https://www.reddit.com/r/GERD/comments/e5ykix/nighttime_mucus/")</f>
        <v/>
      </c>
      <c r="G3915" t="inlineStr">
        <is>
          <t>2019-12-04 04:33:41</t>
        </is>
      </c>
      <c r="H3915" t="inlineStr"/>
    </row>
    <row r="3916">
      <c r="A3916" t="inlineStr">
        <is>
          <t>e5z1lj</t>
        </is>
      </c>
      <c r="B3916" t="inlineStr">
        <is>
          <t>Zantac and generic Ranitidine got pulled from local grocery</t>
        </is>
      </c>
      <c r="C3916" t="inlineStr">
        <is>
          <t>I depended so much on this for instant relief but got pulled by FDA to investigate 
What’s the next best option that works for y’all?</t>
        </is>
      </c>
      <c r="D3916" t="n">
        <v>1</v>
      </c>
      <c r="E3916" t="n">
        <v>7</v>
      </c>
      <c r="F3916">
        <f>HYPERLINK("https://www.reddit.com/r/GERD/comments/e5z1lj/zantac_and_generic_ranitidine_got_pulled_from/")</f>
        <v/>
      </c>
      <c r="G3916" t="inlineStr">
        <is>
          <t>2019-12-04 05:14:40</t>
        </is>
      </c>
      <c r="H3916" t="inlineStr"/>
    </row>
    <row r="3917">
      <c r="A3917" t="inlineStr">
        <is>
          <t>e5z8sq</t>
        </is>
      </c>
      <c r="B3917" t="inlineStr">
        <is>
          <t>I'm doing it. I'm going to have a cup of coffee.</t>
        </is>
      </c>
      <c r="C3917" t="inlineStr">
        <is>
          <t>So, some background - in February 2019 (nearly ten months ago), I had an acid reflux episode after a huge dinner with wine and heavy chocolate cake, followed by coffee in the morning at work the next day. I had never had reflux before.
I wasn't diagnosed with anything, other than that it seems I produce more stomach acid than the average person. I went on rabeprazole for 2 months and went on a strict diet. Slowly since then I've added foods and drinks back in. 
I now have a cup of black tea nearly every day at work, and sometimes I'll have a little bit of pop (soda for you Americans). And I have the odd beer. So, there's obviously acidity there. I'm mostly burn-free after these drinks which is good.
I haven't attempted coffee since February. My doctor recently said I can try it. I'm excited because I love coffee, but I'm also nervous to take the plunge and try it again, because it's obviously closely associated with my GERD-like episode. 
I'm going to try decaf on Saturday just as a start. And I'm not going to eat or drink anything acidic in the few days leading up to Saturday. Do you guys think this strategy makes sense?
Thanks.</t>
        </is>
      </c>
      <c r="D3917" t="n">
        <v>1</v>
      </c>
      <c r="E3917" t="n">
        <v>5</v>
      </c>
      <c r="F3917">
        <f>HYPERLINK("https://www.reddit.com/r/GERD/comments/e5z8sq/im_doing_it_im_going_to_have_a_cup_of_coffee/")</f>
        <v/>
      </c>
      <c r="G3917" t="inlineStr">
        <is>
          <t>2019-12-04 05:31:03</t>
        </is>
      </c>
      <c r="H3917" t="inlineStr"/>
    </row>
    <row r="3918">
      <c r="A3918" t="inlineStr">
        <is>
          <t>e5zxbf</t>
        </is>
      </c>
      <c r="B3918" t="inlineStr">
        <is>
          <t>Fasting to help healing?</t>
        </is>
      </c>
      <c r="C3918" t="inlineStr">
        <is>
          <t>I’ve been healing, I can feel it and I even had a few days where I felt “normal”, but after eating a larger than average chicken breast for dinner and swallowing a little toothpaste spit accidentally the next morning and eating white bread to try and help it, I find myself in the funk again. I think it’s only a minor setback but I want to try and get back to those “normal” days ASAP and I was wondering if giving my gut a break for a day might help? 
Has anyone done a full day fast? I know we’re all different but I feel like there’s probably a consensus on fasting and gerd and I just haven’t figured it out yet.
Thanks.</t>
        </is>
      </c>
      <c r="D3918" t="n">
        <v>1</v>
      </c>
      <c r="E3918" t="n">
        <v>8</v>
      </c>
      <c r="F3918">
        <f>HYPERLINK("https://www.reddit.com/r/GERD/comments/e5zxbf/fasting_to_help_healing/")</f>
        <v/>
      </c>
      <c r="G3918" t="inlineStr">
        <is>
          <t>2019-12-04 06:22:57</t>
        </is>
      </c>
      <c r="H3918" t="inlineStr"/>
    </row>
    <row r="3919">
      <c r="A3919" t="inlineStr">
        <is>
          <t>e60l11</t>
        </is>
      </c>
      <c r="B3919" t="inlineStr">
        <is>
          <t>The Essential Truth behind acid reflux and healing it</t>
        </is>
      </c>
      <c r="C3919" t="inlineStr">
        <is>
          <t>While some people are starting to have deeper insights, this community needs to focus more on the bigger picture.  
During my 5 years of dealing with acid reflux I have gone through many stages with ups and downs.   
Let me go through again some of these stages with you, until the last stage which holds ***the true key.***   
\- During the first 4 months I fell into the mistake of synthetic "medications" (PPI, omeprazole etc..), then I understood that this will make it all worse on a long term basis. For now this is nothing new to most people here.  
\- Then I started changing my diet. There were some very positive changes as I abandonned all the junk (it may suck at first but eventually you will never want to go back on such industrial toxic heavy foods). However I then fell into the trap of orthorexia : both the separate trials of keto diets and then raw diets were way to extreme for my body. I then understood that it was a lot healthier to have some slight reflux and eat a balanced mid-carb diet (little cereals, veggies, tiny amounts of fish, ACV, lemon water), than to suffer from malnourishment and it's weight-loss  and brain fog. Indeed we will see later on, whether you like it or not, that acid reflux is a **deeply intelligent reponse** from the body.  
\- Then I had the insight - that some of you are realizing - that anxiety and stress increases acid reflux. Hence having a balanced working schedule (not overworking, especially at night!), getting into yoga, meditation and fresh air exercises will help lower the amounts of stress. My acid reflux was very different between exam periods and during the holidays.  
\- However this still does not adress the real cause. Now, **here is the root of this issue.** (Even in more extreme cases).  
The origin of acid reflux is often an emotional trauma - a crystallized memory - which has condensed in the stomach region of the body : sometimes the lower guts and sometimes the solar plexus (where this accumulation of blocked vital energy may create a hiatal hernia). This all falls into place once you study the real symbolism of the human body. The head region symbolizes the mental center (masculine solar principle), the stomach represents the emotional center (feminine lunar principle) and the heart represents the union and balance of these two polaries. Now, with a balanced and healthy human being, their emotions flow spontaneously out of the gut, get expressed and are then recycled by the earth as "compost" (exactly like the food cycle, only on a more subtle level). When these emotions get supressed, then it creates an issue with recycling (the plastic in the sea mirrors this on the collective scale : an accumulation of garbage).    
You might ask how can we start healing and clearing up this emotional bubble ? I have been able to clear many such blockages. This requires deep healing sessions where one is willing to dive into their unconscious mind to retrieve and express the lost memories. For instance deep focused attention and breathing focused on the gut region), then this focused attention and breathing creates a flow of energy that will dig out some emotional memories and this is where **the true miracle starts** :  a massive fountain of long repressed emotions will start flooding out...in some cases people may cry for several hours. It is then obvious that a profound healing mecanism has started : heavy weights have been lifted from the belt of the gut : your energy does not feel the same afterwards. Most of the time we spend our lifes stuck in our heads and the attention never gets to descend towards the gut region : we will do anything to distract ourselves to avoid  being present with ourselves and having the confront the pain.   
**True Healing is facing the pain here and now.**  
Sometimes one has to have the courage to descend underground into the sewers and manually clear the blockages if they want to prevent the formation of a serious disease in a later stage of their lifes.   
**How to accelerate this emotional healing process?**  Here are several techniques :  
\- Holotropic breathing (also done in groups) is known to efficiently open  the doors of the unconscious.  
\- Being in the presence of a highly sensitive empath experienced healer helps a lot. Indeed this is simple maths : you are doubling the energetic field of presence. I have personally experienced **miracles** with such people.   
\- Others tools that provide clean altered states of consciousness in the alpha range (ONLY for those who have an adapted body type for these tools).   
There is hope. Trust Nature and Trust your body. Good luck on your healing journey.</t>
        </is>
      </c>
      <c r="D3919" t="n">
        <v>1</v>
      </c>
      <c r="E3919" t="n">
        <v>4</v>
      </c>
      <c r="F3919">
        <f>HYPERLINK("https://www.reddit.com/r/GERD/comments/e60l11/the_essential_truth_behind_acid_reflux_and/")</f>
        <v/>
      </c>
      <c r="G3919" t="inlineStr">
        <is>
          <t>2019-12-04 07:10:41</t>
        </is>
      </c>
      <c r="H3919" t="inlineStr"/>
    </row>
    <row r="3920">
      <c r="A3920" t="inlineStr">
        <is>
          <t>e60siu</t>
        </is>
      </c>
      <c r="B3920" t="inlineStr">
        <is>
          <t>Taking Pepcid AC during the day along with my PPI to get symptoms under control.</t>
        </is>
      </c>
      <c r="C3920" t="inlineStr">
        <is>
          <t>Hello everyone, it seems like the Prilosec stopped working like it used too and I have to include a h2 blocker for more relief during a flare up. Anybody else ever encounter this?</t>
        </is>
      </c>
      <c r="D3920" t="n">
        <v>1</v>
      </c>
      <c r="E3920" t="n">
        <v>22</v>
      </c>
      <c r="F3920">
        <f>HYPERLINK("https://www.reddit.com/r/GERD/comments/e60siu/taking_pepcid_ac_during_the_day_along_with_my_ppi/")</f>
        <v/>
      </c>
      <c r="G3920" t="inlineStr">
        <is>
          <t>2019-12-04 07:25:31</t>
        </is>
      </c>
      <c r="H3920" t="inlineStr"/>
    </row>
    <row r="3921">
      <c r="A3921" t="inlineStr">
        <is>
          <t>e66po0</t>
        </is>
      </c>
      <c r="B3921" t="inlineStr">
        <is>
          <t>No matter what I eat; I consistently experience intense symptoms for at least 4 hours. Like clockwork.</t>
        </is>
      </c>
      <c r="C3921" t="inlineStr">
        <is>
          <t>Does this happen to you?</t>
        </is>
      </c>
      <c r="D3921" t="n">
        <v>1</v>
      </c>
      <c r="E3921" t="n">
        <v>17</v>
      </c>
      <c r="F3921">
        <f>HYPERLINK("https://www.reddit.com/r/GERD/comments/e66po0/no_matter_what_i_eat_i_consistently_experience/")</f>
        <v/>
      </c>
      <c r="G3921" t="inlineStr">
        <is>
          <t>2019-12-04 13:58:29</t>
        </is>
      </c>
      <c r="H3921" t="inlineStr"/>
    </row>
    <row r="3922">
      <c r="A3922" t="inlineStr">
        <is>
          <t>e67u79</t>
        </is>
      </c>
      <c r="B3922" t="inlineStr">
        <is>
          <t>If I sometimes have no symptoms when I should, is my problem still GERD?</t>
        </is>
      </c>
      <c r="C3922" t="inlineStr">
        <is>
          <t>I have a cough that often leads to puking. Doctors gave me meds and diet restriction, these have helped some but only maybe 20% improvement. The weird thing is sometimes I can gorge myself on a ton of the bad foods and nothing happens, and then I eat an apple and Im coughing and regurgitating 4 hours later (im noting the time because I would think if it was the apple it would have happened sooner)</t>
        </is>
      </c>
      <c r="D3922" t="n">
        <v>1</v>
      </c>
      <c r="E3922" t="n">
        <v>3</v>
      </c>
      <c r="F3922">
        <f>HYPERLINK("https://www.reddit.com/r/GERD/comments/e67u79/if_i_sometimes_have_no_symptoms_when_i_should_is/")</f>
        <v/>
      </c>
      <c r="G3922" t="inlineStr">
        <is>
          <t>2019-12-04 15:15:48</t>
        </is>
      </c>
      <c r="H3922" t="inlineStr"/>
    </row>
    <row r="3923">
      <c r="A3923" t="inlineStr">
        <is>
          <t>e693ww</t>
        </is>
      </c>
      <c r="B3923" t="inlineStr">
        <is>
          <t>Does anyone else find it really hard to enjoy things anymore?</t>
        </is>
      </c>
      <c r="C3923" t="inlineStr">
        <is>
          <t>I used to live food so much but since I changed over to non-trigger food and drink I hate everything I eat. I know it’s healthier but goddammit I want a kebab</t>
        </is>
      </c>
      <c r="D3923" t="n">
        <v>1</v>
      </c>
      <c r="E3923" t="n">
        <v>14</v>
      </c>
      <c r="F3923">
        <f>HYPERLINK("https://www.reddit.com/r/GERD/comments/e693ww/does_anyone_else_find_it_really_hard_to_enjoy/")</f>
        <v/>
      </c>
      <c r="G3923" t="inlineStr">
        <is>
          <t>2019-12-04 16:49:11</t>
        </is>
      </c>
      <c r="H3923" t="inlineStr"/>
    </row>
    <row r="3924">
      <c r="A3924" t="inlineStr">
        <is>
          <t>e6ap3y</t>
        </is>
      </c>
      <c r="B3924" t="inlineStr">
        <is>
          <t>Talking to my doctor- Anxiety &amp;amp; Stress</t>
        </is>
      </c>
      <c r="C3924" t="inlineStr">
        <is>
          <t>So I have been managing GERD for about a decade now. Last year, I tried to wean off omeprazole and struggled, so I went to my GI. He had me go through and endoscopy and basically told me I had to take PPis for life. He didn’t find any esophagitis or anything serious. Just a small hernia and gastritis. 
I continued to manage my GERD, with flare ups occurring if I ate too much greasy food and drank alcohol. 
Fast forward to a couple months ago. I was going through a very stressful period of time in my life and was experiencing a significant amount of anxiety. One night, I developed severe heartburn and regurgitation. I couldn’t swallow and was in horrible pain. This continued for about 36 hours. I went to the ER because I didn’t know what to do and was terrified. My nerves were shot. At the hospital, I was given a GI cocktail and 2mg of lorazepam. They sent me home with zofran and  a 1mg lorazepam prescription. For about 3 days, I felt back to normal. I wasn’t taking anything but my PPi. But then one night, after experiencing prolonged stress, I had the same symptoms reoccur. I decided at that point to try taking .5mg of lorazepam to see if it helped. Turns out it did. My symptoms went away and I felt back to normal. I was careful with my diet the next few days but the heartburn and difficulty swallowing stopped. I ended up taking lorazepam for about 2 weeks and I tapered the last few days. Those were the last days I’ve been completely symptom free. 
Since then, any level of stress sets off my symptoms. Even when I feel relaxed and not stressed, I have symptoms. I’ve gotten my anxiety under control although now I’m anxious about my symptoms all the time. I’m at the point where I have heartburn daily, almost all day. 
 I’ve used some lorazepam here and there when things get too severe and feel almost immediate relief. I’ve tried to talk to my doctor about this but they seem to disregard the stress and anxiety connection. One doctor basically dismissed it so I switched to another. This one wants me to get another endoscopy done along with a Bravo test and a manometry. 
Has anyone here experienced severe, unmanageable GERD because of anxiety or stress? Were your doctors understanding and willing to explore options beyond the typical treatments? I am already on buspar for anxiety. Even when my symptoms persisted and got worse, we tried Increasing my dosage but my GI symptoms just continued. 
I am starting to lose hope. I am afraid the doctors are going to suggest surgery and yet it won’t work.</t>
        </is>
      </c>
      <c r="D3924" t="n">
        <v>1</v>
      </c>
      <c r="E3924" t="n">
        <v>16</v>
      </c>
      <c r="F3924">
        <f>HYPERLINK("https://www.reddit.com/r/GERD/comments/e6ap3y/talking_to_my_doctor_anxiety_stress/")</f>
        <v/>
      </c>
      <c r="G3924" t="inlineStr">
        <is>
          <t>2019-12-04 18:50:33</t>
        </is>
      </c>
      <c r="H3924" t="inlineStr"/>
    </row>
    <row r="3925">
      <c r="A3925" t="inlineStr">
        <is>
          <t>e6awlf</t>
        </is>
      </c>
      <c r="B3925" t="inlineStr">
        <is>
          <t>LPR is Ruining My Life</t>
        </is>
      </c>
      <c r="C3925" t="inlineStr">
        <is>
          <t>I'm very happy that I found this subreddit. For 2.5 years now, I've been unable to swallow properly, I can't sleep other than on my back (which limits my sleep), and I can't go 5 minutes without clearing my throat. It's affecting every aspect of my life. I went to a doctor who suggested that there was nothing in my throat and it was all in my head. I didn't know what LPR was until I stumbled upon a couple of posts here and self-diagnosed. Hopefully once I scour this subreddit I'll find a treatment that works for me...</t>
        </is>
      </c>
      <c r="D3925" t="n">
        <v>1</v>
      </c>
      <c r="E3925" t="n">
        <v>4</v>
      </c>
      <c r="F3925">
        <f>HYPERLINK("https://www.reddit.com/r/GERD/comments/e6awlf/lpr_is_ruining_my_life/")</f>
        <v/>
      </c>
      <c r="G3925" t="inlineStr">
        <is>
          <t>2019-12-04 19:06:16</t>
        </is>
      </c>
      <c r="H3925" t="inlineStr"/>
    </row>
    <row r="3926">
      <c r="A3926" t="inlineStr">
        <is>
          <t>e6bf6j</t>
        </is>
      </c>
      <c r="B3926" t="inlineStr">
        <is>
          <t>Looks like the fix for GERD could be sooner rather than later</t>
        </is>
      </c>
      <c r="C3926" t="inlineStr">
        <is>
          <t>Since I do research and work with doctors here in the med center, I am able to get info before others. Now it’s not a for sure thing just yet, but it looks like the “cure” if you will, is going to be a medication. I’ll update when I have more info.</t>
        </is>
      </c>
      <c r="D3926" t="n">
        <v>1</v>
      </c>
      <c r="E3926" t="n">
        <v>14</v>
      </c>
      <c r="F3926">
        <f>HYPERLINK("https://www.reddit.com/r/GERD/comments/e6bf6j/looks_like_the_fix_for_gerd_could_be_sooner/")</f>
        <v/>
      </c>
      <c r="G3926" t="inlineStr">
        <is>
          <t>2019-12-04 19:46:27</t>
        </is>
      </c>
      <c r="H3926" t="inlineStr"/>
    </row>
    <row r="3927">
      <c r="A3927" t="inlineStr">
        <is>
          <t>e6ddok</t>
        </is>
      </c>
      <c r="B3927" t="inlineStr">
        <is>
          <t>Vomiting and diarrhea - is this GERD?</t>
        </is>
      </c>
      <c r="C3927" t="inlineStr">
        <is>
          <t>Hi all,
Hoping someone can help. I’m feeling much better than earlier but for the past few hours after taking gas-x and lactaid (not sure if I’m lactose intolerant yet, just guessing because most of my family is) I started getting extremely nauseated. These pills have been working wonders for me for the past few weeks so I assumed it was from what I ate. But then I started vomiting against my will which GERD has never done to me. I literally threw up everything I ate today and only started feeling slightly better after I could feel a pill come out. My nausea and light headed was wavered for the next hour and then I started having liquid diarrhea which I have never had before. Is gas-x a laxative??? I took about 4 pills today (which is the limit) but I’m not sure if I got food poisoning or if it was the pills. I know my typical GERD symptoms and these weren’t it. What do you guys think?</t>
        </is>
      </c>
      <c r="D3927" t="n">
        <v>1</v>
      </c>
      <c r="E3927" t="n">
        <v>0</v>
      </c>
      <c r="F3927">
        <f>HYPERLINK("https://www.reddit.com/r/GERD/comments/e6ddok/vomiting_and_diarrhea_is_this_gerd/")</f>
        <v/>
      </c>
      <c r="G3927" t="inlineStr">
        <is>
          <t>2019-12-04 22:42:51</t>
        </is>
      </c>
      <c r="H3927" t="inlineStr"/>
    </row>
    <row r="3928">
      <c r="A3928" t="inlineStr">
        <is>
          <t>e6de8a</t>
        </is>
      </c>
      <c r="B3928" t="inlineStr">
        <is>
          <t>Anyone else have visual snow?</t>
        </is>
      </c>
      <c r="C3928" t="inlineStr">
        <is>
          <t>My visual snow started after 3 months of having gerd. My gerd isn’t as bad anymore but the visual snow, after images, trailing and tinnitus have gotten worse. Does anyone else experience visual snow, after images or paliopsnia</t>
        </is>
      </c>
      <c r="D3928" t="n">
        <v>1</v>
      </c>
      <c r="E3928" t="n">
        <v>4</v>
      </c>
      <c r="F3928">
        <f>HYPERLINK("https://www.reddit.com/r/GERD/comments/e6de8a/anyone_else_have_visual_snow/")</f>
        <v/>
      </c>
      <c r="G3928" t="inlineStr">
        <is>
          <t>2019-12-04 22:44:22</t>
        </is>
      </c>
      <c r="H3928" t="inlineStr"/>
    </row>
    <row r="3929">
      <c r="A3929" t="inlineStr">
        <is>
          <t>e6inbg</t>
        </is>
      </c>
      <c r="B3929" t="inlineStr">
        <is>
          <t>I used to be healthy</t>
        </is>
      </c>
      <c r="C3929" t="inlineStr">
        <is>
          <t>When I turned 22 I got heartburn for the first time, intense chest pains took me to the ground, so i went to the doctor when it didn't go away, he said I had acid reflux, take some prilosec 40mg. After a month with no improvement he switched it to Nexium 40mg and it helped but I still had symptoms daily, so when I was 23 I had a full Nissen (stomach wrapped around esophagus) done.  This worked for 3 weeks without ppi's.  Then the intense pain came back and I went back on Nexium 40mg.  The mixture seemed to cure my symptoms except every fall I get heartburn again,  the main issue is that now I've developed ibs because of the Nexium, I've been in the hospital 6 times since I was 24 for small bowel obstructions, and countless doctors have told me it's just ibs.  "We don't really understand this disease very well" they've all said to me, it's the same answer they gave me for gerd.  Why did my esophagus decide to stop working 1 day?  Was it something I did?  No one else in my family has this problem.  I just feel like I can't live with the ppi's and can't live without them.  I'm 27 now and don't want to be paying crazy emergency room bill's anymore.  I'm afraid to go on vacation because what if.... I'm sick of being in pain all the time, I don't think I've felt actual comfort in 5 years.  Does anyone else feel this way?</t>
        </is>
      </c>
      <c r="D3929" t="n">
        <v>1</v>
      </c>
      <c r="E3929" t="n">
        <v>4</v>
      </c>
      <c r="F3929">
        <f>HYPERLINK("https://www.reddit.com/r/GERD/comments/e6inbg/i_used_to_be_healthy/")</f>
        <v/>
      </c>
      <c r="G3929" t="inlineStr">
        <is>
          <t>2019-12-05 07:24:30</t>
        </is>
      </c>
      <c r="H3929" t="inlineStr"/>
    </row>
    <row r="3930">
      <c r="A3930" t="inlineStr">
        <is>
          <t>e6ji8f</t>
        </is>
      </c>
      <c r="B3930" t="inlineStr">
        <is>
          <t>GERD/LPR and asthma-like symptoms</t>
        </is>
      </c>
      <c r="C3930" t="inlineStr">
        <is>
          <t>There are some commonalities I'm seeing among a sub-section of people here that I also happen to share. I would love to hear from you if you've had experience that matches the following.
It goes like this:
* LPR causes a range of symptoms, including some that mimic respiratory illnesses. Things like shortness of breath, coughing, hacking, wheezing and even coughing up small amounts of phlegm occasionally
* Anxiety is a component of this phenomena. 
* This anxiety attaches itself to a fear that the LPR symptoms mean something dire is happening to us. This ranges from heart problems to lung problems and other chronic illnesses. 
* Each new symptom seems to worsen the anxiety, making the LPR worse and we continue the vicious circle. 
"It can't be simple acid reflux," we think. "I must be something more."
Now, if you're like me, you've probably been to doctors, specialists and even the ER on more than one occasion. Probably several times. I'm my case, multiple times. 
I get to a point where I am CONVINCED that I have something terribly wrong with me. (Not that LPR isn't terrible, but you know what I mean). The anxiety becomes fear, which becomes grim certainty and depression. I literally accept that I have something that will end my life in the next decade. This finally sends me to the doctors for confirmation. 
Last fall, I was convinced that my heart palpitations and skipped beats meant I was having heart failure/heart attack. Several rounds of tests later and the doctors found no problems, normal EKG, zero calcium score, etc.
For the past two years, shortness of breath, tingling fingers, a chronic cough and windedness have convinced me that my history of smoking (I quit in 2012, but then ran four marathons) has led me to a chronic lung condition. I've been to 2 pulmonologists, taken 3 spirometry breathing tests, had several lung x-rays and had them listen to my lungs dozens of times -- all is within the range of normal. Clear and fine, they say,
More and more research seems to be coming out that LPR can cause/exacerbate or mimic certain lung conditions. This alternately gives me hope but also excites more anxiety that I could be causing damage to my lungs that is yet undetected.
I am on PPIs (are they actually bad for LPR? It's all so confusing). I take Gaviscon UK when I'm home before bed. I am also on Prozac/Xanax for anxiety, as well as Symbicort inhaler 2x/day. The bed at my house is on an incline (though not at my apartment in the city or at the hotel I'm staying at in LA for a video shoot I'm on).  I have also scheduled a program with a nutritionist/weight loss program to lose the 60 pounds I've put on over the last 6 years. 
Anyway, if you have similar symptoms/anxieties described above, I'd love to hear from you.</t>
        </is>
      </c>
      <c r="D3930" t="n">
        <v>1</v>
      </c>
      <c r="E3930" t="n">
        <v>11</v>
      </c>
      <c r="F3930">
        <f>HYPERLINK("https://www.reddit.com/r/GERD/comments/e6ji8f/gerdlpr_and_asthmalike_symptoms/")</f>
        <v/>
      </c>
      <c r="G3930" t="inlineStr">
        <is>
          <t>2019-12-05 08:24:41</t>
        </is>
      </c>
      <c r="H3930" t="inlineStr"/>
    </row>
    <row r="3931">
      <c r="A3931" t="inlineStr">
        <is>
          <t>e6k7xj</t>
        </is>
      </c>
      <c r="B3931" t="inlineStr">
        <is>
          <t>Having a rough day, everything bloats me.</t>
        </is>
      </c>
      <c r="C3931" t="inlineStr">
        <is>
          <t>For some reason I can’t eat anything without discomfort today. I’m on day two of recovering from some kind of episode and I just started on Pepcid twice a day to heal up fast, but most of my symptoms are in my throat and the occasional pepto or tums feels like it helps but I think it’s making my already weak stomach sour. I haven’t had much to eat in the last two days because even oatmeal seems to start it up again. So now I have to choose between making the gut worse to sooth the throat I guess or let the throat suffer to sooth the stomach. 
Any suggestions?</t>
        </is>
      </c>
      <c r="D3931" t="n">
        <v>1</v>
      </c>
      <c r="E3931" t="n">
        <v>3</v>
      </c>
      <c r="F3931">
        <f>HYPERLINK("https://www.reddit.com/r/GERD/comments/e6k7xj/having_a_rough_day_everything_bloats_me/")</f>
        <v/>
      </c>
      <c r="G3931" t="inlineStr">
        <is>
          <t>2019-12-05 09:14:35</t>
        </is>
      </c>
      <c r="H3931" t="inlineStr"/>
    </row>
    <row r="3932">
      <c r="A3932" t="inlineStr">
        <is>
          <t>e6k9gp</t>
        </is>
      </c>
      <c r="B3932" t="inlineStr">
        <is>
          <t>Diagnosed with GERD at 1 month postpartum</t>
        </is>
      </c>
      <c r="C3932" t="inlineStr">
        <is>
          <t>Hi there, 
I was just unofficially diagnosed with GERD after taking a slough of medications after birth of my 2nd son. My main symptom is burping CONSTANTLY, though I now can taste acid in my mouth and my throat occasionally burns at the back of my throat. I also get the feeling the acid is making its way up into my sinuses, because I have tenderness and burning in my nose and tenderness in my cheeks, especially on my left side, which is the side I sleep on. I also have chest pain and sometimes back pain. I'm already raising my bed, eating SUPER clean, but still not experiencing much relief. I just started an SSRI which I feel is making it worse.
First-- is it for sure I have GERD? I am asking my doctor to please refer me to a GI so I can find out for sure. And any success stories? I'm feeling really bummed right now about the lifestyle changes. Thanks so much.</t>
        </is>
      </c>
      <c r="D3932" t="n">
        <v>1</v>
      </c>
      <c r="E3932" t="n">
        <v>6</v>
      </c>
      <c r="F3932">
        <f>HYPERLINK("https://www.reddit.com/r/GERD/comments/e6k9gp/diagnosed_with_gerd_at_1_month_postpartum/")</f>
        <v/>
      </c>
      <c r="G3932" t="inlineStr">
        <is>
          <t>2019-12-05 09:17:30</t>
        </is>
      </c>
      <c r="H3932" t="inlineStr"/>
    </row>
    <row r="3933">
      <c r="A3933" t="inlineStr">
        <is>
          <t>e6kvrb</t>
        </is>
      </c>
      <c r="B3933" t="inlineStr">
        <is>
          <t>Anyone cure their LPR with surgery?</t>
        </is>
      </c>
      <c r="C3933" t="inlineStr">
        <is>
          <t>Really want to know if anyone has successfully cured their LPR with any surgery’s. Been struggling for about 5 months now. PPIs work a little and I had a couple weeks symptom free. But I always seem to flare back up and I’m just sick and tired of it. It’s physically exhausting. And now sleeping with my bed raised up is causing me very bad back and neck pain and not sure how much longer I will be able to sleep like this. Down to just 3 hours of sleep a night now.</t>
        </is>
      </c>
      <c r="D3933" t="n">
        <v>1</v>
      </c>
      <c r="E3933" t="n">
        <v>18</v>
      </c>
      <c r="F3933">
        <f>HYPERLINK("https://www.reddit.com/r/GERD/comments/e6kvrb/anyone_cure_their_lpr_with_surgery/")</f>
        <v/>
      </c>
      <c r="G3933" t="inlineStr">
        <is>
          <t>2019-12-05 10:00:26</t>
        </is>
      </c>
      <c r="H3933" t="inlineStr"/>
    </row>
    <row r="3934">
      <c r="A3934" t="inlineStr">
        <is>
          <t>e6n2s4</t>
        </is>
      </c>
      <c r="B3934" t="inlineStr">
        <is>
          <t>Silent GERD reappeared after a year or two of dormancy</t>
        </is>
      </c>
      <c r="C3934" t="inlineStr">
        <is>
          <t>So, I quit eating meat and fatty foods. That seems to have done the trick for me. This has mitigated the effects of Silent GERD to the point where I'm not really conscious of having it anymore.
That all stopped last Tuesday. The feeling has returned, although slightly changed. There's a lump at my throat, but now it feels more like mucus? (sorry, gross) And also, I have lots and lots of saliva, in constant need of swallowing.
This is all very perplexing. I haven't changed my diet really at all. Could this be a sinus thing? Has anyone had any success with those sinus bath / cleanser bottles? I forget the name now, Neil something something.
Pepsi Max didn't really effect me, in fact, it often felt like it was helping me, but I've even quit the Pepsi in the hopes that that might be the cause, even though I've been drinking it like a demon for years?</t>
        </is>
      </c>
      <c r="D3934" t="n">
        <v>1</v>
      </c>
      <c r="E3934" t="n">
        <v>0</v>
      </c>
      <c r="F3934">
        <f>HYPERLINK("https://www.reddit.com/r/GERD/comments/e6n2s4/silent_gerd_reappeared_after_a_year_or_two_of/")</f>
        <v/>
      </c>
      <c r="G3934" t="inlineStr">
        <is>
          <t>2019-12-05 12:29:26</t>
        </is>
      </c>
      <c r="H3934" t="inlineStr"/>
    </row>
    <row r="3935">
      <c r="A3935" t="inlineStr">
        <is>
          <t>e6o5f4</t>
        </is>
      </c>
      <c r="B3935" t="inlineStr">
        <is>
          <t>Alleviating globus sensation // short term relief, not long term fix?</t>
        </is>
      </c>
      <c r="C3935" t="inlineStr">
        <is>
          <t>I developed what I thought was GERD earlier this year after having sudden frequent acid reflux (throat burning / choking at night). Prior to that onset of the acid reflux, I hadn't had any heartburn symptoms besides excessive burping. I have been on a PPI since October after a GI visit. I did an endoscopy in November and everything has come back normal. 
My doctor wants me to stay on the PPI until January, but I plan to ween off it as quickly as possible after that because I don't think it's doing anything. At this point, my main symptom is just the annoying globus feeling in my throat whenever I eat anything that isn't incredibly plain/simple. I think I just have LPR vs. GERD because I haven't had the standard heartburn symptoms since a bad period that let to the GI visit. My doctor won't do a ph test until I'm off the PPI anyway -- so this is a bit of a guess on my part.
I understand the ways to tackle LPR long term and I'm trying many of them (low acid diet; d-limonene 20 day regimine). However, I haven't found a way to get rid of the globus feeling in the moment. When I feel "acid-y", I can take an antacid. But there's nothing I've found that alleviates the globus feeling besides just waiting a day (or more) for it to go away. Any tips??
**tl;dr -- How do you alleviate the globus feeling in the moment (like how antacids tackle the acid feeling)?**</t>
        </is>
      </c>
      <c r="D3935" t="n">
        <v>1</v>
      </c>
      <c r="E3935" t="n">
        <v>5</v>
      </c>
      <c r="F3935">
        <f>HYPERLINK("https://www.reddit.com/r/GERD/comments/e6o5f4/alleviating_globus_sensation_short_term_relief/")</f>
        <v/>
      </c>
      <c r="G3935" t="inlineStr">
        <is>
          <t>2019-12-05 13:41:24</t>
        </is>
      </c>
      <c r="H3935" t="inlineStr"/>
    </row>
    <row r="3936">
      <c r="A3936" t="inlineStr">
        <is>
          <t>e6ocb3</t>
        </is>
      </c>
      <c r="B3936" t="inlineStr">
        <is>
          <t>Incline bed or adjustable mattress?</t>
        </is>
      </c>
      <c r="C3936" t="inlineStr">
        <is>
          <t>I am going to buy a new mattress in the next few weeks. I’d like to get a bed that I can raise the head to help with my LPR/Gerd. But I’ve seen advice here that inclining the entire bed is better??? Wouldn’t you slide down? 
I’ve been using a wedge pillow with a small pillow under my neck but I always slip down on it and it has caused pain in my neck, low back and hips. 
Won’t the adjustable bed be better than wedge pillow? Should I consider incline? Please help! Thanks!</t>
        </is>
      </c>
      <c r="D3936" t="n">
        <v>1</v>
      </c>
      <c r="E3936" t="n">
        <v>17</v>
      </c>
      <c r="F3936">
        <f>HYPERLINK("https://www.reddit.com/r/GERD/comments/e6ocb3/incline_bed_or_adjustable_mattress/")</f>
        <v/>
      </c>
      <c r="G3936" t="inlineStr">
        <is>
          <t>2019-12-05 13:54:01</t>
        </is>
      </c>
      <c r="H3936" t="inlineStr"/>
    </row>
    <row r="3937">
      <c r="A3937" t="inlineStr">
        <is>
          <t>e6po1c</t>
        </is>
      </c>
      <c r="B3937" t="inlineStr">
        <is>
          <t>On a budget. What are your favourite GERD friendly meals?</t>
        </is>
      </c>
      <c r="C3937" t="inlineStr">
        <is>
          <t>I am also still in the process of finding out what triggers my GERD. Onions, garlic etc common triggers please avoid.</t>
        </is>
      </c>
      <c r="D3937" t="n">
        <v>1</v>
      </c>
      <c r="E3937" t="n">
        <v>18</v>
      </c>
      <c r="F3937">
        <f>HYPERLINK("https://www.reddit.com/r/GERD/comments/e6po1c/on_a_budget_what_are_your_favourite_gerd_friendly/")</f>
        <v/>
      </c>
      <c r="G3937" t="inlineStr">
        <is>
          <t>2019-12-05 15:26:34</t>
        </is>
      </c>
      <c r="H3937" t="inlineStr"/>
    </row>
    <row r="3938">
      <c r="A3938" t="inlineStr">
        <is>
          <t>e6rzod</t>
        </is>
      </c>
      <c r="B3938" t="inlineStr">
        <is>
          <t>How do I even begin to find my triggers?</t>
        </is>
      </c>
      <c r="C3938" t="inlineStr">
        <is>
          <t>I have been dealing with GERD for a couple months now and it ranges from hell to “I might be able to ignore it if I keep distracted enough”. My main issues are a feeling of throat construction and difficulty swallowing, as well as pain behind the breast bone and the occasional classic “burn” sensation”. 
I know that diet is the best change for quality of life, but I have no clue how to find my triggers. 
Especially the inability to swallow doesn’t happen anywhere immediately upon eating, and sometimes I get my worst symptoms the day after. So much time passes between eating and the symptoms that it just doesn’t seem very easy to track cause and effect when I’m eating 2-3 different mini meals before my symptoms either increase or decrease in severity.
The only thing I think has helped has been getting rid of soda and coffee, but even that I’m not so sure about. I tried drinking a flavored tea at work yesterday and it burned the whole way down so I guess that’s out of the question. 
I should also note I’m probably still in the healing stage from my first really bad bout, and I’m not currently seeing a doctor due to lack of insurance. I was diagnosed with GERD by an urgent care clinic about a month ago.</t>
        </is>
      </c>
      <c r="D3938" t="n">
        <v>1</v>
      </c>
      <c r="E3938" t="n">
        <v>9</v>
      </c>
      <c r="F3938">
        <f>HYPERLINK("https://www.reddit.com/r/GERD/comments/e6rzod/how_do_i_even_begin_to_find_my_triggers/")</f>
        <v/>
      </c>
      <c r="G3938" t="inlineStr">
        <is>
          <t>2019-12-05 18:18:31</t>
        </is>
      </c>
      <c r="H3938" t="inlineStr"/>
    </row>
    <row r="3939">
      <c r="A3939" t="inlineStr">
        <is>
          <t>e6svsg</t>
        </is>
      </c>
      <c r="B3939" t="inlineStr">
        <is>
          <t>What do you do when your throat starts closing?</t>
        </is>
      </c>
      <c r="C3939" t="inlineStr">
        <is>
          <t>On omperazole (40mg) and pepcid (40mg) but I've noticed the last week or so that I get these moments where it feels like my throat is completely closing, and I start to get shortness of breath.  Had an endoscopy and ultrasound done recently and found nothing.  Wondering if there is an short term resolution? (I don't know how to identify triggers since i don't get heart burn).</t>
        </is>
      </c>
      <c r="D3939" t="n">
        <v>1</v>
      </c>
      <c r="E3939" t="n">
        <v>21</v>
      </c>
      <c r="F3939">
        <f>HYPERLINK("https://www.reddit.com/r/GERD/comments/e6svsg/what_do_you_do_when_your_throat_starts_closing/")</f>
        <v/>
      </c>
      <c r="G3939" t="inlineStr">
        <is>
          <t>2019-12-05 19:28:20</t>
        </is>
      </c>
      <c r="H3939" t="inlineStr"/>
    </row>
    <row r="3940">
      <c r="A3940" t="inlineStr">
        <is>
          <t>e6tdd8</t>
        </is>
      </c>
      <c r="B3940" t="inlineStr">
        <is>
          <t>Am I the only one?</t>
        </is>
      </c>
      <c r="C3940" t="inlineStr">
        <is>
          <t>I’ve been diagnosed with GERD for 3 years now (22F) and I am almost CERTAIN it is related to stress and anxiety. However, as I’ve moved from 20mg pantoprazole, to 40mg pantoprazole to 60mg Dexilant, my symptom, which is only upper GI pain, doesn’t seem to improve much between different meds and is relatively unpredictable.
And there’s one thing that seems to be bizarre for me re: my symptoms. When I get my pain (which is always right under/behind my sternum) it feels better to lie down, yes, completely flat, which seems to fly in the face of everything that should improve GERD symptoms.
Sometimes, I get pain because I haven’t eaten in long enough (lol ok) and I’ve not been able to target certain foods as making me flare up other than really spicy things. 
I’m worried that I may be misdiagnosed or something else may be going on- but if it really is related to anxiety I thought my antidepressant (started ~2 months ago) and CBT (have been doing for a long time) would have helped. 
Is this a normal way of dealing with symptoms?</t>
        </is>
      </c>
      <c r="D3940" t="n">
        <v>1</v>
      </c>
      <c r="E3940" t="n">
        <v>6</v>
      </c>
      <c r="F3940">
        <f>HYPERLINK("https://www.reddit.com/r/GERD/comments/e6tdd8/am_i_the_only_one/")</f>
        <v/>
      </c>
      <c r="G3940" t="inlineStr">
        <is>
          <t>2019-12-05 20:08:10</t>
        </is>
      </c>
      <c r="H3940" t="inlineStr"/>
    </row>
    <row r="3941">
      <c r="A3941" t="inlineStr">
        <is>
          <t>e6tn31</t>
        </is>
      </c>
      <c r="B3941" t="inlineStr">
        <is>
          <t>Getting rid of breathing problems</t>
        </is>
      </c>
      <c r="C3941" t="inlineStr">
        <is>
          <t>My throat as been irritated for forever from GERD and a lot of the time it feels harder breathing like I sort of have a lump in my throat. I think this is related to my GERD symptoms and I think I really need to start eating better to notice some improvement. For people who have had breathing and throat issues from GERD, how long does it take to go away? Since its been bothering me for well over a month could it take longer to get me back to normal?</t>
        </is>
      </c>
      <c r="D3941" t="n">
        <v>1</v>
      </c>
      <c r="E3941" t="n">
        <v>9</v>
      </c>
      <c r="F3941">
        <f>HYPERLINK("https://www.reddit.com/r/GERD/comments/e6tn31/getting_rid_of_breathing_problems/")</f>
        <v/>
      </c>
      <c r="G3941" t="inlineStr">
        <is>
          <t>2019-12-05 20:31:58</t>
        </is>
      </c>
      <c r="H3941" t="inlineStr"/>
    </row>
    <row r="3942">
      <c r="A3942" t="inlineStr">
        <is>
          <t>e6vf95</t>
        </is>
      </c>
      <c r="B3942" t="inlineStr">
        <is>
          <t>Drinking alcohol with GERD?</t>
        </is>
      </c>
      <c r="C3942" t="inlineStr">
        <is>
          <t>First off, I know we are supposed to avoid it. I haven’t had any alcohol since September (half a can of hard kombucha. Not a fan). I used to drink basic things like white claw and hard ciders just because they taste good. 
I’ve read a lot about what otc meds to take while drinking, so my question is what is the best alcoholic drink for me to have? 
In this future scenario I’d only have one drink just to see how I do. I’m guessing white claw and hard ciders aren’t the best for me after what I read. I’m wondering if something like a gin and tonic is okay. 
How does tonic water make you guys feel? I’ve seen mixed things on it saying it helps expel burps but it’s carbonated. I haven’t tried tonic water since having GERD, so I’m just wondering what the general consensus is. 
I’m just looking to lighten up and have a little fun, but not too much. If I stuck to one drink, what do you recommend?</t>
        </is>
      </c>
      <c r="D3942" t="n">
        <v>1</v>
      </c>
      <c r="E3942" t="n">
        <v>7</v>
      </c>
      <c r="F3942">
        <f>HYPERLINK("https://www.reddit.com/r/GERD/comments/e6vf95/drinking_alcohol_with_gerd/")</f>
        <v/>
      </c>
      <c r="G3942" t="inlineStr">
        <is>
          <t>2019-12-05 23:23:48</t>
        </is>
      </c>
      <c r="H3942" t="inlineStr"/>
    </row>
    <row r="3943">
      <c r="A3943" t="inlineStr">
        <is>
          <t>e6whzb</t>
        </is>
      </c>
      <c r="B3943" t="inlineStr">
        <is>
          <t>Hernia causing GERD or GERD caused hernia?</t>
        </is>
      </c>
      <c r="C3943" t="inlineStr">
        <is>
          <t>I plan to get myself fixed with surgery, I have GERD -&amp;gt; esophagus not closing completely and hiatal hernia. My guess is that I caused the hernia while deadlifting too much. Now I have the chicken and the egg problem.... Maybe they will fix both, but I plan to go for hernia surgery. Should that fix both or is esophagus issue unrelated to it, or maybe relaxed esophagus caused hernia while I was deadlifting?</t>
        </is>
      </c>
      <c r="D3943" t="n">
        <v>1</v>
      </c>
      <c r="E3943" t="n">
        <v>14</v>
      </c>
      <c r="F3943">
        <f>HYPERLINK("https://www.reddit.com/r/GERD/comments/e6whzb/hernia_causing_gerd_or_gerd_caused_hernia/")</f>
        <v/>
      </c>
      <c r="G3943" t="inlineStr">
        <is>
          <t>2019-12-06 01:23:34</t>
        </is>
      </c>
      <c r="H3943" t="inlineStr"/>
    </row>
    <row r="3944">
      <c r="A3944" t="inlineStr">
        <is>
          <t>e6xaqf</t>
        </is>
      </c>
      <c r="B3944" t="inlineStr">
        <is>
          <t>GERD in the night but doesn't hurt throat. (After taking antacid)</t>
        </is>
      </c>
      <c r="C3944" t="inlineStr">
        <is>
          <t>I was curious if anyone else has gotten this. I'm sure like me a lot of you have woken up in the middle of the night with a harsh acid creeping up your throat on days you have not taken an antacid. This stopped happening to me once i started Zantac or Pepcid AC but about once every couple of months i'll get woken up with acid creeping up my throat like i used to but whats different is the acid does not hurt my throat. It's just a liquid with a tiny bit of the taste.
So do you think this is acid but it's not hurting because of the antacid i've taken earlier ? 
Thanks.</t>
        </is>
      </c>
      <c r="D3944" t="n">
        <v>1</v>
      </c>
      <c r="E3944" t="n">
        <v>1</v>
      </c>
      <c r="F3944">
        <f>HYPERLINK("https://www.reddit.com/r/GERD/comments/e6xaqf/gerd_in_the_night_but_doesnt_hurt_throat_after/")</f>
        <v/>
      </c>
      <c r="G3944" t="inlineStr">
        <is>
          <t>2019-12-06 02:56:48</t>
        </is>
      </c>
      <c r="H3944" t="inlineStr"/>
    </row>
    <row r="3945">
      <c r="A3945" t="inlineStr">
        <is>
          <t>e6xb2q</t>
        </is>
      </c>
      <c r="B3945" t="inlineStr">
        <is>
          <t>New GERD medication</t>
        </is>
      </c>
      <c r="C3945" t="inlineStr">
        <is>
          <t>So I posted a couple days ago about there being a possible new medication. I found some more info, but not much in the link attached to this thread. I’ll try to find out more if I can
[clinical trial GERD medication ](https://www.centerwatch.com/clinical-trials/listings/210640/gastroesophageal-reflux-disease-gerd-trial-iw-3718-8-weeks/?&amp;amp;geo_lat=29.7604&amp;amp;geo_lng=-95.3698&amp;amp;radius=10000&amp;amp;place=Houston,%20TX,%20USA&amp;amp;user_country=United%20States)</t>
        </is>
      </c>
      <c r="D3945" t="n">
        <v>1</v>
      </c>
      <c r="E3945" t="n">
        <v>6</v>
      </c>
      <c r="F3945">
        <f>HYPERLINK("https://www.reddit.com/r/GERD/comments/e6xb2q/new_gerd_medication/")</f>
        <v/>
      </c>
      <c r="G3945" t="inlineStr">
        <is>
          <t>2019-12-06 02:58:08</t>
        </is>
      </c>
      <c r="H3945" t="inlineStr"/>
    </row>
    <row r="3946">
      <c r="A3946" t="inlineStr">
        <is>
          <t>e6xbie</t>
        </is>
      </c>
      <c r="B3946" t="inlineStr">
        <is>
          <t>Clinical trials</t>
        </is>
      </c>
      <c r="C3946" t="inlineStr">
        <is>
          <t>If you don’t have any insurance or have bad insurance, looking for a clinical trial near you maybe the best way to receive treatment! Can’t hurt to find out.</t>
        </is>
      </c>
      <c r="D3946" t="n">
        <v>1</v>
      </c>
      <c r="E3946" t="n">
        <v>3</v>
      </c>
      <c r="F3946">
        <f>HYPERLINK("https://www.reddit.com/r/GERD/comments/e6xbie/clinical_trials/")</f>
        <v/>
      </c>
      <c r="G3946" t="inlineStr">
        <is>
          <t>2019-12-06 02:59:43</t>
        </is>
      </c>
      <c r="H3946" t="inlineStr"/>
    </row>
    <row r="3947">
      <c r="A3947" t="inlineStr">
        <is>
          <t>e6z0k9</t>
        </is>
      </c>
      <c r="B3947" t="inlineStr">
        <is>
          <t>Is this GERD?</t>
        </is>
      </c>
      <c r="C3947" t="inlineStr">
        <is>
          <t xml:space="preserve"> 
First of all apologize for my English, it's not my native language.
My  wife is 27 and had two miscarriage's in 2018 which the first one was  anencephaly, and the second one with her bleeding (like on her period).  She was tested on :
\- thyroid, both tested and it’s all optimal
\- MTHFR negative / both tested and we are fine  
\- all vitamins/minerals tested / low in b12, zinc and iodine and immediatetly supplemented  
\- stools tested / scored extremely high in IgA, she has Oral Allergy Syndrome  
\*  Blastocystis hominis, doctor say that this parasite isn’t dangerously  of not worth it to give antibiotic’s for that. I know, there is an  alternate way to dismiss the parasite from her gut. And any advice is  welcome for this.
Tried lot’s of diet’s en supplemention like :
\- Keto (for 2-3 weeks because of her period was out of control, so she stopped)  
\-  GAPS diet, drinking lot’s of bone broth, fermented beverages/foods,  vegetabales and she is now on her 7. month. We are being guided by a  GAPS practitioner. Together with colon hydrotherapy.
Supplements :
\- betaine / pepsin, digestive enzymes (even tried with sauerkrautjuice, cranberry juice)  
I  don’t know, but there any many of the supplements we bought, but maybe  have to try some like bitters of D-Limonene etc. Any tips would be  great.
The main issue is : she has  this burping/nausea problems, even on empty stomach when we she is  awake, or intermittent fasting / dry fasting. Not matter what, we will  try everything. No diarrhea. Daily stool is fine. Raw fruits/vegetables  cant consume, need’s to be cooked. No dairy, no soy, no gluten, no sugar  but only raw honey.
What is left? Testing on estradiol (dominance maybe)? Trying another supplements? Another diet?</t>
        </is>
      </c>
      <c r="D3947" t="n">
        <v>1</v>
      </c>
      <c r="E3947" t="n">
        <v>2</v>
      </c>
      <c r="F3947">
        <f>HYPERLINK("https://www.reddit.com/r/GERD/comments/e6z0k9/is_this_gerd/")</f>
        <v/>
      </c>
      <c r="G3947" t="inlineStr">
        <is>
          <t>2019-12-06 05:51:42</t>
        </is>
      </c>
      <c r="H3947" t="inlineStr"/>
    </row>
    <row r="3948">
      <c r="A3948" t="inlineStr">
        <is>
          <t>e6zd01</t>
        </is>
      </c>
      <c r="B3948" t="inlineStr">
        <is>
          <t>Gerd causing sinus infection?</t>
        </is>
      </c>
      <c r="C3948" t="inlineStr">
        <is>
          <t>Has anyone experienced this and how do you go about treating it?</t>
        </is>
      </c>
      <c r="D3948" t="n">
        <v>1</v>
      </c>
      <c r="E3948" t="n">
        <v>15</v>
      </c>
      <c r="F3948">
        <f>HYPERLINK("https://www.reddit.com/r/GERD/comments/e6zd01/gerd_causing_sinus_infection/")</f>
        <v/>
      </c>
      <c r="G3948" t="inlineStr">
        <is>
          <t>2019-12-06 06:21:20</t>
        </is>
      </c>
      <c r="H3948" t="inlineStr"/>
    </row>
    <row r="3949">
      <c r="A3949" t="inlineStr">
        <is>
          <t>e6zglt</t>
        </is>
      </c>
      <c r="B3949" t="inlineStr">
        <is>
          <t>Does anyone have similar symptoms?</t>
        </is>
      </c>
      <c r="C3949" t="inlineStr">
        <is>
          <t>Ever since April 2019 I have felt the following symptoms: 1) Constant pressure to the immediate right of my left chest, 2) Numbness in my left stomach, 3) Pain right where my left ribcage starts, 4) Left Shoulder/Back pain, 5) Sore Throat, 6) Constant Cough, 7) Indigestion, 8) Reflux, 9) Post nasal drip
I have tried: Prilosec, gaviscon, singulair, flonase, zantac, pepcid, raising the head of my bed, stopping alcohol (very difficult), stop eating after 6 PM (very difficult), ginger extract, slippery elk tea,
I had: two negative chest xrays (lungs), a good pulmonary function test,  and a negative endoscopy. 
I have now had this for 8 months and I am wondering whether it is time to move on to stronger imaging of my chest. 
Also, I am wondering if anyone else has felt similar symptoms. The main symptoms that worry me are the constant cough and the left chest pain. The left chest pain has been constant for the entire time since this started, same with the cough. 
I also constantly belch, even if all I do is drink water. I actually even belch when I don't even ingest anything. 
Is this Gerd? If so, any advice? Has anyone had similar symptoms, particularly the chest pain and the cough or the post nasal drip?  Please help.</t>
        </is>
      </c>
      <c r="D3949" t="n">
        <v>1</v>
      </c>
      <c r="E3949" t="n">
        <v>6</v>
      </c>
      <c r="F3949">
        <f>HYPERLINK("https://www.reddit.com/r/GERD/comments/e6zglt/does_anyone_have_similar_symptoms/")</f>
        <v/>
      </c>
      <c r="G3949" t="inlineStr">
        <is>
          <t>2019-12-06 06:30:08</t>
        </is>
      </c>
      <c r="H3949" t="inlineStr"/>
    </row>
    <row r="3950">
      <c r="A3950" t="inlineStr">
        <is>
          <t>e712lw</t>
        </is>
      </c>
      <c r="B3950" t="inlineStr">
        <is>
          <t>Classic symptoms?</t>
        </is>
      </c>
      <c r="C3950" t="inlineStr">
        <is>
          <t>Do these sound like classic symptoms?
I just found out about GERD yesterday after trying to find out why I would always get worse acid reflux at night when laying on my back or right side but not as much when on my left.  I've been having acid reflux problems in the middle of the night going on for about a year.  At least 4 nights a week I wake up in the middle of the night and need to take tums to help.  
This Tuesday was the worst where I woke up gagging with my stomach acid making it as high as burning my nose (was laying on my right side at the time).  Many nights, I've also been having late night snacks about an hour before bed time and 95% of the time I have wine late at night I will have acid reflux wake me up also.
After reading about GERD yesterday, I decided to take the advice and didn't eat within 3 hours of bed time and didn't experience any acid reflux last night which further makes me think I'm experiencing this.</t>
        </is>
      </c>
      <c r="D3950" t="n">
        <v>1</v>
      </c>
      <c r="E3950" t="n">
        <v>1</v>
      </c>
      <c r="F3950">
        <f>HYPERLINK("https://www.reddit.com/r/GERD/comments/e712lw/classic_symptoms/")</f>
        <v/>
      </c>
      <c r="G3950" t="inlineStr">
        <is>
          <t>2019-12-06 08:37:40</t>
        </is>
      </c>
      <c r="H3950" t="inlineStr"/>
    </row>
    <row r="3951">
      <c r="A3951" t="inlineStr">
        <is>
          <t>e73wiy</t>
        </is>
      </c>
      <c r="B3951" t="inlineStr">
        <is>
          <t>Can acid reflux affect my vocal chords?</t>
        </is>
      </c>
      <c r="C3951" t="inlineStr">
        <is>
          <t>I've noticed over the last few months that I've sounded very hoarse and no amount of resting my voice/drinking water seems to be helping. Is it possible that acid reflux can damage my vocal chords?
I am a teacher and the volume of my voice is an effective tool but I've noticed recently that I'm not as loud as I used to be. I also used to sing and have found that my voice isn't as strong as it usually is. 
Anyone else found this to be an issue?</t>
        </is>
      </c>
      <c r="D3951" t="n">
        <v>1</v>
      </c>
      <c r="E3951" t="n">
        <v>6</v>
      </c>
      <c r="F3951">
        <f>HYPERLINK("https://www.reddit.com/r/GERD/comments/e73wiy/can_acid_reflux_affect_my_vocal_chords/")</f>
        <v/>
      </c>
      <c r="G3951" t="inlineStr">
        <is>
          <t>2019-12-06 12:17:16</t>
        </is>
      </c>
      <c r="H3951" t="inlineStr"/>
    </row>
    <row r="3952">
      <c r="A3952" t="inlineStr">
        <is>
          <t>e748fn</t>
        </is>
      </c>
      <c r="B3952" t="inlineStr">
        <is>
          <t>Where any of you guys living what you thought was a normal healthy life and then GERD happened? ( Rant )</t>
        </is>
      </c>
      <c r="C3952" t="inlineStr">
        <is>
          <t>So I was diagnosed with GERD , laryngitis ,  a small hiatal hernia and polyps in my esophagus after an endoscopy last week. Prior to that I was experiencing the symtoms for about a 2 months and it's been a living nightmare.  I never thought reflux could take such a toll in your life and even affect your mental state.   I dont know if any else has gone through this psychological turmoil ,  but I can't help but think " how could this happen to me , or why me ? "  .. especially since I was living what I believed was a relatively healthy life before my symtoms began . I think about friends and others I've known in the past , who I percieved as living really unhealthy, and they dont have GERD !  .. that part irritates me the most .   The year before my symptoms started wasnt my best year physically , but I never thought it could lead to me getting to this point.   It was a somewhat stressful year so my diet wasnt the best and I had put on some weight . Nonetheless I was an active gym rat,  eating healthy and taking supplements.  I honestly want to know if anyone else experienced this , where they were living relatively healthy and still got GERD ?  For me , this happened from one day to the next and I honestly just want relief so I can get back to my life.     I've been going crazy trying to dissect what habits I had that could of caused this ? I mean , I have read that lifting heavy can cause a hiatal hernia and while I did perform heavy lifts such as deadlift , I really dont believe I was lifting heavy enough to cause any type of hernia .  If anyone is open to discuss or has any input, please drop a comment</t>
        </is>
      </c>
      <c r="D3952" t="n">
        <v>1</v>
      </c>
      <c r="E3952" t="n">
        <v>45</v>
      </c>
      <c r="F3952">
        <f>HYPERLINK("https://www.reddit.com/r/GERD/comments/e748fn/where_any_of_you_guys_living_what_you_thought_was/")</f>
        <v/>
      </c>
      <c r="G3952" t="inlineStr">
        <is>
          <t>2019-12-06 12:41:58</t>
        </is>
      </c>
      <c r="H3952" t="inlineStr"/>
    </row>
    <row r="3953">
      <c r="A3953" t="inlineStr">
        <is>
          <t>e74cq5</t>
        </is>
      </c>
      <c r="B3953" t="inlineStr">
        <is>
          <t>New to this and I was recently diagnosed with GERD and a small hiatal hernia . Would like some advice on how I should proceed ?</t>
        </is>
      </c>
      <c r="C3953" t="inlineStr">
        <is>
          <t>So after an endoscopy it was discovered i have laryngitis , overly open esophagus, GERD, small hernia , and polyps in my esophagus.   To my surprise , the doctors choice of treatment was to have me start on PPIs . I have done a lot of reading on this forum and I'm honestly confused that  my gastro did not decide to operate for the hernia. I'm new to all of these symtoms and diagnoses and I would like to know if GERD patients are usually treated with oral medication first , or instead of surgery.  Also I'm wondering if by treating the GERD , will that help treat the hernia or will that always be there ?  I always though this process would occur the other way around by being treated for the hernia I have to relive the GERD.   I'm not sure what caused my hernia because I'm not sure what comes first , the GERD or the hernia.  I read that heavy lifting or stress on the abdomen can sometimes cause a hiatal hernia to occur, and I've been working in retail for as long as I can remember and my job would always require me to lift heavy .  Am I just doomed for the rest of my life or is there a solution ? I'm 25 years old and I really would like my life back . With GERD , I'm feeling very asthma like symptoms and I'm freaking out that I have something else more serious or terminal . Any advice or input would really help</t>
        </is>
      </c>
      <c r="D3953" t="n">
        <v>1</v>
      </c>
      <c r="E3953" t="n">
        <v>1</v>
      </c>
      <c r="F3953">
        <f>HYPERLINK("https://www.reddit.com/r/GERD/comments/e74cq5/new_to_this_and_i_was_recently_diagnosed_with/")</f>
        <v/>
      </c>
      <c r="G3953" t="inlineStr">
        <is>
          <t>2019-12-06 12:51:01</t>
        </is>
      </c>
      <c r="H3953" t="inlineStr"/>
    </row>
    <row r="3954">
      <c r="A3954" t="inlineStr">
        <is>
          <t>e74d5n</t>
        </is>
      </c>
      <c r="B3954" t="inlineStr">
        <is>
          <t>B12?</t>
        </is>
      </c>
      <c r="C3954" t="inlineStr">
        <is>
          <t>Anyone have any good suggestions of b12 supplement? Trying to steer clear of any that have added sugars and acids. Haven’t been able to find one sadly.</t>
        </is>
      </c>
      <c r="D3954" t="n">
        <v>1</v>
      </c>
      <c r="E3954" t="n">
        <v>3</v>
      </c>
      <c r="F3954">
        <f>HYPERLINK("https://www.reddit.com/r/GERD/comments/e74d5n/b12/")</f>
        <v/>
      </c>
      <c r="G3954" t="inlineStr">
        <is>
          <t>2019-12-06 12:51:50</t>
        </is>
      </c>
      <c r="H3954" t="inlineStr"/>
    </row>
    <row r="3955">
      <c r="A3955" t="inlineStr">
        <is>
          <t>e75lsl</t>
        </is>
      </c>
      <c r="B3955" t="inlineStr">
        <is>
          <t>Life is gerd</t>
        </is>
      </c>
      <c r="C3955" t="inlineStr">
        <is>
          <t>Just had this pop into my head 
https://imgur.com/a/e3fpRsa</t>
        </is>
      </c>
      <c r="D3955" t="n">
        <v>1</v>
      </c>
      <c r="E3955" t="n">
        <v>3</v>
      </c>
      <c r="F3955">
        <f>HYPERLINK("https://www.reddit.com/r/GERD/comments/e75lsl/life_is_gerd/")</f>
        <v/>
      </c>
      <c r="G3955" t="inlineStr">
        <is>
          <t>2019-12-06 14:26:04</t>
        </is>
      </c>
      <c r="H3955" t="inlineStr"/>
    </row>
    <row r="3956">
      <c r="A3956" t="inlineStr">
        <is>
          <t>e788j1</t>
        </is>
      </c>
      <c r="B3956" t="inlineStr">
        <is>
          <t>D-Limonene in Canada? What are people's experience with this supplement?</t>
        </is>
      </c>
      <c r="C3956" t="inlineStr">
        <is>
          <t>Love to hear where you order this supplement. I see it on [Amazon.ca](https://Amazon.ca) for $24 plus $6 shipping but I'm wondering if I can do better, or find a smaller batch to try it out.</t>
        </is>
      </c>
      <c r="D3956" t="n">
        <v>1</v>
      </c>
      <c r="E3956" t="n">
        <v>0</v>
      </c>
      <c r="F3956">
        <f>HYPERLINK("https://www.reddit.com/r/GERD/comments/e788j1/dlimonene_in_canada_what_are_peoples_experience/")</f>
        <v/>
      </c>
      <c r="G3956" t="inlineStr">
        <is>
          <t>2019-12-06 18:03:53</t>
        </is>
      </c>
      <c r="H3956" t="inlineStr"/>
    </row>
    <row r="3957">
      <c r="A3957" t="inlineStr">
        <is>
          <t>e78dgl</t>
        </is>
      </c>
      <c r="B3957" t="inlineStr">
        <is>
          <t>Splash of acid taste in mouth every once in a while anyone?</t>
        </is>
      </c>
      <c r="C3957" t="inlineStr">
        <is>
          <t>Anyone have experience with this? One of my many symptoms - one of the more annoying I must say. Right up there under chest aches. Waiting on an endoscopy. Any insight / relief to be had out there? Done / doing all of the textbook GERD answers ie. raised bed, avoid triggers, no eating 2-3 hours before laying down, etc. etc.</t>
        </is>
      </c>
      <c r="D3957" t="n">
        <v>1</v>
      </c>
      <c r="E3957" t="n">
        <v>0</v>
      </c>
      <c r="F3957">
        <f>HYPERLINK("https://www.reddit.com/r/GERD/comments/e78dgl/splash_of_acid_taste_in_mouth_every_once_in_a/")</f>
        <v/>
      </c>
      <c r="G3957" t="inlineStr">
        <is>
          <t>2019-12-06 18:16:04</t>
        </is>
      </c>
      <c r="H3957" t="inlineStr"/>
    </row>
    <row r="3958">
      <c r="A3958" t="inlineStr">
        <is>
          <t>e78qi2</t>
        </is>
      </c>
      <c r="B3958" t="inlineStr">
        <is>
          <t>Not sure if I really have GERD?</t>
        </is>
      </c>
      <c r="C3958" t="inlineStr">
        <is>
          <t>*I know you cannot diagnose me just looking for some personal insight/experiences to compare to mine.*
I rarely get heartburn and I only get that acid coming up into my throat every once in a while. I more often just get pressure in my upper chest like between my collar bone, it feels like a... trapped bubble almost? and makes me feel kind of nauseous. Burping helps but I don’t burp up acid much. I wake up coughing in the middle of the night but not from acid just from... dry air? My throat getting dry? I get a random cough, I get hoarse... but I don’t really get bad actual reflux. I definitely frequently get that horrible feeling in my lower throat though that causes me to feel nauseous.
I dunno. I feel weird that I don’t know what’s happening. I got an upper endoscopy with biopsies a few years ago and there wasn’t even one indicator of acid reflux, and my symptoms got better for a while and have only really returned in the last year.
I don’t know what I’m asking. Maybe just some thoughts.</t>
        </is>
      </c>
      <c r="D3958" t="n">
        <v>1</v>
      </c>
      <c r="E3958" t="n">
        <v>1</v>
      </c>
      <c r="F3958">
        <f>HYPERLINK("https://www.reddit.com/r/GERD/comments/e78qi2/not_sure_if_i_really_have_gerd/")</f>
        <v/>
      </c>
      <c r="G3958" t="inlineStr">
        <is>
          <t>2019-12-06 18:48:08</t>
        </is>
      </c>
      <c r="H3958" t="inlineStr"/>
    </row>
    <row r="3959">
      <c r="A3959" t="inlineStr">
        <is>
          <t>e7a7we</t>
        </is>
      </c>
      <c r="B3959" t="inlineStr">
        <is>
          <t>Weird new things happening to me</t>
        </is>
      </c>
      <c r="C3959" t="inlineStr">
        <is>
          <t>I have acromegaly/pituitary tumor, I’ve also had gerd for years. Lately I’ve been having weird sensations in my chest, almost like a panic attack hours after eating, about the same time my gerd would flare up. TBH, I thought I was having some kind of heart problem because prior to the sensation of panic, I would feel what felt like palpitations. Scared the hell out of me. So I go to the hospital thinking the worse, get a stress test and it comes back good. On to the endoscopy. Doctor thought maybe h. Pylori, bit it came back clean also. I bought an Apple Watch for the ECG feature to try to see what’s going on when this happens. And when I can catch the tale end of the attack there’s no heart palpitations on the ecg or a fib. Go to my primary doctor and he thinks it esophageal spasms from stress and suggested medication. I’m just looking to see if anyone has had this before and I apologize for the wall of text. Frustrated, scared and just out of mind lately over this. Thank you to any kind soul who has some words of wisdom.</t>
        </is>
      </c>
      <c r="D3959" t="n">
        <v>1</v>
      </c>
      <c r="E3959" t="n">
        <v>6</v>
      </c>
      <c r="F3959">
        <f>HYPERLINK("https://www.reddit.com/r/GERD/comments/e7a7we/weird_new_things_happening_to_me/")</f>
        <v/>
      </c>
      <c r="G3959" t="inlineStr">
        <is>
          <t>2019-12-06 21:09:46</t>
        </is>
      </c>
      <c r="H3959" t="inlineStr"/>
    </row>
    <row r="3960">
      <c r="A3960" t="inlineStr">
        <is>
          <t>e7c1hx</t>
        </is>
      </c>
      <c r="B3960" t="inlineStr">
        <is>
          <t>"Narrow" throat feeling?</t>
        </is>
      </c>
      <c r="C3960" t="inlineStr">
        <is>
          <t>I have hiatal hernia and gerd... well, now mostly silent reflux I guess, It is not that bad during the day but I have sore throat all day, every day.... sometimes I have this feeling of narrow throat and I have difficulty swallow some food. Is this normal?</t>
        </is>
      </c>
      <c r="D3960" t="n">
        <v>1</v>
      </c>
      <c r="E3960" t="n">
        <v>6</v>
      </c>
      <c r="F3960">
        <f>HYPERLINK("https://www.reddit.com/r/GERD/comments/e7c1hx/narrow_throat_feeling/")</f>
        <v/>
      </c>
      <c r="G3960" t="inlineStr">
        <is>
          <t>2019-12-07 00:44:32</t>
        </is>
      </c>
      <c r="H3960" t="inlineStr"/>
    </row>
    <row r="3961">
      <c r="A3961" t="inlineStr">
        <is>
          <t>e7d6xw</t>
        </is>
      </c>
      <c r="B3961" t="inlineStr">
        <is>
          <t>For people who hardly respond to PPI or Antacids</t>
        </is>
      </c>
      <c r="C3961" t="inlineStr">
        <is>
          <t>I came to the conclusion after trying a billion things ever since these Gerd symptoms hit me like a brick wall.
A) Surgery is 10000% needed to 'fix' the Sphincter causing the issue(s). 
B) No matter what the group of people eat that DON'T respond to traditional 'treatment', we will still have symptoms , simple because our valves don't work at all or don't work properly. 
&amp;amp;#x200B;
I'm reading a lot that there are hormones that could be causing the LES malfunctions, which ill be getting down to the bottom of with my specialist. It's either gonna be through some sort of therapy I get healed, or surgery, that's all I know.  Wether you're old or young, do yourself the favor and do whatever you can to get down to the bottom of your situation &amp;amp; do your best to fix it. I stopped posting on here a long time ago after continuously reading ab people complaining day in &amp;amp; day out (I used to be one of those people). Work with a GOOD doctor to help you heal, you don't want to be taking antacids &amp;amp; PPIs your whole life OR feel like ASS your whole life. Face the facts. Just giving my two cents happy healing to all. In a way this post is also directed to me, I just didn't realize after two years of having this garbage disease that it would some how go away on its own, boy was I wrong.</t>
        </is>
      </c>
      <c r="D3961" t="n">
        <v>1</v>
      </c>
      <c r="E3961" t="n">
        <v>0</v>
      </c>
      <c r="F3961">
        <f>HYPERLINK("https://www.reddit.com/r/GERD/comments/e7d6xw/for_people_who_hardly_respond_to_ppi_or_antacids/")</f>
        <v/>
      </c>
      <c r="G3961" t="inlineStr">
        <is>
          <t>2019-12-07 03:15:26</t>
        </is>
      </c>
      <c r="H3961" t="inlineStr"/>
    </row>
    <row r="3962">
      <c r="A3962" t="inlineStr">
        <is>
          <t>e7duo3</t>
        </is>
      </c>
      <c r="B3962" t="inlineStr">
        <is>
          <t>Tomatoes.</t>
        </is>
      </c>
      <c r="C3962" t="inlineStr">
        <is>
          <t>Yes hello I miss you.</t>
        </is>
      </c>
      <c r="D3962" t="n">
        <v>1</v>
      </c>
      <c r="E3962" t="n">
        <v>29</v>
      </c>
      <c r="F3962">
        <f>HYPERLINK("https://www.reddit.com/r/GERD/comments/e7duo3/tomatoes/")</f>
        <v/>
      </c>
      <c r="G3962" t="inlineStr">
        <is>
          <t>2019-12-07 04:39:04</t>
        </is>
      </c>
      <c r="H3962" t="inlineStr"/>
    </row>
    <row r="3963">
      <c r="A3963" t="inlineStr">
        <is>
          <t>e7eajy</t>
        </is>
      </c>
      <c r="B3963" t="inlineStr">
        <is>
          <t>Taking meds just in case? Or only when needed. Feels like they might be the issue.</t>
        </is>
      </c>
      <c r="C3963" t="inlineStr">
        <is>
          <t>For a few months now I’ve been dealing with something and ultimately end up here. My symptoms don’t match a lot of other people and that kinda worries me, but everything you look up and every doctor I speak to says I have gerd and or lpr (by just looking at me). My doctor seems like garbage honestly and doesn’t do much but type and prescribe meds. I had to beg for blood tests and he was incredibly put off. 
In any case, the only symptoms I seem to have is in my throat. I feel like there’s mucus or foam almost in my throat and I have to clear it. I also get a lump feeling sometimes or tightening feeling. I’ve been taking Pepcid, sometimes tums and pepto since Zantac vanishes from shelves and Zyrtec, but I have an aching feeling like if I stopped all the meds my body could do its job and I’d feel fine. I’m also nervous that I’m inching towards healed daily and if I stop taking meds I’ll slide back.
Anyone else in the same boat or got past this hurdle?</t>
        </is>
      </c>
      <c r="D3963" t="n">
        <v>1</v>
      </c>
      <c r="E3963" t="n">
        <v>11</v>
      </c>
      <c r="F3963">
        <f>HYPERLINK("https://www.reddit.com/r/GERD/comments/e7eajy/taking_meds_just_in_case_or_only_when_needed/")</f>
        <v/>
      </c>
      <c r="G3963" t="inlineStr">
        <is>
          <t>2019-12-07 05:28:15</t>
        </is>
      </c>
      <c r="H3963" t="inlineStr"/>
    </row>
    <row r="3964">
      <c r="A3964" t="inlineStr">
        <is>
          <t>e7glil</t>
        </is>
      </c>
      <c r="B3964" t="inlineStr">
        <is>
          <t>Seeking GERD friendly recipes</t>
        </is>
      </c>
      <c r="C3964" t="inlineStr">
        <is>
          <t>Long story short, my S.O. has GERD and I'm trying to learn what to cook to help reduce his symptoms. Currently he eats all the "wrong" things (high fat/high acid foods) so I'm trying to help him get on track for eating better. 
Oddly googling "GERD friendly recipes" has not yielded me any results other than "what not to eat". 
I'm buying a few cookbooks for GERD but in the meantime, does anybody here have any recipes that they'd like to share? 
TIA!</t>
        </is>
      </c>
      <c r="D3964" t="n">
        <v>1</v>
      </c>
      <c r="E3964" t="n">
        <v>7</v>
      </c>
      <c r="F3964">
        <f>HYPERLINK("https://www.reddit.com/r/GERD/comments/e7glil/seeking_gerd_friendly_recipes/")</f>
        <v/>
      </c>
      <c r="G3964" t="inlineStr">
        <is>
          <t>2019-12-07 08:52:04</t>
        </is>
      </c>
      <c r="H3964" t="inlineStr"/>
    </row>
    <row r="3965">
      <c r="A3965" t="inlineStr">
        <is>
          <t>e7k469</t>
        </is>
      </c>
      <c r="B3965" t="inlineStr">
        <is>
          <t>my experience with acid reflux</t>
        </is>
      </c>
      <c r="C3965" t="inlineStr">
        <is>
          <t>I am new to this part of Reddit and wanted to write about my own experience with acid reflux, see if anyone has some advice or similar experiences. I'm a 20 y.o. female and my first experience with severe heartburn was 2 years ago. 
2 years ago, I lost someone incredibly close to me. I know stress can definitely be a trigger for heartburn, nausea, etc. This was an incredibly difficult time in my life. At the same, I was on a birth control method that was causing me to be borderline anemic (having my period for way way too long). I was fatigued and nauseous often. In class one day I almost fainted, so a family member of mine, out of concern, took me to get tested for anemia (I was told I was borderline anemic). I was given an iron pill that day to take. I took that iron pill and it absolutely messed
me up. I feel like the iron pill is where my heartburn issues really began. I took it with plenty of liquid but it did something to my gut and my throat. For the next 2 days I had such painful burning in my gut and throat that I couldn't sleep. Shortly after, I started experiencing a lot of nausea and started to feel like everytime I ate something, it would be stuck in my throat for hours. 
This feeling made me panic enough to take a trip to the ER. There, the ER doctor gave me a Zantac, handed me a pamphlet on GERD, and basically unofficially diagnosed me with it. The idea of chronic heartburn at such a young age really freaked me out, of course. My parents helped me to keep to a GERD diet, in hopes that it would improve my symptoms. I ate bland, healthy, non-acidic foods for a while. After a period of time, my heartburn, for the most part, seemed to have disappeared. I began eating out every once in a while, indulging in a coffee or chocolate here or there. I even ate pizza and would be fine, minus minimal heartburn that seemed normal and bloating. 
Up until very recently, I was able to eat whatever I want without problems. I drank coffee everyday, enjoyed chocolate here and there, even occasionally had tomato sauces and spicy foods (even though I felt like my heartburn had mostly gone away, I still was cautious around tomatoes and spicy foods, which seem to be some of my biggest triggers. I only ate them very, very rarely). I only sometimes had mild, normal-seeming heartburn that would go away within a few hours or overnight. 
So up until now, I was able to eat whatever I wanted and be fine for the most part. I actually went on vacation for a couple weeks and truthfully did not eat the healthiest, but everyone indulges on a vacation, right? Besides that, I like to think I try to eat decently healthy. I eat a lot of fruits, vegetables, quinoa, oatmeal, whole grains, etc. I don't drink soda (only coffee with non-dairy milk, tea, and water). I stay away from red meats and dairy as much as possible. Like anyone, I occasionally go out to eat but I really try to be mindful of the foods I eat. I work in a grocery store so of course, I sometimes eat the snacks that are around me all day long. I was vegan for a while, but am now eating bits of meat here and there. I do not feel like eating meat again is what caused me to have heartburn again, since I still don't eat much of it and try to stick to healthier options. I try to take time each week to run or do some kind of physical activity. I usually get 8-9 hours of sleep. I try to take care of myself, even though I struggle with a lot of anxiety and depression (I see a counselor weekly to help with this). 
Then, a couple days before Thanksgiving, I went out to eat with my partner at a local, vegan food place and got a very typical order for us. And within a few hours, I had awful heartburn, to the point where I felt like I may throw up. I took Pepto-Bismol but it seemingly did nothing for my pain. This lasted the entire day and I woke up still feeling acidic. 
Since then, I've continued to have heartburn. Luckily, it is not as drastic as it was that day. However, the heartburn and nausea is still there. My symptoms include mild burning in my gut after I eat and often at nightime. I have what feels like acidic burps, my nose is dripping, and I'm dealing with headaches. I'm not on a PPI, but have some antacids I got from Walmart, as well as some tums, but they don't always work/make my nausea worse. 
To be safe, I cut out coffee, even though it doesn't seem to be a huge trigger for me personally. Since Thanksgiving, I've been eating an incredibly bland diet (plain oatmeal, carrots, rice, bits of chicken here and there, some peanut butter, other veggies, and kefir). I am drinking kefir in hopes the probiotics will improve my symptoms (I took antibiotics a month or so ago, wondering if it messed with my gut). My heartburn seems more mild, but I am still afraid to try to have things like coffee or even bananas, which messed me up bad when I first had heartburn a couple years ago. I got tested for h. pylori and it came back negative. I also have an apt with a G.I. in about a month. I have not ever been properly diagnosed with GERD. 
My partner's birthday is coming up and I'm sad about not being able to eat out with him or have some cake or whatever. I also just really miss being able to eat what I was normally (healthy foods that, despite being healthy, may cause some heartburn for me). I know I'm not eating enough, but I'm scared of another bad flare-up. I know my diet wasn't perfect, but I really did try to eat healthy most of the time. Am I doing something wrong? Does anyone have any advice? Does this actually seem like GERD? I have no idea if my problems will go away again like they did last time. I hope so. Sorry for such a long post. Thank you to anyone who takes the time to read this. I just have a lot of stress around this and felt like venting about the whole thing lol.</t>
        </is>
      </c>
      <c r="D3965" t="n">
        <v>1</v>
      </c>
      <c r="E3965" t="n">
        <v>8</v>
      </c>
      <c r="F3965">
        <f>HYPERLINK("https://www.reddit.com/r/GERD/comments/e7k469/my_experience_with_acid_reflux/")</f>
        <v/>
      </c>
      <c r="G3965" t="inlineStr">
        <is>
          <t>2019-12-07 13:18:58</t>
        </is>
      </c>
      <c r="H3965" t="inlineStr"/>
    </row>
    <row r="3966">
      <c r="A3966" t="inlineStr">
        <is>
          <t>e7kps0</t>
        </is>
      </c>
      <c r="B3966" t="inlineStr">
        <is>
          <t>Had this for five years now, kind of over it</t>
        </is>
      </c>
      <c r="C3966" t="inlineStr">
        <is>
          <t>So I very suddenly developed GERD and LPR about five years ago. Had surgery 2 years ago and it helped. Surgery + meds basically had me 100% cured for a few months but then I developed a bad allergy to the medications and surgery seems to have loosened a bit. Now I'm back sitting up to sleep, struggle with shortness of breath, sore throat, voice issues and heartburn every goddamn day. I'm so over it. I also have developed severe esophageal dysmotility so struggle to swallow some foods. Might have achalasia at this point, no one knows. Looking into maybe having a second surgery but clearly surgery isn't a safe bet. I'm not even 30 yet and 5 years of my life have basically been destroyed due to this stupid disease. Can't have a social life, can't date, can't be active in sports. This. Sucks. I have been positive, trying to really brightside this, for years and years. But nothing is getting any better, time is just passing and I suffer daily. If anyone has any positivity to bring, please do, because I'm having a really effing bad time with this right now...</t>
        </is>
      </c>
      <c r="D3966" t="n">
        <v>1</v>
      </c>
      <c r="E3966" t="n">
        <v>22</v>
      </c>
      <c r="F3966">
        <f>HYPERLINK("https://www.reddit.com/r/GERD/comments/e7kps0/had_this_for_five_years_now_kind_of_over_it/")</f>
        <v/>
      </c>
      <c r="G3966" t="inlineStr">
        <is>
          <t>2019-12-07 14:05:56</t>
        </is>
      </c>
      <c r="H3966" t="inlineStr"/>
    </row>
    <row r="3967">
      <c r="A3967" t="inlineStr">
        <is>
          <t>e7kqj9</t>
        </is>
      </c>
      <c r="B3967" t="inlineStr">
        <is>
          <t>Anyone lose weight trying to "avoid trigger foods" etc? What helped you find balance?</t>
        </is>
      </c>
      <c r="C3967" t="inlineStr">
        <is>
          <t>Lost 16 lbs since I began my tirade against GERD back in July. Any foods you guys find help keep you full with just enough calories etc that you can maintain a daily 1500-2000?</t>
        </is>
      </c>
      <c r="D3967" t="n">
        <v>1</v>
      </c>
      <c r="E3967" t="n">
        <v>11</v>
      </c>
      <c r="F3967">
        <f>HYPERLINK("https://www.reddit.com/r/GERD/comments/e7kqj9/anyone_lose_weight_trying_to_avoid_trigger_foods/")</f>
        <v/>
      </c>
      <c r="G3967" t="inlineStr">
        <is>
          <t>2019-12-07 14:07:31</t>
        </is>
      </c>
      <c r="H3967" t="inlineStr"/>
    </row>
    <row r="3968">
      <c r="A3968" t="inlineStr">
        <is>
          <t>e7kz2h</t>
        </is>
      </c>
      <c r="B3968" t="inlineStr">
        <is>
          <t>AVC drink vs pills anyone?</t>
        </is>
      </c>
      <c r="C3968" t="inlineStr">
        <is>
          <t>I find that one tbsp ACV mixed with 250ml water really does keep the flames down in my stomach, fight off other symptoms ie belching, salivation etc. as well. Probably also helps digest food quicker too with all of the enzymes etc that it contains. 
Would pills help just the same? Any recommendations as to dose etc?</t>
        </is>
      </c>
      <c r="D3968" t="n">
        <v>1</v>
      </c>
      <c r="E3968" t="n">
        <v>5</v>
      </c>
      <c r="F3968">
        <f>HYPERLINK("https://www.reddit.com/r/GERD/comments/e7kz2h/avc_drink_vs_pills_anyone/")</f>
        <v/>
      </c>
      <c r="G3968" t="inlineStr">
        <is>
          <t>2019-12-07 14:26:28</t>
        </is>
      </c>
      <c r="H3968" t="inlineStr"/>
    </row>
    <row r="3969">
      <c r="A3969" t="inlineStr">
        <is>
          <t>e7lca2</t>
        </is>
      </c>
      <c r="B3969" t="inlineStr">
        <is>
          <t>Severe stomach pain and nausea after taking Prilosec</t>
        </is>
      </c>
      <c r="C3969" t="inlineStr">
        <is>
          <t>I’ve had GERD since I was born but I’ve never taken anything for it, just dealt with it. Well I started taking Prilosec the other day and now I’m having intense stomach pain and severe nausea. I tried eating some rice but I could only have 2 bites before I felt so sick that I had to stop. Has anyone else had this before? I have really bad anxiety and I’m starting to get nervous. My doctors office is closed as are all the urgent cares so I have no choice but to tough it out. Has this happened to anyone else?</t>
        </is>
      </c>
      <c r="D3969" t="n">
        <v>1</v>
      </c>
      <c r="E3969" t="n">
        <v>2</v>
      </c>
      <c r="F3969">
        <f>HYPERLINK("https://www.reddit.com/r/GERD/comments/e7lca2/severe_stomach_pain_and_nausea_after_taking/")</f>
        <v/>
      </c>
      <c r="G3969" t="inlineStr">
        <is>
          <t>2019-12-07 14:55:37</t>
        </is>
      </c>
      <c r="H3969" t="inlineStr"/>
    </row>
    <row r="3970">
      <c r="A3970" t="inlineStr">
        <is>
          <t>e7ln2d</t>
        </is>
      </c>
      <c r="B3970" t="inlineStr">
        <is>
          <t>Regular Esophageal Spasms</t>
        </is>
      </c>
      <c r="C3970" t="inlineStr">
        <is>
          <t>Hi guys - I was diagnosed with a hiatus hernia a few years ago. I was also very over weight (326lb). I was put on Esomeprazol 40mg - which I took every other day for a few years which helped a lot. I have since lost 136lb and was hoping my issues with GERD would ease.
However, I no longer get heartburn as such. What I get is cramping in my esophageus. It starts like a dull ache in my chest and if left uncontrolled (with Gaviscon) can give me bad crushing pains in my chest throat and jaw. The acid in reflux in my mouth also makes me teeth really sensitive and sore.
I went back to my GP who changed me to 20mg Omeprazol daily. But this hasn't helped. I'm in the process of trying to isolate my trigger foods. I am also trying fasting or only having one meal per day - but i actually find this makes it worse (has anybody else found that fasting makes their gerd worse??)
Anyway - Any ideas on how I can control these cramps without increasing my PPI dose again (ideally i'd like to get off them) - or continuously taking Gaviscon?
Thanks</t>
        </is>
      </c>
      <c r="D3970" t="n">
        <v>1</v>
      </c>
      <c r="E3970" t="n">
        <v>4</v>
      </c>
      <c r="F3970">
        <f>HYPERLINK("https://www.reddit.com/r/GERD/comments/e7ln2d/regular_esophageal_spasms/")</f>
        <v/>
      </c>
      <c r="G3970" t="inlineStr">
        <is>
          <t>2019-12-07 15:20:02</t>
        </is>
      </c>
      <c r="H3970" t="inlineStr"/>
    </row>
    <row r="3971">
      <c r="A3971" t="inlineStr">
        <is>
          <t>e7lxq2</t>
        </is>
      </c>
      <c r="B3971" t="inlineStr">
        <is>
          <t>GERD, PPI withdrawal or food poisoning?</t>
        </is>
      </c>
      <c r="C3971" t="inlineStr">
        <is>
          <t>Yesterday was the 3rd day I did not take my PPI since I'm trying to quit. I was taking Prevacid FDT 15mg. The 3 days I did not take PPI, my symptoms are mild sore throat that is washed away by alkaline water and rare, mild stomachache. Today, I just woked up with the bad stomachache and diarrhea. Yestersday morning, I ate a beef steak. By 10pm at night, I saw the beef that I ate in the morning gone spoiled. Then at 2 am I had stomachache and diarrhea. Then now 7:40am (Philippines time)... my stomach still in pain.
I'm really tempted on taking PPIs again but if I had food pousoning, wouldn't it be better to have stomach acid fighting it? I also kept a domperidone tab, maybevthat would be better option?
Please help</t>
        </is>
      </c>
      <c r="D3971" t="n">
        <v>1</v>
      </c>
      <c r="E3971" t="n">
        <v>1</v>
      </c>
      <c r="F3971">
        <f>HYPERLINK("https://www.reddit.com/r/GERD/comments/e7lxq2/gerd_ppi_withdrawal_or_food_poisoning/")</f>
        <v/>
      </c>
      <c r="G3971" t="inlineStr">
        <is>
          <t>2019-12-07 15:43:42</t>
        </is>
      </c>
      <c r="H3971" t="inlineStr"/>
    </row>
    <row r="3972">
      <c r="A3972" t="inlineStr">
        <is>
          <t>e7mkf8</t>
        </is>
      </c>
      <c r="B3972" t="inlineStr">
        <is>
          <t>Slight chest pain after endoscopy with biopsies?</t>
        </is>
      </c>
      <c r="C3972" t="inlineStr">
        <is>
          <t>I had an Endoscopy yesterday and they took multiple biopsies. Some from my distal esophagus and inside my stomach. 
Upon awaking, I felt great. 
Today, I feel some sharp pains in my chest area. It happens when I eat, after I eat...and just feels like slight sharp pains that come and go. 
I wasn’t really having indigestion before the exam, but now I feel like I’m having more than normal. 
My discharge papers say any chest pains are serious...but I feel like with biopsies and the scope I’m bound to be sensitive in that area for a while. 
Did anyone else have an endoscopy with biopsies where they felt slight chest pain and discomfort in the upper abdomen afterwards?</t>
        </is>
      </c>
      <c r="D3972" t="n">
        <v>1</v>
      </c>
      <c r="E3972" t="n">
        <v>8</v>
      </c>
      <c r="F3972">
        <f>HYPERLINK("https://www.reddit.com/r/GERD/comments/e7mkf8/slight_chest_pain_after_endoscopy_with_biopsies/")</f>
        <v/>
      </c>
      <c r="G3972" t="inlineStr">
        <is>
          <t>2019-12-07 16:36:43</t>
        </is>
      </c>
      <c r="H3972" t="inlineStr"/>
    </row>
    <row r="3973">
      <c r="A3973" t="inlineStr">
        <is>
          <t>e7nc02</t>
        </is>
      </c>
      <c r="B3973" t="inlineStr">
        <is>
          <t>What's worse for gerd, cigarette smoking or vaping?</t>
        </is>
      </c>
      <c r="C3973" t="inlineStr">
        <is>
          <t>I know nicotine by itself isn't good for gerd. But which one is the lesser of two evils? I smoke a few cigs a day, and it causes it to flare up every so often. But I'm wondering if it's just the nicotine that is. Anybody have any exp switching to vape with gerd?</t>
        </is>
      </c>
      <c r="D3973" t="n">
        <v>1</v>
      </c>
      <c r="E3973" t="n">
        <v>10</v>
      </c>
      <c r="F3973">
        <f>HYPERLINK("https://www.reddit.com/r/GERD/comments/e7nc02/whats_worse_for_gerd_cigarette_smoking_or_vaping/")</f>
        <v/>
      </c>
      <c r="G3973" t="inlineStr">
        <is>
          <t>2019-12-07 17:44:06</t>
        </is>
      </c>
      <c r="H3973" t="inlineStr"/>
    </row>
    <row r="3974">
      <c r="A3974" t="inlineStr">
        <is>
          <t>e7neld</t>
        </is>
      </c>
      <c r="B3974" t="inlineStr">
        <is>
          <t>Wake up? Burping. Drink Water? Burping? Literally nothing in my stomach. WHY AM I BURPING?</t>
        </is>
      </c>
      <c r="C3974" t="inlineStr">
        <is>
          <t>I've actually had this problem off and on for a few years now and I can't really pin point why it happens.
Perhaps I'm swallowing so much air without realising?
So I have a pretty healthy diet, I don't drink alcohol, I don't drink fizzy drinks, I don't eat meat besides fish.
But I will wake up on a morning and before I even get to do anything I'm already burping SOOO loud.
My little brother who screams and shouts as he plays Minecraft online on his computer says he can still hear my burps even when he has his headphones on AND I'm in a completely different room.
I don't get acid reflux, I'm not in pain, my stomach doesn't hurt. I went to the doctors about this around 1 or 2 years ago and had to give them a stool sample and even then then couldn't find anything internally wrong.
Don't get me wrong sometimes its absolutely hilarious and they're definitely 10/10 burps, but after a while I just get frustrated and I wish it would stop.
The past two days I've had eggs on toast, vegetable pasta, rice, vegan chicken nuggets and sweet potato fries and the only drinks I've had are water and peppermint and liquorice tea. So I can't even really pin point if the food I'm eating is the cause of this? Even when my diet has wavered or been different it doesn't really seem to completely go away.
&amp;amp;#x200B;
Has anyone had similar problems to this?
I've tried charcoal tablets / rennies / gripe water -  and none of this works.
It's been around 5 hours since I last ate anything and still the excessive loud long burps torture me so.</t>
        </is>
      </c>
      <c r="D3974" t="n">
        <v>1</v>
      </c>
      <c r="E3974" t="n">
        <v>22</v>
      </c>
      <c r="F3974">
        <f>HYPERLINK("https://www.reddit.com/r/GERD/comments/e7neld/wake_up_burping_drink_water_burping_literally/")</f>
        <v/>
      </c>
      <c r="G3974" t="inlineStr">
        <is>
          <t>2019-12-07 17:50:34</t>
        </is>
      </c>
      <c r="H3974" t="inlineStr"/>
    </row>
    <row r="3975">
      <c r="A3975" t="inlineStr">
        <is>
          <t>e7o8jn</t>
        </is>
      </c>
      <c r="B3975" t="inlineStr">
        <is>
          <t>The Pepcid is not working. I miss my Zantac. Looking for any updated alternatives since the mega thread.</t>
        </is>
      </c>
      <c r="C3975" t="inlineStr">
        <is>
          <t>I have been on Zantac 150 at night for many years. I bought a bunch of the generic Pepcid and it’s just not doing anything. I’ve been taking 3 pills a night for the last week and I’m up every 45 mins chewing Tums. I miss my Zantac so badly.</t>
        </is>
      </c>
      <c r="D3975" t="n">
        <v>1</v>
      </c>
      <c r="E3975" t="n">
        <v>7</v>
      </c>
      <c r="F3975">
        <f>HYPERLINK("https://www.reddit.com/r/GERD/comments/e7o8jn/the_pepcid_is_not_working_i_miss_my_zantac/")</f>
        <v/>
      </c>
      <c r="G3975" t="inlineStr">
        <is>
          <t>2019-12-07 19:03:48</t>
        </is>
      </c>
      <c r="H3975" t="inlineStr"/>
    </row>
    <row r="3976">
      <c r="A3976" t="inlineStr">
        <is>
          <t>e7ocp9</t>
        </is>
      </c>
      <c r="B3976" t="inlineStr">
        <is>
          <t>Gerd exclusively from ‘sugar’</t>
        </is>
      </c>
      <c r="C3976" t="inlineStr">
        <is>
          <t>Does anyone else seem to get the worst of the worst when you encounter sugar?
Example: a tea spoon of honey 🍯 or like a gummy vitamin , high fructose corn syrup type of categories ? 
I always seems to have such a crappy day that’s why I avoid most fruits personally . I could eat a whole rib eye steak with zero issue, if I have one tiny bit of any kind of sugary stuff, I get symptoms immediately.</t>
        </is>
      </c>
      <c r="D3976" t="n">
        <v>1</v>
      </c>
      <c r="E3976" t="n">
        <v>0</v>
      </c>
      <c r="F3976">
        <f>HYPERLINK("https://www.reddit.com/r/GERD/comments/e7ocp9/gerd_exclusively_from_sugar/")</f>
        <v/>
      </c>
      <c r="G3976" t="inlineStr">
        <is>
          <t>2019-12-07 19:13:21</t>
        </is>
      </c>
      <c r="H3976" t="inlineStr"/>
    </row>
    <row r="3977">
      <c r="A3977" t="inlineStr">
        <is>
          <t>e7og27</t>
        </is>
      </c>
      <c r="B3977" t="inlineStr">
        <is>
          <t>I've never been diagnosed with GERD and my Gastroscopy didn't produce any results. Why I am suffering?</t>
        </is>
      </c>
      <c r="C3977" t="inlineStr">
        <is>
          <t>Been suffering with various symptoms since November 2018. They came on suddenly. I first noticed it when I started making a distinct whistling sound when breathing out accompanied by slight difficulty breathing. I went and had it checked, but  nothing was considered to be wrong with my lungs.
Fast forward several months and I start noticing frequent heartburn/acid reflux. I eventually became away of GERD and went to the doctors numerous times telling them about frequent heartburn/regurgitation. I was just given medicine designed to lower my stomach acid and sent on my way. Over time, little worked so I went back again and finally got a Gastroscopy appointment. 
Whilst having the procedure, I told the people in charge that I had been having frequent heartburn/reflux/reguritation, so they should have known exactly what to the warning signs should be. Anyway, the results come back and I'm told that everything was absolutely fine. However, I've not had a reduction in symptoms since having the test a few months ago. I haven't seen a doctor since.
I feel as though as should mention that I have been particularly stressed this past year and I'm not as healthy as I could be (but not obese). Does anyone know why I am suffering from these symptoms and what I can do about it. I've been to the doctors about this so many times in the last year that I'm worried that pressing any more is just going to result in being labelled a hypochondriac and being dismissed.</t>
        </is>
      </c>
      <c r="D3977" t="n">
        <v>1</v>
      </c>
      <c r="E3977" t="n">
        <v>2</v>
      </c>
      <c r="F3977">
        <f>HYPERLINK("https://www.reddit.com/r/GERD/comments/e7og27/ive_never_been_diagnosed_with_gerd_and_my/")</f>
        <v/>
      </c>
      <c r="G3977" t="inlineStr">
        <is>
          <t>2019-12-07 19:21:20</t>
        </is>
      </c>
      <c r="H3977" t="inlineStr"/>
    </row>
    <row r="3978">
      <c r="A3978" t="inlineStr">
        <is>
          <t>e7ok1k</t>
        </is>
      </c>
      <c r="B3978" t="inlineStr">
        <is>
          <t>Turns out I'm not getting a cold</t>
        </is>
      </c>
      <c r="C3978" t="inlineStr">
        <is>
          <t>It was just a massive flare-up making my throat sore.
Yay, I guess?</t>
        </is>
      </c>
      <c r="D3978" t="n">
        <v>1</v>
      </c>
      <c r="E3978" t="n">
        <v>0</v>
      </c>
      <c r="F3978">
        <f>HYPERLINK("https://www.reddit.com/r/GERD/comments/e7ok1k/turns_out_im_not_getting_a_cold/")</f>
        <v/>
      </c>
      <c r="G3978" t="inlineStr">
        <is>
          <t>2019-12-07 19:30:50</t>
        </is>
      </c>
      <c r="H3978" t="inlineStr"/>
    </row>
    <row r="3979">
      <c r="A3979" t="inlineStr">
        <is>
          <t>e7p26b</t>
        </is>
      </c>
      <c r="B3979" t="inlineStr">
        <is>
          <t>Possible GERD sufferer?</t>
        </is>
      </c>
      <c r="C3979" t="inlineStr">
        <is>
          <t>Hello everyone. Sorry for the long post.
I just found this community as I was searching for some help related to my symptoms. For years I had occasional belching/tastes of foods coming back sometimes when I eat, particularly certain foods like bananas. Sometimes I'd also have hiccups with spicy food, which have gotten more common lately. Even so, I've mostly not had trouble with heartburn—except for one or two isolated incidents.
A few months ago I woke up in the middle of the night while sleeping on an air mattress while visiting friends. My back and shoulder when I went to bed—probably because of swimming earlier. When I woke up I had burning in my chest, trouble breathing, and so on. Not knowing what was going on, we called 911 and the EMTs came and gave me a blood pressure check, EKG, and so on. This was back in July of 2019.
In September or October of this year I was visiting friends again and sleeping on a cushioned pad on the floor. I woke up again with similar symptoms (feeling short of breath, burning sensation in the middle of my chest around the esophagus, etc.) I took some deep breaths and convinced myself it was probably heartburn again and sat upright to sleep on a couch for the night.
But then, this past Saturday (11/30) I had another bout of reflux. I ate especially late and a bit too heavy, so I figured it was reflux again pretty quickly and tried to take some tums, elevate my head, and go back to sleep.
But then I had another bout of it on Tuesday night, and another mid-day on Wednesday. In the Wednesday incident, I was in the midst of eating and felt that tight-throat sensation like I could vomit and like I was having trouble breathing. I'm also having a bit of congestion and a lot of sinus drainage, especially when my heartburn flares up.
Since then I've had regular flare-ups just about every day. I can be doing fine for a while, then get hit with it a while after I eat. It was especially bad on Friday (12/6) because it spread into ache in my back (right around the lungs) and my right arm. I'm a 32 y/o male who is moderately overweight (6'0, 232 lbs). My blood pressure has been running a bit high since these incidents started, but I suspect that's partly anxiety related too.
Do these symptoms sound indicative of GERD? I went by urgent care the other day just in case, but they said it was probably acid reflux and maybe sinus problems. I didn't have the arm/shoulder/back aches at that time though, and they are only present when I also have heartburn.
Thank you all for your help!</t>
        </is>
      </c>
      <c r="D3979" t="n">
        <v>1</v>
      </c>
      <c r="E3979" t="n">
        <v>4</v>
      </c>
      <c r="F3979">
        <f>HYPERLINK("https://www.reddit.com/r/GERD/comments/e7p26b/possible_gerd_sufferer/")</f>
        <v/>
      </c>
      <c r="G3979" t="inlineStr">
        <is>
          <t>2019-12-07 20:13:47</t>
        </is>
      </c>
      <c r="H3979" t="inlineStr"/>
    </row>
    <row r="3980">
      <c r="A3980" t="inlineStr">
        <is>
          <t>e7qq79</t>
        </is>
      </c>
      <c r="B3980" t="inlineStr">
        <is>
          <t>Regurgitation at night while sleeing vitamin b6</t>
        </is>
      </c>
      <c r="C3980" t="inlineStr">
        <is>
          <t>I have come seeking help from the only group of people i trust other than my doctor ;)
A little background, i have a minor hiatal hernia which causes lpr late at night, I usually wake up with a severe burning in my throat and coughing as a result (i eat 3-4 hours before going to bed)
I found this study: 
https://www.ncbi.nlm.nih.gov/pubmed/16948779
Which states that supplementing with vitamin b6 b12 magnesium etc can reduce lpr and gerd symptoms 
I started with 250 mg vitamin b6 at bedtime and boom! No more lpr :) ive been following this regimen for 3 days and no lpr for 3 days straight!
2 questions for some of the more knowledgeable/experienced people out there:
1. Why does supplementing with b6 work?
2. I read 250mg b6 daily is too high and can cause neuropathy (basically nerve damage) i have discontinued my b6 intake since i read this particularly scary side effect :( is this true?
Additionally i have corrected my diet alot since the past 2-3 months. Ive cut out a lot of sugar and gluten which are my triggers. This takes care of most of my symptoms during the day but does little for the lpr at night.
Any and all feedback is welcome :)</t>
        </is>
      </c>
      <c r="D3980" t="n">
        <v>1</v>
      </c>
      <c r="E3980" t="n">
        <v>2</v>
      </c>
      <c r="F3980">
        <f>HYPERLINK("https://www.reddit.com/r/GERD/comments/e7qq79/regurgitation_at_night_while_sleeing_vitamin_b6/")</f>
        <v/>
      </c>
      <c r="G3980" t="inlineStr">
        <is>
          <t>2019-12-07 23:04:49</t>
        </is>
      </c>
      <c r="H3980" t="inlineStr"/>
    </row>
    <row r="3981">
      <c r="A3981" t="inlineStr">
        <is>
          <t>e7r3tt</t>
        </is>
      </c>
      <c r="B3981" t="inlineStr">
        <is>
          <t>PPI problems</t>
        </is>
      </c>
      <c r="C3981" t="inlineStr">
        <is>
          <t>Can ppi cause sibo?? Been having a lot of stomach pain and a lot of gas lately. How do I go about treating this ??</t>
        </is>
      </c>
      <c r="D3981" t="n">
        <v>1</v>
      </c>
      <c r="E3981" t="n">
        <v>1</v>
      </c>
      <c r="F3981">
        <f>HYPERLINK("https://www.reddit.com/r/GERD/comments/e7r3tt/ppi_problems/")</f>
        <v/>
      </c>
      <c r="G3981" t="inlineStr">
        <is>
          <t>2019-12-07 23:53:19</t>
        </is>
      </c>
      <c r="H3981" t="inlineStr"/>
    </row>
    <row r="3982">
      <c r="A3982" t="inlineStr">
        <is>
          <t>e7sx58</t>
        </is>
      </c>
      <c r="B3982" t="inlineStr">
        <is>
          <t>Im so tired of waking nauseous every morning cause of acid reflux</t>
        </is>
      </c>
      <c r="C3982" t="inlineStr">
        <is>
          <t>I tried limiting my food intake until 8pm and every single morning i still have stomach pain and am extremely nauseous to the point of either just pain or throwing up</t>
        </is>
      </c>
      <c r="D3982" t="n">
        <v>1</v>
      </c>
      <c r="E3982" t="n">
        <v>13</v>
      </c>
      <c r="F3982">
        <f>HYPERLINK("https://www.reddit.com/r/GERD/comments/e7sx58/im_so_tired_of_waking_nauseous_every_morning/")</f>
        <v/>
      </c>
      <c r="G3982" t="inlineStr">
        <is>
          <t>2019-12-08 03:55:50</t>
        </is>
      </c>
      <c r="H3982" t="inlineStr"/>
    </row>
    <row r="3983">
      <c r="A3983" t="inlineStr">
        <is>
          <t>e7u6ug</t>
        </is>
      </c>
      <c r="B3983" t="inlineStr">
        <is>
          <t>What foods to eat to help cure LPR?</t>
        </is>
      </c>
      <c r="C3983" t="inlineStr">
        <is>
          <t>I just caught LPR recently and have had it for a week now I think and it sucks. :( I think its caused by those cheap 89 cents boxes of mac &amp;amp; cheese and ramen? Especially the sauce packets? Those have always been my go to food for a while cause they're so cheap. If it helps also some other food I was eating before I caught it also was cheap tortilla chips with sour cream and hummus. Does whole grain/wheat bread and pasta cause it as well? Because those have been staples on my diet because of the fiber for a long time. What bland food is ok for me to get?</t>
        </is>
      </c>
      <c r="D3983" t="n">
        <v>1</v>
      </c>
      <c r="E3983" t="n">
        <v>15</v>
      </c>
      <c r="F3983">
        <f>HYPERLINK("https://www.reddit.com/r/GERD/comments/e7u6ug/what_foods_to_eat_to_help_cure_lpr/")</f>
        <v/>
      </c>
      <c r="G3983" t="inlineStr">
        <is>
          <t>2019-12-08 06:17:54</t>
        </is>
      </c>
      <c r="H3983" t="inlineStr"/>
    </row>
    <row r="3984">
      <c r="A3984" t="inlineStr">
        <is>
          <t>e7ubcq</t>
        </is>
      </c>
      <c r="B3984" t="inlineStr">
        <is>
          <t>Stomach gurgles a lot at night. It sounds &amp;amp; feels like there’s a lot bubbling, Is this due to my GERD? I stop eating three hours before sleep. It doesn’t seem like there’s much reflux now that I’m following a low acid diet although there’s stomach pain that I experience before going to sleep.</t>
        </is>
      </c>
      <c r="C3984" t="inlineStr">
        <is>
          <t>Just wondering what all the bubbling is and whether or not it indicates some other problem that needs to be addressed separate from the reflux. Thank you</t>
        </is>
      </c>
      <c r="D3984" t="n">
        <v>1</v>
      </c>
      <c r="E3984" t="n">
        <v>0</v>
      </c>
      <c r="F3984">
        <f>HYPERLINK("https://www.reddit.com/r/GERD/comments/e7ubcq/stomach_gurgles_a_lot_at_night_it_sounds_feels/")</f>
        <v/>
      </c>
      <c r="G3984" t="inlineStr">
        <is>
          <t>2019-12-08 06:29:26</t>
        </is>
      </c>
      <c r="H3984" t="inlineStr"/>
    </row>
    <row r="3985">
      <c r="A3985" t="inlineStr">
        <is>
          <t>e7ubcw</t>
        </is>
      </c>
      <c r="B3985" t="inlineStr">
        <is>
          <t>Cucumbers!</t>
        </is>
      </c>
      <c r="C3985" t="inlineStr">
        <is>
          <t>I’ve suffered from gerd for abt 2 years now after a bad drug habit. I took ranitidine for probably a year and it helped a lot but i kept waking up with terrible heartburn even after taking it at night. The along cane the recall so I decided to try Prilosec again which hadn’t worked in the past. I took it every day for 2 weeks without much improvement. A couple days later I was at the grocery store and decided to buy some cucumbers for sandwiches and after making a banh mi I decided to eat the rest of the cucumber. That day I had little to no symptoms and I’ve been eating probably 5 cucumbers a week and I can go through my day symptom free. I’m sure this won’t work for everyone but it did for me :). Always remember to wash your cucumbers well and eat them with the skin.</t>
        </is>
      </c>
      <c r="D3985" t="n">
        <v>1</v>
      </c>
      <c r="E3985" t="n">
        <v>2</v>
      </c>
      <c r="F3985">
        <f>HYPERLINK("https://www.reddit.com/r/GERD/comments/e7ubcw/cucumbers/")</f>
        <v/>
      </c>
      <c r="G3985" t="inlineStr">
        <is>
          <t>2019-12-08 06:29:26</t>
        </is>
      </c>
      <c r="H3985" t="inlineStr"/>
    </row>
    <row r="3986">
      <c r="A3986" t="inlineStr">
        <is>
          <t>e7w09c</t>
        </is>
      </c>
      <c r="B3986" t="inlineStr">
        <is>
          <t>I have a feeling that my long-term use of anti-depressants is what caused my GERD/LPR</t>
        </is>
      </c>
      <c r="C3986" t="inlineStr">
        <is>
          <t>I'm 26 years old. I've been dealing with LPR (mostly) for the past few years. In the beginning stages, my symptoms resembled GERD patients (nausea, heartburn), but after taking PPI's for a month, those symptoms went away completely and turned into LPR symptoms instead. 
During my first couple months, I kept thinking to myself, "Why me? Where did I go wrong? I've been healthy my whole life." I couldn't pinpoint a reason why I this was happening to me. I've never smoked, never drank alcohol, and never had physical health problems before. There's no family history of GERD in my bloodline as far as I'm concerned. 
But then I realized that maybe it was a combination of anxiety/OCD medication I've been taking for the past several years. I've been on Zoloft, Risperidone, and Clonazepam the past 5 years of my life leading up to my very first GERD symptoms. I have a feeling that the combination of taking these anti-anxiety/ anti-psychotic drugs over the years has damaged my stomach lining. These drugs have been known to cause gut problems. 
If I had known this would've happened, I honestly would've never started these drugs in the first place. It's been 2 months since I've completely tapered off all my anti-anxiety/anti-psychotic medications. I've weaned off them through my doctor's help. But I fear that I've caused irreversible damage to my stomach now. I started going back on PPIs for the first time in a long while. Let's see if it'll help.
Does anyone else have any idea why their GERD started? For the longest time, I thought it just came out of nowhere. But now I believe it was due to the damage caused by my long-term use of OCD/Anxiety medications.  :(</t>
        </is>
      </c>
      <c r="D3986" t="n">
        <v>1</v>
      </c>
      <c r="E3986" t="n">
        <v>10</v>
      </c>
      <c r="F3986">
        <f>HYPERLINK("https://www.reddit.com/r/GERD/comments/e7w09c/i_have_a_feeling_that_my_longterm_use_of/")</f>
        <v/>
      </c>
      <c r="G3986" t="inlineStr">
        <is>
          <t>2019-12-08 08:50:53</t>
        </is>
      </c>
      <c r="H3986" t="inlineStr"/>
    </row>
    <row r="3987">
      <c r="A3987" t="inlineStr">
        <is>
          <t>e7yowy</t>
        </is>
      </c>
      <c r="B3987" t="inlineStr">
        <is>
          <t>LPR flare up or just catching a cold?</t>
        </is>
      </c>
      <c r="C3987" t="inlineStr">
        <is>
          <t>How do you all distinguish coming down with a cold between an LPR flare up? 
Yesterday my throat was feeling tight and achey, was very tired all day. It got better as the day went on and then last night it kinda felt like I was coming down with a cold. Woke up this morning and my throat hurts like hell, feels more like a cold.
This is how my whole LPR journey started out though. Got a very bad cold, turned into a very bad case of sinusitis/bronchitis. Left with LPR symptoms since. I was doing good for a few weeks regarding my LPR (nearly symptom free) Now I feel like I’m getting sick again. Cough drops seem to tame the sore throat for a short while. 
I do live in a cold snowy state and everyone around me is getting sick, and the flu is going around. I really hope this cold doesn’t reset my LPR back.</t>
        </is>
      </c>
      <c r="D3987" t="n">
        <v>1</v>
      </c>
      <c r="E3987" t="n">
        <v>7</v>
      </c>
      <c r="F3987">
        <f>HYPERLINK("https://www.reddit.com/r/GERD/comments/e7yowy/lpr_flare_up_or_just_catching_a_cold/")</f>
        <v/>
      </c>
      <c r="G3987" t="inlineStr">
        <is>
          <t>2019-12-08 12:09:19</t>
        </is>
      </c>
      <c r="H3987" t="inlineStr"/>
    </row>
    <row r="3988">
      <c r="A3988" t="inlineStr">
        <is>
          <t>e7yprx</t>
        </is>
      </c>
      <c r="B3988" t="inlineStr">
        <is>
          <t>How do you eat a GERD diet in a unhealthy home?</t>
        </is>
      </c>
      <c r="C3988" t="inlineStr">
        <is>
          <t>So I’ve suffered from GERD/LPR diet for about a year. I went from chest pains, spitting constantly , hoarse voice,  to a year later with none of these symptoms however one thing that has been stubborn to go away is a red spot in the back of my mouth. Though that area has improved immensely. It looked like a large red ring a few months ago but now it’s two reddish areas. I was eating a normal diet these last 2-3 months but I think the exposure to some foods have made it become stagnant so I started eating better, cutting things out and in a few days it showed a little bit of improvement. It got a little less red and it’s less dry feeling. When I started getting cold I noticed that one side of that irritated area was sensitive to dryer colder air and I could feel it when I breathed. That feeling has mostly gone away too but I’m a very anxious person. My goal is to try and get rid of those irritated areas mostly because I’m paranoid about it. My problem is at home. My family eats unhealthy or more so my mom makes unhealthy food. They know I have this condition but they don’t try to adjust anything for me. I usually end up leaving and getting something else somewhere. Sometimes I break because I’m hungry and I have something I probably shouldn’t eat. I don’t have time to be cooking because of school. I’ll be on break soon so it’ll make things easier but I doubt the red spots will be gone by next semester. Things would be easier if I had access to better foods but I don’t make much money so buying groceries I can do now and then but not all the time. My family will buy me items  if I ask them to so that’s probably the only support I get.</t>
        </is>
      </c>
      <c r="D3988" t="n">
        <v>1</v>
      </c>
      <c r="E3988" t="n">
        <v>2</v>
      </c>
      <c r="F3988">
        <f>HYPERLINK("https://www.reddit.com/r/GERD/comments/e7yprx/how_do_you_eat_a_gerd_diet_in_a_unhealthy_home/")</f>
        <v/>
      </c>
      <c r="G3988" t="inlineStr">
        <is>
          <t>2019-12-08 12:11:03</t>
        </is>
      </c>
      <c r="H3988" t="inlineStr"/>
    </row>
    <row r="3989">
      <c r="A3989" t="inlineStr">
        <is>
          <t>e7zosh</t>
        </is>
      </c>
      <c r="B3989" t="inlineStr">
        <is>
          <t>Psilocybin - Mushrooms</t>
        </is>
      </c>
      <c r="C3989" t="inlineStr">
        <is>
          <t>Hello guys. Has anyone, either willingly or by chance, has seen improved (or worsened) symptoms during Psylocybin administration? Other Psychodelics?
I'm considering microdosing the above for other conditions (anxiety, depression) and hopefully get better.  
Any experience is greatly valuated.   
I've had full-on shroom experience before, and i'm aware that eating them raw screws our tummies bad. It's the active compunds in which im interested and figure out other ways of administration.  
If this accounts as alternative medicine, please remove accordingly.</t>
        </is>
      </c>
      <c r="D3989" t="n">
        <v>1</v>
      </c>
      <c r="E3989" t="n">
        <v>1</v>
      </c>
      <c r="F3989">
        <f>HYPERLINK("https://www.reddit.com/r/GERD/comments/e7zosh/psilocybin_mushrooms/")</f>
        <v/>
      </c>
      <c r="G3989" t="inlineStr">
        <is>
          <t>2019-12-08 13:21:26</t>
        </is>
      </c>
      <c r="H3989" t="inlineStr"/>
    </row>
    <row r="3990">
      <c r="A3990" t="inlineStr">
        <is>
          <t>e814zd</t>
        </is>
      </c>
      <c r="B3990" t="inlineStr">
        <is>
          <t>I Failed 4 H pylori eradication therapy</t>
        </is>
      </c>
      <c r="C3990" t="inlineStr">
        <is>
          <t>Hello all, 
On July 2018 I was diagnosed with H pylori and 2.2cm hiatal hernia... I start doing my diagnosis because I feel tired after eating and dizzy. I lack focus in my work and had a hard time to smile due the pain I got all the day.
I did the first eradication therapy for 10 days and failed it. Then I wait for one month and redo the test but H pylori was still there. The same thing is happened with the the other 3 eradication therapies with different type of antibiotics. 
I am taking ppi's 20mg morning and evening but I am getting worse and worse with the pass of the time. 
Now and after one year I feel really hard paying in the center of my chest. I get constipation every week with hard abdominal pain. I vomit often and I lost a lot of weight. I am 29 yd but I am only 54kg. 
My gerd if frequent even with drinking only water. I stopped smoking but I still take some coffee because it seems the alleviate my depression and gives me that energy I am needing for some hours. 
I tried gluten free food but I get the same result. I am getting worse. 
Now we are thinking with my doctor to do a biopsy and find witch antibiotic will work for my H Pylori.
But my question is: if I eradicate H pylori can I feel better? Does my HH hernia and Gerd depend on H Pylori. 
If I get ride of HP can my health be better and can I go back as i was feeling before? 
I read a lot of posts about HH surgery and i am scared about that I need to do it. My gerd is very intense and I am living a really hard time. Let's say that I am depressed a lot about what is happening in my life. 
I also have see an interesting video on a ring they put on the esophagus cardiac that helps it close better. And that's not scary me as the Nissen surgery. 
Can you please help me answer my question? and please if there is someone that treat thes illness naturally who I can pay to teatch me everything. My dream now is to come back to focus at work and feel like every normal person. 
Wish you undestand me. 
Thank you so much.</t>
        </is>
      </c>
      <c r="D3990" t="n">
        <v>1</v>
      </c>
      <c r="E3990" t="n">
        <v>8</v>
      </c>
      <c r="F3990">
        <f>HYPERLINK("https://www.reddit.com/r/GERD/comments/e814zd/i_failed_4_h_pylori_eradication_therapy/")</f>
        <v/>
      </c>
      <c r="G3990" t="inlineStr">
        <is>
          <t>2019-12-08 15:09:50</t>
        </is>
      </c>
      <c r="H3990" t="inlineStr"/>
    </row>
    <row r="3991">
      <c r="A3991" t="inlineStr">
        <is>
          <t>e81z5v</t>
        </is>
      </c>
      <c r="B3991" t="inlineStr">
        <is>
          <t>Does anyone ever get a weird burning sensation in the bottom right quadrant of your body when you're having a flare up?</t>
        </is>
      </c>
      <c r="C3991" t="inlineStr">
        <is>
          <t>I've noticed it's like a stinging sensation, and it's almost like it hurts if I poke at it with my finger. I've had it as long as I've had gerd symptoms. Anybody else ever encounter this? From what I've read gerd shouldn't be affecting that part of your body?</t>
        </is>
      </c>
      <c r="D3991" t="n">
        <v>1</v>
      </c>
      <c r="E3991" t="n">
        <v>12</v>
      </c>
      <c r="F3991">
        <f>HYPERLINK("https://www.reddit.com/r/GERD/comments/e81z5v/does_anyone_ever_get_a_weird_burning_sensation_in/")</f>
        <v/>
      </c>
      <c r="G3991" t="inlineStr">
        <is>
          <t>2019-12-08 16:17:02</t>
        </is>
      </c>
      <c r="H3991" t="inlineStr"/>
    </row>
    <row r="3992">
      <c r="A3992" t="inlineStr">
        <is>
          <t>e82xjf</t>
        </is>
      </c>
      <c r="B3992" t="inlineStr">
        <is>
          <t>Lpr pain in throat</t>
        </is>
      </c>
      <c r="C3992" t="inlineStr">
        <is>
          <t>I’ve been having pain in my throat for a year now it hurts so bad I even have nodules on my throat the ent saw them it feels like I’m being stab with a needle I take omeprazole daily but I’m still in pain I was told it’s LPR will this ever go away it’s ruining my life 😩</t>
        </is>
      </c>
      <c r="D3992" t="n">
        <v>1</v>
      </c>
      <c r="E3992" t="n">
        <v>16</v>
      </c>
      <c r="F3992">
        <f>HYPERLINK("https://www.reddit.com/r/GERD/comments/e82xjf/lpr_pain_in_throat/")</f>
        <v/>
      </c>
      <c r="G3992" t="inlineStr">
        <is>
          <t>2019-12-08 17:36:30</t>
        </is>
      </c>
      <c r="H3992" t="inlineStr"/>
    </row>
    <row r="3993">
      <c r="A3993" t="inlineStr">
        <is>
          <t>e83vb0</t>
        </is>
      </c>
      <c r="B3993" t="inlineStr">
        <is>
          <t>What is the cause of frequent stomach ache in GERD?</t>
        </is>
      </c>
      <c r="C3993" t="inlineStr">
        <is>
          <t>I am day 5 on not taking PPIs and my frequent stomachaches are back. This was my first symptom back before I was diagnosed with GERD. I stopped drinking coffee, carbonated drinks and rarely est anything dairy.
Is stomach pains really a commom symptom of GERD? Why is it happening?</t>
        </is>
      </c>
      <c r="D3993" t="n">
        <v>1</v>
      </c>
      <c r="E3993" t="n">
        <v>8</v>
      </c>
      <c r="F3993">
        <f>HYPERLINK("https://www.reddit.com/r/GERD/comments/e83vb0/what_is_the_cause_of_frequent_stomach_ache_in_gerd/")</f>
        <v/>
      </c>
      <c r="G3993" t="inlineStr">
        <is>
          <t>2019-12-08 18:54:32</t>
        </is>
      </c>
      <c r="H3993" t="inlineStr"/>
    </row>
    <row r="3994">
      <c r="A3994" t="inlineStr">
        <is>
          <t>e85t4q</t>
        </is>
      </c>
      <c r="B3994" t="inlineStr">
        <is>
          <t>Was diagnosed with Lingual Tonsil Hypertrophy. Is it bad</t>
        </is>
      </c>
      <c r="C3994" t="inlineStr">
        <is>
          <t>Im a 32 year old male, 5’10, 282 pounds. Went to the ENT last week because I’ve been having a lump feeling in my throat, and was diagnosed with Lingual Tonsil Hypertrophy. I asked him if it was bad or something that needed surgery, he said now prescribed me a steroid called Prednisone. The last two weeks I’ve also been taking metoprolol because for the past 2 weeks my heart has been racing out of nowhere. Already did an echo which showed I have a mild enlargement of the left atril and the cardiologist said it wasn’t a big deal. I’ve also done a stress test last Friday and I’m waiting on the results for that and now I have a small heart monitor with me frontage next few records in case I have another episode and it records everything. But my question is, is it safe to take an steroid and a beta blocker together? I’ve had two doctors tell me to hold on for now, but my cardiologist said it was fine. I really want to take it because the lump feeling is really annoying and I heard that Lingual Tonsil Hypertrophy can be fatal.</t>
        </is>
      </c>
      <c r="D3994" t="n">
        <v>1</v>
      </c>
      <c r="E3994" t="n">
        <v>1</v>
      </c>
      <c r="F3994">
        <f>HYPERLINK("https://www.reddit.com/r/GERD/comments/e85t4q/was_diagnosed_with_lingual_tonsil_hypertrophy_is/")</f>
        <v/>
      </c>
      <c r="G3994" t="inlineStr">
        <is>
          <t>2019-12-08 21:46:41</t>
        </is>
      </c>
      <c r="H3994" t="inlineStr"/>
    </row>
    <row r="3995">
      <c r="A3995" t="inlineStr">
        <is>
          <t>e867wj</t>
        </is>
      </c>
      <c r="B3995" t="inlineStr">
        <is>
          <t>Has any of u guys been able to get rid of heartburn 100%?</t>
        </is>
      </c>
      <c r="C3995" t="inlineStr">
        <is>
          <t>Long story short I had an infection where i was required to take antibiotics for 2 weeks but what I noticed at the end of the 2 weeks my heart burn went away by like a good 65-70% and when it do burns it is not as bad!</t>
        </is>
      </c>
      <c r="D3995" t="n">
        <v>1</v>
      </c>
      <c r="E3995" t="n">
        <v>9</v>
      </c>
      <c r="F3995">
        <f>HYPERLINK("https://www.reddit.com/r/GERD/comments/e867wj/has_any_of_u_guys_been_able_to_get_rid_of/")</f>
        <v/>
      </c>
      <c r="G3995" t="inlineStr">
        <is>
          <t>2019-12-08 22:28:07</t>
        </is>
      </c>
      <c r="H3995" t="inlineStr"/>
    </row>
    <row r="3996">
      <c r="A3996" t="inlineStr">
        <is>
          <t>e86pt1</t>
        </is>
      </c>
      <c r="B3996" t="inlineStr">
        <is>
          <t>Having really bad heartburn and acid reflux and I have an exam in a couple hours. What should I do?</t>
        </is>
      </c>
      <c r="C3996" t="inlineStr">
        <is>
          <t>So I fucked up, I ate a piece of coconut chocolate cake. It wasn't that great, but it was delicious and I was craving chocolate and I just messed up. Whatever, what's done is done. I immediately started vomiting almost everything I ate since last night and it's 9 am right now and I'm in a lot of pain. I have 2 more finals exams left and I'll feel really bad if I skip this one. It'll also just stir up drama and so many people will ask me what happened etc and I really don't want to deal with any of that.
I can retake the exam at the end of the year but it's just something I'd rather not have on my record. I really need to get my shit together rn but I'm in so much pain and it's been hours and I'm not getting any better. I took 40mg of nexium but it didn't help much. I don't have any antacids. Does anyone have any solutions? I'm desperate for anything right now!</t>
        </is>
      </c>
      <c r="D3996" t="n">
        <v>1</v>
      </c>
      <c r="E3996" t="n">
        <v>4</v>
      </c>
      <c r="F3996">
        <f>HYPERLINK("https://www.reddit.com/r/GERD/comments/e86pt1/having_really_bad_heartburn_and_acid_reflux_and_i/")</f>
        <v/>
      </c>
      <c r="G3996" t="inlineStr">
        <is>
          <t>2019-12-08 23:22:16</t>
        </is>
      </c>
      <c r="H3996" t="inlineStr"/>
    </row>
    <row r="3997">
      <c r="A3997" t="inlineStr">
        <is>
          <t>e86rms</t>
        </is>
      </c>
      <c r="B3997" t="inlineStr">
        <is>
          <t>Ear pain</t>
        </is>
      </c>
      <c r="C3997" t="inlineStr">
        <is>
          <t>Does anyone else ever experience pain in the ears? It feels like an ache or pressure sometimes. Mostly happens to me at night. I’m not sure if it’s related to gerd but I never experienced it before I had gerd.</t>
        </is>
      </c>
      <c r="D3997" t="n">
        <v>1</v>
      </c>
      <c r="E3997" t="n">
        <v>4</v>
      </c>
      <c r="F3997">
        <f>HYPERLINK("https://www.reddit.com/r/GERD/comments/e86rms/ear_pain/")</f>
        <v/>
      </c>
      <c r="G3997" t="inlineStr">
        <is>
          <t>2019-12-08 23:28:14</t>
        </is>
      </c>
      <c r="H3997" t="inlineStr"/>
    </row>
    <row r="3998">
      <c r="A3998" t="inlineStr">
        <is>
          <t>e872up</t>
        </is>
      </c>
      <c r="B3998" t="inlineStr">
        <is>
          <t>Having chest pains and burning sensation when swallowing food and drink after getting food poising whilst travelling</t>
        </is>
      </c>
      <c r="C3998" t="inlineStr">
        <is>
          <t>So I’m currently travelling in SE Asia.  About 4 days ago I caught a bug after eating something dodgy. I was vomiting and had Diarrhea for about 4 hours in the night and then it subsided but has left me with a constant pain in my chest, sort of around my solar plexus. It hurts even more when eating and drinking ANYTHING. Big gulps of water or eating anything set it off and it’s becoming unbearable. Originally I thought it was a pulled muscle but the pain isn’t going and it’s making me lose my appetite and it’s really getting me down. It’s almost like a heavy weight on my chest sometimes and the pain can spread to my back etc. 
My boyfriend suffers from GERD and suggested maybe it was something along the lines of that as I sometimes suffer from burping after drinking and eating (which has only developed in the last few years) and have had really bad heartburn only 1-2 times in my life. But it seems reactionary from having food poising and I can’t figure out what to do. 
Any ideas/advice would be much appreciated!</t>
        </is>
      </c>
      <c r="D3998" t="n">
        <v>1</v>
      </c>
      <c r="E3998" t="n">
        <v>1</v>
      </c>
      <c r="F3998">
        <f>HYPERLINK("https://www.reddit.com/r/GERD/comments/e872up/having_chest_pains_and_burning_sensation_when/")</f>
        <v/>
      </c>
      <c r="G3998" t="inlineStr">
        <is>
          <t>2019-12-09 00:05:16</t>
        </is>
      </c>
      <c r="H3998" t="inlineStr"/>
    </row>
    <row r="3999">
      <c r="A3999" t="inlineStr">
        <is>
          <t>e88hbi</t>
        </is>
      </c>
      <c r="B3999" t="inlineStr">
        <is>
          <t>PPIs makes things worse for me. What do I do?</t>
        </is>
      </c>
      <c r="C3999" t="inlineStr">
        <is>
          <t>Diagnosed with gerd a few years ago. Tried PPIs (omeprazole, zantac, nexium and some other stuff) and also Zantac. They all made me have massive anxiety and gerd worse.
Does this mean that it's possible that I have low stomach acid and not too much?
Sometimes after eating it feels like a rock just sits in my stomach and often lots of undigested stuff in my stool.
How do I proceed with this?</t>
        </is>
      </c>
      <c r="D3999" t="n">
        <v>1</v>
      </c>
      <c r="E3999" t="n">
        <v>6</v>
      </c>
      <c r="F3999">
        <f>HYPERLINK("https://www.reddit.com/r/GERD/comments/e88hbi/ppis_makes_things_worse_for_me_what_do_i_do/")</f>
        <v/>
      </c>
      <c r="G3999" t="inlineStr">
        <is>
          <t>2019-12-09 02:53:33</t>
        </is>
      </c>
      <c r="H3999" t="inlineStr"/>
    </row>
    <row r="4000">
      <c r="A4000" t="inlineStr">
        <is>
          <t>e89uo1</t>
        </is>
      </c>
      <c r="B4000" t="inlineStr">
        <is>
          <t>do any of you randomly get a lot of liquid in your stomach?</t>
        </is>
      </c>
      <c r="C4000" t="inlineStr">
        <is>
          <t>presumably it’s an excess of acid but it’s concerning and i wanted to know if any of you also experience it?</t>
        </is>
      </c>
      <c r="D4000" t="n">
        <v>1</v>
      </c>
      <c r="E4000" t="n">
        <v>0</v>
      </c>
      <c r="F4000">
        <f>HYPERLINK("https://www.reddit.com/r/GERD/comments/e89uo1/do_any_of_you_randomly_get_a_lot_of_liquid_in/")</f>
        <v/>
      </c>
      <c r="G4000" t="inlineStr">
        <is>
          <t>2019-12-09 05:19:14</t>
        </is>
      </c>
      <c r="H4000" t="inlineStr"/>
    </row>
    <row r="4001">
      <c r="A4001" t="inlineStr">
        <is>
          <t>e8apc2</t>
        </is>
      </c>
      <c r="B4001" t="inlineStr">
        <is>
          <t>Anyone’s symptoms at their worse in the mornings?</t>
        </is>
      </c>
      <c r="C4001" t="inlineStr">
        <is>
          <t>I have symptoms all day, but the mornings are BRUTAL. I wake up nauseous, burping, and it’s so hard to eat breakfast. I have to eat very slow and every swallow is difficult. Once 11 am hits, it gets much much easier.
Do y’all have this same experience?</t>
        </is>
      </c>
      <c r="D4001" t="n">
        <v>1</v>
      </c>
      <c r="E4001" t="n">
        <v>0</v>
      </c>
      <c r="F4001">
        <f>HYPERLINK("https://www.reddit.com/r/GERD/comments/e8apc2/anyones_symptoms_at_their_worse_in_the_mornings/")</f>
        <v/>
      </c>
      <c r="G4001" t="inlineStr">
        <is>
          <t>2019-12-09 06:34:50</t>
        </is>
      </c>
      <c r="H4001" t="inlineStr"/>
    </row>
    <row r="4002">
      <c r="A4002" t="inlineStr">
        <is>
          <t>e8b0fl</t>
        </is>
      </c>
      <c r="B4002" t="inlineStr">
        <is>
          <t>Loss of taste/smell</t>
        </is>
      </c>
      <c r="C4002" t="inlineStr">
        <is>
          <t>Has anyone else experienced a loss of taste or smell after a GERD flair up? I had several bad episodes in the last few weeks and noticed my sense of taste to be diminished.</t>
        </is>
      </c>
      <c r="D4002" t="n">
        <v>1</v>
      </c>
      <c r="E4002" t="n">
        <v>4</v>
      </c>
      <c r="F4002">
        <f>HYPERLINK("https://www.reddit.com/r/GERD/comments/e8b0fl/loss_of_tastesmell/")</f>
        <v/>
      </c>
      <c r="G4002" t="inlineStr">
        <is>
          <t>2019-12-09 07:00:25</t>
        </is>
      </c>
      <c r="H4002" t="inlineStr"/>
    </row>
    <row r="4003">
      <c r="A4003" t="inlineStr">
        <is>
          <t>e8bkc8</t>
        </is>
      </c>
      <c r="B4003" t="inlineStr">
        <is>
          <t>breathing</t>
        </is>
      </c>
      <c r="C4003" t="inlineStr">
        <is>
          <t>can gerd cause lung pain and shortness of breath, had a clean Ct scan</t>
        </is>
      </c>
      <c r="D4003" t="n">
        <v>1</v>
      </c>
      <c r="E4003" t="n">
        <v>13</v>
      </c>
      <c r="F4003">
        <f>HYPERLINK("https://www.reddit.com/r/GERD/comments/e8bkc8/breathing/")</f>
        <v/>
      </c>
      <c r="G4003" t="inlineStr">
        <is>
          <t>2019-12-09 07:44:03</t>
        </is>
      </c>
      <c r="H4003" t="inlineStr"/>
    </row>
    <row r="4004">
      <c r="A4004" t="inlineStr">
        <is>
          <t>e8bnm6</t>
        </is>
      </c>
      <c r="B4004" t="inlineStr">
        <is>
          <t>Anyone has GERD-induced Asthma?</t>
        </is>
      </c>
      <c r="C4004" t="inlineStr">
        <is>
          <t>15 year sufferer of GERD here. Have been on Zegerid for the same amount of time to control it with mixed results.  In the past few months, I've recently been diagnosed with asthma, but doctor doesn't label it specifically.  Just "mild persistent asthma."  My chief symptom is shortness of breath, BUT, usually only severe (or even moderate) if my stomach is full, I'm having indigestion/reflux, or I'm being active in some capacity with contents in my stomach.  If I sit still after eating and don't move, I don't really have any shortness of breath (still have indigestion but used to that). If my stomach is empty, I can be physically active with little to no problem. If I'm physical on a full stomach, I need to stop and take a rest even after low intensity movement (i.e. taking out the trash, running up the steps) like I have a 95% blockage.  Once stomach is empty and GERD episode is over, I'm more or less fine.  34 years old, decent physical shape. 
The hallmark, or tell-tale sign that this is GERD-induced, is during these episodes, my rescue inhaler does nothing, but when my stomach is empty, I pretty much never feel like I need the inhaler anyway. If I get a round of steroids (prednisone), then the shortness of breath goes away about halfway through the course, which also tells me it's due to inflamed esophagus from the GERD and not air irritants, because the shortness of breath goes away, but the indigestion and heartburn does not. 
Anyway, just looking for some folks who might have the same thing and if they do anything for it other than PPI's?</t>
        </is>
      </c>
      <c r="D4004" t="n">
        <v>1</v>
      </c>
      <c r="E4004" t="n">
        <v>5</v>
      </c>
      <c r="F4004">
        <f>HYPERLINK("https://www.reddit.com/r/GERD/comments/e8bnm6/anyone_has_gerdinduced_asthma/")</f>
        <v/>
      </c>
      <c r="G4004" t="inlineStr">
        <is>
          <t>2019-12-09 07:50:58</t>
        </is>
      </c>
      <c r="H4004" t="inlineStr"/>
    </row>
    <row r="4005">
      <c r="A4005" t="inlineStr">
        <is>
          <t>e8bwpg</t>
        </is>
      </c>
      <c r="B4005" t="inlineStr">
        <is>
          <t>Heart Palpitations / Arrhythmia from certain PPI's</t>
        </is>
      </c>
      <c r="C4005" t="inlineStr">
        <is>
          <t>Anyone ever get palpitations, skipped heartbeats ,flutters or arrhythmia's while on certain PPI's or H2 blockers?  Does anyone know why this is? 
What's interesting is I can take Zegerid and be fine, but if I take Prilosec, I get heart flutters, skipped beats, etc...  Both are omeprazole though.  Weird.</t>
        </is>
      </c>
      <c r="D4005" t="n">
        <v>1</v>
      </c>
      <c r="E4005" t="n">
        <v>4</v>
      </c>
      <c r="F4005">
        <f>HYPERLINK("https://www.reddit.com/r/GERD/comments/e8bwpg/heart_palpitations_arrhythmia_from_certain_ppis/")</f>
        <v/>
      </c>
      <c r="G4005" t="inlineStr">
        <is>
          <t>2019-12-09 08:09:49</t>
        </is>
      </c>
      <c r="H4005" t="inlineStr"/>
    </row>
    <row r="4006">
      <c r="A4006" t="inlineStr">
        <is>
          <t>e8cia7</t>
        </is>
      </c>
      <c r="B4006" t="inlineStr">
        <is>
          <t>Zyrtec with Pepcid for lpr/post nasal drip/mucus. Is it redundant?</t>
        </is>
      </c>
      <c r="C4006" t="inlineStr">
        <is>
          <t>It’s been really hard to google anything lately without running in to hard walls of gerd info laden with H2 and ppi data, but one of my main symptoms is throat clearing and I can’t find anything about h1 antihistamines helping that along with h2 for acid. Is it just useless redundancy or am I missing out on some throat relief?</t>
        </is>
      </c>
      <c r="D4006" t="n">
        <v>1</v>
      </c>
      <c r="E4006" t="n">
        <v>0</v>
      </c>
      <c r="F4006">
        <f>HYPERLINK("https://www.reddit.com/r/GERD/comments/e8cia7/zyrtec_with_pepcid_for_lprpost_nasal_dripmucus_is/")</f>
        <v/>
      </c>
      <c r="G4006" t="inlineStr">
        <is>
          <t>2019-12-09 08:54:14</t>
        </is>
      </c>
      <c r="H4006" t="inlineStr"/>
    </row>
    <row r="4007">
      <c r="A4007" t="inlineStr">
        <is>
          <t>e8dpp6</t>
        </is>
      </c>
      <c r="B4007" t="inlineStr">
        <is>
          <t>PPI / h2 blockers, suggestions?</t>
        </is>
      </c>
      <c r="C4007" t="inlineStr">
        <is>
          <t>Been taking Zantac for 12 years with some random months of taking pantprozole for bad flairs. Zantac isn’t working so well anymore plus it’s been pulled off the market so I’m looking for recommendations. Pantprozole was ok but makes me get horrible painful cystic acne and I still had to take Zantac ontop of it. I exercise, eat SUPER healthy, but have diagnosed GERD upper endo did not show signs of Barrett’s esophagus. Anyone use anything that helps or better yet can actually allow you to drink cold brew, eat some pizza and have a glass of wine or beer every once in awhile? Thanks!</t>
        </is>
      </c>
      <c r="D4007" t="n">
        <v>1</v>
      </c>
      <c r="E4007" t="n">
        <v>4</v>
      </c>
      <c r="F4007">
        <f>HYPERLINK("https://www.reddit.com/r/GERD/comments/e8dpp6/ppi_h2_blockers_suggestions/")</f>
        <v/>
      </c>
      <c r="G4007" t="inlineStr">
        <is>
          <t>2019-12-09 10:19:33</t>
        </is>
      </c>
      <c r="H4007" t="inlineStr"/>
    </row>
    <row r="4008">
      <c r="A4008" t="inlineStr">
        <is>
          <t>e8e5c3</t>
        </is>
      </c>
      <c r="B4008" t="inlineStr">
        <is>
          <t>My journey and advice for others</t>
        </is>
      </c>
      <c r="C4008" t="inlineStr">
        <is>
          <t>Hi all,
I have only recently found this subreddit and thought it would be valuable for me to share some of what I have learned, been through, and what I hope for the future. For many of us, when we tell someone we have "bad acid reflux" the common response for most people is "I get the worse heartburn after [insert food here], try tums!" But GERD and other GI diseases can be debilitating, affecting not only your physical health but your mental health. You can't eat food you love, you go to bed sore and wake up sore. 
I am 22 years old. I was a young, healthy, and motivated graduate student when I was diagnosed. I went to urgent care one morning because I had burning and sharp pains all over my chest. I also felt breathless, like each breath was a struggle. We did tests: Breathing was good, X-ray showed no lung or heart issues. I was told I had asthma and bronchiole spasms and to use an inhaler.
Two days went by, and I went to class. During it, I experienced some of the most painful chest pains I have ever had. It felt like a burning knife was going in and out of my chest. I started crying because the pain progressively became worse and worse. I went to the emergency room, and because my EKG and breathing came back normal, I sat in the emergency room for nearly 7 hours waiting to be seen. 
They told me I had GERD, but told me they couldn't do much else. They gave me famotidine and told me to leave. I was disheartened, lost, and frustrated. The next day, I went to my doctor and got a referral for a GI. 
After meeting with the GI and doing a short physical, he told me I had to have an endoscopy that week. I did, and here is what they found: Gastritis, Barret's Esophagus, Hiatal Hernia, &amp;amp; GERD (caused by the hernia). My life was turned upside down. Me, a 22 year old, who exercised fairly regularly was diagnosed with all of those. My physical pains manifested into emotional and mental ones, and at time I felt hopeless. They told me they believed my hernia was there since June and the symptoms finally started manifesting. 
I have been on suracaflate and famotidine since early October and have noticed a huge difference in pain and flare ups. I have also noticed that my stress and anxiety can dramatically affect my reflux and make things much worse. I am looking into getting Nissen done in the new year. 
My biggest piece of advice is this: To NOT be afraid to talk to someone about it. The longer you delay going to the doctor, urgent care, taking medicine, the more damage you do in the long run. If I had not gone to the hospital, I would have never gone to the GI doctor. 
It is also important to take care of your mental health with diseases like GERD. GERD is invisible, it's not like a broken leg or a cut. It can be difficult to deal with it on your own, and you should not try to. Lean on others for support and love. 
Thought I would share my experience and insight, and I am sure many of you have had GERD longer than I have and may think my insights and advice are old news, but I wish someone would have told me this when I was diagnosed.</t>
        </is>
      </c>
      <c r="D4008" t="n">
        <v>1</v>
      </c>
      <c r="E4008" t="n">
        <v>10</v>
      </c>
      <c r="F4008">
        <f>HYPERLINK("https://www.reddit.com/r/GERD/comments/e8e5c3/my_journey_and_advice_for_others/")</f>
        <v/>
      </c>
      <c r="G4008" t="inlineStr">
        <is>
          <t>2019-12-09 10:50:47</t>
        </is>
      </c>
      <c r="H4008" t="inlineStr"/>
    </row>
    <row r="4009">
      <c r="A4009" t="inlineStr">
        <is>
          <t>e8e5s3</t>
        </is>
      </c>
      <c r="B4009" t="inlineStr">
        <is>
          <t>Stomach pain after starting Nexium?</t>
        </is>
      </c>
      <c r="C4009" t="inlineStr">
        <is>
          <t>I was diagnosed with GERD about 5 years ago and had been taking Pantoprazole with no problems.  When it came time to renew my prescription my GI doctor suggesting trying to wean me off of it.  I followed his instructions and tried but unfortunately my issues flared up so I went back on it.
I resumed the Pantoprazole and experienced a lot of painful side effects which he said were usually normal but weird since I'd just been on it problem free.  Eventually the pain went away and all was well for a few weeks, but then the pain returned in some similar places, some different.
The doctor then prescribed me Nexium.  I started taking it and the symptoms started to fade but over the last couple weeks have come back, somewhat less painful than before but still present.  The pain is focused mainly in a handful of places which I *think* are around the higher points of my colon, and then on my left side around my ribs.
Has anyone else ever experienced this and have any solutions?  I have an appointment with my GI at the end of the month but of course until then I'm just going to be convincing myself that I have cancer or a deadly infection or some jungle disease or something.
Thank you!</t>
        </is>
      </c>
      <c r="D4009" t="n">
        <v>1</v>
      </c>
      <c r="E4009" t="n">
        <v>2</v>
      </c>
      <c r="F4009">
        <f>HYPERLINK("https://www.reddit.com/r/GERD/comments/e8e5s3/stomach_pain_after_starting_nexium/")</f>
        <v/>
      </c>
      <c r="G4009" t="inlineStr">
        <is>
          <t>2019-12-09 10:51:38</t>
        </is>
      </c>
      <c r="H4009" t="inlineStr"/>
    </row>
    <row r="4010">
      <c r="A4010" t="inlineStr">
        <is>
          <t>e8ezkp</t>
        </is>
      </c>
      <c r="B4010" t="inlineStr">
        <is>
          <t>Using Emozul (and tried Omeprazole) but they change my acid reflux to heartburn.</t>
        </is>
      </c>
      <c r="C4010" t="inlineStr">
        <is>
          <t>Or what I think heartburn would be, since I never had it before. It gets the worst just after I eat obviously. My diet is fairly casual now so I don't really get why it's so overwhelming all of the time.
By the way, will my acid reflux ever go away or will it persist with the same strength throughout my life? I get it from water even, so it's quite annoying - particularly when I'm trying to talk to people.</t>
        </is>
      </c>
      <c r="D4010" t="n">
        <v>1</v>
      </c>
      <c r="E4010" t="n">
        <v>0</v>
      </c>
      <c r="F4010">
        <f>HYPERLINK("https://www.reddit.com/r/GERD/comments/e8ezkp/using_emozul_and_tried_omeprazole_but_they_change/")</f>
        <v/>
      </c>
      <c r="G4010" t="inlineStr">
        <is>
          <t>2019-12-09 11:51:42</t>
        </is>
      </c>
      <c r="H4010" t="inlineStr"/>
    </row>
    <row r="4011">
      <c r="A4011" t="inlineStr">
        <is>
          <t>e8fvp4</t>
        </is>
      </c>
      <c r="B4011" t="inlineStr">
        <is>
          <t>New to GERD diagnoses . On PPIs and still adjusting to the symtomps. Need some advice</t>
        </is>
      </c>
      <c r="C4011" t="inlineStr">
        <is>
          <t>Hello. 25 year old male . 6'0 262 lbs. Recently diagnosed with GERD and having a few a questions about this condition.  Before I start I want to remind those who seem to always comment " you wont find answer here ,  go to a doctor " , I'm not seeking a medical diagnoses . I simply want some insight from those who currently have GERD or have had it for a while now, plus as a current college student with no health insurance I cant always afford to go on countless trips to the doctor.  So for the most part it seems like , at least for me , everyday my symptoms are somewhat different. It's never the same consistent symptoms and that can be very irritating.  Last night for example I had a small attack( as I call them) where my heart rate felt really fast plus heart palpations and night sweats . This woke me up in the middle of the night from my sleep and last about a few minutes.  Prior to that , I've only had two attacks that happened as I was going to sleep and not during my sleep. That struck me as odd because I'm usually able to sleep through the night.   I've read that GERD will sometimes wake you from your sleep but I'm unsure if the heart palpations and rapid heart rate is normal .   Is that something I should be worried about , or should I expect it while i have GERD?</t>
        </is>
      </c>
      <c r="D4011" t="n">
        <v>1</v>
      </c>
      <c r="E4011" t="n">
        <v>3</v>
      </c>
      <c r="F4011">
        <f>HYPERLINK("https://www.reddit.com/r/GERD/comments/e8fvp4/new_to_gerd_diagnoses_on_ppis_and_still_adjusting/")</f>
        <v/>
      </c>
      <c r="G4011" t="inlineStr">
        <is>
          <t>2019-12-09 12:54:32</t>
        </is>
      </c>
      <c r="H4011" t="inlineStr"/>
    </row>
    <row r="4012">
      <c r="A4012" t="inlineStr">
        <is>
          <t>e8g16l</t>
        </is>
      </c>
      <c r="B4012" t="inlineStr">
        <is>
          <t>Weight gain tips?</t>
        </is>
      </c>
      <c r="C4012" t="inlineStr">
        <is>
          <t>As I'm lactose intolerant and have GERD. I really struggle putting weight on. This is due to the limited foods and drinks I can have. The other reason i struggle is the fact that I get food stuck in my throat/chest so I feel sick a lot of the time and I lose my appetite.
Has anybody got some advice on what I could do.</t>
        </is>
      </c>
      <c r="D4012" t="n">
        <v>1</v>
      </c>
      <c r="E4012" t="n">
        <v>11</v>
      </c>
      <c r="F4012">
        <f>HYPERLINK("https://www.reddit.com/r/GERD/comments/e8g16l/weight_gain_tips/")</f>
        <v/>
      </c>
      <c r="G4012" t="inlineStr">
        <is>
          <t>2019-12-09 13:04:55</t>
        </is>
      </c>
      <c r="H4012" t="inlineStr"/>
    </row>
    <row r="4013">
      <c r="A4013" t="inlineStr">
        <is>
          <t>e8hxqu</t>
        </is>
      </c>
      <c r="B4013" t="inlineStr">
        <is>
          <t>Reducing Dosage of Omeprazole- what was your experience?</t>
        </is>
      </c>
      <c r="C4013" t="inlineStr">
        <is>
          <t>After about 6 months of treatment, at the advice of my physician, I Cut from 40 mg to 20 mg in hopes of eventually getting off the drug due to its possible long term effects, but I'm starting to think it's not going to work out.
It's been almost 2 weeks and things are starting to get worse. It's not as bad as it was 6 months ago before I got treatment, but I'm worried it will get there. I'm considering scheduling an appointment with a GI and asking them to put me back to 40 mg.
For those that reduced their dosage, how long did it take before the symptoms "peaked" and started to improve?</t>
        </is>
      </c>
      <c r="D4013" t="n">
        <v>1</v>
      </c>
      <c r="E4013" t="n">
        <v>6</v>
      </c>
      <c r="F4013">
        <f>HYPERLINK("https://www.reddit.com/r/GERD/comments/e8hxqu/reducing_dosage_of_omeprazole_what_was_your/")</f>
        <v/>
      </c>
      <c r="G4013" t="inlineStr">
        <is>
          <t>2019-12-09 15:25:30</t>
        </is>
      </c>
      <c r="H4013" t="inlineStr"/>
    </row>
    <row r="4014">
      <c r="A4014" t="inlineStr">
        <is>
          <t>e8izh9</t>
        </is>
      </c>
      <c r="B4014" t="inlineStr">
        <is>
          <t>For those with ADHD, how does your PPI affeect your adhd meds?</t>
        </is>
      </c>
      <c r="C4014" t="inlineStr">
        <is>
          <t>I have just been prescribed Adderall XR and I know that ph can effect it, but I'm not sure how.</t>
        </is>
      </c>
      <c r="D4014" t="n">
        <v>1</v>
      </c>
      <c r="E4014" t="n">
        <v>4</v>
      </c>
      <c r="F4014">
        <f>HYPERLINK("https://www.reddit.com/r/GERD/comments/e8izh9/for_those_with_adhd_how_does_your_ppi_affeect/")</f>
        <v/>
      </c>
      <c r="G4014" t="inlineStr">
        <is>
          <t>2019-12-09 16:46:08</t>
        </is>
      </c>
      <c r="H4014" t="inlineStr"/>
    </row>
    <row r="4015">
      <c r="A4015" t="inlineStr">
        <is>
          <t>e8jq14</t>
        </is>
      </c>
      <c r="B4015" t="inlineStr">
        <is>
          <t>Anyone here who is diagnosed with GERD and continued smoking?</t>
        </is>
      </c>
      <c r="C4015" t="inlineStr">
        <is>
          <t>Honestly, I am just curious. I’ve been a smoker before GERD and quit two months ago and I am feeling better. I just want to know if there are anyone else out there who continued the habit despite having GERD and what’s the effect. Thank you.</t>
        </is>
      </c>
      <c r="D4015" t="n">
        <v>1</v>
      </c>
      <c r="E4015" t="n">
        <v>7</v>
      </c>
      <c r="F4015">
        <f>HYPERLINK("https://www.reddit.com/r/GERD/comments/e8jq14/anyone_here_who_is_diagnosed_with_gerd_and/")</f>
        <v/>
      </c>
      <c r="G4015" t="inlineStr">
        <is>
          <t>2019-12-09 17:44:39</t>
        </is>
      </c>
      <c r="H4015" t="inlineStr"/>
    </row>
    <row r="4016">
      <c r="A4016" t="inlineStr">
        <is>
          <t>e8le3t</t>
        </is>
      </c>
      <c r="B4016" t="inlineStr">
        <is>
          <t>Alcohol Intolerance Following NF Surgery</t>
        </is>
      </c>
      <c r="C4016" t="inlineStr">
        <is>
          <t>Hi all!
I’m wondering if anyone else has had trouble with alcohol following a Nissen Fundoplication surgery. 
I’ve never been a big drinker but always had a pretty good tolerance. Ever since the surgery (7 months ago), I feel very nauseous after one drink.
Had anyone else run into this issue?</t>
        </is>
      </c>
      <c r="D4016" t="n">
        <v>1</v>
      </c>
      <c r="E4016" t="n">
        <v>6</v>
      </c>
      <c r="F4016">
        <f>HYPERLINK("https://www.reddit.com/r/GERD/comments/e8le3t/alcohol_intolerance_following_nf_surgery/")</f>
        <v/>
      </c>
      <c r="G4016" t="inlineStr">
        <is>
          <t>2019-12-09 20:00:18</t>
        </is>
      </c>
      <c r="H4016" t="inlineStr"/>
    </row>
    <row r="4017">
      <c r="A4017" t="inlineStr">
        <is>
          <t>e8lt1q</t>
        </is>
      </c>
      <c r="B4017" t="inlineStr">
        <is>
          <t>Why do acid blockers and antacids result in pellet poops?</t>
        </is>
      </c>
      <c r="C4017" t="inlineStr">
        <is>
          <t>Random question - doesn't seem like a terrible symptom, just curious</t>
        </is>
      </c>
      <c r="D4017" t="n">
        <v>1</v>
      </c>
      <c r="E4017" t="n">
        <v>4</v>
      </c>
      <c r="F4017">
        <f>HYPERLINK("https://www.reddit.com/r/GERD/comments/e8lt1q/why_do_acid_blockers_and_antacids_result_in/")</f>
        <v/>
      </c>
      <c r="G4017" t="inlineStr">
        <is>
          <t>2019-12-09 20:37:20</t>
        </is>
      </c>
      <c r="H4017" t="inlineStr"/>
    </row>
    <row r="4018">
      <c r="A4018" t="inlineStr">
        <is>
          <t>e8nfdd</t>
        </is>
      </c>
      <c r="B4018" t="inlineStr">
        <is>
          <t>Gluten is causing me insufferable pain.</t>
        </is>
      </c>
      <c r="C4018" t="inlineStr">
        <is>
          <t>I've had an endoscopy, small hiatus hernia found. Suspected celiac disease. At this point I switched to a gluten free diet and symptoms slowly disappeared. Biopsy revealed no celiac disease. Started introducing some gluten back in to my diet, had 2 slices of toast last night and the pain was so bad I was in ER and they gave me Codeine for pain relief.
I don't get it. If I don't have celiac disease how can gluten cause so much issues. Coincidence?</t>
        </is>
      </c>
      <c r="D4018" t="n">
        <v>1</v>
      </c>
      <c r="E4018" t="n">
        <v>7</v>
      </c>
      <c r="F4018">
        <f>HYPERLINK("https://www.reddit.com/r/GERD/comments/e8nfdd/gluten_is_causing_me_insufferable_pain/")</f>
        <v/>
      </c>
      <c r="G4018" t="inlineStr">
        <is>
          <t>2019-12-09 23:20:10</t>
        </is>
      </c>
      <c r="H4018" t="inlineStr"/>
    </row>
    <row r="4019">
      <c r="A4019" t="inlineStr">
        <is>
          <t>e8q4w2</t>
        </is>
      </c>
      <c r="B4019" t="inlineStr">
        <is>
          <t>Ranitidine is being recalled??</t>
        </is>
      </c>
      <c r="C4019" t="inlineStr">
        <is>
          <t>This article is from Haaaavaaad University. Apparently Zantac has a carcinogen that causes cancer?? 
&amp;amp;#x200B;
[https://www.health.harvard.edu/blog/popular-heartburn-drug-ranitidine-recalled-what-you-need-to-know-and-do-2019092817911](https://www.health.harvard.edu/blog/popular-heartburn-drug-ranitidine-recalled-what-you-need-to-know-and-do-2019092817911)</t>
        </is>
      </c>
      <c r="D4019" t="n">
        <v>1</v>
      </c>
      <c r="E4019" t="n">
        <v>4</v>
      </c>
      <c r="F4019">
        <f>HYPERLINK("https://www.reddit.com/r/GERD/comments/e8q4w2/ranitidine_is_being_recalled/")</f>
        <v/>
      </c>
      <c r="G4019" t="inlineStr">
        <is>
          <t>2019-12-10 04:42:54</t>
        </is>
      </c>
      <c r="H4019" t="inlineStr"/>
    </row>
    <row r="4020">
      <c r="A4020" t="inlineStr">
        <is>
          <t>e8rdqj</t>
        </is>
      </c>
      <c r="B4020" t="inlineStr">
        <is>
          <t>Gerd make hangovers really bad</t>
        </is>
      </c>
      <c r="C4020" t="inlineStr">
        <is>
          <t>I’ve cut my drinking down considerably this year, I also have mild chronic gastritis but with no pain at all. I honestly believe the gastritis is healed but the gerd is what’s causing most of my issues. I never used to get hungover but now I wake up drinking and feel like shit. Could gerd be causing this?</t>
        </is>
      </c>
      <c r="D4020" t="n">
        <v>1</v>
      </c>
      <c r="E4020" t="n">
        <v>11</v>
      </c>
      <c r="F4020">
        <f>HYPERLINK("https://www.reddit.com/r/GERD/comments/e8rdqj/gerd_make_hangovers_really_bad/")</f>
        <v/>
      </c>
      <c r="G4020" t="inlineStr">
        <is>
          <t>2019-12-10 06:37:04</t>
        </is>
      </c>
      <c r="H4020" t="inlineStr"/>
    </row>
    <row r="4021">
      <c r="A4021" t="inlineStr">
        <is>
          <t>e8sfj8</t>
        </is>
      </c>
      <c r="B4021" t="inlineStr">
        <is>
          <t>Gerd and late night dinner, how to handle it?</t>
        </is>
      </c>
      <c r="C4021" t="inlineStr">
        <is>
          <t>Christmas and New Year is coming and in my country, our tradition is to eat with your family at 12 midnight. Any tips on how to minimize the suffering?</t>
        </is>
      </c>
      <c r="D4021" t="n">
        <v>1</v>
      </c>
      <c r="E4021" t="n">
        <v>5</v>
      </c>
      <c r="F4021">
        <f>HYPERLINK("https://www.reddit.com/r/GERD/comments/e8sfj8/gerd_and_late_night_dinner_how_to_handle_it/")</f>
        <v/>
      </c>
      <c r="G4021" t="inlineStr">
        <is>
          <t>2019-12-10 07:59:21</t>
        </is>
      </c>
      <c r="H4021" t="inlineStr"/>
    </row>
    <row r="4022">
      <c r="A4022" t="inlineStr">
        <is>
          <t>e8tnbn</t>
        </is>
      </c>
      <c r="B4022" t="inlineStr">
        <is>
          <t>Mom cooked steamed veggies at 11pm, forced me to eat it and now I have a stomach ache</t>
        </is>
      </c>
      <c r="C4022" t="inlineStr">
        <is>
          <t>I already told her that beyond 9pm, if she cant cook us dinner then I wont be eating dinner (I already ate a banana muffin at 5pm). She went home at 11pm, cooked steamed vegetables and kept guilting me into eating it. I already drank gaviscon at 9pm. I already told her I wont be eating but she still insisted. Now I am having stomach pains as I'm writing this post at 1:25am and laying down in bed.
Why can't our family just understand us, we can't eat at any time anymore. This sucks.</t>
        </is>
      </c>
      <c r="D4022" t="n">
        <v>1</v>
      </c>
      <c r="E4022" t="n">
        <v>10</v>
      </c>
      <c r="F4022">
        <f>HYPERLINK("https://www.reddit.com/r/GERD/comments/e8tnbn/mom_cooked_steamed_veggies_at_11pm_forced_me_to/")</f>
        <v/>
      </c>
      <c r="G4022" t="inlineStr">
        <is>
          <t>2019-12-10 09:26:35</t>
        </is>
      </c>
      <c r="H4022" t="inlineStr"/>
    </row>
    <row r="4023">
      <c r="A4023" t="inlineStr">
        <is>
          <t>e8unr4</t>
        </is>
      </c>
      <c r="B4023" t="inlineStr">
        <is>
          <t>Caffeine Pills?</t>
        </is>
      </c>
      <c r="C4023" t="inlineStr">
        <is>
          <t>Does anyone here have experience with caffeine pills? I used to drink a lot of coffee but had to stop after being diagnosed. I’ve found that caffeine is my worst trigger and was wondering if maybe caffeine pills would be a better alt? 
Thanks!</t>
        </is>
      </c>
      <c r="D4023" t="n">
        <v>1</v>
      </c>
      <c r="E4023" t="n">
        <v>8</v>
      </c>
      <c r="F4023">
        <f>HYPERLINK("https://www.reddit.com/r/GERD/comments/e8unr4/caffeine_pills/")</f>
        <v/>
      </c>
      <c r="G4023" t="inlineStr">
        <is>
          <t>2019-12-10 10:39:04</t>
        </is>
      </c>
      <c r="H4023" t="inlineStr"/>
    </row>
    <row r="4024">
      <c r="A4024" t="inlineStr">
        <is>
          <t>e8whnt</t>
        </is>
      </c>
      <c r="B4024" t="inlineStr">
        <is>
          <t>Living with Gerd most likely. Any advice on how to calm down symptoms or live normally?</t>
        </is>
      </c>
      <c r="C4024" t="inlineStr">
        <is>
          <t>For the past month and half, I’ve been feeling very shit with digestion. Symptoms have been ranging from mild stomach aches, weird ass stomach noises from indigestion I’m guessing and back of my throat looks horrible with red spots with little white plus thrush. Went to walk in clinic couple of times first thought was pulled chest muscle. I’m a active gym rat as well been going gym a nice while couldn’t gain much muscle so I upped my calories and did change from eating salmon most every day to ground beef as well adding peanut butter and avocados so I was consuming like 100gs of fat with 400+ carbs and like 250g of protein but started to notice mid October was having some problems swallowing as well. After I realized it was definitely not pulled muscle I went back, I was given rabeprazole a ppi for acid flux so I toke that for week and noticed the thrush shortly after went back given mouth waste for that and didn’t help, stopped the rabeprazole because thought could of been a sti but that came back negative. So got more rabeprazole next time I went back when I was smoking cannabis which I been doing almost daily for past several years for other issues no problems at all. I felt heartburn and felt I couldn’t burp. Doctor gave me 3 weeks of rabeprazole which currently taking and have stopped smoking and drinking caffeine. Changed my diet a little, took out ground beef for ground turkey and eating more slowly but feeling more heartburn now then ever before, burping more then I was before taking the rabeprazole. Like really questioning if it’s acid flux or not but thinking it is, but would like to consume cannabis the smoking way and enjoy myself. Waiting to see a ENT doctor to get checked to see for sure but here in NL, Canada our health care is Medicare but doctors are extremely limited and walk in clinics feel like there just feeding me drugs. Any suggestions or comments?</t>
        </is>
      </c>
      <c r="D4024" t="n">
        <v>1</v>
      </c>
      <c r="E4024" t="n">
        <v>17</v>
      </c>
      <c r="F4024">
        <f>HYPERLINK("https://www.reddit.com/r/GERD/comments/e8whnt/living_with_gerd_most_likely_any_advice_on_how_to/")</f>
        <v/>
      </c>
      <c r="G4024" t="inlineStr">
        <is>
          <t>2019-12-10 12:50:25</t>
        </is>
      </c>
      <c r="H4024" t="inlineStr"/>
    </row>
    <row r="4025">
      <c r="A4025" t="inlineStr">
        <is>
          <t>e8xfes</t>
        </is>
      </c>
      <c r="B4025" t="inlineStr">
        <is>
          <t>Life time PPI or Surgery , pre Barrets in biopsy</t>
        </is>
      </c>
      <c r="C4025" t="inlineStr">
        <is>
          <t xml:space="preserve">
I am 32, With 40mg a day Omeprazole I have been managing my symptoms well. However in last endoscopy they said no barrets detecter however, prebarrets cells were detected which were not present a year ago.. My doctor has been leaving options up to me of PPI or surgery. However reading so much stuff on negative effects on kidney and bones have me worried for long term usage.
At the same time I have seen so many negative reviews about nissen funduplication. And worried that it will make things worse.
Any one is in similar situation ? Is it worth to do surgery or take risk of PPI ?</t>
        </is>
      </c>
      <c r="D4025" t="n">
        <v>1</v>
      </c>
      <c r="E4025" t="n">
        <v>19</v>
      </c>
      <c r="F4025">
        <f>HYPERLINK("https://www.reddit.com/r/GERD/comments/e8xfes/life_time_ppi_or_surgery_pre_barrets_in_biopsy/")</f>
        <v/>
      </c>
      <c r="G4025" t="inlineStr">
        <is>
          <t>2019-12-10 13:56:33</t>
        </is>
      </c>
      <c r="H4025" t="inlineStr"/>
    </row>
    <row r="4026">
      <c r="A4026" t="inlineStr">
        <is>
          <t>e8xolv</t>
        </is>
      </c>
      <c r="B4026" t="inlineStr">
        <is>
          <t>No problems until I had an endoscopy!</t>
        </is>
      </c>
      <c r="C4026" t="inlineStr">
        <is>
          <t>Hi all, I wonder if anyone could help or has heard of anything like this...
I had an upper endoscopy at the end of September (as my endocrinologist wanted me double checked for coeliacs due to malabsorption etc, it was clear for this &amp;amp; no abnormalities) 
But the endoscopy was when all my problems started... I had no gastric symptoms before this then a couple of days after the procedure I started to get reflux,  just put it down to the endoscopy and thought it would get better...but fast forward to now I can barely eat when I do I have agonising pain in my chest and between my shoulder blades to the point I’ve cried, acid burning my throat and Oesophagus &amp;amp; food coming back up. My GP has tried me on PPIs but if anything they’ve made the chest pain worse. I’m at a complete loss, I’m guessing somehow some damage was caused during the procedure but I truly don’t know what to do. 
The GI dept has said I can be re-referred to them but obviously that will take time &amp;amp; they won’t give me advice over the phone. This is just horrible and now I’m losing weight from being unable to eat properly, has anyone ever heard of anything like this and have any advice? Thanks so much! Feeling pretty scared and desperate!</t>
        </is>
      </c>
      <c r="D4026" t="n">
        <v>1</v>
      </c>
      <c r="E4026" t="n">
        <v>10</v>
      </c>
      <c r="F4026">
        <f>HYPERLINK("https://www.reddit.com/r/GERD/comments/e8xolv/no_problems_until_i_had_an_endoscopy/")</f>
        <v/>
      </c>
      <c r="G4026" t="inlineStr">
        <is>
          <t>2019-12-10 14:14:52</t>
        </is>
      </c>
      <c r="H4026" t="inlineStr"/>
    </row>
    <row r="4027">
      <c r="A4027" t="inlineStr">
        <is>
          <t>e8xvrl</t>
        </is>
      </c>
      <c r="B4027" t="inlineStr">
        <is>
          <t>Epigastric Nagging Pain</t>
        </is>
      </c>
      <c r="C4027" t="inlineStr">
        <is>
          <t>Hey there!
I have consistent/constant/annoying , dull/achy (sometimes burning) Epigastric pain. 
Sometimes it feels like a knot, others it’s just a nagging pain. 
Occasional heartburn/chest pains
PCP ruled out hpylori, no blood in stool, diagnosed me with NAFLD and enlarged spleen
GI has me on Pantroprazole 40mg 1x a day for the next three months before considering EDG
Anyone go through this? What was your dx?any tips or tricks to ease the pain?
I’m curious if the fatty liver is squishing things or if I’m newly lactose intolerant?
Ideas? Thoughts? Suggestions? 
Anything to get me through!</t>
        </is>
      </c>
      <c r="D4027" t="n">
        <v>1</v>
      </c>
      <c r="E4027" t="n">
        <v>1</v>
      </c>
      <c r="F4027">
        <f>HYPERLINK("https://www.reddit.com/r/GERD/comments/e8xvrl/epigastric_nagging_pain/")</f>
        <v/>
      </c>
      <c r="G4027" t="inlineStr">
        <is>
          <t>2019-12-10 14:29:17</t>
        </is>
      </c>
      <c r="H4027" t="inlineStr"/>
    </row>
    <row r="4028">
      <c r="A4028" t="inlineStr">
        <is>
          <t>e8y75i</t>
        </is>
      </c>
      <c r="B4028" t="inlineStr">
        <is>
          <t>Possible LPR</t>
        </is>
      </c>
      <c r="C4028" t="inlineStr">
        <is>
          <t>I have a lot of mucus that runs down my throat. It causes what I call discomfort in my throat. Sometimes it’s like globus sensation, other times it just seems “tight” and uncomfortable. Eating and drinking seems to relieve it temporarily. 
I take Nexium in the morning, and Klonopin midday (this usually eases my midday flare ups). It seems to peak in the afternoon. It comes and goes I’ve gone a month or so before without any issues but then it comes back. Been going on for 2 years or so. PCP has diagnosed GERD.
Here’s the weird thing it my throat is bother me...I can drink a beer or two and it completely goes away.
Anybody have similar issues?</t>
        </is>
      </c>
      <c r="D4028" t="n">
        <v>1</v>
      </c>
      <c r="E4028" t="n">
        <v>4</v>
      </c>
      <c r="F4028">
        <f>HYPERLINK("https://www.reddit.com/r/GERD/comments/e8y75i/possible_lpr/")</f>
        <v/>
      </c>
      <c r="G4028" t="inlineStr">
        <is>
          <t>2019-12-10 14:52:36</t>
        </is>
      </c>
      <c r="H4028" t="inlineStr"/>
    </row>
    <row r="4029">
      <c r="A4029" t="inlineStr">
        <is>
          <t>e8ydya</t>
        </is>
      </c>
      <c r="B4029" t="inlineStr">
        <is>
          <t>Does anyone else experience discomfort right below their left breastplate on their abdomen ?</t>
        </is>
      </c>
      <c r="C4029" t="inlineStr">
        <is>
          <t>25. 6'0 260 lb male. I was diagnosed with a small hiatal hernia , GERD, gastritis and polyps . I am currently taking PPIs and watching my diet.   I've been experiencing what feels like twitching or pulsing  on the left side of my stomach just below the ribcage . It would happen before my diagnoses , and ever since I resumed my workout regiment yesterday it started happening again.  That part of my abdomen started twitching/ pulsing fast for a few seconds at a time for about 5 minutes .    Since yesterday I am experiencing that twitching/pulsing  randomly throughout the day and after a meal .  Could this be because of my hernia ? Am I aggravating it in some way by exercising?  Any advice would help</t>
        </is>
      </c>
      <c r="D4029" t="n">
        <v>1</v>
      </c>
      <c r="E4029" t="n">
        <v>3</v>
      </c>
      <c r="F4029">
        <f>HYPERLINK("https://www.reddit.com/r/GERD/comments/e8ydya/does_anyone_else_experience_discomfort_right/")</f>
        <v/>
      </c>
      <c r="G4029" t="inlineStr">
        <is>
          <t>2019-12-10 15:06:59</t>
        </is>
      </c>
      <c r="H4029" t="inlineStr"/>
    </row>
    <row r="4030">
      <c r="A4030" t="inlineStr">
        <is>
          <t>e90ymc</t>
        </is>
      </c>
      <c r="B4030" t="inlineStr">
        <is>
          <t>PH test 24 hour</t>
        </is>
      </c>
      <c r="C4030" t="inlineStr">
        <is>
          <t>Hey all! I’m currently in the middle of my PH test done with the probe and monitor. 
So, of course while I’m getting tested my reflux isn’t acting up as much as it usually does.... 
will this affect my results? I’m so frustrated. It was flaring up all last week</t>
        </is>
      </c>
      <c r="D4030" t="n">
        <v>1</v>
      </c>
      <c r="E4030" t="n">
        <v>10</v>
      </c>
      <c r="F4030">
        <f>HYPERLINK("https://www.reddit.com/r/GERD/comments/e90ymc/ph_test_24_hour/")</f>
        <v/>
      </c>
      <c r="G4030" t="inlineStr">
        <is>
          <t>2019-12-10 18:38:37</t>
        </is>
      </c>
      <c r="H4030" t="inlineStr"/>
    </row>
    <row r="4031">
      <c r="A4031" t="inlineStr">
        <is>
          <t>e92mmk</t>
        </is>
      </c>
      <c r="B4031" t="inlineStr">
        <is>
          <t>Day 6 of quitting PPIs. My mouth is burning.</t>
        </is>
      </c>
      <c r="C4031" t="inlineStr">
        <is>
          <t>Last night I had a bad diarrhea. Now I'm having a burning sensation in my mouth.
Its like I'm back to the where I had not treated my GERD.</t>
        </is>
      </c>
      <c r="D4031" t="n">
        <v>1</v>
      </c>
      <c r="E4031" t="n">
        <v>8</v>
      </c>
      <c r="F4031">
        <f>HYPERLINK("https://www.reddit.com/r/GERD/comments/e92mmk/day_6_of_quitting_ppis_my_mouth_is_burning/")</f>
        <v/>
      </c>
      <c r="G4031" t="inlineStr">
        <is>
          <t>2019-12-10 21:08:13</t>
        </is>
      </c>
      <c r="H4031" t="inlineStr"/>
    </row>
    <row r="4032">
      <c r="A4032" t="inlineStr">
        <is>
          <t>e92p1s</t>
        </is>
      </c>
      <c r="B4032" t="inlineStr">
        <is>
          <t>Does anyone get gas pains from gerd when you over eat or have a flare up?</t>
        </is>
      </c>
      <c r="C4032" t="inlineStr">
        <is>
          <t>Sometimes I get actually acid reflux, other times I get very bad gas, and nausea, that ends up with countless burps and a stomach ache. Anybody ever get that??</t>
        </is>
      </c>
      <c r="D4032" t="n">
        <v>1</v>
      </c>
      <c r="E4032" t="n">
        <v>8</v>
      </c>
      <c r="F4032">
        <f>HYPERLINK("https://www.reddit.com/r/GERD/comments/e92p1s/does_anyone_get_gas_pains_from_gerd_when_you_over/")</f>
        <v/>
      </c>
      <c r="G4032" t="inlineStr">
        <is>
          <t>2019-12-10 21:14:50</t>
        </is>
      </c>
      <c r="H4032" t="inlineStr"/>
    </row>
    <row r="4033">
      <c r="A4033" t="inlineStr">
        <is>
          <t>e92ze4</t>
        </is>
      </c>
      <c r="B4033" t="inlineStr">
        <is>
          <t>Nonstop chest pressure and belching, lasting hours/days?</t>
        </is>
      </c>
      <c r="C4033" t="inlineStr">
        <is>
          <t>Hi all,
Initially freaked myself out and had a few hospital visits for chest pain, but after the full cholesterol/blockage/calcium score workup, my cardiologist is confident it's not cardiac in nature, and is relatively confident my issue is GERD. It was fine for awhile, but these last few days whatever this thing is has come back pretty aggressively, with nonstop belching, a feeling of fullness in my throat, some pain on the leftish side of my chest, and sometimes a feeling of lightheadedness.
Does this sound similar to anyone else's experiences? And does anyone have any advice? Antacids gave no real relief.</t>
        </is>
      </c>
      <c r="D4033" t="n">
        <v>1</v>
      </c>
      <c r="E4033" t="n">
        <v>4</v>
      </c>
      <c r="F4033">
        <f>HYPERLINK("https://www.reddit.com/r/GERD/comments/e92ze4/nonstop_chest_pressure_and_belching_lasting/")</f>
        <v/>
      </c>
      <c r="G4033" t="inlineStr">
        <is>
          <t>2019-12-10 21:44:14</t>
        </is>
      </c>
      <c r="H4033" t="inlineStr"/>
    </row>
    <row r="4034">
      <c r="A4034" t="inlineStr">
        <is>
          <t>e94ujt</t>
        </is>
      </c>
      <c r="B4034" t="inlineStr">
        <is>
          <t>Just did my endoscopy</t>
        </is>
      </c>
      <c r="C4034" t="inlineStr">
        <is>
          <t>Luckily nothing serous (I hope) only thing the Doc saw: is inflamed red / mucosal inflammation?
They will test for bacteria / viruses and then I will talk to them again. But I'm curious what this means?
Inflamed stomach and viscous secret?
Treatment recommendation is ppi and alganiae (gaviscon advance) so far is...
As long as I wait for the results. Anyone has that? Or know what it could be?</t>
        </is>
      </c>
      <c r="D4034" t="n">
        <v>1</v>
      </c>
      <c r="E4034" t="n">
        <v>11</v>
      </c>
      <c r="F4034">
        <f>HYPERLINK("https://www.reddit.com/r/GERD/comments/e94ujt/just_did_my_endoscopy/")</f>
        <v/>
      </c>
      <c r="G4034" t="inlineStr">
        <is>
          <t>2019-12-11 01:20:02</t>
        </is>
      </c>
      <c r="H4034" t="inlineStr"/>
    </row>
    <row r="4035">
      <c r="A4035" t="inlineStr">
        <is>
          <t>e97u8g</t>
        </is>
      </c>
      <c r="B4035" t="inlineStr">
        <is>
          <t>Burning stomach and dull ache beneath my sternum.</t>
        </is>
      </c>
      <c r="C4035" t="inlineStr">
        <is>
          <t>So for the past week I have had a burning feeling in my whole stomach region.  I have had a full ache that comes and goes but is pretty consistent and recently as of last night i started getting a sore throat from the burning feeling.  I started taking prilosec and feel a little better.  Is this GERD?</t>
        </is>
      </c>
      <c r="D4035" t="n">
        <v>1</v>
      </c>
      <c r="E4035" t="n">
        <v>22</v>
      </c>
      <c r="F4035">
        <f>HYPERLINK("https://www.reddit.com/r/GERD/comments/e97u8g/burning_stomach_and_dull_ache_beneath_my_sternum/")</f>
        <v/>
      </c>
      <c r="G4035" t="inlineStr">
        <is>
          <t>2019-12-11 06:34:06</t>
        </is>
      </c>
      <c r="H4035" t="inlineStr"/>
    </row>
    <row r="4036">
      <c r="A4036" t="inlineStr">
        <is>
          <t>e982wf</t>
        </is>
      </c>
      <c r="B4036" t="inlineStr">
        <is>
          <t>Sore burning sensation in shins and arms during flare-up?</t>
        </is>
      </c>
      <c r="C4036" t="inlineStr">
        <is>
          <t>Whenever my stomach is irritated from too much acid, it feels very sore. This is often accompanied by a very similar feeling in my shins and sometimes arms. Has anyone else experienced this? I can't find anything online and doctors look at me like I'm off my rocker.</t>
        </is>
      </c>
      <c r="D4036" t="n">
        <v>1</v>
      </c>
      <c r="E4036" t="n">
        <v>7</v>
      </c>
      <c r="F4036">
        <f>HYPERLINK("https://www.reddit.com/r/GERD/comments/e982wf/sore_burning_sensation_in_shins_and_arms_during/")</f>
        <v/>
      </c>
      <c r="G4036" t="inlineStr">
        <is>
          <t>2019-12-11 06:54:37</t>
        </is>
      </c>
      <c r="H4036" t="inlineStr"/>
    </row>
    <row r="4037">
      <c r="A4037" t="inlineStr">
        <is>
          <t>e986km</t>
        </is>
      </c>
      <c r="B4037" t="inlineStr">
        <is>
          <t>I know i shouldnt..</t>
        </is>
      </c>
      <c r="C4037" t="inlineStr">
        <is>
          <t>I work for a school district and there is always a snack day or they pass out treats to us. There is never anything I can have... Many of my co-workers know what I can and can't have... Ive said it a million times not in a bad way just thought conversations about food in general. I'm appreciative that they give us things but for once I want a work treat lol Does anyone have similar situations</t>
        </is>
      </c>
      <c r="D4037" t="n">
        <v>1</v>
      </c>
      <c r="E4037" t="n">
        <v>5</v>
      </c>
      <c r="F4037">
        <f>HYPERLINK("https://www.reddit.com/r/GERD/comments/e986km/i_know_i_shouldnt/")</f>
        <v/>
      </c>
      <c r="G4037" t="inlineStr">
        <is>
          <t>2019-12-11 07:02:35</t>
        </is>
      </c>
      <c r="H4037" t="inlineStr"/>
    </row>
    <row r="4038">
      <c r="A4038" t="inlineStr">
        <is>
          <t>e98bgt</t>
        </is>
      </c>
      <c r="B4038" t="inlineStr">
        <is>
          <t>Anyone find that Diet Soda helps alleviate GERD?</t>
        </is>
      </c>
      <c r="C4038" t="inlineStr">
        <is>
          <t>I've quit diet soda for the past five days and my silent gerd has come back, to about 50% in terms of irritation. (Drinking diet soda brought it down to 5%, some days, I'd forget it entirely). Is it something to do with the pressure in the stomach keeping the esophageal opening, closed? That's what I'm guessing.
Really annoyed at this, been a year and half without any bad GERD symptoms, and out of the blue it's back. With no change in diet. (I've swapped to being vegetarian and that seems to have had a huge impact / but maybe it was all the diet soda?)</t>
        </is>
      </c>
      <c r="D4038" t="n">
        <v>1</v>
      </c>
      <c r="E4038" t="n">
        <v>4</v>
      </c>
      <c r="F4038">
        <f>HYPERLINK("https://www.reddit.com/r/GERD/comments/e98bgt/anyone_find_that_diet_soda_helps_alleviate_gerd/")</f>
        <v/>
      </c>
      <c r="G4038" t="inlineStr">
        <is>
          <t>2019-12-11 07:13:43</t>
        </is>
      </c>
      <c r="H4038" t="inlineStr"/>
    </row>
    <row r="4039">
      <c r="A4039" t="inlineStr">
        <is>
          <t>e99bjo</t>
        </is>
      </c>
      <c r="B4039" t="inlineStr">
        <is>
          <t>Is this GERD?</t>
        </is>
      </c>
      <c r="C4039" t="inlineStr">
        <is>
          <t>Hi everyone, for the past 7 months I have been dealing with incapacitating levels of nausea, but I never throw up. Its been awful, i’ve barely been able to go to the grocery store because I feel so nauseous. I also have to burp constantly. I feel like there is a lump in my throat. I get the feeling of reflux, but no acid actually comes up my throat, and I don’t experience heartburn. My poop is never completely solid and it looks like parts are undigested. Just wondering if anyone else experiences nausea as their main symptom. I’m seeing a gastroenterologist in a few weeks.</t>
        </is>
      </c>
      <c r="D4039" t="n">
        <v>1</v>
      </c>
      <c r="E4039" t="n">
        <v>22</v>
      </c>
      <c r="F4039">
        <f>HYPERLINK("https://www.reddit.com/r/GERD/comments/e99bjo/is_this_gerd/")</f>
        <v/>
      </c>
      <c r="G4039" t="inlineStr">
        <is>
          <t>2019-12-11 08:32:13</t>
        </is>
      </c>
      <c r="H4039" t="inlineStr"/>
    </row>
    <row r="4040">
      <c r="A4040" t="inlineStr">
        <is>
          <t>e9c1sw</t>
        </is>
      </c>
      <c r="B4040" t="inlineStr">
        <is>
          <t>Has anyone slowly gotten better with PPIs/diet? How long did it take?</t>
        </is>
      </c>
      <c r="C4040" t="inlineStr">
        <is>
          <t>I recently started taking 2x Nexium, 1 H2 blocker at night, and am doing a very strict diet (Jonathan Aviv). I am not in any of the high risk groups (not obese, not smoker, etc) and am 24. Although doing all these things helps me _somewhat_ (Id say 30% better), a large number of symptoms persist, most notably constant (24/7) chest pain. I’ve been doing this regimen for about 2-3 months and can’t tell if I’m making any progress past the 30%. Has anyone had long term success with this type of treatment?</t>
        </is>
      </c>
      <c r="D4040" t="n">
        <v>1</v>
      </c>
      <c r="E4040" t="n">
        <v>19</v>
      </c>
      <c r="F4040">
        <f>HYPERLINK("https://www.reddit.com/r/GERD/comments/e9c1sw/has_anyone_slowly_gotten_better_with_ppisdiet_how/")</f>
        <v/>
      </c>
      <c r="G4040" t="inlineStr">
        <is>
          <t>2019-12-11 11:47:54</t>
        </is>
      </c>
      <c r="H4040" t="inlineStr"/>
    </row>
    <row r="4041">
      <c r="A4041" t="inlineStr">
        <is>
          <t>e9cv5e</t>
        </is>
      </c>
      <c r="B4041" t="inlineStr">
        <is>
          <t>Vomiting after moderate drinking - Gerd?</t>
        </is>
      </c>
      <c r="C4041" t="inlineStr">
        <is>
          <t>Hello. For most of my life, I've had minor Gerd symptoms. They usually only appear after having a lot of acidic foods in a short time. However, in the past year I've run into another issue. After having some drinks, the next day I am unable to eat without throwing up until 2pm. This has happened with as little as 2 and as many as 6 drinks but doesn't happen every time. Anyone else experienced something like this?</t>
        </is>
      </c>
      <c r="D4041" t="n">
        <v>1</v>
      </c>
      <c r="E4041" t="n">
        <v>8</v>
      </c>
      <c r="F4041">
        <f>HYPERLINK("https://www.reddit.com/r/GERD/comments/e9cv5e/vomiting_after_moderate_drinking_gerd/")</f>
        <v/>
      </c>
      <c r="G4041" t="inlineStr">
        <is>
          <t>2019-12-11 12:44:14</t>
        </is>
      </c>
      <c r="H4041" t="inlineStr"/>
    </row>
    <row r="4042">
      <c r="A4042" t="inlineStr">
        <is>
          <t>e9d4iw</t>
        </is>
      </c>
      <c r="B4042" t="inlineStr">
        <is>
          <t>LPR and Anxiety?</t>
        </is>
      </c>
      <c r="C4042" t="inlineStr">
        <is>
          <t>I finally got up the courage to make an appt with the ENT for next week. I’m trying to mentally prepare myself.
First, can anyone tell me what I can expect at this appointment? What will they do, will they definitely refer me to a GI for tests like an endoscopy? Is there anything I should specifically ask for or mention?
I have severe general anxiety/health anxiety and freak out at doctor’s appointments. I have had panic attacks in exam rooms before. So I want to prepare and write everything down BEFORE I go so if i do freak out my husband can ask the questions that I have written.
That brings me to my next question. Does anxiety make LPR worse? Could anxiety actually cause it? 
My anxiety is debilitating. But I am trying to change for the sake of my husband and my two very small children, who deserve a wife and mother who doesn’t freak out over every doctor appointment, sore throat, or ache and pain.
I am becoming a bit obsessive-compulsive over my symptoms and I honestly can’t tell what is real and what is not, or what is just exacerbated by anxiety.
Thanks for your help.</t>
        </is>
      </c>
      <c r="D4042" t="n">
        <v>1</v>
      </c>
      <c r="E4042" t="n">
        <v>7</v>
      </c>
      <c r="F4042">
        <f>HYPERLINK("https://www.reddit.com/r/GERD/comments/e9d4iw/lpr_and_anxiety/")</f>
        <v/>
      </c>
      <c r="G4042" t="inlineStr">
        <is>
          <t>2019-12-11 13:01:58</t>
        </is>
      </c>
      <c r="H4042" t="inlineStr"/>
    </row>
    <row r="4043">
      <c r="A4043" t="inlineStr">
        <is>
          <t>e9e4es</t>
        </is>
      </c>
      <c r="B4043" t="inlineStr">
        <is>
          <t>Confusing anxiety for heartburn?</t>
        </is>
      </c>
      <c r="C4043" t="inlineStr">
        <is>
          <t>Hi all
I'm wondering if anyone else can attest to this - in recent years I've been getting waves of dull/warm anxiety in my chest and back. Sometimes I almost can't differentiate this feeling between what I sometimes refer to as "heartburn".
If I ate a piece of pizza or a brownie, however, I would almost 100% get a worse form of "heartburn" discomfort / pain. 
Thoughts anyone?</t>
        </is>
      </c>
      <c r="D4043" t="n">
        <v>1</v>
      </c>
      <c r="E4043" t="n">
        <v>3</v>
      </c>
      <c r="F4043">
        <f>HYPERLINK("https://www.reddit.com/r/GERD/comments/e9e4es/confusing_anxiety_for_heartburn/")</f>
        <v/>
      </c>
      <c r="G4043" t="inlineStr">
        <is>
          <t>2019-12-11 14:11:13</t>
        </is>
      </c>
      <c r="H4043" t="inlineStr"/>
    </row>
    <row r="4044">
      <c r="A4044" t="inlineStr">
        <is>
          <t>e9enz1</t>
        </is>
      </c>
      <c r="B4044" t="inlineStr">
        <is>
          <t>GERD Symptoms But I Rarely Get Heartburn</t>
        </is>
      </c>
      <c r="C4044" t="inlineStr">
        <is>
          <t>Hello, first post here. I was diagnosed with GERD in August of this year but i had symptoms in the beginning of march and it put me out of the gym ever since, i knew something was wrong when i would randomly feel like throwing up after doing bent over exercises which was not normal for me, it just continued to get worse. Ever since i actually knew what i had i tried all the natural remedies and read it could be too little stomach acid so i tried keto, digestive bitters, betaine hcl, more alkaline foods, probiotics, etc..after everything failed i tried the doctors prescription which was 20mg famotidine, didnt do anything. Tried the docs next prescription which is sandoz-rabeprazole 20m and no difference. I rarely rarely get heartburn but can feel liquid running up my esophagus, i always feel like i have a knot in my throat that i have to swallow. Also lots of burping after eating, even drinking water i burp a little after. I cant work a job because of this, any physical activity i feel like throwing up most of the time and even just living life i feel like shit but it magnifies 100x when doing physical activity. Its extremely depressing. Any recommendations is helpful! Thank you guys!</t>
        </is>
      </c>
      <c r="D4044" t="n">
        <v>1</v>
      </c>
      <c r="E4044" t="n">
        <v>17</v>
      </c>
      <c r="F4044">
        <f>HYPERLINK("https://www.reddit.com/r/GERD/comments/e9enz1/gerd_symptoms_but_i_rarely_get_heartburn/")</f>
        <v/>
      </c>
      <c r="G4044" t="inlineStr">
        <is>
          <t>2019-12-11 14:50:13</t>
        </is>
      </c>
      <c r="H4044" t="inlineStr"/>
    </row>
    <row r="4045">
      <c r="A4045" t="inlineStr">
        <is>
          <t>e9fhjr</t>
        </is>
      </c>
      <c r="B4045" t="inlineStr">
        <is>
          <t>Working out and GERD</t>
        </is>
      </c>
      <c r="C4045" t="inlineStr">
        <is>
          <t>I usually don’t have bad GERD symptoms, but I’ve noticed when I workout it always flares up really bad. Is there a reason for this? It’s usually light to moderate exercise.</t>
        </is>
      </c>
      <c r="D4045" t="n">
        <v>1</v>
      </c>
      <c r="E4045" t="n">
        <v>4</v>
      </c>
      <c r="F4045">
        <f>HYPERLINK("https://www.reddit.com/r/GERD/comments/e9fhjr/working_out_and_gerd/")</f>
        <v/>
      </c>
      <c r="G4045" t="inlineStr">
        <is>
          <t>2019-12-11 15:53:08</t>
        </is>
      </c>
      <c r="H4045" t="inlineStr"/>
    </row>
    <row r="4046">
      <c r="A4046" t="inlineStr">
        <is>
          <t>e9g7a0</t>
        </is>
      </c>
      <c r="B4046" t="inlineStr">
        <is>
          <t>Feeling like I can't breathe?</t>
        </is>
      </c>
      <c r="C4046" t="inlineStr">
        <is>
          <t>I haven't been diagnosed yet, seeing a GI doctor tomorrow. I believe I really do have GERD though. Just wondering if feeling all this pressure in my throat and that makes it harder to breathe. If I can burb I get some relief, but they same feeling comes back after a bit. Is this common for heartburn/GERD. Any pointers for some relief?!</t>
        </is>
      </c>
      <c r="D4046" t="n">
        <v>1</v>
      </c>
      <c r="E4046" t="n">
        <v>4</v>
      </c>
      <c r="F4046">
        <f>HYPERLINK("https://www.reddit.com/r/GERD/comments/e9g7a0/feeling_like_i_cant_breathe/")</f>
        <v/>
      </c>
      <c r="G4046" t="inlineStr">
        <is>
          <t>2019-12-11 16:50:12</t>
        </is>
      </c>
      <c r="H4046" t="inlineStr"/>
    </row>
    <row r="4047">
      <c r="A4047" t="inlineStr">
        <is>
          <t>e9ge1s</t>
        </is>
      </c>
      <c r="B4047" t="inlineStr">
        <is>
          <t>How to gain weight with GERD/LPR</t>
        </is>
      </c>
      <c r="C4047" t="inlineStr">
        <is>
          <t>Hi all,
(21m). Before all this started I was between thin to average weight. Now, about 1 year after the symptoms have started, I’m very underweight even though I try and eat normal sized portions of food 3 - 4 times a day. 
I can see all the bones in my body and I look weak and flimsy. I’ve been trying to gain weight by increasing the amount of meat and fat containing foods I eat, however, it doesn’t seem to have an impact. 
Any of you that were in a similar situation and have managed to gain some weight back? 
Many thanks.</t>
        </is>
      </c>
      <c r="D4047" t="n">
        <v>1</v>
      </c>
      <c r="E4047" t="n">
        <v>19</v>
      </c>
      <c r="F4047">
        <f>HYPERLINK("https://www.reddit.com/r/GERD/comments/e9ge1s/how_to_gain_weight_with_gerdlpr/")</f>
        <v/>
      </c>
      <c r="G4047" t="inlineStr">
        <is>
          <t>2019-12-11 17:06:07</t>
        </is>
      </c>
      <c r="H4047" t="inlineStr"/>
    </row>
    <row r="4048">
      <c r="A4048" t="inlineStr">
        <is>
          <t>e9he7c</t>
        </is>
      </c>
      <c r="B4048" t="inlineStr">
        <is>
          <t>Burning Pain after EGD - Please Help!</t>
        </is>
      </c>
      <c r="C4048" t="inlineStr">
        <is>
          <t>In October of 2019 I started not feeling well while on a Caribbean cruise I was on. Diarrhea, upset stomach, light headed ness, extreme fatigue, tingling sensations, light tremors, etc. I figured that I had picked up something on the ship or from one of the countries I was visiting, but after a week or two of not getting any better, I decided to go into the doctor.
All of my blood tests and stool tests came back completely normal. They couldn’t detect H. Pylori, bacteria or anything. The only thing they found was that I was low on Vitamin B12. I asked the doctor if this was normal for someone my age (27 F) and a regular diet and she said no. They gave me a Vitamin B12 injection mid-November, but I still wasn’t feeling great. This made me think that something must be going on with my stomach because it wasn’t able to absorb the Vitamin B12 properly. 
Because of this, I decided to see a gastroenterologist. When I went in for my initial visit, they said they wanted to do an EGD to see if they could find what was happening.
Fast forward to last week, December 4th 2019, when I got my EGD. The procedure went great and they said that the only thing they found was bile in my stomach and inflammation of my stomach. My esophagus and small intestine looked completely normal. No ulcers, hital hernia or anything. My biopsies also came back completely normal.
However, after my EGD, I was kind of dumb and ate a pretty big meal. (Chick fil a) My Doctor said I could eat and drink anything I wanted, so I didn’t think much of it. But, later that night, my stomach started hurting really bad every time I swallowed a drink, ate something or took a deep breath in. The pain was felt under my ribs in the middle of my stomach area. It was so uncomfortable to eat or drink anything. I figured it was gas and it would go away after a few days, however, it had been a week and I still was feeling that pain - even after taking gas x, eating soft foods, and taking gaviscon. 
The worst part is that at about a week after my EGD, I got this intense, burning sensation in my upper right abdomen whenever I ate or drank anything. This sensation was completely different than the one I had been feeling before. It is almost unbearable and takes my breath away almost. It makes me feel nauseous and so sick that it’s hard to even eat or drink anything.
Does anyone have experience with this? Do you know what it could be? Why is my pain getting worse the longer away I get from my EGD? I am desperate for answers or any suggestions.</t>
        </is>
      </c>
      <c r="D4048" t="n">
        <v>1</v>
      </c>
      <c r="E4048" t="n">
        <v>2</v>
      </c>
      <c r="F4048">
        <f>HYPERLINK("https://www.reddit.com/r/GERD/comments/e9he7c/burning_pain_after_egd_please_help/")</f>
        <v/>
      </c>
      <c r="G4048" t="inlineStr">
        <is>
          <t>2019-12-11 18:27:38</t>
        </is>
      </c>
      <c r="H4048" t="inlineStr"/>
    </row>
    <row r="4049">
      <c r="A4049" t="inlineStr">
        <is>
          <t>e9in92</t>
        </is>
      </c>
      <c r="B4049" t="inlineStr">
        <is>
          <t>Nexium changes my life, but...</t>
        </is>
      </c>
      <c r="C4049" t="inlineStr">
        <is>
          <t>It makes my ADHD considerably worse. It gives me terrible headaches, and it causes circulation issues in my hands and feet.
I live my life in pain most of the time. My stomach always burns and that's just part of my existence. It's really shitty. I can't enjoy my favorite foods... tea, garlic, alcohol, or anything that has a considerable amount of carbs. 
I really enjoy these few days I can take it in a row. It's a vacation from the stress and suffering. I've never told anyone this, but the pain gets bad enough where sometimes the thought of 'self-destruction' creeps into my mind.
I could lose weight and make it better, but it's so hard for me to stay motivated, especially when drinking too much water causes pain. The best drug for me was ranitidine, but now it's just gone. Pulled from the shelves &amp;amp; likely forever. I imagine it has something to do with it's high level safety and efficacy. Can't have something like that on the free market. My doctor said, "it's one of the safest antacids there are. Very few people have side effects and people have been taking it for generations problem free."
Maybe I'm just talking into the void, maybe i need to go to sleep, but thank you God for these days of freedom. To eat and drink as I please. People just don't know how lucky they have it.
Sincerely, Jonathon.</t>
        </is>
      </c>
      <c r="D4049" t="n">
        <v>1</v>
      </c>
      <c r="E4049" t="n">
        <v>6</v>
      </c>
      <c r="F4049">
        <f>HYPERLINK("https://www.reddit.com/r/GERD/comments/e9in92/nexium_changes_my_life_but/")</f>
        <v/>
      </c>
      <c r="G4049" t="inlineStr">
        <is>
          <t>2019-12-11 20:20:46</t>
        </is>
      </c>
      <c r="H4049" t="inlineStr"/>
    </row>
    <row r="4050">
      <c r="A4050" t="inlineStr">
        <is>
          <t>e9ksqw</t>
        </is>
      </c>
      <c r="B4050" t="inlineStr">
        <is>
          <t>how do you know if you are aspirating?</t>
        </is>
      </c>
      <c r="C4050" t="inlineStr">
        <is>
          <t>And do any of you deal with it with gerd?</t>
        </is>
      </c>
      <c r="D4050" t="n">
        <v>1</v>
      </c>
      <c r="E4050" t="n">
        <v>8</v>
      </c>
      <c r="F4050">
        <f>HYPERLINK("https://www.reddit.com/r/GERD/comments/e9ksqw/how_do_you_know_if_you_are_aspirating/")</f>
        <v/>
      </c>
      <c r="G4050" t="inlineStr">
        <is>
          <t>2019-12-12 00:07:57</t>
        </is>
      </c>
      <c r="H4050" t="inlineStr"/>
    </row>
    <row r="4051">
      <c r="A4051" t="inlineStr">
        <is>
          <t>e9oorb</t>
        </is>
      </c>
      <c r="B4051" t="inlineStr">
        <is>
          <t>does this sound like GERD? I have no heartburn</t>
        </is>
      </c>
      <c r="C4051" t="inlineStr">
        <is>
          <t>Hay guys,
So the main thing I experience is vomiting  when I wake up. When I wake up I feel so sick. I usually vomit or just dry heath. After that it usually feels better. Then for the whole day I have this rancid taste in my mouth and sometimes a choking sensation after I eat something. Also I’ll spend the whole day just being nauseated to more and lesser extents. I hardly get the burning sensation though, if I do it’s minuscule.
But the thing that concerns me the most is that if I get up fast or I’m going to pick up something heavy I feel like when I have acid it makes my heart race, or something similar. It’s a very peculiar sensation I can’t tell if my esophagus or my heart, it’s just like this weird fullness.
Anybody out there like me?</t>
        </is>
      </c>
      <c r="D4051" t="n">
        <v>1</v>
      </c>
      <c r="E4051" t="n">
        <v>3</v>
      </c>
      <c r="F4051">
        <f>HYPERLINK("https://www.reddit.com/r/GERD/comments/e9oorb/does_this_sound_like_gerd_i_have_no_heartburn/")</f>
        <v/>
      </c>
      <c r="G4051" t="inlineStr">
        <is>
          <t>2019-12-12 07:04:26</t>
        </is>
      </c>
      <c r="H4051" t="inlineStr"/>
    </row>
    <row r="4052">
      <c r="A4052" t="inlineStr">
        <is>
          <t>e9p052</t>
        </is>
      </c>
      <c r="B4052" t="inlineStr">
        <is>
          <t>Feels like I am choking and can't swallow.</t>
        </is>
      </c>
      <c r="C4052" t="inlineStr">
        <is>
          <t>Whenever I go to swallow food or liquid, it's like it's pressing up against something and won't go down easily. I went to the ER last night (second time at second ER) and they said it was most likely GERD, but man, it's rough. (The first ER did a CTA with contrast and said everything looked normal, they prescribed Ativan for anxiety, and the next day I could eat, not sure if that's a coincidence). I tried a Zantac and it didn't help. I'm going to try some Protonix. 
Anybody have anything like this? I'm pretty scared.</t>
        </is>
      </c>
      <c r="D4052" t="n">
        <v>1</v>
      </c>
      <c r="E4052" t="n">
        <v>11</v>
      </c>
      <c r="F4052">
        <f>HYPERLINK("https://www.reddit.com/r/GERD/comments/e9p052/feels_like_i_am_choking_and_cant_swallow/")</f>
        <v/>
      </c>
      <c r="G4052" t="inlineStr">
        <is>
          <t>2019-12-12 07:28:32</t>
        </is>
      </c>
      <c r="H4052" t="inlineStr"/>
    </row>
    <row r="4053">
      <c r="A4053" t="inlineStr">
        <is>
          <t>e9pvwq</t>
        </is>
      </c>
      <c r="B4053" t="inlineStr">
        <is>
          <t>Switching PPI plus questions</t>
        </is>
      </c>
      <c r="C4053" t="inlineStr">
        <is>
          <t>I'm 47 years old 48 on Monday. I'm overweight. I smoked for 27 years but have been vaping for 4.5 now.  GERD didn't start til a little over a year ago when I started losing weight. I'm now 45lbs lighter and feel worse. Doctor keeps saying losing weight is the treatment but I don't believe that. Ive been avoiding the trigger foods except for rare occasions. I even tried strict keto for 30 days but I had symptoms that were worse.
I've been on raberpouzle (spelling) for over a year now. 20mg twice daily. I've been experiencing brain fog and I saw that was one of the symptoms so I asked my doctor to switch me a few weeks ago. I am now on oberpouzle same dosage and the brain fog is less but a few days after I started I got a cold which is now gone but it feels like I got a bubble in my throat and I have to clear it often. Sometimes feels like it's closing off. I also feel like I have to take zantac more often to fight the symptoms.
I asked my doctor about going to a GI but she said they can only refer when food is getting stuck. 
To make things worse I got a cut on my finger that got badly infected and since im allergic to penicillin my doctor put me on climicidyn (spelling) and since I started taking it my GERD symptoms are worse and the increased chest discomfort is really triggering my anxiety to be worse. 
Do the antibiotics lessen the effectiveness of the PPI? Should I go back to raberpouzle? I was doing ok on it other than the brain fog but it was not perfect either. I'm almost out of zantac 150 which scares me since I can't get any more. 
I live in a province in Canada with crappy health care and most people don't have a family doctor. I don't have the option of finding another doctor but I don't know what to do.</t>
        </is>
      </c>
      <c r="D4053" t="n">
        <v>1</v>
      </c>
      <c r="E4053" t="n">
        <v>1</v>
      </c>
      <c r="F4053">
        <f>HYPERLINK("https://www.reddit.com/r/GERD/comments/e9pvwq/switching_ppi_plus_questions/")</f>
        <v/>
      </c>
      <c r="G4053" t="inlineStr">
        <is>
          <t>2019-12-12 08:35:13</t>
        </is>
      </c>
      <c r="H4053" t="inlineStr"/>
    </row>
    <row r="4054">
      <c r="A4054" t="inlineStr">
        <is>
          <t>e9qlpu</t>
        </is>
      </c>
      <c r="B4054" t="inlineStr">
        <is>
          <t>LPR fix(somewhat)</t>
        </is>
      </c>
      <c r="C4054" t="inlineStr">
        <is>
          <t>So I have a 3cm sliding hernia for about the past 15 years. The normal heartburn(not lpr) has been very successfully treated with ppi's. I dont want to live without them ! The last year Ive been experiencing LPR symptoms, Flem-like feeling and real flem in throat, constant throat clearning and swallowing etc...  Also these symptoms are more pronounced late afternoon/night. Ive found that drinking strong warm green tea helps massively in about 20min !! I dunno why and how and  Im not one of those holistic/i-dont-want-to-drink-pills kinda guys. If there is a pill to treat something I will usually have two(just to be sure).
Would love some feedback from other LPR sufferers and if it works for you.
Ps. Just normal very hot green tea with water no milk, no green tea and mint, no macha latte. Just your store bought green tea. 
Please try and report back :)</t>
        </is>
      </c>
      <c r="D4054" t="n">
        <v>1</v>
      </c>
      <c r="E4054" t="n">
        <v>4</v>
      </c>
      <c r="F4054">
        <f>HYPERLINK("https://www.reddit.com/r/GERD/comments/e9qlpu/lpr_fixsomewhat/")</f>
        <v/>
      </c>
      <c r="G4054" t="inlineStr">
        <is>
          <t>2019-12-12 09:26:50</t>
        </is>
      </c>
      <c r="H4054" t="inlineStr"/>
    </row>
    <row r="4055">
      <c r="A4055" t="inlineStr">
        <is>
          <t>e9quuy</t>
        </is>
      </c>
      <c r="B4055" t="inlineStr">
        <is>
          <t>I can't tell if I have chronic reflux or not.</t>
        </is>
      </c>
      <c r="C4055" t="inlineStr">
        <is>
          <t>Whenever I look up anything related to GERD, or LPR, or Silent Reflux, or whatever, I keep on finding things saying that having symptoms twice a week or more could mean that you have chronic LPR or GERD. What the hell does that mean? Are symptoms supposed to disappear and reappear, or is it just worded poorly?
My symptoms (mostly just the throat-related stuff and some Asthma related things, no heartburn) tend to stay for several days, oftentimes a week or more (currently I've had symptoms since Sunday/Monday). Is that just it's own thing, seperate from it being chronic? Is there a separate thing I can't find out about, where you have occasional but long-lasting flareups, instead of chronic but short-lasting flareups? Or is it just normal to have occasional symptoms for people without GERD, and my symptoms are just more prolonged because of issues like stress, a poor diet, bizarre sleep schedule, and an untidy environment (AKA being a college student).
After the end of the semester, I'm planning on talking to my parents and talking to a doctor about this, especially if it continues for longer, but, until then, I can't figure out what I should be looking for, and what I should be seeking to do. And most of the advice I find seems to be long term lifestyle solutions, which doesn't really help when I'm trying to alleviate pain in the meantime.</t>
        </is>
      </c>
      <c r="D4055" t="n">
        <v>1</v>
      </c>
      <c r="E4055" t="n">
        <v>4</v>
      </c>
      <c r="F4055">
        <f>HYPERLINK("https://www.reddit.com/r/GERD/comments/e9quuy/i_cant_tell_if_i_have_chronic_reflux_or_not/")</f>
        <v/>
      </c>
      <c r="G4055" t="inlineStr">
        <is>
          <t>2019-12-12 09:45:04</t>
        </is>
      </c>
      <c r="H4055" t="inlineStr"/>
    </row>
    <row r="4056">
      <c r="A4056" t="inlineStr">
        <is>
          <t>e9r46v</t>
        </is>
      </c>
      <c r="B4056" t="inlineStr">
        <is>
          <t>How do you deal with Nausea</t>
        </is>
      </c>
      <c r="C4056" t="inlineStr">
        <is>
          <t>Hi everyone (33/M). I was diagnosed with a Hiatal Hernia back in 2012 and was given Dexilant from my GI which helped pretty much cure me of any issues. I ate and drank whatever I want. In 2016 my new job would no longer cover Dexilant which forced me to start taking 40mg Omeprazole. At this point I was still doing fine and eating/drinking whatever I want. Fast forward to about two months ago and I have never felt worse in my life. I am belching so much and am nauseous literally every day. I went to my GP and he told me that he felt it was my stomach acid doing this to me. I have been strictly eating only foods that I didn't think would upset my hernia yet I still find myself nauseous after eating the blandest of foods. I am still taking 1 Omeprazole a day and I was recently prescribed Baclofen to see if that could help as well. The good news is I have another Endoscopy scheduled for this coming Monday so I can hopefully get some answers. Can anyone relate to this at all and give some insight? THANK YOU</t>
        </is>
      </c>
      <c r="D4056" t="n">
        <v>1</v>
      </c>
      <c r="E4056" t="n">
        <v>0</v>
      </c>
      <c r="F4056">
        <f>HYPERLINK("https://www.reddit.com/r/GERD/comments/e9r46v/how_do_you_deal_with_nausea/")</f>
        <v/>
      </c>
      <c r="G4056" t="inlineStr">
        <is>
          <t>2019-12-12 10:04:21</t>
        </is>
      </c>
      <c r="H4056" t="inlineStr"/>
    </row>
    <row r="4057">
      <c r="A4057" t="inlineStr">
        <is>
          <t>e9rfbh</t>
        </is>
      </c>
      <c r="B4057" t="inlineStr">
        <is>
          <t>My acid reflux/dysphagia/anxiety nightmare</t>
        </is>
      </c>
      <c r="C4057" t="inlineStr">
        <is>
          <t>I am 24 years old. 
I feel the need to share my story about the last 2 years of my life dealing with this issue. Thank you in advance to anyone who cares to read and I look forward to gaining advice or just simply knowing I am not alone. 
June 2018 all of a sudden I could not swallow properly. It was so bad I had trouble swallowing rice grains. Went to my PCP who recommended I go to an ENT. I went, had a laryngoscopy performed, and the Dr. determined I had irritation at the opening of my esophagus due to reflux. Told me to take Omeprazole for 4 weeks. After I took it everything was fine with my swallowing until the problem returned October 2018. 
The same problem. Returned to the ENT who told me to take Omeprazole again. Didn't work. Was referred to a gastroenterologist. This was January 2019. Had to have an EGD (endoscopy). H. Pylori came back negative, had multiple biopsies: No EoE, no allergy, no cancer, nothing. No strictures, nothing abnormal except the slight swelling in the upper esophagus. They performed an esophageal dilation just in case. Dr. told me to take Pantoprazole for a month. Didn't work. The dilation only eased my dyspgahia for 3 weeks. The Dr. then put me on Dexilant. It helped a lot but still didn't restore my swallowing to normal. I took this for 6 months. 
Note: My swallowing at this point was not too bad, it has never gotten as bad as it was when it all began.
After this I decided to literally try everything. Aloe vera, drastic diet changes, etc. Nothing seemed to REALLY help.
Went back to my PCP who literally got me to do a thyroid ultrasound, barium swallow, nothing abnormal came up. My PCP suggested I see another ENT for a second opinion. Same thing, was prescribed 300MG Zantac, that seemed to help a bit but the problem persisted. I was then tested for all allergies, nothing came back to suggest it was interfering with my swallowing. I was referred to an ENT who specialized in swallowing disorders. I had a modified barium swallow test performed. Everything came back "normal" and the speech pathologist suggested I've probably developed anxiety to swallowing due to the first months where the problem was severe. She said it's multi factorial since it's a mix of irritation and anxiety.  
I have health insurance, but this ordeal has still cost me a few thousand dollars. A year and a half of this. At the moment my swallowing is ok. I am not taking any medication. Does anyone have any suggestions? I feel like I've tried so many things. I feel hopeless. I need to know I am not the only one. 
I have people in my family telling me my problem is not real and that it's all anxiety. I mentioned it to my doctors but they don't feel it's severe anxiety as it's lasted for so long and the medications I've tried have had an effect, even though not as strong as desired.
At this point I'm willing to do anything to swallow food and drink normally again. Someone suggest CBD oil for anxiety recently haha. 
If you made it this far: Thank you again. Typing all this down puts it all into perspective.</t>
        </is>
      </c>
      <c r="D4057" t="n">
        <v>1</v>
      </c>
      <c r="E4057" t="n">
        <v>4</v>
      </c>
      <c r="F4057">
        <f>HYPERLINK("https://www.reddit.com/r/GERD/comments/e9rfbh/my_acid_refluxdysphagiaanxiety_nightmare/")</f>
        <v/>
      </c>
      <c r="G4057" t="inlineStr">
        <is>
          <t>2019-12-12 10:26:30</t>
        </is>
      </c>
      <c r="H4057" t="inlineStr"/>
    </row>
    <row r="4058">
      <c r="A4058" t="inlineStr">
        <is>
          <t>e9rhti</t>
        </is>
      </c>
      <c r="B4058" t="inlineStr">
        <is>
          <t>Found my answer I think</t>
        </is>
      </c>
      <c r="C4058" t="inlineStr">
        <is>
          <t>32
M
Uk 
Straight to point here, for years I’ve suffered with a sickly feeling, cannot eat when I get up in morning thoughts of food make me feel ill until later in the day. 
I’ve recently discovered I’m an anxious mess health anxiety is the main part of it.
If I have even a doctors appointment I’ll be retching all day trying to keep contents of my stomach in, if I even have to find a parking space somewhere I don’t know same again retching feeling full etc, 
Only thing I’ve found that will make me feel better is vomiting shortly after I get up. Usually acid, very unpleasant, It doesn’t happen everyday sometimes I’m ok. 
Doctor told me years ago I had a sensitive gag reflux, put me on tablets and they never really worked too well. I had scopes done and other tests never had any issue all came back clear. 
Doc kinda lost interest in it and i stopped going. 
So I recently discovered GERD and it’s sounding a lot like my issue anyone similar to me I’d like to hear from you.</t>
        </is>
      </c>
      <c r="D4058" t="n">
        <v>1</v>
      </c>
      <c r="E4058" t="n">
        <v>2</v>
      </c>
      <c r="F4058">
        <f>HYPERLINK("https://www.reddit.com/r/GERD/comments/e9rhti/found_my_answer_i_think/")</f>
        <v/>
      </c>
      <c r="G4058" t="inlineStr">
        <is>
          <t>2019-12-12 10:31:27</t>
        </is>
      </c>
      <c r="H4058" t="inlineStr"/>
    </row>
    <row r="4059">
      <c r="A4059" t="inlineStr">
        <is>
          <t>e9sn4n</t>
        </is>
      </c>
      <c r="B4059" t="inlineStr">
        <is>
          <t>Has anyone taken pantprozole 40 mg, Zantac 150 and mylanta together and have been ok?</t>
        </is>
      </c>
      <c r="C4059" t="inlineStr">
        <is>
          <t>Super flare recently looking for some relief. Wondering if others have mixed these three?</t>
        </is>
      </c>
      <c r="D4059" t="n">
        <v>1</v>
      </c>
      <c r="E4059" t="n">
        <v>1</v>
      </c>
      <c r="F4059">
        <f>HYPERLINK("https://www.reddit.com/r/GERD/comments/e9sn4n/has_anyone_taken_pantprozole_40_mg_zantac_150_and/")</f>
        <v/>
      </c>
      <c r="G4059" t="inlineStr">
        <is>
          <t>2019-12-12 11:54:22</t>
        </is>
      </c>
      <c r="H4059" t="inlineStr"/>
    </row>
    <row r="4060">
      <c r="A4060" t="inlineStr">
        <is>
          <t>e9ty32</t>
        </is>
      </c>
      <c r="B4060" t="inlineStr">
        <is>
          <t>Peanut, Avacado, Chicken, Miso Soup</t>
        </is>
      </c>
      <c r="C4060" t="inlineStr">
        <is>
          <t>These are the only things I seem to be able to eat wit’s the least amount of symptoms, and the more I eat of each food; the less likely it is to be a heartburn free meal. What does this mean about what types of food I should try to eat?</t>
        </is>
      </c>
      <c r="D4060" t="n">
        <v>1</v>
      </c>
      <c r="E4060" t="n">
        <v>5</v>
      </c>
      <c r="F4060">
        <f>HYPERLINK("https://www.reddit.com/r/GERD/comments/e9ty32/peanut_avacado_chicken_miso_soup/")</f>
        <v/>
      </c>
      <c r="G4060" t="inlineStr">
        <is>
          <t>2019-12-12 13:29:10</t>
        </is>
      </c>
      <c r="H4060" t="inlineStr"/>
    </row>
    <row r="4061">
      <c r="A4061" t="inlineStr">
        <is>
          <t>e9ucl4</t>
        </is>
      </c>
      <c r="B4061" t="inlineStr">
        <is>
          <t>Dry mouth on GERD meds?</t>
        </is>
      </c>
      <c r="C4061" t="inlineStr">
        <is>
          <t>TL;DR: [Dry mouth survey for chance to win $25 amazon gift card.](https://stanforduniversity.qualtrics.com/jfe/form/SV_b9oL2CfmYjYJmHr)
Hi Everyone!
My name is Tom - I'm currently a research fellow at Stanford University, and I'm trying to better understand how patients experience and treat dry mouth. I'm interested to hear from anyone and everyone, and am hoping a few of the /r/GERD community members would be willing to help!
If you have some time, [take a look at this brief survey on your experience with dry mouth.](https://stanforduniversity.qualtrics.com/jfe/form/SV_b9oL2CfmYjYJmHr) It should only take about 10 minutes to complete, and if you are interested, you can enter our drawing for a $25 Amazon gift card!
\----
Additional background about [me](https://www.linkedin.com/in/thomasaflores/): I'm working within a program at Stanford University called Biodesign, which is a program aimed at identifying and solving unmet needs in healthcare. My team and I, which is composed of physicians and engineers, have a few key areas of interest, with dry mouth being one of our main areas of study. We are hoping that we can use our experience in both the field and designing technologies to bring something that works well to everyone who struggles with this issue.
If anyone is interested, feel free to DM me with more questions/comments.</t>
        </is>
      </c>
      <c r="D4061" t="n">
        <v>1</v>
      </c>
      <c r="E4061" t="n">
        <v>5</v>
      </c>
      <c r="F4061">
        <f>HYPERLINK("https://www.reddit.com/r/GERD/comments/e9ucl4/dry_mouth_on_gerd_meds/")</f>
        <v/>
      </c>
      <c r="G4061" t="inlineStr">
        <is>
          <t>2019-12-12 13:58:58</t>
        </is>
      </c>
      <c r="H4061" t="inlineStr"/>
    </row>
    <row r="4062">
      <c r="A4062" t="inlineStr">
        <is>
          <t>e9um0l</t>
        </is>
      </c>
      <c r="B4062" t="inlineStr">
        <is>
          <t>Can GERD/LPR cause swollen lymph nodes in the neck?</t>
        </is>
      </c>
      <c r="C4062" t="inlineStr">
        <is>
          <t>Since last April, I’ve been dealing with a variety of constant throat symptoms (excessive throat clearing, globus sensation, dry cough, difficulty swallowing, etc.), but I rarely get heartburn so I never assumed it’d be reflux related. Since all of this began, I’ve also developed swollen lymph nodes in my neck.
Since April, I’ve done a lymph node biopsy (which was a few months ago, and it came back that everything was fine), and just last week I had a barium swallow that determined I had “severe reflux.”
Maybe it’s just because I’ve been paying attention to them more, but it feels like more swollen lymph nodes are popping up in my neck. My doctor insisted it’s from the reflux, but I can’t find anywhere online that says swollen lymph nodes are reflux related, and Google always points to that specific symptom as being pretty serious (like cancer), which scares me.
My next appointment with the doctor is in February, but until then, I just wanted some reassurance that it’s not something to fret over.</t>
        </is>
      </c>
      <c r="D4062" t="n">
        <v>1</v>
      </c>
      <c r="E4062" t="n">
        <v>3</v>
      </c>
      <c r="F4062">
        <f>HYPERLINK("https://www.reddit.com/r/GERD/comments/e9um0l/can_gerdlpr_cause_swollen_lymph_nodes_in_the_neck/")</f>
        <v/>
      </c>
      <c r="G4062" t="inlineStr">
        <is>
          <t>2019-12-12 14:18:07</t>
        </is>
      </c>
      <c r="H4062" t="inlineStr"/>
    </row>
    <row r="4063">
      <c r="A4063" t="inlineStr">
        <is>
          <t>e9uzoz</t>
        </is>
      </c>
      <c r="B4063" t="inlineStr">
        <is>
          <t>Do you think what I'm experiencing is GERD?</t>
        </is>
      </c>
      <c r="C4063" t="inlineStr">
        <is>
          <t>About 5-10 times a year I wake up and have difficulty swallowing. Anything. From my own saliva to drinks. I can handle foods fine though. But any liquid I swallow a second or so later I immediately feel like a "knot" in my throat and it starts to make its way back up my esophagus. And if I keep forcing it back down it makes the "knot" so annoying that it can kind of jolt my head back. And then I usually start burping a lot, until I spit out whatever I swallowed.
This isn't something new I've had this problem for years, and again, I probably only get it between 5 and 10 times a year and it usually lasts a day and then when I wake up in the morning the next day it's gone. The thing is, I don't get that "aciditic" taste or burning feeling during any of these episodes. So it isn't like traditional acid reflux where if you eat spicy foods you get that nasty taste and burning feeling of acid coming up.
But it still might be a form of GERD. I honestly haven't found anything to get rid of it when I get these episodes. Eating, taking a Tums, whatever, nothing seems to work. Just riding it out until the next day.
Anyone ever experience anything like this and do you think this is a form of GERD?
Thanks</t>
        </is>
      </c>
      <c r="D4063" t="n">
        <v>1</v>
      </c>
      <c r="E4063" t="n">
        <v>3</v>
      </c>
      <c r="F4063">
        <f>HYPERLINK("https://www.reddit.com/r/GERD/comments/e9uzoz/do_you_think_what_im_experiencing_is_gerd/")</f>
        <v/>
      </c>
      <c r="G4063" t="inlineStr">
        <is>
          <t>2019-12-12 14:46:23</t>
        </is>
      </c>
      <c r="H4063" t="inlineStr"/>
    </row>
    <row r="4064">
      <c r="A4064" t="inlineStr">
        <is>
          <t>e9vdud</t>
        </is>
      </c>
      <c r="B4064" t="inlineStr">
        <is>
          <t>Young and diagnosed with Barretts Esophagus.</t>
        </is>
      </c>
      <c r="C4064" t="inlineStr">
        <is>
          <t>So I'm 26 and have been having some abdominal/back pain. After having an upper scope they discovered my esophagus was covered in mucus and damaged, thus Barretts Esophagus diagnosis. Now I had never heard of this so my doctor explained to me what it was, likely the result of years of acid reflux (I was diagnosed with reflux at 12). She quickly went on about how it's a precancerous condition and that I need to change my diet immediately or I'll regret it. She also stated I'll have to get a scope done every 3 years to monitor it from now on. I've since googled and see that the chance of cancer from it is less than 1% and that it can go away if treated properly. My diet has never been great admittedly, since a lot of my high school and college meals consisted of fast food and other junk. I still have issues with my diet but the way the doctor kinda made it sound like I could never eat a burger or pizza again. Sorry for the long winded explanation but I'm just curious for those who have experience with this diagnosis, how much has it changed your life and what have you done? How often, if any, do you "cheat" on your diet? It's also tough for me because I never thought I had that bad of reflux. It's definitely picked up since I've had this abdominal pain the last few months but other than that it didn't seem like I had too many issues with it. Can you have reflux attacks and not know it?</t>
        </is>
      </c>
      <c r="D4064" t="n">
        <v>1</v>
      </c>
      <c r="E4064" t="n">
        <v>15</v>
      </c>
      <c r="F4064">
        <f>HYPERLINK("https://www.reddit.com/r/GERD/comments/e9vdud/young_and_diagnosed_with_barretts_esophagus/")</f>
        <v/>
      </c>
      <c r="G4064" t="inlineStr">
        <is>
          <t>2019-12-12 15:17:13</t>
        </is>
      </c>
      <c r="H4064" t="inlineStr"/>
    </row>
    <row r="4065">
      <c r="A4065" t="inlineStr">
        <is>
          <t>e9vx8s</t>
        </is>
      </c>
      <c r="B4065" t="inlineStr">
        <is>
          <t>Globus sensation after ceasing PPI?</t>
        </is>
      </c>
      <c r="C4065" t="inlineStr">
        <is>
          <t>Hi all - I have a question.
I have been slowly decreasing my Pariet (Rabeprazole) dosage from 20mg/day down to nothing over the last 3 months or so. I have now been off the medication for probably 1 or 2 weeks.
I went on the medication due to a diagnosis via endoscopy at the beginning of the year of erosive oesophagitis and evidence of GERD. My symptoms had been indigestion, chest pain/pressure.
In the last week or week and a half I have developed a 'globus sensation' that will not go away. I am spending my day clearing my throat and bringing up mucus and coughing. I now have a sore throat, which I put down to irritation caused by the constant throat clearing.
My question is that even though I am not getting my previous GERD symptoms, I do know that globus can be a symptom of GERD. Has anybody else experienced this kind of thing? Does amynody have any remedies for globus?
I would like to avoid going back onto the PPI as I know long term use can damage kidneys, although probably unlikely. I also want to avoid the doctor because I do suffer from health anxiety and am currently in therapy for this, and going to the doctor kind of sets me back in my progress if that makes sense.
Thanks.</t>
        </is>
      </c>
      <c r="D4065" t="n">
        <v>1</v>
      </c>
      <c r="E4065" t="n">
        <v>3</v>
      </c>
      <c r="F4065">
        <f>HYPERLINK("https://www.reddit.com/r/GERD/comments/e9vx8s/globus_sensation_after_ceasing_ppi/")</f>
        <v/>
      </c>
      <c r="G4065" t="inlineStr">
        <is>
          <t>2019-12-12 16:00:25</t>
        </is>
      </c>
      <c r="H4065" t="inlineStr"/>
    </row>
    <row r="4066">
      <c r="A4066" t="inlineStr">
        <is>
          <t>e9wesc</t>
        </is>
      </c>
      <c r="B4066" t="inlineStr">
        <is>
          <t>Four days in on Prilosec, GERD still there</t>
        </is>
      </c>
      <c r="C4066" t="inlineStr">
        <is>
          <t>So I used to binge drink a lot of alcohol every night for about two years. I recently stopped and that has went fine, but I have recently had terrible GERD flare ups where it feels like half my throat is closed up. My doctor is having me take Prilosec once a day, but I’m about four days in and nothing has changed (Honestly may have gotten worse and more often). Should I keep taking Prilosec and hope for improvements or should I let my doctor know?</t>
        </is>
      </c>
      <c r="D4066" t="n">
        <v>1</v>
      </c>
      <c r="E4066" t="n">
        <v>6</v>
      </c>
      <c r="F4066">
        <f>HYPERLINK("https://www.reddit.com/r/GERD/comments/e9wesc/four_days_in_on_prilosec_gerd_still_there/")</f>
        <v/>
      </c>
      <c r="G4066" t="inlineStr">
        <is>
          <t>2019-12-12 16:40:42</t>
        </is>
      </c>
      <c r="H4066" t="inlineStr"/>
    </row>
    <row r="4067">
      <c r="A4067" t="inlineStr">
        <is>
          <t>e9wms6</t>
        </is>
      </c>
      <c r="B4067" t="inlineStr">
        <is>
          <t>Recently diagnosed with GERD/LPR, not wanting to take PPIs</t>
        </is>
      </c>
      <c r="C4067" t="inlineStr">
        <is>
          <t>Just like the title says - I have never had to deal with anything like this and not sure where to turn next. I am first trying to stay really strict about my diet to see how that goes. What have you found your pattern to be as far as taking PPIs? Do you take them for a while and then ween off of them when symptoms go away? Do you just plan on taking them forever?</t>
        </is>
      </c>
      <c r="D4067" t="n">
        <v>1</v>
      </c>
      <c r="E4067" t="n">
        <v>5</v>
      </c>
      <c r="F4067">
        <f>HYPERLINK("https://www.reddit.com/r/GERD/comments/e9wms6/recently_diagnosed_with_gerdlpr_not_wanting_to/")</f>
        <v/>
      </c>
      <c r="G4067" t="inlineStr">
        <is>
          <t>2019-12-12 16:59:19</t>
        </is>
      </c>
      <c r="H4067" t="inlineStr"/>
    </row>
    <row r="4068">
      <c r="A4068" t="inlineStr">
        <is>
          <t>e9zg49</t>
        </is>
      </c>
      <c r="B4068" t="inlineStr">
        <is>
          <t>[Started PPI's] You gotta be kidding me with this constipation! Does it ever get better?</t>
        </is>
      </c>
      <c r="C4068" t="inlineStr">
        <is>
          <t>So I'm on Day 5 of Pantoprazole. Holy cow...
You know what? I can deal with the long term side effects. Kidney failure? Okay, whatever. But the inability to poop peacefully is the worst thing I've experienced so far. I hope this is temporary. Please tell me it gets better. I'll probably be on PPI's for as long as I live (due to LPR), so I'm hoping this constipation thing is temporary. I know this sounds like a silly post, but I'm serious here.
Back when I was treated for OCD/anxiety, I've been on multiple anti-depressant/anti-OCD medications. I used to be on Zoloft, Risperidone, and Clonazepam all at the SAME TIME. Even with those drugs, constipation was considered a side effect, but it was never as bad as this. For those drugs, pooping was never this troublesome. And even if it was at first, the digestive IBS problems go away once you start getting used to the drugs. So even if constipation is a problem at first, it gets better over time.
Do PPI's work similarly? Does constipation become less prevalent once you get used to the drug? Has anyone who's taken this drug long-term, been able to poop properly in a while? When was the last time you had a satisfying poop? 
What can I do to fix this? I let out a poop just 10 minutes ago, and it felt like I still had half more amounts left in my stomach. Yet I can't poop it out no matter how hard I try. This is terrible.  Sorry if I sound desperate for help  :(</t>
        </is>
      </c>
      <c r="D4068" t="n">
        <v>1</v>
      </c>
      <c r="E4068" t="n">
        <v>4</v>
      </c>
      <c r="F4068">
        <f>HYPERLINK("https://www.reddit.com/r/GERD/comments/e9zg49/started_ppis_you_gotta_be_kidding_me_with_this/")</f>
        <v/>
      </c>
      <c r="G4068" t="inlineStr">
        <is>
          <t>2019-12-12 20:59:23</t>
        </is>
      </c>
      <c r="H4068" t="inlineStr"/>
    </row>
    <row r="4069">
      <c r="A4069" t="inlineStr">
        <is>
          <t>e9zm7t</t>
        </is>
      </c>
      <c r="B4069" t="inlineStr">
        <is>
          <t>Diagnosed with GERD</t>
        </is>
      </c>
      <c r="C4069" t="inlineStr">
        <is>
          <t>I’m 19 and was just diagnosed with GERD with a visit from er, have you guys experienced lightheaded ness almost always at night time and a bloated/full feeling in upper stomach that comes and goes and some pressure under left rib cage</t>
        </is>
      </c>
      <c r="D4069" t="n">
        <v>1</v>
      </c>
      <c r="E4069" t="n">
        <v>2</v>
      </c>
      <c r="F4069">
        <f>HYPERLINK("https://www.reddit.com/r/GERD/comments/e9zm7t/diagnosed_with_gerd/")</f>
        <v/>
      </c>
      <c r="G4069" t="inlineStr">
        <is>
          <t>2019-12-12 21:14:59</t>
        </is>
      </c>
      <c r="H4069" t="inlineStr"/>
    </row>
    <row r="4070">
      <c r="A4070" t="inlineStr">
        <is>
          <t>e9zqs4</t>
        </is>
      </c>
      <c r="B4070" t="inlineStr">
        <is>
          <t>Worried about indefinite PPI medication</t>
        </is>
      </c>
      <c r="C4070" t="inlineStr">
        <is>
          <t>I’m 22 and have been diagnosed with silent nighttime reflux by an ENT. My main symptoms is tinnitus and perhaps some TMJ and neck stiffness. I took the medications for a few months but stopped because I was worried about long term side effects of the medication. I remember my tinnitus getting better (perhaps going away?) during that time. 
Has anyone been on this medication for a decade plus? I’m just worried about being on a medication for the rest of my life starting at 22.</t>
        </is>
      </c>
      <c r="D4070" t="n">
        <v>1</v>
      </c>
      <c r="E4070" t="n">
        <v>6</v>
      </c>
      <c r="F4070">
        <f>HYPERLINK("https://www.reddit.com/r/GERD/comments/e9zqs4/worried_about_indefinite_ppi_medication/")</f>
        <v/>
      </c>
      <c r="G4070" t="inlineStr">
        <is>
          <t>2019-12-12 21:27:26</t>
        </is>
      </c>
      <c r="H4070" t="inlineStr"/>
    </row>
    <row r="4071">
      <c r="A4071" t="inlineStr">
        <is>
          <t>ea23ae</t>
        </is>
      </c>
      <c r="B4071" t="inlineStr">
        <is>
          <t>Diagnosed with Silent Reflux , prescribed Baclofen ?</t>
        </is>
      </c>
      <c r="C4071" t="inlineStr">
        <is>
          <t>Hey guys. So my new Gastro after diagnosing me with Silent Reflux, prescribed me to 1 tablet of Baclofen before bed, basically 1 pill at night a day. This is news to me as I looked it up and its a muscle relaxer. Has anyone had success with this ? I'm also taking 2 PPI;s a day</t>
        </is>
      </c>
      <c r="D4071" t="n">
        <v>1</v>
      </c>
      <c r="E4071" t="n">
        <v>9</v>
      </c>
      <c r="F4071">
        <f>HYPERLINK("https://www.reddit.com/r/GERD/comments/ea23ae/diagnosed_with_silent_reflux_prescribed_baclofen/")</f>
        <v/>
      </c>
      <c r="G4071" t="inlineStr">
        <is>
          <t>2019-12-13 01:58:19</t>
        </is>
      </c>
      <c r="H4071" t="inlineStr"/>
    </row>
    <row r="4072">
      <c r="A4072" t="inlineStr">
        <is>
          <t>ea52ky</t>
        </is>
      </c>
      <c r="B4072" t="inlineStr">
        <is>
          <t>LPR, I'm at a loss and don't know what to do.</t>
        </is>
      </c>
      <c r="C4072" t="inlineStr">
        <is>
          <t>I have been suffering from various symptoms for a long time now, so much so that I have lost track now but it is on the order of years.  The major symptoms are soar throat, lost voice, post nasal drip/mucus.  I feel absolutely no pain in below my vocal folds.  After many doctor's appointments with multiple doctors, I was diagnosed with LPR and long before that GERD.  For the past year, I have been aggressively trying to find a way to get better because my symptoms keep getting worse as time goes by.  I started off by getting really "sick" for a couple of month every year but eventually better.  Now, instead of getting a break, I have been having bad symptoms for over a year now with maybe an occasional 24 hour break.  It is getting to the point that the more I talk, the quicker I loose my voice.  I can't do my job effectively (high school  science teacher).  Last night was heartbreaking because I couldn't even tell my son "I love you" and "goodnight" before he went to bed.  It is starting to send me into a depression because I still can't get better.  (I am getting help for the depression though).  What is so incredibly frustrating/depressing is it seems like where ever I go, the only answer I get is "Change your diet".  I tried that and didn't see any improvement.  I ended up going from 150 pounds to 140 pounds in less than 2 weeks.  I've suffered from being underweight for a large portion of my life.  I used to eat a pound of steak and barely gain weight.  I was terrified of where the trend of my weight was going without seeing any benefits.  I know this is in part because of my GERD because being completely off the medicine makes things worse, but at one point I went from 20mg of Omeprozole to doubling that and taking a double dose of Ranitadine along with diet change.  It was all the same as when I was on just the 20mg Omeprozole.  There has been absolutely no correlation between diet and symptoms.  I'll have a completely GERD friendly breakfast and experience symptoms within an hour, last week I went to Red Robin and had a loaded burger with onion rings.  I felt ok for about 2 days and then the symptoms came back the night of the 3rd, after I had spent the day lecturing.  The only thing that has made my voice better is not using it and when it finally gets better, I have to watch every word I say and talk softly.  Unfortunately, that is impossible as a teacher.  Also, just flat out not eating at all seems to keep the symptoms at bay, sometimes.
Professionals I have seen:
* Primary Care
* Allergist
* GI
* ENT x2
* Speech Therapy (who said she can't help but is still scheduling appointments)
* I see a second GI doctor next month.
I'm at my wits end and I'm just wondering if there is anyone who has been through a similar experience and or can show me there is some hope for getting better.  To anyone reading this wall of text, thank you so much for listening.  It means a lot to me.
TL;DR: Long time sufferer.  Doctors keep telling me to change my diet which doesn't work.  Losing faith that I will ever get better.</t>
        </is>
      </c>
      <c r="D4072" t="n">
        <v>1</v>
      </c>
      <c r="E4072" t="n">
        <v>14</v>
      </c>
      <c r="F4072">
        <f>HYPERLINK("https://www.reddit.com/r/GERD/comments/ea52ky/lpr_im_at_a_loss_and_dont_know_what_to_do/")</f>
        <v/>
      </c>
      <c r="G4072" t="inlineStr">
        <is>
          <t>2019-12-13 07:03:39</t>
        </is>
      </c>
      <c r="H4072" t="inlineStr"/>
    </row>
    <row r="4073">
      <c r="A4073" t="inlineStr">
        <is>
          <t>ea65oh</t>
        </is>
      </c>
      <c r="B4073" t="inlineStr">
        <is>
          <t>Had a win today!</t>
        </is>
      </c>
      <c r="C4073" t="inlineStr">
        <is>
          <t>GUYS! I had my endoscopy done today. Long story short, food is really painful going down. Either that or I basically regurgitate most things I eat. Sick of hardly being able to drink water most days, I got my endoscopy today. So i have class 3 esophagitis and alchlasia, which is rare I guess.  My doctor has more tests to do to find out which types of alchlasia I have, but IT CAN BE FIXED! It just involves minor surgery. The fibers in my stomach arent working correctly. Obviously surgery wont necessarily cure my reflux, ill still have heartburn. But I will be able to eat food again.  It is to the point I can hardly eat anything without feeling a lot of pain in my chest and regurgitation happening constantly. I just feel like a huge weight is taken off my shoulders.</t>
        </is>
      </c>
      <c r="D4073" t="n">
        <v>1</v>
      </c>
      <c r="E4073" t="n">
        <v>16</v>
      </c>
      <c r="F4073">
        <f>HYPERLINK("https://www.reddit.com/r/GERD/comments/ea65oh/had_a_win_today/")</f>
        <v/>
      </c>
      <c r="G4073" t="inlineStr">
        <is>
          <t>2019-12-13 08:27:40</t>
        </is>
      </c>
      <c r="H4073" t="inlineStr"/>
    </row>
    <row r="4074">
      <c r="A4074" t="inlineStr">
        <is>
          <t>ea8gdg</t>
        </is>
      </c>
      <c r="B4074" t="inlineStr">
        <is>
          <t>LPR after a comon cold?</t>
        </is>
      </c>
      <c r="C4074" t="inlineStr">
        <is>
          <t>thats when I used antibiotics and all developed in this shit storm ,now im having a chronif sore throst since 2 months ago along with chronic gastrtitis, my endoscopy came back normal but my phmetry abnormal, I can't deal with the fucking sore throat, did you think surgery is a good option in this moment? Im also waiting for the h pylori results I wish that bug is the cause of all of this , anyway wish me luck, this is an underated disease for sure.</t>
        </is>
      </c>
      <c r="D4074" t="n">
        <v>1</v>
      </c>
      <c r="E4074" t="n">
        <v>17</v>
      </c>
      <c r="F4074">
        <f>HYPERLINK("https://www.reddit.com/r/GERD/comments/ea8gdg/lpr_after_a_comon_cold/")</f>
        <v/>
      </c>
      <c r="G4074" t="inlineStr">
        <is>
          <t>2019-12-13 11:19:56</t>
        </is>
      </c>
      <c r="H4074" t="inlineStr"/>
    </row>
    <row r="4075">
      <c r="A4075" t="inlineStr">
        <is>
          <t>ea8kdf</t>
        </is>
      </c>
      <c r="B4075" t="inlineStr">
        <is>
          <t>New possible GERD/LPR diagnosis. Scared.</t>
        </is>
      </c>
      <c r="C4075" t="inlineStr">
        <is>
          <t>Hello folks, I just wanted to share here to hear some stories of hope, as I am very freaked out right now.
Two and a half weeks ago my symptoms began. I had an unusually stressful day and had had a large lunch. After lunch, I felt like food was coming back up my stomach and a lump in my throat. Since that day, I have had the "lump in throat" feeling pretty much constantly. I noticed that when I ate large or fatty meals, it would get worse and I would feel food coming back up my throat, excessive burping, and bloating. I started eating lighter meals, but the lump was getting no better. The only time I forgot about it was pretty much at bedtime. Sometimes it would help if I took some CBD before bed as well to relieve my anxiety and constant thinking about the lump. I did some research into the issue and found that it was likely LPR, as I did not really feel any heartburn. I also realized, thinking back, that for a long time after certain meals (especially fatty or spicy meals) I would get a lot of phlegm in my throat, but I always assumed it was just irritation from the spice and it didn't bother me too much. 
The lump in throat feeling was getting worse, so I went to see my doctor, who based on what I told her said I probably had GERD and prescribed 40mg/day pantoprazole (and said if the drugs work, then I have GERD). She didn't seem too familiar with LPR, nor was she concerned about prescribing PPIs, even though I'm really averse to taking them (having read all about possible dementia, osteoporosis, rebound reflux, etc.). I have been taking it for 3 days now and reading as much as I can about dietary and lifestyle changes I can make, since I am very concerned about taking PPIs long term. Instead of having 3 large meals, I am now having more and smaller meals throughout the day. I already don't eat close to bedtime much, smoke, drink alcohol, or ingest caffeine, so many of the suggested changes (I am reading the Acid Watcher Diet) were not difficult to institute. It's annoying to have to avoid garlic, onion, fatty/fried, and spicy foods, but I am willing to do so temporarily or on a longer-term basis because I am desperate. I am also slightly overweight, and although I already exercise, I'm hoping that the dietary changes will help me lose some weight and abdominal fat, which I read improves LPR/GERD.
I am a normally fairly anxious person, and this new issue has sent my anxiety into overdrive. It's a chicken or egg problem I guess. So I am trying to care less about being "productive" and letting things go in general. I have read some horror stories online about people wanting to kill themselves over this, which really isn't helping.
I have a follow up appointment scheduled with my PCP for a couple weeks from now, and I would like to see an ENT in January as soon as my new insurance kicks in. 
Thank you so much for reading this. It's helped me to get all this out. I would love to hear anyone's stories on how they got better, how they cope with what might turn out to be a chronic illness, or just support in general.</t>
        </is>
      </c>
      <c r="D4075" t="n">
        <v>1</v>
      </c>
      <c r="E4075" t="n">
        <v>5</v>
      </c>
      <c r="F4075">
        <f>HYPERLINK("https://www.reddit.com/r/GERD/comments/ea8kdf/new_possible_gerdlpr_diagnosis_scared/")</f>
        <v/>
      </c>
      <c r="G4075" t="inlineStr">
        <is>
          <t>2019-12-13 11:27:47</t>
        </is>
      </c>
      <c r="H4075" t="inlineStr"/>
    </row>
    <row r="4076">
      <c r="A4076" t="inlineStr">
        <is>
          <t>ea8wgm</t>
        </is>
      </c>
      <c r="B4076" t="inlineStr">
        <is>
          <t>Can vomiting cause acid reflux symptoms?</t>
        </is>
      </c>
      <c r="C4076" t="inlineStr">
        <is>
          <t>Some backstory: for the last 3 years, every single time I eat, a few minutes after I stop eating, I have horrible throat congestion and I have to clear my throat obsessively for 15+ minutes. I've been to general practitioners, allergists, and a gastroenterologist to try to figure out what it is. Acid reflux was ruled out early because I have no symptoms other than the congestion. I got an endoscopy and they said everything was fine. I have no allergies. While it's worse with some foods than others, it happens no matter what I eat. I could eat a single pretzel stick and experience it. The only thing that doesn't cause it is water.
I have set my sights back on acid reflux, because (as far as I understand) it's possible that I could still have it despite having no other symptoms, and I have no idea what else it could be.
I have the flu currently. The other night, I ate a few baby carrots around 10:30pm and went to bed. That's the only thing I ate that day (lack of appetite). At about 2:00 am, I woke up and vomited. I had my throat clearing symptoms right away because of it -- it felt just like it does when I eat something, except I had only done the reverse. I think it's really strange, that I get these throat clearing symptoms regardless of which direction the food is travelling in.
I have tried to search it online but I have found no results; is it possible to experience acid reflux as a result of vomiting? All my search results only discussed vomiting as a result of acid reflux. I'm wondering about the opposite.
Thank you!</t>
        </is>
      </c>
      <c r="D4076" t="n">
        <v>1</v>
      </c>
      <c r="E4076" t="n">
        <v>2</v>
      </c>
      <c r="F4076">
        <f>HYPERLINK("https://www.reddit.com/r/GERD/comments/ea8wgm/can_vomiting_cause_acid_reflux_symptoms/")</f>
        <v/>
      </c>
      <c r="G4076" t="inlineStr">
        <is>
          <t>2019-12-13 11:53:12</t>
        </is>
      </c>
      <c r="H4076" t="inlineStr"/>
    </row>
    <row r="4077">
      <c r="A4077" t="inlineStr">
        <is>
          <t>ea9kwx</t>
        </is>
      </c>
      <c r="B4077" t="inlineStr">
        <is>
          <t>Can stopping and starting PPIs cause stomach issues?</t>
        </is>
      </c>
      <c r="C4077" t="inlineStr">
        <is>
          <t>I’ve had to stop nexium after taking for months at a time on a number of occasions. I get bad bouts of dysautonomia. I have been having bad stomach pain under my rib cage and feelings of sickness after I eat all the time. I’m wondering if this could be due to stop and starts on nexium.</t>
        </is>
      </c>
      <c r="D4077" t="n">
        <v>1</v>
      </c>
      <c r="E4077" t="n">
        <v>1</v>
      </c>
      <c r="F4077">
        <f>HYPERLINK("https://www.reddit.com/r/GERD/comments/ea9kwx/can_stopping_and_starting_ppis_cause_stomach/")</f>
        <v/>
      </c>
      <c r="G4077" t="inlineStr">
        <is>
          <t>2019-12-13 12:43:46</t>
        </is>
      </c>
      <c r="H4077" t="inlineStr"/>
    </row>
    <row r="4078">
      <c r="A4078" t="inlineStr">
        <is>
          <t>eaa1ng</t>
        </is>
      </c>
      <c r="B4078" t="inlineStr">
        <is>
          <t>I'm not sure if what I'm suffering from is a GERD or a oncoming heart attack and am scared.</t>
        </is>
      </c>
      <c r="C4078" t="inlineStr">
        <is>
          <t>I've been suffering from heart burn for the past few days, but it's also been accompanied  dull chest pain, slight back pain, and as of today left elbow pain and chills. My stool today was darker than usual, but it wasn't "tarry" (I guess that means sticky?) like what I looked up. If it's of any help (and odds are it will be), I've eaten more fast food than usual recently.
I don't know what this is and it's worrying me because all signs seem to point to heart attack or GERD.</t>
        </is>
      </c>
      <c r="D4078" t="n">
        <v>1</v>
      </c>
      <c r="E4078" t="n">
        <v>3</v>
      </c>
      <c r="F4078">
        <f>HYPERLINK("https://www.reddit.com/r/GERD/comments/eaa1ng/im_not_sure_if_what_im_suffering_from_is_a_gerd/")</f>
        <v/>
      </c>
      <c r="G4078" t="inlineStr">
        <is>
          <t>2019-12-13 13:18:23</t>
        </is>
      </c>
      <c r="H4078" t="inlineStr"/>
    </row>
    <row r="4079">
      <c r="A4079" t="inlineStr">
        <is>
          <t>eaa4ei</t>
        </is>
      </c>
      <c r="B4079" t="inlineStr">
        <is>
          <t>Nissen Pre-Diet</t>
        </is>
      </c>
      <c r="C4079" t="inlineStr">
        <is>
          <t>Hey guys. I’m a 28 year old male who’s been struggling with GERD for about 8 years now. After years of different PPIs with no success, I got a referral from my general doctor for a surgeon. I’m having my Nissen Fundoplication done in December 18th. 
After meeting with my surgeon for my pre-op appointment yesterday, I was put on a full liquid diet until my operation. I’m able to drink 1-2 protein shakes per day, 3 cups of jello, 3 sugar free popsicles, etc. I knew my diet for post-op would be restrictive, but I guess I wasn’t prepared for the pre-op diet. 
Anyone else have experience with this pre-op diet, or have any tips on how to spread out meals so I don’t feel so weak?</t>
        </is>
      </c>
      <c r="D4079" t="n">
        <v>1</v>
      </c>
      <c r="E4079" t="n">
        <v>11</v>
      </c>
      <c r="F4079">
        <f>HYPERLINK("https://www.reddit.com/r/GERD/comments/eaa4ei/nissen_prediet/")</f>
        <v/>
      </c>
      <c r="G4079" t="inlineStr">
        <is>
          <t>2019-12-13 13:24:02</t>
        </is>
      </c>
      <c r="H4079" t="inlineStr"/>
    </row>
    <row r="4080">
      <c r="A4080" t="inlineStr">
        <is>
          <t>eaang1</t>
        </is>
      </c>
      <c r="B4080" t="inlineStr">
        <is>
          <t>I messed up. How can I get back to eating Gerd-friendly food?</t>
        </is>
      </c>
      <c r="C4080" t="inlineStr">
        <is>
          <t>I've been eating like a maniac for some reason. There have been no changes happening to my body. I haven't been working out more or anything. My depression isn't at its worst, but I did go through a very stressful situation though.
I've been eating something like 5000 calories a day(I should be eating 1800-2200) and regurgitating a heck ton of times everyday. It's been around 2 weeks of me doing this. I also ate all my trigger foods. Bread, crisp, noodles and so on. My stomach has been killing me lately and I just can't stop. Idk why.
Does anyone have any tips on how to ease into it? I just can't stop despite knowing this will make me sicker.</t>
        </is>
      </c>
      <c r="D4080" t="n">
        <v>1</v>
      </c>
      <c r="E4080" t="n">
        <v>5</v>
      </c>
      <c r="F4080">
        <f>HYPERLINK("https://www.reddit.com/r/GERD/comments/eaang1/i_messed_up_how_can_i_get_back_to_eating/")</f>
        <v/>
      </c>
      <c r="G4080" t="inlineStr">
        <is>
          <t>2019-12-13 14:02:12</t>
        </is>
      </c>
      <c r="H4080" t="inlineStr"/>
    </row>
    <row r="4081">
      <c r="A4081" t="inlineStr">
        <is>
          <t>eac2ef</t>
        </is>
      </c>
      <c r="B4081" t="inlineStr">
        <is>
          <t>How do you differentiate a cold or cold symtoms such as a sore throat from symtoms of GERD to let's say .. the common flu?</t>
        </is>
      </c>
      <c r="C4081" t="inlineStr">
        <is>
          <t>Currently having a sore throat and wondering if I'm getting sick or it's from all the coughing I've been doing .</t>
        </is>
      </c>
      <c r="D4081" t="n">
        <v>1</v>
      </c>
      <c r="E4081" t="n">
        <v>6</v>
      </c>
      <c r="F4081">
        <f>HYPERLINK("https://www.reddit.com/r/GERD/comments/eac2ef/how_do_you_differentiate_a_cold_or_cold_symtoms/")</f>
        <v/>
      </c>
      <c r="G4081" t="inlineStr">
        <is>
          <t>2019-12-13 15:49:24</t>
        </is>
      </c>
      <c r="H4081" t="inlineStr"/>
    </row>
    <row r="4082">
      <c r="A4082" t="inlineStr">
        <is>
          <t>eadt12</t>
        </is>
      </c>
      <c r="B4082" t="inlineStr">
        <is>
          <t>Please help. The last few hours have been hell.</t>
        </is>
      </c>
      <c r="C4082" t="inlineStr">
        <is>
          <t>I have acid reflux. Around 2-3pm my chest starting hurting. I’ve taken tums, my omeprazole, some phenergan (bc now I’m starting to feel sick to my stomach), and one flexeril (to try and relive some of the pain). 
My chest is still hurting pretty badly. I’ve never had something like this happen before. What else can I do to try and stop the pain?</t>
        </is>
      </c>
      <c r="D4082" t="n">
        <v>1</v>
      </c>
      <c r="E4082" t="n">
        <v>6</v>
      </c>
      <c r="F4082">
        <f>HYPERLINK("https://www.reddit.com/r/GERD/comments/eadt12/please_help_the_last_few_hours_have_been_hell/")</f>
        <v/>
      </c>
      <c r="G4082" t="inlineStr">
        <is>
          <t>2019-12-13 18:18:09</t>
        </is>
      </c>
      <c r="H4082" t="inlineStr"/>
    </row>
    <row r="4083">
      <c r="A4083" t="inlineStr">
        <is>
          <t>eaemug</t>
        </is>
      </c>
      <c r="B4083" t="inlineStr">
        <is>
          <t>How do yall maintain/keep weight on?</t>
        </is>
      </c>
      <c r="C4083" t="inlineStr">
        <is>
          <t>23 male here, diagnosed with LPR back in March. At the time I was 191 pounds, switched to a low acid diet that really helped. That being said, I weighted myself today and I’m down to 153. In the span of 9 months I’ve lost 35-40 pounds and I know its just cause eating has been tough (biggest symptom is difficulty swallowing that when its bad I can hardly swallow liquid.) Anyone have any protein shakes or any fattening foods that are LPR/GERD friendly?</t>
        </is>
      </c>
      <c r="D4083" t="n">
        <v>1</v>
      </c>
      <c r="E4083" t="n">
        <v>7</v>
      </c>
      <c r="F4083">
        <f>HYPERLINK("https://www.reddit.com/r/GERD/comments/eaemug/how_do_yall_maintainkeep_weight_on/")</f>
        <v/>
      </c>
      <c r="G4083" t="inlineStr">
        <is>
          <t>2019-12-13 19:32:30</t>
        </is>
      </c>
      <c r="H4083" t="inlineStr"/>
    </row>
    <row r="4084">
      <c r="A4084" t="inlineStr">
        <is>
          <t>eaepr6</t>
        </is>
      </c>
      <c r="B4084" t="inlineStr">
        <is>
          <t>Anyone else experience abdominal pains?</t>
        </is>
      </c>
      <c r="C4084" t="inlineStr">
        <is>
          <t>Probably posted before but does anyone else experience upper abdominal pains hours after eating?</t>
        </is>
      </c>
      <c r="D4084" t="n">
        <v>1</v>
      </c>
      <c r="E4084" t="n">
        <v>0</v>
      </c>
      <c r="F4084">
        <f>HYPERLINK("https://www.reddit.com/r/GERD/comments/eaepr6/anyone_else_experience_abdominal_pains/")</f>
        <v/>
      </c>
      <c r="G4084" t="inlineStr">
        <is>
          <t>2019-12-13 19:40:04</t>
        </is>
      </c>
      <c r="H4084" t="inlineStr"/>
    </row>
    <row r="4085">
      <c r="A4085" t="inlineStr">
        <is>
          <t>eahb4x</t>
        </is>
      </c>
      <c r="B4085" t="inlineStr">
        <is>
          <t>Gerd is making my life a living hell</t>
        </is>
      </c>
      <c r="C4085" t="inlineStr">
        <is>
          <t>I have silent gerd so don't feel it much during the day but at night I get horrible insomnia and it makes me depressed which leads me to more junk food which leads to more gerd...
OMG it's 3 am been awake since 11 I am in hell!!!!</t>
        </is>
      </c>
      <c r="D4085" t="n">
        <v>1</v>
      </c>
      <c r="E4085" t="n">
        <v>5</v>
      </c>
      <c r="F4085">
        <f>HYPERLINK("https://www.reddit.com/r/GERD/comments/eahb4x/gerd_is_making_my_life_a_living_hell/")</f>
        <v/>
      </c>
      <c r="G4085" t="inlineStr">
        <is>
          <t>2019-12-14 00:29:50</t>
        </is>
      </c>
      <c r="H4085" t="inlineStr"/>
    </row>
    <row r="4086">
      <c r="A4086" t="inlineStr">
        <is>
          <t>eajm0w</t>
        </is>
      </c>
      <c r="B4086" t="inlineStr">
        <is>
          <t>Sympton: Waking Up at the Same Time Every Night, regardless of what time I go to sleep</t>
        </is>
      </c>
      <c r="C4086" t="inlineStr">
        <is>
          <t>Hi everyone,
Been recently having some pretty annoying acid reflux recently. My stomach gurgles a lot and the first hour of my day is a lot of burping, coughing and general discomfort. While I am starting to try to combat it with things like Prilosec and Antacids, one symptom that I don't know about is my sleep. Every single day, I wake up at 4 am, regardless of what time I went to bed, and just wanted to know if others had similar problems with waking up or if maybe that could be something else. It really sucks having to either accept going to bed at 8/9pm to get decent sleep, or to stay up a bit while knowing sleeping in isn't an option. I went to bed at 1:30 am the day I'm posting this, woke up less than 3 hours later feeling like crap. This is for anyone has also experienced weird wake up times, but I'd love to just see what people think as well about it. Cheers!</t>
        </is>
      </c>
      <c r="D4086" t="n">
        <v>1</v>
      </c>
      <c r="E4086" t="n">
        <v>7</v>
      </c>
      <c r="F4086">
        <f>HYPERLINK("https://www.reddit.com/r/GERD/comments/eajm0w/sympton_waking_up_at_the_same_time_every_night/")</f>
        <v/>
      </c>
      <c r="G4086" t="inlineStr">
        <is>
          <t>2019-12-14 05:18:10</t>
        </is>
      </c>
      <c r="H4086" t="inlineStr"/>
    </row>
    <row r="4087">
      <c r="A4087" t="inlineStr">
        <is>
          <t>eak4sg</t>
        </is>
      </c>
      <c r="B4087" t="inlineStr">
        <is>
          <t>GERD and not being able to sleep</t>
        </is>
      </c>
      <c r="C4087" t="inlineStr">
        <is>
          <t>Having acid reflux at night has caused me to sleep in the most chaotic positions and pillow arrrangements. Does anyone have a good suggestion for pillows that assist with keeping the acid to a minimum at night? I'm a side sleeper if that helps! Thanks!</t>
        </is>
      </c>
      <c r="D4087" t="n">
        <v>1</v>
      </c>
      <c r="E4087" t="n">
        <v>7</v>
      </c>
      <c r="F4087">
        <f>HYPERLINK("https://www.reddit.com/r/GERD/comments/eak4sg/gerd_and_not_being_able_to_sleep/")</f>
        <v/>
      </c>
      <c r="G4087" t="inlineStr">
        <is>
          <t>2019-12-14 06:09:46</t>
        </is>
      </c>
      <c r="H4087" t="inlineStr"/>
    </row>
    <row r="4088">
      <c r="A4088" t="inlineStr">
        <is>
          <t>ealjue</t>
        </is>
      </c>
      <c r="B4088" t="inlineStr">
        <is>
          <t>Please help! Pantoprazole 40mg once a day for the last 4 weeks and possible lpr</t>
        </is>
      </c>
      <c r="C4088" t="inlineStr">
        <is>
          <t>So I’ve been battling this mysterious throat tightness for 3 years. Finally my dr put me on pantoprazole (no luck with nexium or zantac) so I started noticing a difference the second week only. My symptoms got about 50% better then after that they went back to premedication feeling. I have been trying to cut out coffee/soda eating gerd friendly foods but I’ve noticed I’m always bloated since starting this medication. I also can’t sleep through the night without getting up to pee (doesn’t seem like much but try waking up an hour before you’re alarm everyday it gets annoying) my dr just said it’s the new diet and limit my liquids after 3. Should I push for a stronger different medication or to add a h2blocker? Or do you think she’s right about the gerd friendly foods doing it? Any debloating tips?</t>
        </is>
      </c>
      <c r="D4088" t="n">
        <v>1</v>
      </c>
      <c r="E4088" t="n">
        <v>12</v>
      </c>
      <c r="F4088">
        <f>HYPERLINK("https://www.reddit.com/r/GERD/comments/ealjue/please_help_pantoprazole_40mg_once_a_day_for_the/")</f>
        <v/>
      </c>
      <c r="G4088" t="inlineStr">
        <is>
          <t>2019-12-14 08:13:08</t>
        </is>
      </c>
      <c r="H4088" t="inlineStr"/>
    </row>
    <row r="4089">
      <c r="A4089" t="inlineStr">
        <is>
          <t>eanf14</t>
        </is>
      </c>
      <c r="B4089" t="inlineStr">
        <is>
          <t>Vitamin C for GERD sufferers? Is ascorbic acid okay?</t>
        </is>
      </c>
      <c r="C4089" t="inlineStr">
        <is>
          <t>I know sodium ascorbate is the "non acidic" counterpart, but most multivitamins I find uses ascorbic acid instead of sodium ascobate.
Has anyone tried Scott's Vitamin C pastillles? I tried looking to the product's website and found nothing about the ingredient used.</t>
        </is>
      </c>
      <c r="D4089" t="n">
        <v>1</v>
      </c>
      <c r="E4089" t="n">
        <v>3</v>
      </c>
      <c r="F4089">
        <f>HYPERLINK("https://www.reddit.com/r/GERD/comments/eanf14/vitamin_c_for_gerd_sufferers_is_ascorbic_acid_okay/")</f>
        <v/>
      </c>
      <c r="G4089" t="inlineStr">
        <is>
          <t>2019-12-14 10:37:56</t>
        </is>
      </c>
      <c r="H4089" t="inlineStr"/>
    </row>
    <row r="4090">
      <c r="A4090" t="inlineStr">
        <is>
          <t>eani0r</t>
        </is>
      </c>
      <c r="B4090" t="inlineStr">
        <is>
          <t>Feels like I'm choking</t>
        </is>
      </c>
      <c r="C4090" t="inlineStr">
        <is>
          <t>For the past 6 or so days, I've been feeling like there's a neck tie that is too tight around my neck and swallowing is tough, almost like there's something on my gag reflex. The tight sensation goes all the way down to my chest, though. I've been to 2 ER's and my primary care Dr. I've been told it's GERD and or anxiety, basically. I haven't had an endoscopy, my primary care Dr. doesn't think they'll find anything. I did have a CT of the head and neck which was normal. I've been trying a bland diet and antacids, no relief yet. Anyone else deal with this? Will it go away eventually? I'm super distressing at times.</t>
        </is>
      </c>
      <c r="D4090" t="n">
        <v>1</v>
      </c>
      <c r="E4090" t="n">
        <v>1</v>
      </c>
      <c r="F4090">
        <f>HYPERLINK("https://www.reddit.com/r/GERD/comments/eani0r/feels_like_im_choking/")</f>
        <v/>
      </c>
      <c r="G4090" t="inlineStr">
        <is>
          <t>2019-12-14 10:44:04</t>
        </is>
      </c>
      <c r="H4090" t="inlineStr"/>
    </row>
    <row r="4091">
      <c r="A4091" t="inlineStr">
        <is>
          <t>eanln6</t>
        </is>
      </c>
      <c r="B4091" t="inlineStr">
        <is>
          <t>Croaking sounds in my throat and pus-like smell at the back of my tongue/mouth</t>
        </is>
      </c>
      <c r="C4091" t="inlineStr">
        <is>
          <t>Hello, I am coming from r/noburp I have been semi-diagnosed with GERD a month ago, I just had some lowkey heartburn and a constant bad taste in the mouth. Last 2 weeks whenever I eat something (I am already in a GERD-friendly diet by the way) I get gassy. Since I am not able to burp (I have never burped in my life I simply cannot) I get this annoying croaking sounds in my throat since my body cannot release the gas. I have difficulty in swallowing as well. Are the croaking noises in my throat connected with my GERD? Also recently I have this terrible smell at the back of my throat, it literally smells like puss/poop. My dentist said my gum might be infected but I swear my gums are not smelling it is coming from the back of my throat. Is that smell because of GERD as well? that has never happened to me before. I also suspected tonsil stones but I cant see any...</t>
        </is>
      </c>
      <c r="D4091" t="n">
        <v>1</v>
      </c>
      <c r="E4091" t="n">
        <v>4</v>
      </c>
      <c r="F4091">
        <f>HYPERLINK("https://www.reddit.com/r/GERD/comments/eanln6/croaking_sounds_in_my_throat_and_puslike_smell_at/")</f>
        <v/>
      </c>
      <c r="G4091" t="inlineStr">
        <is>
          <t>2019-12-14 10:51:42</t>
        </is>
      </c>
      <c r="H4091" t="inlineStr"/>
    </row>
    <row r="4092">
      <c r="A4092" t="inlineStr">
        <is>
          <t>eapvzo</t>
        </is>
      </c>
      <c r="B4092" t="inlineStr">
        <is>
          <t>Can you have HH repair ONLY?</t>
        </is>
      </c>
      <c r="C4092" t="inlineStr">
        <is>
          <t>I have a HH and my Gerd is getting fucking horrendous.
Defo going to hve surgery..... Been looking on the net about stuff today.
Linx looks great as it's not so dramatic as nissen.
Question...... Anyone had a HH repair and not the other two?
What does it matter, I'm curious. What ever the doctor says I will have. I just want it gone</t>
        </is>
      </c>
      <c r="D4092" t="n">
        <v>1</v>
      </c>
      <c r="E4092" t="n">
        <v>5</v>
      </c>
      <c r="F4092">
        <f>HYPERLINK("https://www.reddit.com/r/GERD/comments/eapvzo/can_you_have_hh_repair_only/")</f>
        <v/>
      </c>
      <c r="G4092" t="inlineStr">
        <is>
          <t>2019-12-14 13:48:56</t>
        </is>
      </c>
      <c r="H4092" t="inlineStr"/>
    </row>
    <row r="4093">
      <c r="A4093" t="inlineStr">
        <is>
          <t>eaqh54</t>
        </is>
      </c>
      <c r="B4093" t="inlineStr">
        <is>
          <t>How long to attempt taper</t>
        </is>
      </c>
      <c r="C4093" t="inlineStr">
        <is>
          <t>So how long should I be symptom free on the PPI before trying to taper off and see if I’m healed? Has anyone tried it?</t>
        </is>
      </c>
      <c r="D4093" t="n">
        <v>1</v>
      </c>
      <c r="E4093" t="n">
        <v>1</v>
      </c>
      <c r="F4093">
        <f>HYPERLINK("https://www.reddit.com/r/GERD/comments/eaqh54/how_long_to_attempt_taper/")</f>
        <v/>
      </c>
      <c r="G4093" t="inlineStr">
        <is>
          <t>2019-12-14 14:36:31</t>
        </is>
      </c>
      <c r="H4093" t="inlineStr"/>
    </row>
    <row r="4094">
      <c r="A4094" t="inlineStr">
        <is>
          <t>eaqhf2</t>
        </is>
      </c>
      <c r="B4094" t="inlineStr">
        <is>
          <t>5 month post-fundoplication follow-up!</t>
        </is>
      </c>
      <c r="C4094" t="inlineStr">
        <is>
          <t>I had a partial Nissen Fundoplication with hiatal hernia repair back in July, and am mostly doing great! I am completely off medications, and can have most foods without issue, but I still get reflux from red wine, fresh tomatoes, and anything with too much capsicum (especially the *seeds* of spicy peppers, it seems). So that is disappointing. BUT I used to get reflux any time I ate ANYTHING at all, and had terrible esophageal motility. I regurgitated food a lot, particularly if I overate (but also sometimes just because?) And I have had zero regurgitation since the surgery. I can drink coffee without meds, too, which feels like a miracle.
The first month was rough; I drank a lot of smoothies and soups, and rested a lot. As I advanced my diet, food would get stuck often, and I’d have to stand up and walk around until the pain passed. It sucked! But only for about 2 months.
My burps were really weird for a while; tiny and ineffectual. Fortunately, normal burping returned fully last month! The only problem is that sometimes a big, loud burp will take me by surprise, which is incredibly embarrassing. I’m relearning my own anatomy, though, and I explain to people who don’t know. 
Farting is also back to what seems like normal levels? But wow, folks: when your surgeon mentions excessive flatulence as a side effect, it’s for real. I used gas-x dissolvable tabs daily until about mid-October. Fortunately, it’s back to mostly-usual. Or anyway, less than what it was right after surgery, so I’ll take it. 
Uhhh so to recap: pain initially, lots of embarrassing gas stuff, and some lingering reflux, but on the whole, I feel so much better, and it’s great to be off medications entirely. 
Feel free to hit me up with specific questions, if you have any.</t>
        </is>
      </c>
      <c r="D4094" t="n">
        <v>1</v>
      </c>
      <c r="E4094" t="n">
        <v>20</v>
      </c>
      <c r="F4094">
        <f>HYPERLINK("https://www.reddit.com/r/GERD/comments/eaqhf2/5_month_postfundoplication_followup/")</f>
        <v/>
      </c>
      <c r="G4094" t="inlineStr">
        <is>
          <t>2019-12-14 14:37:09</t>
        </is>
      </c>
      <c r="H4094" t="inlineStr"/>
    </row>
    <row r="4095">
      <c r="A4095" t="inlineStr">
        <is>
          <t>easrkw</t>
        </is>
      </c>
      <c r="B4095" t="inlineStr">
        <is>
          <t>Can PPI's give you GERD?</t>
        </is>
      </c>
      <c r="C4095" t="inlineStr">
        <is>
          <t>And does this sound like GERD to you? 
This summer I had a strange chest infection ordeal. When I went to the walk in to inquire about the cough, potential sinus infection etc. the walk in doctor also randomly asked me "do you ever get heartburn", to which I replied .. "sometimes, when I'm asking for it ie. if I eat pizza while drinking beer, if I go to the cottage and eat sausages and cheeseburgers in the same sitting, and sometimes brownies will give me heartburn, etc.". 
She immediately prescribed me a PPI. 
Before this summer, although I did have "heartburn" from time to time, it didn't seem like an issue. I didn't have a raw feeling in my esophagus, I didn't have a distinctly acidic taste in my mouth, I could lay in any position I wanted without a sudden burning feeling in my chest, I could eat or drink basically whatever (aside from the aforementioned trigger foods) without any symptoms at all. 
After taking the PPI for a couple of months and getting some rebound reflux, I seem to have triggered my esophagus / LES to the brink and am now dealing with daily symptoms up the wazoo. Acidic taste in my mouth, burping quite frequently, heartburn all over, raw / sunburnt feeling in my esophagus / throat, etc. Now, when I twist in bed to grab my phone or w/e, I will undoubtedly get a surge or hot irritation in my gut. Must be pressure from my stomach pushing contents up into my esophagus :( 
Maybe I had it all along and it's just been getting worse. Maybe I did something that triggered a hiatal hernia. Maybe I messed up my PPI therapy and didn't take them long enough or consistently enough (I was pretty darn consistent) Maybe it's something else.
Do you think that longer PPI therapy will allow my LES / GI to heal from the irritation / damage? Does this sound more like a hiatal hernia? I'm meeting with a gastro in Jan... but am interested in opinions.</t>
        </is>
      </c>
      <c r="D4095" t="n">
        <v>1</v>
      </c>
      <c r="E4095" t="n">
        <v>2</v>
      </c>
      <c r="F4095">
        <f>HYPERLINK("https://www.reddit.com/r/GERD/comments/easrkw/can_ppis_give_you_gerd/")</f>
        <v/>
      </c>
      <c r="G4095" t="inlineStr">
        <is>
          <t>2019-12-14 17:51:36</t>
        </is>
      </c>
      <c r="H4095" t="inlineStr"/>
    </row>
    <row r="4096">
      <c r="A4096" t="inlineStr">
        <is>
          <t>eass74</t>
        </is>
      </c>
      <c r="B4096" t="inlineStr">
        <is>
          <t>Sore throat as main symptom?</t>
        </is>
      </c>
      <c r="C4096" t="inlineStr">
        <is>
          <t>Did the sore throat caused by gerd/LPR  ever dissappear? How long it needs to heal?</t>
        </is>
      </c>
      <c r="D4096" t="n">
        <v>1</v>
      </c>
      <c r="E4096" t="n">
        <v>14</v>
      </c>
      <c r="F4096">
        <f>HYPERLINK("https://www.reddit.com/r/GERD/comments/eass74/sore_throat_as_main_symptom/")</f>
        <v/>
      </c>
      <c r="G4096" t="inlineStr">
        <is>
          <t>2019-12-14 17:53:12</t>
        </is>
      </c>
      <c r="H4096" t="inlineStr"/>
    </row>
    <row r="4097">
      <c r="A4097" t="inlineStr">
        <is>
          <t>eassmf</t>
        </is>
      </c>
      <c r="B4097" t="inlineStr">
        <is>
          <t>My stomach hurts almost all the time now.</t>
        </is>
      </c>
      <c r="C4097" t="inlineStr">
        <is>
          <t>I’m trying not to step out of line with what I eat. I’m still trying to figure out what I can and cannot eat. I can’t have pretty much any grease, ice cream, Italian is pretty much no hahah. I would go to the doctor but I was told I need to do at least at home treatments so they can probably try something else.  I tried just an acid reducer and that didn’t help all the time so I switched to a ppi and maybe it’s too rough? Idk. I’m feeling rather lost n direction of what to do next. I’ve been avoiding heavy meats and foods but I’m showing signs of anemia kicking in and been having pain behind my back where my stomach, kidneys would be :/( also.... I do t have insurance at least till Jan.)</t>
        </is>
      </c>
      <c r="D4097" t="n">
        <v>1</v>
      </c>
      <c r="E4097" t="n">
        <v>6</v>
      </c>
      <c r="F4097">
        <f>HYPERLINK("https://www.reddit.com/r/GERD/comments/eassmf/my_stomach_hurts_almost_all_the_time_now/")</f>
        <v/>
      </c>
      <c r="G4097" t="inlineStr">
        <is>
          <t>2019-12-14 17:54:24</t>
        </is>
      </c>
      <c r="H4097" t="inlineStr"/>
    </row>
    <row r="4098">
      <c r="A4098" t="inlineStr">
        <is>
          <t>eat8w9</t>
        </is>
      </c>
      <c r="B4098" t="inlineStr">
        <is>
          <t>Just was diagnosed with EOE yesterday and what the heck is this?</t>
        </is>
      </c>
      <c r="C4098" t="inlineStr">
        <is>
          <t>So I (21F) was just diagnosed with EOE yesterday and wont be able to meet with my doctor again for like a week and a half. 
But really what the heck is this? I was diagnosed with Chrons disease in 2017 and that had usually always been the source of my heartburn and stomach pain troubles. But in my most recent endoscopy they found that I have this too in my distal esophagus?
I've never had any kind of allergies (except seasonal allergies in spring where pollen is everywhere) to medicine or food or anything like that and I've also never had any trouble swallowing like to the point where I just pop my daily pills without any water or anything I just straight up take them dry.
What is this disease? How has it impacted your day to day life? What types of foods cant you eat?</t>
        </is>
      </c>
      <c r="D4098" t="n">
        <v>1</v>
      </c>
      <c r="E4098" t="n">
        <v>2</v>
      </c>
      <c r="F4098">
        <f>HYPERLINK("https://www.reddit.com/r/GERD/comments/eat8w9/just_was_diagnosed_with_eoe_yesterday_and_what/")</f>
        <v/>
      </c>
      <c r="G4098" t="inlineStr">
        <is>
          <t>2019-12-14 18:35:03</t>
        </is>
      </c>
      <c r="H4098" t="inlineStr"/>
    </row>
    <row r="4099">
      <c r="A4099" t="inlineStr">
        <is>
          <t>eatjpy</t>
        </is>
      </c>
      <c r="B4099" t="inlineStr">
        <is>
          <t>Sometimes eating just helps.</t>
        </is>
      </c>
      <c r="C4099" t="inlineStr">
        <is>
          <t>Hay so I’ve been messed up with bad gerd symptoms since last Sunday. Waking up throwing up, rancid taste in my throat all day long, queezyness  while eating, random bouts of nausea. Friday and today though my reflux has been extremely minimal. What did I do?
Well I just forced myself to eat. It was very hard, every-time I ate I felt like vomiting. When you feel like this you have a tendency to skip meals. But I just kept making myself eat and all my reflux symptoms have improved so well that im notstressing about it anymore. Yesterday I ate a whole piece of salmon when I went out with my girlfriend! No throwing up! I make sure I’m not skipping anymore meals and now I feel a lot better.
Just wanted to put this out there. I know this may not work for everyone, but I suspect just having an empty stomach maybe a lot of our problems.</t>
        </is>
      </c>
      <c r="D4099" t="n">
        <v>1</v>
      </c>
      <c r="E4099" t="n">
        <v>3</v>
      </c>
      <c r="F4099">
        <f>HYPERLINK("https://www.reddit.com/r/GERD/comments/eatjpy/sometimes_eating_just_helps/")</f>
        <v/>
      </c>
      <c r="G4099" t="inlineStr">
        <is>
          <t>2019-12-14 19:03:08</t>
        </is>
      </c>
      <c r="H4099" t="inlineStr"/>
    </row>
    <row r="4100">
      <c r="A4100" t="inlineStr">
        <is>
          <t>eau92d</t>
        </is>
      </c>
      <c r="B4100" t="inlineStr">
        <is>
          <t>Primary symptom is nausea, is this common? Or should I seek out a different diagnosis?</t>
        </is>
      </c>
      <c r="C4100" t="inlineStr">
        <is>
          <t>I’ve been told I may have GERD because I get a faint nauseous feeling that’s more in my throat than stomach and I get it quite often. I never actually feel like I’m going to throw up, it’s just enough to wipe my appetite. Sometimes it’s accompanied with pain in my sternal area or upper stomachs but mostly just nausea. Tums helps sometimes. Does this still sound like gerd?  And what treatments seem to work best?</t>
        </is>
      </c>
      <c r="D4100" t="n">
        <v>1</v>
      </c>
      <c r="E4100" t="n">
        <v>10</v>
      </c>
      <c r="F4100">
        <f>HYPERLINK("https://www.reddit.com/r/GERD/comments/eau92d/primary_symptom_is_nausea_is_this_common_or/")</f>
        <v/>
      </c>
      <c r="G4100" t="inlineStr">
        <is>
          <t>2019-12-14 20:09:20</t>
        </is>
      </c>
      <c r="H4100" t="inlineStr"/>
    </row>
    <row r="4101">
      <c r="A4101" t="inlineStr">
        <is>
          <t>eavi0u</t>
        </is>
      </c>
      <c r="B4101" t="inlineStr">
        <is>
          <t>Bodybuilding after nissen?</t>
        </is>
      </c>
      <c r="C4101" t="inlineStr">
        <is>
          <t>Anyone here still lifting weights after their nisse done?</t>
        </is>
      </c>
      <c r="D4101" t="n">
        <v>1</v>
      </c>
      <c r="E4101" t="n">
        <v>0</v>
      </c>
      <c r="F4101">
        <f>HYPERLINK("https://www.reddit.com/r/GERD/comments/eavi0u/bodybuilding_after_nissen/")</f>
        <v/>
      </c>
      <c r="G4101" t="inlineStr">
        <is>
          <t>2019-12-14 22:18:12</t>
        </is>
      </c>
      <c r="H4101" t="inlineStr"/>
    </row>
    <row r="4102">
      <c r="A4102" t="inlineStr">
        <is>
          <t>eavsjp</t>
        </is>
      </c>
      <c r="B4102" t="inlineStr">
        <is>
          <t>Can virus or bacteria trigger or agravat gerd/LPR ?</t>
        </is>
      </c>
      <c r="C4102" t="inlineStr">
        <is>
          <t>Like the title said, im a very nauseous person , according to my endoscopy all was good, no hernia and no esophagitis, but my phmetry came highly abnormal, also I never experienced heartburn in my life,my  main symptoms are Sore chronic non stop raw throat , post nasal drip and gastritis even on ppi's from 2 months now , all started like a common flu , idk how all of this shit storm started like a common flu</t>
        </is>
      </c>
      <c r="D4102" t="n">
        <v>1</v>
      </c>
      <c r="E4102" t="n">
        <v>2</v>
      </c>
      <c r="F4102">
        <f>HYPERLINK("https://www.reddit.com/r/GERD/comments/eavsjp/can_virus_or_bacteria_trigger_or_agravat_gerdlpr/")</f>
        <v/>
      </c>
      <c r="G4102" t="inlineStr">
        <is>
          <t>2019-12-14 22:52:58</t>
        </is>
      </c>
      <c r="H4102" t="inlineStr"/>
    </row>
    <row r="4103">
      <c r="A4103" t="inlineStr">
        <is>
          <t>eavv3q</t>
        </is>
      </c>
      <c r="B4103" t="inlineStr">
        <is>
          <t>anxiety over PPI (Protonix)</t>
        </is>
      </c>
      <c r="C4103" t="inlineStr">
        <is>
          <t>I’ve been struggling with acid reflux for many years. I’m now 22. I remember I took Prilosec over the counter and it started working well, and I took it for a month and stopped cold turkey. I felt like the rebounding made it worse and felt a few symptoms.
1.	god forbid if I ate pizza or something heavy and tried to sleep after, on a couple of occasions I woke up middle of the night choking on the acid I’m guessing. 
2.	I wake up with nausea majority of days. It goes away when I eat, and the bad part is after eating the bloating is present. I hear like this gurgling sound like a frog noise in my throat constantly (I can’t burp). 
3.	Throughout the day I have nausea that comes and goes. If my stomach is empty it makes a lot of noise and if I wait too long to eat, I have a lot of gas and loose stool that burns.
4.	I notice when I eat meals, I have a wet cough afterwards. Like when you gotta cough liquid out. Also I feel like my throat is irritated easier. I choke on liquid and even my saliva more often than before. 
Anyway, my doctor prescribed protonix (pantoprazole) and said to take it for healing and if that doesn’t fix we’ll do an endoscopy.
I’ve been reading about the scary side effects and risks and I’m really getting anxious. This is a damned if you don’t, damned if you do situation. If I take the medication, I’m worrying about the scary side effects like the increase risk of b dif bacteria infection (not worried about the other ones as the studies weren’t too accurate) however if I don’t I feel like the damage is greater.
I noticed since last week like when I talk especially loud, it’s like my throat is hurting but not like a ‘I have a cold throat hurting’ as if my vocal cords are bruised? anyway I got to a point where I said fuck it let’s start taking PPI. 
I would appreciate any information from people who’ve been in a similar situation as this acid problem has literally ruined my daily life and even though I’m 22 it’s made me miserable to an unthinkable degree. It’s driving me crazy. I don’t drink alcohol. I don’t smoke. I don’t eat/like spicy food. I try to avoid dairy with lactose (lactose free milk only). Please help me out.</t>
        </is>
      </c>
      <c r="D4103" t="n">
        <v>1</v>
      </c>
      <c r="E4103" t="n">
        <v>7</v>
      </c>
      <c r="F4103">
        <f>HYPERLINK("https://www.reddit.com/r/GERD/comments/eavv3q/anxiety_over_ppi_protonix/")</f>
        <v/>
      </c>
      <c r="G4103" t="inlineStr">
        <is>
          <t>2019-12-14 23:01:32</t>
        </is>
      </c>
      <c r="H4103" t="inlineStr"/>
    </row>
    <row r="4104">
      <c r="A4104" t="inlineStr">
        <is>
          <t>eaxnsu</t>
        </is>
      </c>
      <c r="B4104" t="inlineStr">
        <is>
          <t>Scared to go on dates</t>
        </is>
      </c>
      <c r="C4104" t="inlineStr">
        <is>
          <t>So, idk if I’m the only one, but ever since I broke up with my gf, who knew I had gerd and gastro issues, which she was used to obviously, I’ve been really reluctant to go out on dates. There are days that I eat really slow, idk if anyone would notice unless they’re paying attention to me eating, but yeah... since I have silent reflux, there are just days that swallowing food feels like hell. I’ve gained this anxiety of taking a girl out for the past 3 months &amp;amp; it sucks. I’m working with my gastro so this swallowing issue is fully resolved, but I just wanted to vent for a second, I’m sure I’m not the only one.... such a sucky thing to have at a young age. I’m hoping one day I could fully eat normal again😫</t>
        </is>
      </c>
      <c r="D4104" t="n">
        <v>1</v>
      </c>
      <c r="E4104" t="n">
        <v>8</v>
      </c>
      <c r="F4104">
        <f>HYPERLINK("https://www.reddit.com/r/GERD/comments/eaxnsu/scared_to_go_on_dates/")</f>
        <v/>
      </c>
      <c r="G4104" t="inlineStr">
        <is>
          <t>2019-12-15 02:51:18</t>
        </is>
      </c>
      <c r="H4104" t="inlineStr"/>
    </row>
    <row r="4105">
      <c r="A4105" t="inlineStr">
        <is>
          <t>eaxtwb</t>
        </is>
      </c>
      <c r="B4105" t="inlineStr">
        <is>
          <t>Is it normal to like face chest pressures most of the time? like almost the entire day?</t>
        </is>
      </c>
      <c r="C4105" t="inlineStr">
        <is>
          <t>25M HERE. PH. been a month since I was diagnosed with GERD. Ive been to my gastro twice already and he just suggested to continue the medicine that ive been taking (prazole plus 40mg once per day before first meal), I've also checked up with my cardiologist and he says that the pressures on my chest arent from the heart, my pulmonologist on the other hand thinks I have asthma and is the reason why I keep having chest pressures. But im just wondering if anyone experiences this kind of thing like in any time of the day where you're just sitting down when suddenly you can feel chest pressure from either the left side, the right side or the middle. 
&amp;amp;#x200B;
Any advice?</t>
        </is>
      </c>
      <c r="D4105" t="n">
        <v>1</v>
      </c>
      <c r="E4105" t="n">
        <v>8</v>
      </c>
      <c r="F4105">
        <f>HYPERLINK("https://www.reddit.com/r/GERD/comments/eaxtwb/is_it_normal_to_like_face_chest_pressures_most_of/")</f>
        <v/>
      </c>
      <c r="G4105" t="inlineStr">
        <is>
          <t>2019-12-15 03:13:51</t>
        </is>
      </c>
      <c r="H4105" t="inlineStr"/>
    </row>
    <row r="4106">
      <c r="A4106" t="inlineStr">
        <is>
          <t>eb14uj</t>
        </is>
      </c>
      <c r="B4106" t="inlineStr">
        <is>
          <t>Going out</t>
        </is>
      </c>
      <c r="C4106" t="inlineStr">
        <is>
          <t>Since the summer my acid reflux has been reacting. I used to be able to go out and have drinks, be it 1 or 10, and not get sick. My trick was not each before hand so nothing reacted an I was always fine. Now I react to everything again, its rotten and a right pain. Last year was a good year, reacted only when I had exams but nothing anyother time. Had a brilliant Christmas, ate lots of food, creamy desserts, had lots to drink.
 This year I know I'm gonna flare up, and I'm going to families house for the week of NY and I'm scared I'm going to be so sick, and I wont have the support of either my mum or my boyfriend who always know when I'm flaring and know what to do without me telling them. Thankfully my BF is meeting me for the trip on the 1st of Jan, but he wont be there for NYE, which I'm most scared about. 
Going to go to doctor this week about medication for something else so I will raise the issue with them again</t>
        </is>
      </c>
      <c r="D4106" t="n">
        <v>1</v>
      </c>
      <c r="E4106" t="n">
        <v>4</v>
      </c>
      <c r="F4106">
        <f>HYPERLINK("https://www.reddit.com/r/GERD/comments/eb14uj/going_out/")</f>
        <v/>
      </c>
      <c r="G4106" t="inlineStr">
        <is>
          <t>2019-12-15 08:45:09</t>
        </is>
      </c>
      <c r="H4106" t="inlineStr"/>
    </row>
    <row r="4107">
      <c r="A4107" t="inlineStr">
        <is>
          <t>eb1c53</t>
        </is>
      </c>
      <c r="B4107" t="inlineStr">
        <is>
          <t>Mustard!</t>
        </is>
      </c>
      <c r="C4107" t="inlineStr">
        <is>
          <t>Hi
Internet is giving me mixed results about mustard. Should it be avoided? It is not listed in my diet list.</t>
        </is>
      </c>
      <c r="D4107" t="n">
        <v>1</v>
      </c>
      <c r="E4107" t="n">
        <v>13</v>
      </c>
      <c r="F4107">
        <f>HYPERLINK("https://www.reddit.com/r/GERD/comments/eb1c53/mustard/")</f>
        <v/>
      </c>
      <c r="G4107" t="inlineStr">
        <is>
          <t>2019-12-15 09:00:39</t>
        </is>
      </c>
      <c r="H4107" t="inlineStr"/>
    </row>
    <row r="4108">
      <c r="A4108" t="inlineStr">
        <is>
          <t>eb1uwv</t>
        </is>
      </c>
      <c r="B4108" t="inlineStr">
        <is>
          <t>Anyone else had success with Kimchi?</t>
        </is>
      </c>
      <c r="C4108" t="inlineStr">
        <is>
          <t>I have had 0 issues with Kimchi, spicy or not, and found it actually makes me feel a bit better. Anyone else eat it without issue?</t>
        </is>
      </c>
      <c r="D4108" t="n">
        <v>1</v>
      </c>
      <c r="E4108" t="n">
        <v>1</v>
      </c>
      <c r="F4108">
        <f>HYPERLINK("https://www.reddit.com/r/GERD/comments/eb1uwv/anyone_else_had_success_with_kimchi/")</f>
        <v/>
      </c>
      <c r="G4108" t="inlineStr">
        <is>
          <t>2019-12-15 09:38:11</t>
        </is>
      </c>
      <c r="H4108" t="inlineStr"/>
    </row>
    <row r="4109">
      <c r="A4109" t="inlineStr">
        <is>
          <t>eb2ehq</t>
        </is>
      </c>
      <c r="B4109" t="inlineStr">
        <is>
          <t>Can cannabis treat Gastroesophageal Reflux Disease (GERD)?</t>
        </is>
      </c>
      <c r="C4109" t="inlineStr">
        <is>
          <t>What are your thoughts on this article?
[https://www.thegrowthop.com/cannabis-health/can-cannabis-treat-gastroesophageal-reflux-disease-gerd](https://www.thegrowthop.com/cannabis-health/can-cannabis-treat-gastroesophageal-reflux-disease-gerd)</t>
        </is>
      </c>
      <c r="D4109" t="n">
        <v>1</v>
      </c>
      <c r="E4109" t="n">
        <v>12</v>
      </c>
      <c r="F4109">
        <f>HYPERLINK("https://www.reddit.com/r/GERD/comments/eb2ehq/can_cannabis_treat_gastroesophageal_reflux/")</f>
        <v/>
      </c>
      <c r="G4109" t="inlineStr">
        <is>
          <t>2019-12-15 10:18:47</t>
        </is>
      </c>
      <c r="H4109" t="inlineStr"/>
    </row>
    <row r="4110">
      <c r="A4110" t="inlineStr">
        <is>
          <t>eb2oun</t>
        </is>
      </c>
      <c r="B4110" t="inlineStr">
        <is>
          <t>Linx Surgery for Gerd --Esophagus Spasms</t>
        </is>
      </c>
      <c r="C4110" t="inlineStr">
        <is>
          <t>Had the Linx Surgery 5 days ago.    Have been getting those scary esophagus spams I've been warned about.  The longest one lasted 10 minutes. It's hard not to panic. I try to breathe deeply but it alsmot feels like you're breathing thruogh a straw.  As soon as I feel like the food has gone down,  the intense spams come on again and I have to wait for it to go away.  Has anyone found a way for them to go away?</t>
        </is>
      </c>
      <c r="D4110" t="n">
        <v>1</v>
      </c>
      <c r="E4110" t="n">
        <v>16</v>
      </c>
      <c r="F4110">
        <f>HYPERLINK("https://www.reddit.com/r/GERD/comments/eb2oun/linx_surgery_for_gerd_esophagus_spasms/")</f>
        <v/>
      </c>
      <c r="G4110" t="inlineStr">
        <is>
          <t>2019-12-15 10:39:52</t>
        </is>
      </c>
      <c r="H4110" t="inlineStr"/>
    </row>
    <row r="4111">
      <c r="A4111" t="inlineStr">
        <is>
          <t>eb3y3u</t>
        </is>
      </c>
      <c r="B4111" t="inlineStr">
        <is>
          <t>Should I get a second opinion?</t>
        </is>
      </c>
      <c r="C4111" t="inlineStr">
        <is>
          <t>Hi all!
3 months ago, my occasional reflux became chronic GERD, causing intense and constant chest pain.  After getting an endoscopy, I was told I have a weak LES, a slow emptying stomach due to stress, though no other complications and only mild acid reflux.  I was put on 20mg omeprazole once daily, as well as 20mg famotidine twice daily.  Now, two months after that appointment, and still taking the medication, I still have daily chest pain.  I've checked in with the doctor who says it's just a product of IBS, but I'm confused--shouldn't this much medication provide some relief?  There might be some improvement, but it's pretty hard to tell since the pain has lasted for such a long time.  Does anyone think this warrants a second opinion from another GI doctor?  Thank you in advance.</t>
        </is>
      </c>
      <c r="D4111" t="n">
        <v>1</v>
      </c>
      <c r="E4111" t="n">
        <v>10</v>
      </c>
      <c r="F4111">
        <f>HYPERLINK("https://www.reddit.com/r/GERD/comments/eb3y3u/should_i_get_a_second_opinion/")</f>
        <v/>
      </c>
      <c r="G4111" t="inlineStr">
        <is>
          <t>2019-12-15 12:12:29</t>
        </is>
      </c>
      <c r="H4111" t="inlineStr"/>
    </row>
    <row r="4112">
      <c r="A4112" t="inlineStr">
        <is>
          <t>eb40jn</t>
        </is>
      </c>
      <c r="B4112" t="inlineStr">
        <is>
          <t>Lettuce</t>
        </is>
      </c>
      <c r="C4112" t="inlineStr">
        <is>
          <t>Do you guys have complications with your gerd with lettuce or spinach , or just salads in general.  I’ve noticed it alot more recently</t>
        </is>
      </c>
      <c r="D4112" t="n">
        <v>1</v>
      </c>
      <c r="E4112" t="n">
        <v>6</v>
      </c>
      <c r="F4112">
        <f>HYPERLINK("https://www.reddit.com/r/GERD/comments/eb40jn/lettuce/")</f>
        <v/>
      </c>
      <c r="G4112" t="inlineStr">
        <is>
          <t>2019-12-15 12:17:24</t>
        </is>
      </c>
      <c r="H4112" t="inlineStr"/>
    </row>
    <row r="4113">
      <c r="A4113" t="inlineStr">
        <is>
          <t>eb4dsh</t>
        </is>
      </c>
      <c r="B4113" t="inlineStr">
        <is>
          <t>Promising research about LPR treatment. SNEPI treatment (link)</t>
        </is>
      </c>
      <c r="C4113" t="inlineStr">
        <is>
          <t>[This kinda made my day](https://www.ncbi.nlm.nih.gov/pmc/articles/PMC5300710/)
So the research shows a Korean woman who's been suffering from LPR from the past 10 years. PPI's didn't seem to work on her. But after this newfound treatment, her symptoms went from literally 15 to "zero" within the course of a few months. Her globus, throat-clearing, mucus, all disappeared completely. This report was published in 2016, so it's still relatively new  compared to others. But I've been hearing about this stuff more and more often when it comes to LPR symptoms. The idea of treating it with "neuropathy." 
Here's another study about using similar injection procedures to deal with UES dysfunction. This one isn't about GERD/LPR, but the symptoms were definitely similar, but appear in a patient with "post-stroke dysphagia." They've concluded that this is a promising way of treating these types of problems. 
There is hope!</t>
        </is>
      </c>
      <c r="D4113" t="n">
        <v>1</v>
      </c>
      <c r="E4113" t="n">
        <v>3</v>
      </c>
      <c r="F4113">
        <f>HYPERLINK("https://www.reddit.com/r/GERD/comments/eb4dsh/promising_research_about_lpr_treatment_snepi/")</f>
        <v/>
      </c>
      <c r="G4113" t="inlineStr">
        <is>
          <t>2019-12-15 12:43:31</t>
        </is>
      </c>
      <c r="H4113" t="inlineStr"/>
    </row>
    <row r="4114">
      <c r="A4114" t="inlineStr">
        <is>
          <t>eb4up8</t>
        </is>
      </c>
      <c r="B4114" t="inlineStr">
        <is>
          <t>I eat 4 things.</t>
        </is>
      </c>
      <c r="C4114" t="inlineStr">
        <is>
          <t>I have Gerd on top of IBS and my doctor currently has me on a limited diet. No dairy, no red meat, no acids, no hard to digest food like corn, no spicy food, amongst other things. My meal options have been so limited that I basically eat 4 things: chicken (boneless skinless of course), potatoes, bread, and peanut butter. 
My extended family knows I have food issues but doesn't take them seriously, meanwhile my cousin has coeliac disease and they have no issues make gluten free food for her, and just says I'm picky. They keep trying to introduce "new" foods to diet without care of if I can actually EAT any of the things. Case in point my aunt shared a recipe for garlic (trigger food) parmesan creamy chicken with sun dried tomatoes and was like "here try this." When I explain again that I 1) can't have dairy 2) can't have tomatoes and 3) garlic triggers me she brushes it all off and says it'd be fine.
Its so frustrating that they seem to think my medical issues are a choice and aren't worth consideration.</t>
        </is>
      </c>
      <c r="D4114" t="n">
        <v>1</v>
      </c>
      <c r="E4114" t="n">
        <v>30</v>
      </c>
      <c r="F4114">
        <f>HYPERLINK("https://www.reddit.com/r/GERD/comments/eb4up8/i_eat_4_things/")</f>
        <v/>
      </c>
      <c r="G4114" t="inlineStr">
        <is>
          <t>2019-12-15 13:17:52</t>
        </is>
      </c>
      <c r="H4114" t="inlineStr"/>
    </row>
    <row r="4115">
      <c r="A4115" t="inlineStr">
        <is>
          <t>eb5ki5</t>
        </is>
      </c>
      <c r="B4115" t="inlineStr">
        <is>
          <t>Baclofen for GERD</t>
        </is>
      </c>
      <c r="C4115" t="inlineStr">
        <is>
          <t>A doctor, in a last ditch effort to help alleviate some of my GERD symptoms, prescribed me Baclofen, which is a type of muscle relaxer. The idea was it was going to kind of "stimulate" my LES and reduce the amount of acid exposure to my esophagus. After 2 full days, I definitely have reduced chest pain. I feel better in that regard. The soreness and achiness in my chest has basically gone. I feel like I can breathe better. 
The bad news is, I feel a low level of nausea all day and a low level dizziness. Reduced appetite and my stool was like black/dark this morning. Sorry for the TMI, but that's never been a thing for me before. So, im debating now on whether to continue on with it and give it like a 2 week chance or just stop now. 
Anyone have experience with Baclofen and treating their GERD?
Also, I sleep super deeply now. Like to the point of waking up forgetting where I am. Feels kinda good to sleep so deeply, yet my LPR is gross in the morning. Bad taste in my mouth has not reduced. God damn, I hate this disease with a burning white passion. I'm to the point of giving in to surgery, which I was trying to avoid.</t>
        </is>
      </c>
      <c r="D4115" t="n">
        <v>1</v>
      </c>
      <c r="E4115" t="n">
        <v>3</v>
      </c>
      <c r="F4115">
        <f>HYPERLINK("https://www.reddit.com/r/GERD/comments/eb5ki5/baclofen_for_gerd/")</f>
        <v/>
      </c>
      <c r="G4115" t="inlineStr">
        <is>
          <t>2019-12-15 14:10:39</t>
        </is>
      </c>
      <c r="H4115" t="inlineStr"/>
    </row>
    <row r="4116">
      <c r="A4116" t="inlineStr">
        <is>
          <t>eb5xgu</t>
        </is>
      </c>
      <c r="B4116" t="inlineStr">
        <is>
          <t>tea, coffee, etc. ?</t>
        </is>
      </c>
      <c r="C4116" t="inlineStr">
        <is>
          <t>hi everyone. recently been dealing with heartburn and adjusting my diet to try and help this. I haven't been drinking coffee, but i was wondering if anyone had good suggestions for hot drinks, like teas, coffee alternatives, etc. any good substitutes for hot cocoa? would love some suggestions for something cozy to drink in the morning or at night!!</t>
        </is>
      </c>
      <c r="D4116" t="n">
        <v>1</v>
      </c>
      <c r="E4116" t="n">
        <v>6</v>
      </c>
      <c r="F4116">
        <f>HYPERLINK("https://www.reddit.com/r/GERD/comments/eb5xgu/tea_coffee_etc/")</f>
        <v/>
      </c>
      <c r="G4116" t="inlineStr">
        <is>
          <t>2019-12-15 14:37:53</t>
        </is>
      </c>
      <c r="H4116" t="inlineStr"/>
    </row>
    <row r="4117">
      <c r="A4117" t="inlineStr">
        <is>
          <t>eb6t99</t>
        </is>
      </c>
      <c r="B4117" t="inlineStr">
        <is>
          <t>Sick feeling and anxiety</t>
        </is>
      </c>
      <c r="C4117" t="inlineStr">
        <is>
          <t>Anyone else find that the panic over feeling sick is worse than feeling sick itself? 
Last week I was at an event with my BF's family. Had a big dinner and a few drinks, whilst laughing with someone I felt my acid reflux kick in bad and knew it was time to either sit completely still for 20 mins and breath properly or else run to the loo. Unfortunately it wasnt a place where the bathroom was close, and chances were I would be stuck in line for the toilet. Other times I have been sick I have managed to hold it before I got to a loo, but with acid reflux, I found that if I was gonna puke often there would be no warning and sudden. 
This same thing has happened at the previous two events I have attended, both of which were with work. The first time I managed to control it enough to guess that calling a taxi and making it the 8-10 mins home would be okay. As soon as I got in the door I got sick. 
But it was this last time with the BF family that upset me the most, I hadn't eaten any triggering food, and usually having a few drinks is no problem for me, I'm Irish, I take a frequent pint in my stride! But it was so humiliating because I wanted to joke with people, but at max is could say 2 sentences, or laugh for 2 seconds before I was reminded of how sick I felt. 
Thankfully this time it passed that night, I drank over 2 pints of water before we left the venue, got the taxi home, felt like I was gonna be sick then BF made me a cuppa and a very calming pizza and it passed thank goodness, but I was sure I was gonna puke. 
Not necessarily looking for advice this time(unless its unusual, I've tried the gaviscon, fodmap diet etc)  but more so a few stories of similar things happening to others so I know I'm not the only one!</t>
        </is>
      </c>
      <c r="D4117" t="n">
        <v>1</v>
      </c>
      <c r="E4117" t="n">
        <v>5</v>
      </c>
      <c r="F4117">
        <f>HYPERLINK("https://www.reddit.com/r/GERD/comments/eb6t99/sick_feeling_and_anxiety/")</f>
        <v/>
      </c>
      <c r="G4117" t="inlineStr">
        <is>
          <t>2019-12-15 15:47:39</t>
        </is>
      </c>
      <c r="H4117" t="inlineStr"/>
    </row>
    <row r="4118">
      <c r="A4118" t="inlineStr">
        <is>
          <t>eb6zxs</t>
        </is>
      </c>
      <c r="B4118" t="inlineStr">
        <is>
          <t>Gerd or approaching heart attack?</t>
        </is>
      </c>
      <c r="C4118" t="inlineStr">
        <is>
          <t>So a few days ago I had strong shortness of breath while at school like I would just be sitting there and feeling like I just ran. So I got up and drink water and felt better for the rest of the day. The next day it returned and would not go away with water and at this point my chest hurt very bad and at the end of the day I played basketball very hard and didn't feel terrible after. But later that night I woke up after only 2 hours of sleeping and felt even more tired,short of breath and I could hear my heart beating semi loud and my chin and jaw and cheeks were very numb ( now I must mention that I have gastritis,acid reflux,prediabetes and something very similar happened last month with the same kind of stuff happening with the left arm pain and feeling dizzy,weak and tired but those feelings subsided after about a week of it) back to recent. Last night I felt very dizzy and weak and tired and I actually felt like I was going to faint while trying to grab a water but that went away after a little while.
Things that helped
1. Sleeping
2. Milk
3. Ejaculation helped a lot
Also I like to think I eat healthy but I kinda just undereat so I dont feel the gastritis symptoms so I get like 800 calories a day.
Age:16
Height:5'11
Weight:138
Normally a fat guy but lost weight this year.</t>
        </is>
      </c>
      <c r="D4118" t="n">
        <v>1</v>
      </c>
      <c r="E4118" t="n">
        <v>5</v>
      </c>
      <c r="F4118">
        <f>HYPERLINK("https://www.reddit.com/r/GERD/comments/eb6zxs/gerd_or_approaching_heart_attack/")</f>
        <v/>
      </c>
      <c r="G4118" t="inlineStr">
        <is>
          <t>2019-12-15 16:02:05</t>
        </is>
      </c>
      <c r="H4118" t="inlineStr"/>
    </row>
    <row r="4119">
      <c r="A4119" t="inlineStr">
        <is>
          <t>eb7wij</t>
        </is>
      </c>
      <c r="B4119" t="inlineStr">
        <is>
          <t>Has any GERD sufferer in this group actually gotten esophageal cancer?</t>
        </is>
      </c>
      <c r="C4119" t="inlineStr">
        <is>
          <t>For a bunch of reasons, I feel that I've waited way too long between endoscopies.  And now I have a sore throat that never really goes away, particularly if I stretch my neck in a certain way.  And sometimes (rarely) there's a faint feeling of having water in my ear.  And yesterday I felt a bit feverish, and found I was running a temperature -- a whole half-degree above normal. But Google says fever is a sign of metastasizing.
My endoscopy is now scheduled for January. But I feel that all it will confirm is that I have horrible cancer throughout my neck, and will need a horrific series of operations that will actually do nothing but prolong my suffering. Luckily, I live in a state where doctor-assisted death is legal.
But I've also seen posts in here indicating that the odds of getting cancer are actually incredibly rare.
Have had some difficulty swallowing for many years. Last endoscopy maybe 5 years ago (clear.)
Am I dying? Am I, hopefully, a nutty hypochondriac? Any comments appreciated.</t>
        </is>
      </c>
      <c r="D4119" t="n">
        <v>1</v>
      </c>
      <c r="E4119" t="n">
        <v>16</v>
      </c>
      <c r="F4119">
        <f>HYPERLINK("https://www.reddit.com/r/GERD/comments/eb7wij/has_any_gerd_sufferer_in_this_group_actually/")</f>
        <v/>
      </c>
      <c r="G4119" t="inlineStr">
        <is>
          <t>2019-12-15 17:16:54</t>
        </is>
      </c>
      <c r="H4119" t="inlineStr"/>
    </row>
    <row r="4120">
      <c r="A4120" t="inlineStr">
        <is>
          <t>eb8jau</t>
        </is>
      </c>
      <c r="B4120" t="inlineStr">
        <is>
          <t>My Experiences</t>
        </is>
      </c>
      <c r="C4120" t="inlineStr">
        <is>
          <t>Hello all. Had Eosinophilic Esophagitis and GERD problems for awhile now that appeared after gallbladder removal. I am in the process of being evaluated for autoimmune conditions resulting from inflammation as well. Here are just somethings that really helped me. I came up with these through research on the web and helpful friends. I do not guarantee anything but found they offered relief  This is after multiple stints of PPI or acid blocker medications that did not help. 
Zero Carb Carnivore
- This diet sucks but after 7-10 days on it my symptoms would pretty much go away. The longer I did this the better I’d feel. Longest stint was 2 months before I reintroduced foods. I ate 100% grass fed beef from a family friends farm that I was sure had nothing in it. Grocery store beef has the potential to have additives that would aggravate me. I cooked with beef fat and salt. I drank water and limited amounts of black coffee. R/zero carb is a good resource. 
Autoimmune Protocol
- this is a paleo variation. It did not work for me. I only did it for a few days before returning to my all meat diet. Google searches with the name will explain in depth. 
HCL supplements and probiotics supplements 
- I started this recently and am still evaluating but initial results are good. I take 2 tablets of 650mg pepsin/HCL with meals. I aim to eat lots of fermented foods, homemade bone broths (salt, water, and bones from the above mentioned cow), moderate to low carbohydrates, and nutrient dense foods (organ meats, veggies, and fruits). So far I have had 4 large normal meals with little to no reaction. I plan to increase to 3 tablets soon to and evaluate. The source for this plan can be found here:
https://chriskresser.com/how-to-cure-gerd-without-medication/
There is a lot of information on that site. It takes some digging but looks promising. 
I hope some of this information can help someone. I don’t pretend to know everything I just understand how miserable this is want to offer help if I can. Has anyone tried any of the above or have thoughts? I am very optimistic about the third option and will continue to evaluate objectively.</t>
        </is>
      </c>
      <c r="D4120" t="n">
        <v>1</v>
      </c>
      <c r="E4120" t="n">
        <v>1</v>
      </c>
      <c r="F4120">
        <f>HYPERLINK("https://www.reddit.com/r/GERD/comments/eb8jau/my_experiences/")</f>
        <v/>
      </c>
      <c r="G4120" t="inlineStr">
        <is>
          <t>2019-12-15 18:08:36</t>
        </is>
      </c>
      <c r="H4120" t="inlineStr"/>
    </row>
    <row r="4121">
      <c r="A4121" t="inlineStr">
        <is>
          <t>eb8jkx</t>
        </is>
      </c>
      <c r="B4121" t="inlineStr">
        <is>
          <t>Has anyone experienced partial or complete resolution of GERD through weight loss?</t>
        </is>
      </c>
      <c r="C4121" t="inlineStr">
        <is>
          <t>I know many low bmi individuals have GERD, but a doctor told me that obesity plays a role in some people. I'm right at 30 BMI and working to reduce my weight right now for health reasons in general. Has anyone seen their GERD symptoms also reduce with weight loss?</t>
        </is>
      </c>
      <c r="D4121" t="n">
        <v>1</v>
      </c>
      <c r="E4121" t="n">
        <v>19</v>
      </c>
      <c r="F4121">
        <f>HYPERLINK("https://www.reddit.com/r/GERD/comments/eb8jkx/has_anyone_experienced_partial_or_complete/")</f>
        <v/>
      </c>
      <c r="G4121" t="inlineStr">
        <is>
          <t>2019-12-15 18:09:18</t>
        </is>
      </c>
      <c r="H4121" t="inlineStr"/>
    </row>
    <row r="4122">
      <c r="A4122" t="inlineStr">
        <is>
          <t>eb94fp</t>
        </is>
      </c>
      <c r="B4122" t="inlineStr">
        <is>
          <t>How long to see improvements with diet?</t>
        </is>
      </c>
      <c r="C4122" t="inlineStr">
        <is>
          <t>How much improvement do you get from proper diet, and how long did it take to see results?</t>
        </is>
      </c>
      <c r="D4122" t="n">
        <v>1</v>
      </c>
      <c r="E4122" t="n">
        <v>14</v>
      </c>
      <c r="F4122">
        <f>HYPERLINK("https://www.reddit.com/r/GERD/comments/eb94fp/how_long_to_see_improvements_with_diet/")</f>
        <v/>
      </c>
      <c r="G4122" t="inlineStr">
        <is>
          <t>2019-12-15 18:58:19</t>
        </is>
      </c>
      <c r="H4122" t="inlineStr"/>
    </row>
    <row r="4123">
      <c r="A4123" t="inlineStr">
        <is>
          <t>eb96f8</t>
        </is>
      </c>
      <c r="B4123" t="inlineStr">
        <is>
          <t>remedies</t>
        </is>
      </c>
      <c r="C4123" t="inlineStr">
        <is>
          <t>Please share any remedies you guys have that are not tums,ppi’s,etc. Anything to eat, drink, do?
One thing that has helped me is drinking herbal tea before bed.
Share away:</t>
        </is>
      </c>
      <c r="D4123" t="n">
        <v>1</v>
      </c>
      <c r="E4123" t="n">
        <v>2</v>
      </c>
      <c r="F4123">
        <f>HYPERLINK("https://www.reddit.com/r/GERD/comments/eb96f8/remedies/")</f>
        <v/>
      </c>
      <c r="G4123" t="inlineStr">
        <is>
          <t>2019-12-15 19:03:00</t>
        </is>
      </c>
      <c r="H4123" t="inlineStr"/>
    </row>
    <row r="4124">
      <c r="A4124" t="inlineStr">
        <is>
          <t>eb9ad0</t>
        </is>
      </c>
      <c r="B4124" t="inlineStr">
        <is>
          <t>Snacks for GERD</t>
        </is>
      </c>
      <c r="C4124" t="inlineStr">
        <is>
          <t>What are some of the snacks that are healthy for someone with GERD?</t>
        </is>
      </c>
      <c r="D4124" t="n">
        <v>1</v>
      </c>
      <c r="E4124" t="n">
        <v>4</v>
      </c>
      <c r="F4124">
        <f>HYPERLINK("https://www.reddit.com/r/GERD/comments/eb9ad0/snacks_for_gerd/")</f>
        <v/>
      </c>
      <c r="G4124" t="inlineStr">
        <is>
          <t>2019-12-15 19:12:24</t>
        </is>
      </c>
      <c r="H4124" t="inlineStr"/>
    </row>
    <row r="4125">
      <c r="A4125" t="inlineStr">
        <is>
          <t>eb9d3c</t>
        </is>
      </c>
      <c r="B4125" t="inlineStr">
        <is>
          <t>Problems with Gravity?</t>
        </is>
      </c>
      <c r="C4125" t="inlineStr">
        <is>
          <t>I've had acid reflux since 2017. Never did endoscopy, I was just put under meds like Omeprazole for a period then told to stop and just adjust my lifestyle.
I have not been able to sleep on my back ever since and I always have 6 pillows propped up.
 I want to lose my belly fat but I can't stand situps because it feels so acidy whenever I attempt to. I can't even go for a full body massage because I can't lie on a flat surface for too long.
I hope there's anyone who can share how to cope with these.</t>
        </is>
      </c>
      <c r="D4125" t="n">
        <v>1</v>
      </c>
      <c r="E4125" t="n">
        <v>4</v>
      </c>
      <c r="F4125">
        <f>HYPERLINK("https://www.reddit.com/r/GERD/comments/eb9d3c/problems_with_gravity/")</f>
        <v/>
      </c>
      <c r="G4125" t="inlineStr">
        <is>
          <t>2019-12-15 19:19:00</t>
        </is>
      </c>
      <c r="H4125" t="inlineStr"/>
    </row>
    <row r="4126">
      <c r="A4126" t="inlineStr">
        <is>
          <t>eba0qo</t>
        </is>
      </c>
      <c r="B4126" t="inlineStr">
        <is>
          <t>After a little over a month of non-stop coughing, it's mostly subsided after a week of eating a pickle (and drinking some pickle juice) after every meal.</t>
        </is>
      </c>
      <c r="C4126" t="inlineStr">
        <is>
          <t>If this was just a placebo, please don't tell me. I've been unimaginably miserable this whole time.
The last time I had a coughing fit like this, it lasted an entire year.
This time I started the Omeprazole pretty early on, but the warning said not to do more than 14 days without a doctor so I quit at that point and the cough came back with a vengeance. 
I tried cutting out all meat, all oil, all coffee, drank ginger tea with honey after every meal, slept on my side, on an elevated bed, all that jazz. Didn't help at all.
I heard about the pickle juice, I tried it. I've barely coughed today, although I do have the throat tickle.
I'm shocked, because I thought straight up drinking acid would make my stomach more acidic?
I don't know. I guess it's the probiotics doing the work. I think I'll pick up yogurt and probiotic supplements.</t>
        </is>
      </c>
      <c r="D4126" t="n">
        <v>1</v>
      </c>
      <c r="E4126" t="n">
        <v>16</v>
      </c>
      <c r="F4126">
        <f>HYPERLINK("https://www.reddit.com/r/GERD/comments/eba0qo/after_a_little_over_a_month_of_nonstop_coughing/")</f>
        <v/>
      </c>
      <c r="G4126" t="inlineStr">
        <is>
          <t>2019-12-15 20:16:21</t>
        </is>
      </c>
      <c r="H4126" t="inlineStr"/>
    </row>
    <row r="4127">
      <c r="A4127" t="inlineStr">
        <is>
          <t>ebb95x</t>
        </is>
      </c>
      <c r="B4127" t="inlineStr">
        <is>
          <t>Do I have GERD?</t>
        </is>
      </c>
      <c r="C4127" t="inlineStr">
        <is>
          <t>Since last August I've experienced mostly heartburn and sometimes chest pain. Before that (till now) I used to experience excessive salivation to the point it makes me gag. The excessive salivation is usually aggravated by alcohol. I've gone to two separate doctors about my heartburn and both times they've said to have regular meals and prescribed a week's worth of Omeprazole. 
I'm at a BMI of 17.31, also diagnosed with Crohn's Disease.</t>
        </is>
      </c>
      <c r="D4127" t="n">
        <v>1</v>
      </c>
      <c r="E4127" t="n">
        <v>3</v>
      </c>
      <c r="F4127">
        <f>HYPERLINK("https://www.reddit.com/r/GERD/comments/ebb95x/do_i_have_gerd/")</f>
        <v/>
      </c>
      <c r="G4127" t="inlineStr">
        <is>
          <t>2019-12-15 22:11:48</t>
        </is>
      </c>
      <c r="H4127" t="inlineStr"/>
    </row>
    <row r="4128">
      <c r="A4128" t="inlineStr">
        <is>
          <t>ebdp3c</t>
        </is>
      </c>
      <c r="B4128" t="inlineStr">
        <is>
          <t>What do I do when someone offers me trigger foods in public?</t>
        </is>
      </c>
      <c r="C4128" t="inlineStr">
        <is>
          <t>So I was in public around a lot of people that I don't know that well, and they're like 'oh please have these cookies! Go on' and i knew they were gonna give me acid reflux but it would've been very awkward to say 'oh no thanks, I will yeet it out all mushy and vomit-like in 5 minutes if I have them'. It would've been just.... Weird. I can't really explain to them what acid reflux is and how severe mine is, since I don't know them that well. And I didn't exactly have an empty plastic bag or sth to put the cookies in.
In the future though I'd like to avoid this. Usually when it's candy or so I can put it in my bag and give it to someone else. But these were cookies and I didn't know what to do. How should I approach this in the future? Currently suffering from a headache after regurgitating the cookies and water.
I'm getting discouraged honestly. It's been 12 years. I keep saying 'fuck it all' occasionally and binging and regurgitating and doing that all over again till I'm officially too sick to eat whatever I want anymore. Then I commit and realize I'm allergic and intolerant to so many foods I can only have shit like peeled cucumbers, pears and egg whites at this point. And I live in a bad country that doesn't have very good food especially not for people with our issue.</t>
        </is>
      </c>
      <c r="D4128" t="n">
        <v>1</v>
      </c>
      <c r="E4128" t="n">
        <v>13</v>
      </c>
      <c r="F4128">
        <f>HYPERLINK("https://www.reddit.com/r/GERD/comments/ebdp3c/what_do_i_do_when_someone_offers_me_trigger_foods/")</f>
        <v/>
      </c>
      <c r="G4128" t="inlineStr">
        <is>
          <t>2019-12-16 02:56:07</t>
        </is>
      </c>
      <c r="H4128" t="inlineStr"/>
    </row>
    <row r="4129">
      <c r="A4129" t="inlineStr">
        <is>
          <t>ebe8yc</t>
        </is>
      </c>
      <c r="B4129" t="inlineStr">
        <is>
          <t>Best foods for gerd</t>
        </is>
      </c>
      <c r="C4129" t="inlineStr">
        <is>
          <t>So i’m going grocery shopping with my mom today and i was wondering what meals or food help you!</t>
        </is>
      </c>
      <c r="D4129" t="n">
        <v>1</v>
      </c>
      <c r="E4129" t="n">
        <v>4</v>
      </c>
      <c r="F4129">
        <f>HYPERLINK("https://www.reddit.com/r/GERD/comments/ebe8yc/best_foods_for_gerd/")</f>
        <v/>
      </c>
      <c r="G4129" t="inlineStr">
        <is>
          <t>2019-12-16 03:58:54</t>
        </is>
      </c>
      <c r="H4129" t="inlineStr"/>
    </row>
    <row r="4130">
      <c r="A4130" t="inlineStr">
        <is>
          <t>ebeqr8</t>
        </is>
      </c>
      <c r="B4130" t="inlineStr">
        <is>
          <t>CT scan found no hernia</t>
        </is>
      </c>
      <c r="C4130" t="inlineStr">
        <is>
          <t>My GI found the hernia few weeks ago...I had a CT scan today, they just mailed me the results - no hernia. I don't even know what is wrong with me anymore. I keep my gerd under control with gaviscon since I react to absolutely no meds (except the negative effects), I can't breathe 100%, I get heart palpitations and pain near the hearth, lump in throat, narrow throat.... I already visited every specialist you can imagine, the only that found something was the GI and as it seems, hernia was false alarm or something.... I was even happy that it can be fixed by surgery but as it seems, my invisible hernia is actually not there....</t>
        </is>
      </c>
      <c r="D4130" t="n">
        <v>1</v>
      </c>
      <c r="E4130" t="n">
        <v>10</v>
      </c>
      <c r="F4130">
        <f>HYPERLINK("https://www.reddit.com/r/GERD/comments/ebeqr8/ct_scan_found_no_hernia/")</f>
        <v/>
      </c>
      <c r="G4130" t="inlineStr">
        <is>
          <t>2019-12-16 04:50:24</t>
        </is>
      </c>
      <c r="H4130" t="inlineStr"/>
    </row>
    <row r="4131">
      <c r="A4131" t="inlineStr">
        <is>
          <t>ebfdv4</t>
        </is>
      </c>
      <c r="B4131" t="inlineStr">
        <is>
          <t>Are nutritionists helpful?</t>
        </is>
      </c>
      <c r="C4131" t="inlineStr">
        <is>
          <t>Hi!  Has anyone here with GERD benefitted from meeting with a nutritionist?  My girlfriend insists that I meet with one, but seeing as I already follow a relatively controlled diet, I wonder how helpful that will be?  Thanks!</t>
        </is>
      </c>
      <c r="D4131" t="n">
        <v>1</v>
      </c>
      <c r="E4131" t="n">
        <v>1</v>
      </c>
      <c r="F4131">
        <f>HYPERLINK("https://www.reddit.com/r/GERD/comments/ebfdv4/are_nutritionists_helpful/")</f>
        <v/>
      </c>
      <c r="G4131" t="inlineStr">
        <is>
          <t>2019-12-16 05:51:49</t>
        </is>
      </c>
      <c r="H4131" t="inlineStr"/>
    </row>
    <row r="4132">
      <c r="A4132" t="inlineStr">
        <is>
          <t>ebfdvx</t>
        </is>
      </c>
      <c r="B4132" t="inlineStr">
        <is>
          <t>Do i have GERD, or something worse?</t>
        </is>
      </c>
      <c r="C4132" t="inlineStr">
        <is>
          <t>Hello everyone, sorry for asking but i've been struggling with a lot of pain recently and it's been scaring me a lot.
I'm 17, BMI of 28. And will try to explain to my best abilities, sorry if there are any grammar mistakes.
I called 911 and they've said my heart is all well. Took an ECG and results were fine aswell. They've wrote it off as a panic attack/anxiety. Same diagnosis was by my family doctor. However my pharmacist said it's very likely GERD, that's causing the pain I also want to believe it, i used to endulge in-to A LOT of fatty foods and fast food. But since a about a week.... i can't make myself eat anything at all. Maybe apples, but that's all. Infact, i remember quite well eating a ton of apples when i felt this "chest pain" since it always relieved me a bit.
However it's been 2 weeks since 911 arrival and the pain has stayed with me. Can barely sleep now. Feeling dizzy/tired most of the time. The pain is in the middle of the chest, and ocassionally in the right aswell side aswell. Hard to describe the feeling, but it feels like it's melting/burning.  It never fully goes away. Back pain can also be felt inbetween the shoulders.  When the pain occurs, i tend to make a lot of moves, ex (like grabbing the back of my head, stretching.. feeling the need to walk around.. (rarely) ) The pain also varies when i'm in bed it's slightly less noticeble when i'm sitting, rather than lying down.
Water helps a ton here though.  After drinking water the pain is semi-less noticeable, but if i don't drink water for couple of hours the pain increases by 200-225%
Another pain that i've noticed is my abdomen pain. When i submerge my abdomen into water, it felt really heavy &amp;amp; uncomfortable. No idea if it's related to anything, but i felt like i have to say everything that i can to be sure. A bath though does somewhat relieve my pain. But by not much.
I sometimes feel a acidic mouth after eating, and i burp. A LOT. Especially after drinking water. Also ocassionally i have a very stuffy nose. Acidic regurgitation happens, but only like once a day or two. Coughing also happens sometimes. I have a small "fever" almost every day. I don't really have a big temperature, i just feel hot. When i breath from the mouth i make a odd sound, not sure how to put it exactly, it just feels thickish? I never made a sound like that before.
I of course will be taking an endoscopy to be sure. but the wait times are insane, and it will take two weeks before i can even get there. So the best i can do is rely on other people at the moment... And i hate it so much. My parents are of no help as they have no idea what's going on and can't really do much for me.
Can someone tell me if i'm in danger? Really scared right now and don't know what to do. Thank you very much for your time.. :) Please let me know if there's something else i should make more clear.</t>
        </is>
      </c>
      <c r="D4132" t="n">
        <v>1</v>
      </c>
      <c r="E4132" t="n">
        <v>4</v>
      </c>
      <c r="F4132">
        <f>HYPERLINK("https://www.reddit.com/r/GERD/comments/ebfdvx/do_i_have_gerd_or_something_worse/")</f>
        <v/>
      </c>
      <c r="G4132" t="inlineStr">
        <is>
          <t>2019-12-16 05:51:54</t>
        </is>
      </c>
      <c r="H4132" t="inlineStr"/>
    </row>
    <row r="4133">
      <c r="A4133" t="inlineStr">
        <is>
          <t>ebifjf</t>
        </is>
      </c>
      <c r="B4133" t="inlineStr">
        <is>
          <t>Is it possible that I've been making GERD up for a year?</t>
        </is>
      </c>
      <c r="C4133" t="inlineStr">
        <is>
          <t>I just had an appointment with one of the best gastroenterologists in my country. While I was mentioning the long list of my symptoms, she interrupted me and asked if I have been "reading too much internet" because a lot of these things aren't even listed as reflux symptoms. I was obviously taken aback, like how in the hell would I be making up the constant nausea and indigestion and that sour taste in my mouth and that dull pain in my chest and trouble breathing. Lmao. Now I'm super self-conscious and doubting myself. I'm hesitant to even go to do the 24 h pH test so that I don't make fool of myself if it turns out fine.
I had an upper endoscopy done last year and they found I had an inflamed stomach, bile and got diagnosed with GERD. But then this doctor said GERD cannot be diagnosed by an endoscopy only and more tests need to be done to be 100% sure.
I think she didn't believe me because I told her none of the shitload of drugs I've been taking actually worked. I tried different types of PPIs and yeah, it made no difference. And even if they worked, it only lasted for a couple of months, then nothing again. Well, she still made an appointment to do the pH test and to take a sample of my esophagus/throat to check if it is affected by reflux but she clearly indicated it all might be connected to my head. Like I am some crazy hypochondriac.
I don't know guys. I mean I struggle with some kind of anxiety and overall stress, but I cannot imagine making up this disease FOR AN ENTIRE YEAR. I even remember being surprised by the diagnosis when I left the office after the endoscopy. I went there and had it done for a reason. I had been feeling like shit prior to that. I didn't even know what GERD was back then.
Sorry for the rant. I'm just really tired of not being taken seriously. Sick of taking my symptoms for granted by every doctor I've seen so far. Living with GERD sucks but y'all know that already, otherwise you wouldn't be reading this wall of text...</t>
        </is>
      </c>
      <c r="D4133" t="n">
        <v>1</v>
      </c>
      <c r="E4133" t="n">
        <v>17</v>
      </c>
      <c r="F4133">
        <f>HYPERLINK("https://www.reddit.com/r/GERD/comments/ebifjf/is_it_possible_that_ive_been_making_gerd_up_for_a/")</f>
        <v/>
      </c>
      <c r="G4133" t="inlineStr">
        <is>
          <t>2019-12-16 09:48:01</t>
        </is>
      </c>
      <c r="H4133" t="inlineStr"/>
    </row>
    <row r="4134">
      <c r="A4134" t="inlineStr">
        <is>
          <t>ebih40</t>
        </is>
      </c>
      <c r="B4134" t="inlineStr">
        <is>
          <t>Accidentally took an extra dose of Omeprazol</t>
        </is>
      </c>
      <c r="C4134" t="inlineStr">
        <is>
          <t>I am prescribed 20 mg Omeprazol twice a day (before breakfast and dinner) for my GERD, and I just accidentally just took my Omeprazol before lunch today thinking it was my IBGuard supplement pill. Should I still take my dose with dinner or should I skip my dinner dosage? I know it’s ok to take more Omeprazol for one day than prescribed, but I don’t want to go off my normal pill absorption schedule. Any tips on what I should do?</t>
        </is>
      </c>
      <c r="D4134" t="n">
        <v>1</v>
      </c>
      <c r="E4134" t="n">
        <v>3</v>
      </c>
      <c r="F4134">
        <f>HYPERLINK("https://www.reddit.com/r/GERD/comments/ebih40/accidentally_took_an_extra_dose_of_omeprazol/")</f>
        <v/>
      </c>
      <c r="G4134" t="inlineStr">
        <is>
          <t>2019-12-16 09:51:06</t>
        </is>
      </c>
      <c r="H4134" t="inlineStr"/>
    </row>
    <row r="4135">
      <c r="A4135" t="inlineStr">
        <is>
          <t>ebitqd</t>
        </is>
      </c>
      <c r="B4135" t="inlineStr">
        <is>
          <t>Looking for participants with GERD for paid interviews!</t>
        </is>
      </c>
      <c r="C4135" t="inlineStr">
        <is>
          <t>Hello r/GERD, we hope you're having a good day,
[Oshi Health](https://www.oshihealth.com/) is currently looking for SIBO participants for a 45-min **paid** phone interview. We are interested in learning more about your experience with the disease, your diagnosis journey and your experience with your health care providers and care plans.
Participants who qualify will be earning a **$45 Amazon Gift Card**.
If you are interested in helping us, please fill out the following form:
[Interview Screener](https://www.surveymonkey.com/r/PK82BMF)
We'd really appreciate your input! We hope to hear from you soon!</t>
        </is>
      </c>
      <c r="D4135" t="n">
        <v>1</v>
      </c>
      <c r="E4135" t="n">
        <v>8</v>
      </c>
      <c r="F4135">
        <f>HYPERLINK("https://www.reddit.com/r/GERD/comments/ebitqd/looking_for_participants_with_gerd_for_paid/")</f>
        <v/>
      </c>
      <c r="G4135" t="inlineStr">
        <is>
          <t>2019-12-16 10:16:36</t>
        </is>
      </c>
      <c r="H4135" t="inlineStr"/>
    </row>
    <row r="4136">
      <c r="A4136" t="inlineStr">
        <is>
          <t>ebjyno</t>
        </is>
      </c>
      <c r="B4136" t="inlineStr">
        <is>
          <t>Diagnosed with GERD over two weeks ago , and on PPIs . Over the last 3 days I've got what feels like bronchitis and a ronchy lung with chronic cough. Is this GERD or could it be something else?</t>
        </is>
      </c>
      <c r="C4136" t="inlineStr">
        <is>
          <t xml:space="preserve"> In the beginning of my symptoms I was experiencing throat clearing, mucus and globus feeling that transitioned to shortness of breath and a ronchy cough. Fast forward to my diagnoses and treatment,  I feel a bit better for the first few days and all of a sudden I'm down with what feels like bronchitis again and a ronchy sounding breathing.  Last night was hard to sleep,  I felt like I couldnt breath.  Pressure in my chest again and night sweats.  Would someone of you say my body is not reacing well with  the PPIs or could this be another illness on it's own or caused by the GERD? Any help would be appreciated</t>
        </is>
      </c>
      <c r="D4136" t="n">
        <v>1</v>
      </c>
      <c r="E4136" t="n">
        <v>4</v>
      </c>
      <c r="F4136">
        <f>HYPERLINK("https://www.reddit.com/r/GERD/comments/ebjyno/diagnosed_with_gerd_over_two_weeks_ago_and_on/")</f>
        <v/>
      </c>
      <c r="G4136" t="inlineStr">
        <is>
          <t>2019-12-16 11:38:20</t>
        </is>
      </c>
      <c r="H4136" t="inlineStr"/>
    </row>
    <row r="4137">
      <c r="A4137" t="inlineStr">
        <is>
          <t>ebkwmr</t>
        </is>
      </c>
      <c r="B4137" t="inlineStr">
        <is>
          <t>Looking for advice.</t>
        </is>
      </c>
      <c r="C4137" t="inlineStr">
        <is>
          <t>I’ve been struggling with what I think are stomach issues for roughly 10 months now, it originally started as what felt like a bubble in the upper right portion of my abdominal area and was quickly  accompanied by acid reflux and a burning sensation on my back on the right side of my spine. I  to the Er and the best the could surmise was I was slightly constipated and suffering acid reflux as a result but they also prescribed an ulcer medication I forgot the name but I was suppose to take it 4 times a day. Shortly after straying the ulcer meds I switched to a PPI at the advice of a friend who is a nurse and I slowly got better over the course of six months. But as soon as I got better I developed different symptoms that have me stumped. About a month ago I developed what I can only describe as an apple sized pressure? In my back next to my spine directly in between my shoulder blades, along with that I get a stinging/itchy tinge of pain that extends out from my spine on both sides in between my shoulder blades. This symptom developed while on PPI and Prevacid. And is extremely painful. My question is, has anyone experienced something similar? Are these symptoms of acid reflux/GERD. I was unaware of, does this sound like anything anyone here has dealt with? I would appreciate any and all advice and sincere apologies for grammar. Thank you.</t>
        </is>
      </c>
      <c r="D4137" t="n">
        <v>1</v>
      </c>
      <c r="E4137" t="n">
        <v>7</v>
      </c>
      <c r="F4137">
        <f>HYPERLINK("https://www.reddit.com/r/GERD/comments/ebkwmr/looking_for_advice/")</f>
        <v/>
      </c>
      <c r="G4137" t="inlineStr">
        <is>
          <t>2019-12-16 12:46:28</t>
        </is>
      </c>
      <c r="H4137" t="inlineStr"/>
    </row>
    <row r="4138">
      <c r="A4138" t="inlineStr">
        <is>
          <t>ebn6zg</t>
        </is>
      </c>
      <c r="B4138" t="inlineStr">
        <is>
          <t>Cough</t>
        </is>
      </c>
      <c r="C4138" t="inlineStr">
        <is>
          <t>How long does the cough go on after taking omeprazole?  I constantly wake up coughing. Don't have heartburn, just coughing.  I also take lisinopril 20mg and zoloft 20mg.  I heard that zoloft can cause the stomach sphincter to relax and open up.  Wondering if that could be causing all my issues anyway.</t>
        </is>
      </c>
      <c r="D4138" t="n">
        <v>1</v>
      </c>
      <c r="E4138" t="n">
        <v>0</v>
      </c>
      <c r="F4138">
        <f>HYPERLINK("https://www.reddit.com/r/GERD/comments/ebn6zg/cough/")</f>
        <v/>
      </c>
      <c r="G4138" t="inlineStr">
        <is>
          <t>2019-12-16 15:33:23</t>
        </is>
      </c>
      <c r="H4138" t="inlineStr"/>
    </row>
    <row r="4139">
      <c r="A4139" t="inlineStr">
        <is>
          <t>ebn9hv</t>
        </is>
      </c>
      <c r="B4139" t="inlineStr">
        <is>
          <t>chocolate</t>
        </is>
      </c>
      <c r="C4139" t="inlineStr">
        <is>
          <t>Had a fair amount of chocolate this afternoon and within 30 minutes, holy hell...pretty decent pain near my left side rib cage. Gets worse when I stand up and a little better when I hunch over or lay down. I was on Protonix for 30 days because my ENT suspected GERD. My symptoms were shortness of breath and post nasal drip 24/7. The PPI didn’t help in the slightest. 
Anyone else get this from chocolate? I’m guessing this is GERD</t>
        </is>
      </c>
      <c r="D4139" t="n">
        <v>1</v>
      </c>
      <c r="E4139" t="n">
        <v>5</v>
      </c>
      <c r="F4139">
        <f>HYPERLINK("https://www.reddit.com/r/GERD/comments/ebn9hv/chocolate/")</f>
        <v/>
      </c>
      <c r="G4139" t="inlineStr">
        <is>
          <t>2019-12-16 15:38:39</t>
        </is>
      </c>
      <c r="H4139" t="inlineStr"/>
    </row>
    <row r="4140">
      <c r="A4140" t="inlineStr">
        <is>
          <t>ebnga6</t>
        </is>
      </c>
      <c r="B4140" t="inlineStr">
        <is>
          <t>The past week, I've been worried sick. Are all people with LPR pretty much destined for throat cancer? I feel absolutely hopeless and cried for the first time in years due to all the stress :(</t>
        </is>
      </c>
      <c r="C4140" t="inlineStr">
        <is>
          <t>**I apologize in advance if I sound like a whiny bitch. Please forgive me. I'm in a terrible head-space.**
The past week has been hell on Earth for me (in terms of anxiety). I first had GERD symptoms 3-4 years ago, but they went away after taking PPI for a month. I thought they went away, but I've come to find that my symptoms never actually disappeared. They just evolved into LPR symptoms this whole time. Over the past 3 years, I noticed my voice changing, coughing when taking deep breaths, wet burps, and throat irritation. The constant throat irritation is what really scares me.
After my GERD symptoms went away, I thought I needn't worry anymore. Turns out, I've been dealing with LPR symptoms the past 3 years and I didn't even realize they were "LPR" until I researched what it was. 
And honestly, I WISH I never researched it. Fuck you DoctorGoogle (And fuck me for even searching all this in the first place). Every study I read on NCBI, says how you're pretty much fucked if you have LPR. I honestly would love to have regular GERD because I keep reading studies on how bad LPR is in comparison. I even read a study where it confirmed that LPR symptoms better dictate Esophoegal Cancer better than typical GERD symptoms. LPR is pretty much the only sign of disease for throat and oesophagal cancer (FUCK!). I keep seeing studies confirming that LPR leads to throat cancer. 
For the first time in my life, I actually broke down in tears from all the anxiety. I went to my room and just locked myself crying. I can't even call/text my parents and talk about this with them because they don't take reflux seriously. I'm a 26-year-old guy, and I'm usually good at getting rid of anxious/sad thoughts. But this is the first time in my life where I feel absolutely fucked.
I spent like a good 3 hours yesterday searching for people who've had LPR disease for a few decades to see if it was possible to survive. If I could live to the age of 65, I'd be so thankful. I'm worried sick because everywhere I read, there's no cure. GERD patients are feeling better after treatment, but LPR patients keep seeing symptoms.
Are ALL LPR sufferers 100% destined for throat cancer? Is there anyone here that actually dealt with LPR for decades and still survives? I specifically made this account to beat GERD/LPR symptoms. I wanted to use it to motivate myself and encourage others too. But now I feel hopeless. If I do my best effort to treat my LPR with diet and medication, would I at least have the chance to see 65 years of age? Or will all that hard work be for nothing? The throat cancer fear is eating me away. Not so much the oesophagal cancer fear, but that still freaks me out too.</t>
        </is>
      </c>
      <c r="D4140" t="n">
        <v>1</v>
      </c>
      <c r="E4140" t="n">
        <v>13</v>
      </c>
      <c r="F4140">
        <f>HYPERLINK("https://www.reddit.com/r/GERD/comments/ebnga6/the_past_week_ive_been_worried_sick_are_all/")</f>
        <v/>
      </c>
      <c r="G4140" t="inlineStr">
        <is>
          <t>2019-12-16 15:52:24</t>
        </is>
      </c>
      <c r="H4140" t="inlineStr"/>
    </row>
    <row r="4141">
      <c r="A4141" t="inlineStr">
        <is>
          <t>ebp1gi</t>
        </is>
      </c>
      <c r="B4141" t="inlineStr">
        <is>
          <t>Meal for a friend</t>
        </is>
      </c>
      <c r="C4141" t="inlineStr">
        <is>
          <t>Hello everyone! I’m making dinner this week for friends and one of them has GERD’s, I was going to make chicken and some oven roasted potatoes, I’m stumped on seasoning and how to bake the potatoes without olive oil, and what seasonings would be okay, I know garlic is on her list of not allowed, if you guys can help I’d appreciate it!</t>
        </is>
      </c>
      <c r="D4141" t="n">
        <v>1</v>
      </c>
      <c r="E4141" t="n">
        <v>6</v>
      </c>
      <c r="F4141">
        <f>HYPERLINK("https://www.reddit.com/r/GERD/comments/ebp1gi/meal_for_a_friend/")</f>
        <v/>
      </c>
      <c r="G4141" t="inlineStr">
        <is>
          <t>2019-12-16 17:58:24</t>
        </is>
      </c>
      <c r="H4141" t="inlineStr"/>
    </row>
    <row r="4142">
      <c r="A4142" t="inlineStr">
        <is>
          <t>ebq91i</t>
        </is>
      </c>
      <c r="B4142" t="inlineStr">
        <is>
          <t>Clonazepam: GERD Relief</t>
        </is>
      </c>
      <c r="C4142" t="inlineStr">
        <is>
          <t>Whenever I am on a high dose of Klonopin (clonazepam), after a month my GERD is 95% better. How related is anxiety to causing GERD?</t>
        </is>
      </c>
      <c r="D4142" t="n">
        <v>1</v>
      </c>
      <c r="E4142" t="n">
        <v>9</v>
      </c>
      <c r="F4142">
        <f>HYPERLINK("https://www.reddit.com/r/GERD/comments/ebq91i/clonazepam_gerd_relief/")</f>
        <v/>
      </c>
      <c r="G4142" t="inlineStr">
        <is>
          <t>2019-12-16 19:35:42</t>
        </is>
      </c>
      <c r="H4142" t="inlineStr"/>
    </row>
    <row r="4143">
      <c r="A4143" t="inlineStr">
        <is>
          <t>ebqo2w</t>
        </is>
      </c>
      <c r="B4143" t="inlineStr">
        <is>
          <t>Is barrets overhyped? Is a .1 percent of cancer worth the cost of endoscopys?</t>
        </is>
      </c>
      <c r="C4143" t="inlineStr">
        <is>
          <t>So I was told to get endoscopes every few years for my barrets but I cant help but ask. Is it worth it? I've been doing the right diet changes and PPIs. I've been much happier is the cancer risk worth the anxiety?</t>
        </is>
      </c>
      <c r="D4143" t="n">
        <v>1</v>
      </c>
      <c r="E4143" t="n">
        <v>6</v>
      </c>
      <c r="F4143">
        <f>HYPERLINK("https://www.reddit.com/r/GERD/comments/ebqo2w/is_barrets_overhyped_is_a_1_percent_of_cancer/")</f>
        <v/>
      </c>
      <c r="G4143" t="inlineStr">
        <is>
          <t>2019-12-16 20:11:19</t>
        </is>
      </c>
      <c r="H4143" t="inlineStr"/>
    </row>
    <row r="4144">
      <c r="A4144" t="inlineStr">
        <is>
          <t>ebt5xj</t>
        </is>
      </c>
      <c r="B4144" t="inlineStr">
        <is>
          <t>new to this.. could I have lpr?</t>
        </is>
      </c>
      <c r="C4144" t="inlineStr">
        <is>
          <t>Apologies if I sound vague or waffly, I'm in a lot of pain right now and quite tired too. All of last night I felt like there was "liquid stuck in either my esophagus or windpipe"(what I kept repeating to my parents) and kept coughing/trying to move my throat muscles in an atempt to relive this. I was also getting wet burps worse than Ive had before and just a lot of discomfort ins general. Voice is also gone now. I do have a slight
 cold but I'm over 99% sure that this is not because of that. I've suffered with acid reflux for about two years now, was prescribed a course of omeprazole twice which didn't seem to do anything. I got pretty classic heartburn and acidy symptoms while I was having that but now I'm wondering if I could be having silent reflux, since there's minimal burning feelings. I've had what I thought was silent reflux before but not lasting this long with such bad effects. My whole throat-&amp;gt;chest feels raw and it's starting to hurt to breathe too? I took omeprazole last night before sleping but it never really helps to relieve anything. I'm exhausted. Going to the doctor today, but I'm not very informed myself on lpr and don't want to google in fear of setting my anxiety off. Does what i have sound like it could  that?- lump in throat, hoarse/gone voice, pain, wet burps. Thank you :/</t>
        </is>
      </c>
      <c r="D4144" t="n">
        <v>1</v>
      </c>
      <c r="E4144" t="n">
        <v>1</v>
      </c>
      <c r="F4144">
        <f>HYPERLINK("https://www.reddit.com/r/GERD/comments/ebt5xj/new_to_this_could_i_have_lpr/")</f>
        <v/>
      </c>
      <c r="G4144" t="inlineStr">
        <is>
          <t>2019-12-17 00:27:47</t>
        </is>
      </c>
      <c r="H4144" t="inlineStr"/>
    </row>
    <row r="4145">
      <c r="A4145" t="inlineStr">
        <is>
          <t>ebtaph</t>
        </is>
      </c>
      <c r="B4145" t="inlineStr">
        <is>
          <t>Has anyone had success treating LPR with medication?</t>
        </is>
      </c>
      <c r="C4145" t="inlineStr">
        <is>
          <t>Around 2014, I had really bad LPR.  I made extreme dietary changes, eating only bland food for over a year.  I abstained from all alcohol and caffeine.  Eventually, my condition healed and I was actually able to eat and drink anything I wanted for about 3 years running.
Several months ago, my girlfriend ordered a pizza with garlic as a topping.  There was a LOT of garlic.  It was actually not too pleasant to eat (this coming from a garlic lover like myself), but it was dinner so I ate it.  She was fine, I was and am not.  My LPR has come back. perhaps worse than ever.  In addition to excessive throat clearing, I can actually feel stomach contents bubbling up in my throat throughout the day, and it hurts.
I no longer drink alcohol due to a different medical issue.  I tend toward green tea over coffee, which seems less irritating but I imagine it doesn't help.  I am finding it harder to make extreme dietary changes.  When I first did this, despite improving I was actually miserable.  I was young, moved to a new city for a job, and couldn't socialize at all because no dining out and no alcohol.  I was embarrassed to talk about having reflux or be the odd one out all the time, so I spent my time entirely alone and cooked all my meals.  I never wanted to go back to that again.
Nowadays I care less about missing out socially, but I have more responsibilities and cooking every meal to eat bland food is harder to pull off.  I eat quick and convenient food more nowadays, and fitting a big lifestyle change in is scary. I  am avoiding obvious triggers, but it's clearly not enough.
Has anyone seen any improvement from acid blockers like PPI?  At the time I first developed this condition I read they were ineffective.  Doing new research, it seems they are still controversial, with some studies/doctors advocating them, but other studies saying there's no evidence they work for LPR.
I feel like I need some quick relief, I feel awful frequently and I'm worried about long-term damage/cancer.  I am going to do better to make lifestyle changes, but I feel like it's too slow right now.  
tl;dr had LPR years ago, made extreme diet changes and it went away.  Ate garlicky pizza and it's come back with a vengeance for months running.  Considering PPI or other acid blocker, but evidence is really sketch.</t>
        </is>
      </c>
      <c r="D4145" t="n">
        <v>1</v>
      </c>
      <c r="E4145" t="n">
        <v>4</v>
      </c>
      <c r="F4145">
        <f>HYPERLINK("https://www.reddit.com/r/GERD/comments/ebtaph/has_anyone_had_success_treating_lpr_with/")</f>
        <v/>
      </c>
      <c r="G4145" t="inlineStr">
        <is>
          <t>2019-12-17 00:45:03</t>
        </is>
      </c>
      <c r="H4145" t="inlineStr"/>
    </row>
    <row r="4146">
      <c r="A4146" t="inlineStr">
        <is>
          <t>ebueoa</t>
        </is>
      </c>
      <c r="B4146" t="inlineStr">
        <is>
          <t>Acid reflux burning nose.</t>
        </is>
      </c>
      <c r="C4146" t="inlineStr">
        <is>
          <t>I just want to vent and see if anyone else is having this issue. My reflux isnt that bad lately, but i feel its changing the ph of my throat / airway. My nose feels a very burning sensation all day. And it clogs itself with mucus as a defense mechanism. I cant breathe, and its worse when i try to sleep.  Sonetimes i feel like im not getting enough air and my lips feel numb. Can anyone relate?</t>
        </is>
      </c>
      <c r="D4146" t="n">
        <v>1</v>
      </c>
      <c r="E4146" t="n">
        <v>5</v>
      </c>
      <c r="F4146">
        <f>HYPERLINK("https://www.reddit.com/r/GERD/comments/ebueoa/acid_reflux_burning_nose/")</f>
        <v/>
      </c>
      <c r="G4146" t="inlineStr">
        <is>
          <t>2019-12-17 02:58:02</t>
        </is>
      </c>
      <c r="H4146" t="inlineStr"/>
    </row>
    <row r="4147">
      <c r="A4147" t="inlineStr">
        <is>
          <t>ebwc2w</t>
        </is>
      </c>
      <c r="B4147" t="inlineStr">
        <is>
          <t>It gets better</t>
        </is>
      </c>
      <c r="C4147" t="inlineStr">
        <is>
          <t>In July I suddenly one night had a weird pain in my chest after going to bed early. I then proceeded to stay up and not sleep despite needing to work the next day. (I taught summer intensive classes to kids). At work it got so much worse. I never had heartburn before but have massive anxiety and paranoia that worsened my pain. I didn't have insurance at that time, so I went a week with barely eating for sleeping from the constant pain. I finally went to the ER after passing out from gastral vertigo. All they did was put me on an IV then sent me home after saying it was probably from my GERD (my heart rate was up and the pain was still there).
I never heard about GERD before and ended up researching it. I got more paranoid from reading about it possibly being a hernia and the possibility of not telling the difference between a heart attack and heartburn. So I got worse and by the next day I was crying my eyes out in pain. My SO read up and got me some Nexium. Let me tell you. Just after a few hours I felt the grip on my chest loosen and I was able to lay back enough in my chair to fall asleep.
From there I took the nexium 14 day and then went and saw a doctor that over looked me not having insurance. She said that me taking the nexium was the right thing and to look into a GERD diet. She also put me on 3 months of nexium, zantac, and surcalafrate. She also told me mine came on instantly from my stomach lining being deteriorated from an ibuprofen and Lexapro combo I was on and the constant coffee and taco Bell. And that if I was 30 I would have had stomach bleeding. 
So I kept up on nexium for a month and ate nothing but yogurt, bread, and cheese. I still had chronic pain that never went away but was tolerable. But the pain put me in a bad mental state. After month two I was seriously thinking about suicide because I couldn't imagine living my life with constant pain every day. I went back to the doctor in which she told me to see a specialist. I ended up going and he instantly booked me for an endoscopy. The endoscopy and biopsies didn't really show anything so he was convinced that my GERD would go away in time. 
Well, let me tell you. It is now December and I am greatful I didn't give into my depression. After a few months of nexium and zantac, I stopped using zantac and wild only take nexium here and there. I also have been able to eat and drink most things. I'm still super against tomatoes and citrus. But sometimes I'll get little bouts of heartburn but they go away. I never could've imagined this back in July. I am also back on Lexapro to help calm my anxiety to help lower my symptoms. The oh thing is that I'm still sleeping in my lazy boy and couch, but that's probably more cause I get anxious trying to go sleep in my bed and am using these as a crutch till I get a wedge pillow.
But please, if you were like me, in pure constant pain debating suicide, Don't. I promise. It does get better. You will remember what it's like to have a normal life. Just give it time. You'll get there. We'll always live with GERD and constantly be in fear of foods, but we won't be suffering every moment of every day. Please hang on. And use the GERD diet and lifestyle to a T until you get better. I love you all. You are all so strong for dealing with this!</t>
        </is>
      </c>
      <c r="D4147" t="n">
        <v>1</v>
      </c>
      <c r="E4147" t="n">
        <v>13</v>
      </c>
      <c r="F4147">
        <f>HYPERLINK("https://www.reddit.com/r/GERD/comments/ebwc2w/it_gets_better/")</f>
        <v/>
      </c>
      <c r="G4147" t="inlineStr">
        <is>
          <t>2019-12-17 06:17:43</t>
        </is>
      </c>
      <c r="H4147" t="inlineStr"/>
    </row>
    <row r="4148">
      <c r="A4148" t="inlineStr">
        <is>
          <t>ebxctb</t>
        </is>
      </c>
      <c r="B4148" t="inlineStr">
        <is>
          <t>Prozac 20 MG: An Effective Treatment for GERD</t>
        </is>
      </c>
      <c r="C4148" t="inlineStr">
        <is>
          <t>If you are running out of options to try and fix yourself, try Prozac 20 mg. https://clinicaltrials.gov/ct2/show/NCT01269788</t>
        </is>
      </c>
      <c r="D4148" t="n">
        <v>1</v>
      </c>
      <c r="E4148" t="n">
        <v>1</v>
      </c>
      <c r="F4148">
        <f>HYPERLINK("https://www.reddit.com/r/GERD/comments/ebxctb/prozac_20_mg_an_effective_treatment_for_gerd/")</f>
        <v/>
      </c>
      <c r="G4148" t="inlineStr">
        <is>
          <t>2019-12-17 07:39:24</t>
        </is>
      </c>
      <c r="H4148" t="inlineStr"/>
    </row>
    <row r="4149">
      <c r="A4149" t="inlineStr">
        <is>
          <t>ebxeiz</t>
        </is>
      </c>
      <c r="B4149" t="inlineStr">
        <is>
          <t>Should I get rid of gluten?</t>
        </is>
      </c>
      <c r="C4149" t="inlineStr">
        <is>
          <t>I have been tested and technically I am not gluten intolerant, but I notice that gluten foods, breads, pasta, etc always screw up my digetsion and when my digestion is screwed up, my GERD is worse.
I did an experiement few months ago where I ate Gluten free for a week, and my digestion was insanely better, however it was so boring i couldn't do it anymore. but now my health is really bad and I'm wondering do you guys think I should eat gluten free even though I tested negative for gluten intolerance?</t>
        </is>
      </c>
      <c r="D4149" t="n">
        <v>1</v>
      </c>
      <c r="E4149" t="n">
        <v>10</v>
      </c>
      <c r="F4149">
        <f>HYPERLINK("https://www.reddit.com/r/GERD/comments/ebxeiz/should_i_get_rid_of_gluten/")</f>
        <v/>
      </c>
      <c r="G4149" t="inlineStr">
        <is>
          <t>2019-12-17 07:42:50</t>
        </is>
      </c>
      <c r="H4149" t="inlineStr"/>
    </row>
    <row r="4150">
      <c r="A4150" t="inlineStr">
        <is>
          <t>eby8tm</t>
        </is>
      </c>
      <c r="B4150" t="inlineStr">
        <is>
          <t>Does my symptoms warrant an examination (fullness, burping, regurgitation)</t>
        </is>
      </c>
      <c r="C4150" t="inlineStr">
        <is>
          <t>I understand that this is not a medical forum and anything discussed here should be taken with a grain of salt. With that being said I would like to thank all the moderators here for setting up a group for people like me to discuss about their GERD problems. 
I have many friends who complain of GERD and it seems like a fairly common disorder. I am just not sure if I am overreacting to my symptoms or if they are valid. Below are the list of symptoms I have:-
1. Frequently feeling full (this is the main one)
2. Burping quite frequently after meals (sometimes many hours after a meal)
3. Sometimes while burping I feel something(acid or liquid) go into my throat/esophegus.  
I also drink lots of water and I feel it tends to exerbate my condition. 
Most likely will be seeing an ENT doctor sometime next year(mid Jan) for further evaluation but I would like to know the opinions of the people on this sub if my symptoms warrant it. 
In any circusmtances I will be seeing an ENT doctor and getting an endoscopy test done. I am curious to know the condition of my esophogus. I believe its been six months since I have been dealing with GERD symptoms and I think its a good time for an eval.</t>
        </is>
      </c>
      <c r="D4150" t="n">
        <v>1</v>
      </c>
      <c r="E4150" t="n">
        <v>3</v>
      </c>
      <c r="F4150">
        <f>HYPERLINK("https://www.reddit.com/r/GERD/comments/eby8tm/does_my_symptoms_warrant_an_examination_fullness/")</f>
        <v/>
      </c>
      <c r="G4150" t="inlineStr">
        <is>
          <t>2019-12-17 08:45:30</t>
        </is>
      </c>
      <c r="H4150" t="inlineStr"/>
    </row>
    <row r="4151">
      <c r="A4151" t="inlineStr">
        <is>
          <t>ebyio3</t>
        </is>
      </c>
      <c r="B4151" t="inlineStr">
        <is>
          <t>Are there any desserts that don't cause acid reflux?</t>
        </is>
      </c>
      <c r="C4151" t="inlineStr">
        <is>
          <t>I can't have any type of flour, cake, ice cream, or anything heavy. But I sometimes crave something sweet other than fruit and I'm not sure what to have. Does anyone have any suggestions? My reflux is really really bad!</t>
        </is>
      </c>
      <c r="D4151" t="n">
        <v>1</v>
      </c>
      <c r="E4151" t="n">
        <v>5</v>
      </c>
      <c r="F4151">
        <f>HYPERLINK("https://www.reddit.com/r/GERD/comments/ebyio3/are_there_any_desserts_that_dont_cause_acid_reflux/")</f>
        <v/>
      </c>
      <c r="G4151" t="inlineStr">
        <is>
          <t>2019-12-17 09:05:42</t>
        </is>
      </c>
      <c r="H4151" t="inlineStr"/>
    </row>
    <row r="4152">
      <c r="A4152" t="inlineStr">
        <is>
          <t>ebyoxh</t>
        </is>
      </c>
      <c r="B4152" t="inlineStr">
        <is>
          <t>How quick does it take to develop Barrett's? I've had Chronic GERD for 5 years.</t>
        </is>
      </c>
      <c r="C4152" t="inlineStr">
        <is>
          <t>So I've had bad GERD for 5+ years now, would this indicator alone mean I've passed some kind of threshold for Barrett's? Or is it less predictable.</t>
        </is>
      </c>
      <c r="D4152" t="n">
        <v>1</v>
      </c>
      <c r="E4152" t="n">
        <v>3</v>
      </c>
      <c r="F4152">
        <f>HYPERLINK("https://www.reddit.com/r/GERD/comments/ebyoxh/how_quick_does_it_take_to_develop_barretts_ive/")</f>
        <v/>
      </c>
      <c r="G4152" t="inlineStr">
        <is>
          <t>2019-12-17 09:18:47</t>
        </is>
      </c>
      <c r="H4152" t="inlineStr"/>
    </row>
    <row r="4153">
      <c r="A4153" t="inlineStr">
        <is>
          <t>ebzsth</t>
        </is>
      </c>
      <c r="B4153" t="inlineStr">
        <is>
          <t>Good tomato sauce substitutes?</t>
        </is>
      </c>
      <c r="C4153" t="inlineStr">
        <is>
          <t>I love pasta but GERD has really messed up my esophagus so I need to avoid any further GERD attacks. Unfortunately tomato sauce is one of my biggest triggers. Any good substitutes for a pasta sauce?</t>
        </is>
      </c>
      <c r="D4153" t="n">
        <v>1</v>
      </c>
      <c r="E4153" t="n">
        <v>3</v>
      </c>
      <c r="F4153">
        <f>HYPERLINK("https://www.reddit.com/r/GERD/comments/ebzsth/good_tomato_sauce_substitutes/")</f>
        <v/>
      </c>
      <c r="G4153" t="inlineStr">
        <is>
          <t>2019-12-17 10:35:33</t>
        </is>
      </c>
      <c r="H4153" t="inlineStr"/>
    </row>
    <row r="4154">
      <c r="A4154" t="inlineStr">
        <is>
          <t>ec03ev</t>
        </is>
      </c>
      <c r="B4154" t="inlineStr">
        <is>
          <t>My doctor has prescribed me vitamin D tablets for GERD.What is relation between between them?</t>
        </is>
      </c>
      <c r="C4154" t="inlineStr">
        <is>
          <t>He has also given me other tablets too but I was surprised by vitamin D tablets.I live in Pakistan which is very sunny country.He didn't test me for vitamin D deficiency.</t>
        </is>
      </c>
      <c r="D4154" t="n">
        <v>1</v>
      </c>
      <c r="E4154" t="n">
        <v>16</v>
      </c>
      <c r="F4154">
        <f>HYPERLINK("https://www.reddit.com/r/GERD/comments/ec03ev/my_doctor_has_prescribed_me_vitamin_d_tablets_for/")</f>
        <v/>
      </c>
      <c r="G4154" t="inlineStr">
        <is>
          <t>2019-12-17 10:55:41</t>
        </is>
      </c>
      <c r="H4154" t="inlineStr"/>
    </row>
    <row r="4155">
      <c r="A4155" t="inlineStr">
        <is>
          <t>ec39pf</t>
        </is>
      </c>
      <c r="B4155" t="inlineStr">
        <is>
          <t>My PH bravo test came back. Score of 58! What was yours?</t>
        </is>
      </c>
      <c r="C4155" t="inlineStr">
        <is>
          <t xml:space="preserve">
I read the average for normal people was 16, so mine is really high and I am going in for a HH repair and the linx procedure.    My HH is 5cm and grade III.   Can anyone beat my scores and what procedure did you get done?</t>
        </is>
      </c>
      <c r="D4155" t="n">
        <v>1</v>
      </c>
      <c r="E4155" t="n">
        <v>28</v>
      </c>
      <c r="F4155">
        <f>HYPERLINK("https://www.reddit.com/r/GERD/comments/ec39pf/my_ph_bravo_test_came_back_score_of_58_what_was/")</f>
        <v/>
      </c>
      <c r="G4155" t="inlineStr">
        <is>
          <t>2019-12-17 14:36:45</t>
        </is>
      </c>
      <c r="H4155" t="inlineStr"/>
    </row>
    <row r="4156">
      <c r="A4156" t="inlineStr">
        <is>
          <t>ec40u4</t>
        </is>
      </c>
      <c r="B4156" t="inlineStr">
        <is>
          <t>Sore throat maybe caused by GERD?</t>
        </is>
      </c>
      <c r="C4156" t="inlineStr">
        <is>
          <t>For the past couple of days I've had a very irritating sore throat and cough and though the rest of my family has a cold, I suspect mine might be from some kind of acid reflux. Only my throat is bothering me (plus a healthy dose of heartburn for good measure), and it feels tight, high enough up it's halfway triggering a gag reflex. Does this sound like something caused by GERD or just a regular cold?</t>
        </is>
      </c>
      <c r="D4156" t="n">
        <v>1</v>
      </c>
      <c r="E4156" t="n">
        <v>12</v>
      </c>
      <c r="F4156">
        <f>HYPERLINK("https://www.reddit.com/r/GERD/comments/ec40u4/sore_throat_maybe_caused_by_gerd/")</f>
        <v/>
      </c>
      <c r="G4156" t="inlineStr">
        <is>
          <t>2019-12-17 15:31:43</t>
        </is>
      </c>
      <c r="H4156" t="inlineStr"/>
    </row>
    <row r="4157">
      <c r="A4157" t="inlineStr">
        <is>
          <t>ec4938</t>
        </is>
      </c>
      <c r="B4157" t="inlineStr">
        <is>
          <t>Anyone else get gerd from indian food?</t>
        </is>
      </c>
      <c r="C4157" t="inlineStr">
        <is>
          <t>i really love indian food, but it always seems to give me gerd. today i ate gluten free and just had some white rice with butter chicken, it was so delicious...but now im coughing and the acid is climbing up and burning my throat :(
prolly cos all the spices and etc?</t>
        </is>
      </c>
      <c r="D4157" t="n">
        <v>1</v>
      </c>
      <c r="E4157" t="n">
        <v>10</v>
      </c>
      <c r="F4157">
        <f>HYPERLINK("https://www.reddit.com/r/GERD/comments/ec4938/anyone_else_get_gerd_from_indian_food/")</f>
        <v/>
      </c>
      <c r="G4157" t="inlineStr">
        <is>
          <t>2019-12-17 15:49:34</t>
        </is>
      </c>
      <c r="H4157" t="inlineStr"/>
    </row>
    <row r="4158">
      <c r="A4158" t="inlineStr">
        <is>
          <t>ec543t</t>
        </is>
      </c>
      <c r="B4158" t="inlineStr">
        <is>
          <t>GERD running in the family?</t>
        </is>
      </c>
      <c r="C4158" t="inlineStr">
        <is>
          <t>Hi everyone! 
I’ve been having terrible heartburn and stomach pains. It mostly feels like a knife being pushed into your gut.  Does anyone else get the pains like that? And nothing seems to fix the pain or make
It better. It gets so painful that it wakes me up at night 
Also it is possible that GERD run in family’s? Because both my dad and mother’s side has had problems with it. My mums father actually died from esophagitis cancer because of it. 
Thanks for reading!</t>
        </is>
      </c>
      <c r="D4158" t="n">
        <v>1</v>
      </c>
      <c r="E4158" t="n">
        <v>4</v>
      </c>
      <c r="F4158">
        <f>HYPERLINK("https://www.reddit.com/r/GERD/comments/ec543t/gerd_running_in_the_family/")</f>
        <v/>
      </c>
      <c r="G4158" t="inlineStr">
        <is>
          <t>2019-12-17 16:56:11</t>
        </is>
      </c>
      <c r="H4158" t="inlineStr"/>
    </row>
    <row r="4159">
      <c r="A4159" t="inlineStr">
        <is>
          <t>ec5sqc</t>
        </is>
      </c>
      <c r="B4159" t="inlineStr">
        <is>
          <t>Waking up in the middle of the night with a sour stomach?</t>
        </is>
      </c>
      <c r="C4159" t="inlineStr">
        <is>
          <t>A few times a month I’ll wake up in the middle of the night with a sour/nauseous stomach. I usually have a few loose poops and then end up forcing myself to vomit (usually a couple dry heaves) because it’s the only things that gets the nausea to go away. After that, I feel totally fine and go back to bed until the morning. 
It’s the weirdest thing that I’ve grown to just accept as a part of my life but I really don’t want to keep dealing with this. 
Anyone else? The nausea is definitely acid reflux induced but I’m confused on the pooping part of it. Sorry for the TMI.</t>
        </is>
      </c>
      <c r="D4159" t="n">
        <v>1</v>
      </c>
      <c r="E4159" t="n">
        <v>10</v>
      </c>
      <c r="F4159">
        <f>HYPERLINK("https://www.reddit.com/r/GERD/comments/ec5sqc/waking_up_in_the_middle_of_the_night_with_a_sour/")</f>
        <v/>
      </c>
      <c r="G4159" t="inlineStr">
        <is>
          <t>2019-12-17 17:49:50</t>
        </is>
      </c>
      <c r="H4159" t="inlineStr"/>
    </row>
    <row r="4160">
      <c r="A4160" t="inlineStr">
        <is>
          <t>ec5tl3</t>
        </is>
      </c>
      <c r="B4160" t="inlineStr">
        <is>
          <t>Tips for dealing with difficulty swallowing?</t>
        </is>
      </c>
      <c r="C4160" t="inlineStr">
        <is>
          <t>Hey guys! I’ve been dealing with this for about 2-3 months now and my main and most uncomfortable symptom is the inability to swallow. 
Yeah the occasional burn and tightness in the chest sucks, but when it’s day two of eating less that a full bagel because I’m in an episode its just a massive drop in quality of life. 
I’ve been keeping a food journal for about two weeks to try to find causation but it must be too early to tell as I don’t see any linkage. One day I’ll eat a certain food and I can swallow okay that night/next day. The next time I eat that food I can barely get water down. 
Any tips for dealing with this? It’s usually accompanied by a feeling of something in my throat, a feeling of phlegm/needing to clear my throat and a slight burn feeling in my chest when taking a deep breath (although that last part isn’t common).</t>
        </is>
      </c>
      <c r="D4160" t="n">
        <v>1</v>
      </c>
      <c r="E4160" t="n">
        <v>21</v>
      </c>
      <c r="F4160">
        <f>HYPERLINK("https://www.reddit.com/r/GERD/comments/ec5tl3/tips_for_dealing_with_difficulty_swallowing/")</f>
        <v/>
      </c>
      <c r="G4160" t="inlineStr">
        <is>
          <t>2019-12-17 17:51:30</t>
        </is>
      </c>
      <c r="H4160" t="inlineStr"/>
    </row>
    <row r="4161">
      <c r="A4161" t="inlineStr">
        <is>
          <t>ec6lem</t>
        </is>
      </c>
      <c r="B4161" t="inlineStr">
        <is>
          <t>Vomit?</t>
        </is>
      </c>
      <c r="C4161" t="inlineStr">
        <is>
          <t>Hello, 
Does anyone here with GERD get random spouts of vomiting? I've had GERD my whole life, and only PPIs for the past 10 years. It seems like once every 6-12 months i'll randomly have to vomit and I can only guess it's from the gerd. However, i won't have any other symptoms. Could this be from the GERD or think it's from something else?</t>
        </is>
      </c>
      <c r="D4161" t="n">
        <v>1</v>
      </c>
      <c r="E4161" t="n">
        <v>0</v>
      </c>
      <c r="F4161">
        <f>HYPERLINK("https://www.reddit.com/r/GERD/comments/ec6lem/vomit/")</f>
        <v/>
      </c>
      <c r="G4161" t="inlineStr">
        <is>
          <t>2019-12-17 18:53:46</t>
        </is>
      </c>
      <c r="H4161" t="inlineStr"/>
    </row>
    <row r="4162">
      <c r="A4162" t="inlineStr">
        <is>
          <t>ec6s55</t>
        </is>
      </c>
      <c r="B4162" t="inlineStr">
        <is>
          <t>Rx Ranitidine starting to show back up in pharmacies</t>
        </is>
      </c>
      <c r="C4162" t="inlineStr">
        <is>
          <t>For what it's worth, prescription Ranitidine is starting to come back to pharmacies.  Just got my prescription filled at a Walgreens (USA).  Note that it may take some diligence to call around; it took several attempts to find it.  After checking the label, it looks like Strides pharma has a new batch that is within USFDA limits for NDMA.
 [https://economictimes.indiatimes.com/industry/healthcare/biotech/pharmaceuticals/strides-pharma-relaunches-ranitidine-tablets-in-us/articleshow/71968842.cms?from=mdr](https://economictimes.indiatimes.com/industry/healthcare/biotech/pharmaceuticals/strides-pharma-relaunches-ranitidine-tablets-in-us/articleshow/71968842.cms?from=mdr) 
Thought this might be helpful for those who prefer H2 blockers and have a doctor/NP who can write a script for you.</t>
        </is>
      </c>
      <c r="D4162" t="n">
        <v>1</v>
      </c>
      <c r="E4162" t="n">
        <v>3</v>
      </c>
      <c r="F4162">
        <f>HYPERLINK("https://www.reddit.com/r/GERD/comments/ec6s55/rx_ranitidine_starting_to_show_back_up_in/")</f>
        <v/>
      </c>
      <c r="G4162" t="inlineStr">
        <is>
          <t>2019-12-17 19:09:36</t>
        </is>
      </c>
      <c r="H4162" t="inlineStr"/>
    </row>
    <row r="4163">
      <c r="A4163" t="inlineStr">
        <is>
          <t>ec6xyr</t>
        </is>
      </c>
      <c r="B4163" t="inlineStr">
        <is>
          <t>Let’s talk about sex- how do you do it when you can’t lay flat or bend over?</t>
        </is>
      </c>
      <c r="C4163" t="inlineStr">
        <is>
          <t>Female with a male partner here: Because I am still bogging through the diagnostic process I am in constant pain/discomfort that is exacerbated by laying flat and bending over. The pain does not suppress my sex drive but it does interfere with my usual preferences for sexual activity. I can’t be the only one who has had to get creative here and I am looking for inspiration- how to other people work around this aspect of GERD?</t>
        </is>
      </c>
      <c r="D4163" t="n">
        <v>1</v>
      </c>
      <c r="E4163" t="n">
        <v>0</v>
      </c>
      <c r="F4163">
        <f>HYPERLINK("https://www.reddit.com/r/GERD/comments/ec6xyr/lets_talk_about_sex_how_do_you_do_it_when_you/")</f>
        <v/>
      </c>
      <c r="G4163" t="inlineStr">
        <is>
          <t>2019-12-17 19:23:18</t>
        </is>
      </c>
      <c r="H4163" t="inlineStr"/>
    </row>
    <row r="4164">
      <c r="A4164" t="inlineStr">
        <is>
          <t>ec7hey</t>
        </is>
      </c>
      <c r="B4164" t="inlineStr">
        <is>
          <t>High stomach acid but can't digest. Gas, constipation too. Can't see a doc. Which OTC medicine to take?</t>
        </is>
      </c>
      <c r="C4164" t="inlineStr">
        <is>
          <t>Hi
I take a high stomach acid because my stomach gets sour and upset. But then I can't digest food that well. I get nauseous after I eat something. Having lots of gas and constipation too. Can't go see a doctor because I'm an international student and school's closed to can't go see a doc now. Need some OTC treatment. What can I take? Please help.</t>
        </is>
      </c>
      <c r="D4164" t="n">
        <v>1</v>
      </c>
      <c r="E4164" t="n">
        <v>4</v>
      </c>
      <c r="F4164">
        <f>HYPERLINK("https://www.reddit.com/r/GERD/comments/ec7hey/high_stomach_acid_but_cant_digest_gas/")</f>
        <v/>
      </c>
      <c r="G4164" t="inlineStr">
        <is>
          <t>2019-12-17 20:10:26</t>
        </is>
      </c>
      <c r="H4164" t="inlineStr"/>
    </row>
    <row r="4165">
      <c r="A4165" t="inlineStr">
        <is>
          <t>ec88ji</t>
        </is>
      </c>
      <c r="B4165" t="inlineStr">
        <is>
          <t>Showers trigger GERD?</t>
        </is>
      </c>
      <c r="C4165" t="inlineStr">
        <is>
          <t>I like taking long hot showers, but lately if I'm in the shower for over 10 mins I start to feel chest pain and it transitions into a full blown reflux attack that can last hours after I get out of the shower. 
Does anyone else experience this?</t>
        </is>
      </c>
      <c r="D4165" t="n">
        <v>1</v>
      </c>
      <c r="E4165" t="n">
        <v>5</v>
      </c>
      <c r="F4165">
        <f>HYPERLINK("https://www.reddit.com/r/GERD/comments/ec88ji/showers_trigger_gerd/")</f>
        <v/>
      </c>
      <c r="G4165" t="inlineStr">
        <is>
          <t>2019-12-17 21:22:23</t>
        </is>
      </c>
      <c r="H4165" t="inlineStr"/>
    </row>
    <row r="4166">
      <c r="A4166" t="inlineStr">
        <is>
          <t>ec8gl8</t>
        </is>
      </c>
      <c r="B4166" t="inlineStr">
        <is>
          <t>Prilosec not working after a week, pain getting worse. Any advice?</t>
        </is>
      </c>
      <c r="C4166" t="inlineStr">
        <is>
          <t>So I've been taking Prilosec once a day now for a week and I have seen zero improvements. My GERD has actually gotten worse and more frequent whenever I eat, and within the last 48 hours I've had really bad pain in my stomach after I eat. It feels like needles are poking into my stomach and it only happens when I move my body. I've also noticed more dull pain in near my lower abdomen that comes and goes throughout the day. I feel like going to urgent care in the morning because of how painful it is to eat, but I don't know if these are just normal symptoms or not. I've only had GERD since I stopped binge drinking, which was around 2 1/2 weeks ago now</t>
        </is>
      </c>
      <c r="D4166" t="n">
        <v>1</v>
      </c>
      <c r="E4166" t="n">
        <v>5</v>
      </c>
      <c r="F4166">
        <f>HYPERLINK("https://www.reddit.com/r/GERD/comments/ec8gl8/prilosec_not_working_after_a_week_pain_getting/")</f>
        <v/>
      </c>
      <c r="G4166" t="inlineStr">
        <is>
          <t>2019-12-17 21:44:40</t>
        </is>
      </c>
      <c r="H4166" t="inlineStr"/>
    </row>
    <row r="4167">
      <c r="A4167" t="inlineStr">
        <is>
          <t>ec8u5w</t>
        </is>
      </c>
      <c r="B4167" t="inlineStr">
        <is>
          <t>Weed and GERD</t>
        </is>
      </c>
      <c r="C4167" t="inlineStr">
        <is>
          <t>Do you guys think GERD can get worse by vaping dried cannabis herbs?</t>
        </is>
      </c>
      <c r="D4167" t="n">
        <v>1</v>
      </c>
      <c r="E4167" t="n">
        <v>17</v>
      </c>
      <c r="F4167">
        <f>HYPERLINK("https://www.reddit.com/r/GERD/comments/ec8u5w/weed_and_gerd/")</f>
        <v/>
      </c>
      <c r="G4167" t="inlineStr">
        <is>
          <t>2019-12-17 22:23:36</t>
        </is>
      </c>
      <c r="H4167" t="inlineStr"/>
    </row>
    <row r="4168">
      <c r="A4168" t="inlineStr">
        <is>
          <t>ec8uin</t>
        </is>
      </c>
      <c r="B4168" t="inlineStr">
        <is>
          <t>Is this GERD or just anxiety?</t>
        </is>
      </c>
      <c r="C4168" t="inlineStr">
        <is>
          <t>Last night I was so hungry and felt a little pain on my stomach so I ate half of the banana and a bit of biscuit with water. Next morning I feel like there is something on my throat. And am always burping. Also clear phlegm that won't go away.</t>
        </is>
      </c>
      <c r="D4168" t="n">
        <v>1</v>
      </c>
      <c r="E4168" t="n">
        <v>7</v>
      </c>
      <c r="F4168">
        <f>HYPERLINK("https://www.reddit.com/r/GERD/comments/ec8uin/is_this_gerd_or_just_anxiety/")</f>
        <v/>
      </c>
      <c r="G4168" t="inlineStr">
        <is>
          <t>2019-12-17 22:24:38</t>
        </is>
      </c>
      <c r="H4168" t="inlineStr"/>
    </row>
    <row r="4169">
      <c r="A4169" t="inlineStr">
        <is>
          <t>ec8z9p</t>
        </is>
      </c>
      <c r="B4169" t="inlineStr">
        <is>
          <t>Slippery elm</t>
        </is>
      </c>
      <c r="C4169" t="inlineStr">
        <is>
          <t>Great video. Just took my first pill. My stomach immediately relaxed after 5 minutes. Can’t wait to see what happens after a few days. 
https://youtu.be/npymwWbIy78</t>
        </is>
      </c>
      <c r="D4169" t="n">
        <v>1</v>
      </c>
      <c r="E4169" t="n">
        <v>4</v>
      </c>
      <c r="F4169">
        <f>HYPERLINK("https://www.reddit.com/r/GERD/comments/ec8z9p/slippery_elm/")</f>
        <v/>
      </c>
      <c r="G4169" t="inlineStr">
        <is>
          <t>2019-12-17 22:38:35</t>
        </is>
      </c>
      <c r="H4169" t="inlineStr"/>
    </row>
    <row r="4170">
      <c r="A4170" t="inlineStr">
        <is>
          <t>ecdmi4</t>
        </is>
      </c>
      <c r="B4170" t="inlineStr">
        <is>
          <t>General questions</t>
        </is>
      </c>
      <c r="C4170" t="inlineStr">
        <is>
          <t>I’m M(21) and I believe I’ve been living with mild GERD for a few years now. I’ve never been diagnosed but I feel my symptoms align with most of them. My questions is, what is your guys general advice in diet. I usually steer clear of tomatoes and anything really spicy. I don’t drink either. My main weakness is probably coffee and sweets. I smoke and get the munchies. I have noticed it getting worse recently, so I’d like to maybe change my diet soon. When I do get symptoms, they are much more mild than most here. I usually get an uneasy stomach, not true naseau but uneasiness. Sometimes I can still feel hunger, but I can feel my throat almost reject food and feel sort of nauseous when I have something in my mouth. It’s like I don’t want to swallow it. I also get sort of more lethargic when i get symptoms. Of course when I really eat something I shouldn’t have, then it can get bad with nausea, but usually it’s the more mild, chronic uncomfortable symptoms. 
Also, I’m on vacation right now, and not doing so great. I’m in Spain, which definitely doesn’t match up with the GERD lifestyle. Didn’t eat (croissant) till 12 today, after having espresso in the morning, then ate lunch at like 1:30, which was creamy pasta and then fish. Obviously not the best choices made, but nevertheless I’d appreciate some advice. It’s hard because I don’t really have much control over when I eat, and especially what I eat. 
Anyway, I’d appreciate any advice, and I hope y’all are having a flare-up free day!</t>
        </is>
      </c>
      <c r="D4170" t="n">
        <v>1</v>
      </c>
      <c r="E4170" t="n">
        <v>7</v>
      </c>
      <c r="F4170">
        <f>HYPERLINK("https://www.reddit.com/r/GERD/comments/ecdmi4/general_questions/")</f>
        <v/>
      </c>
      <c r="G4170" t="inlineStr">
        <is>
          <t>2019-12-18 06:53:24</t>
        </is>
      </c>
      <c r="H4170" t="inlineStr"/>
    </row>
    <row r="4171">
      <c r="A4171" t="inlineStr">
        <is>
          <t>ece4jr</t>
        </is>
      </c>
      <c r="B4171" t="inlineStr">
        <is>
          <t>How far apart should meals be?</t>
        </is>
      </c>
      <c r="C4171" t="inlineStr">
        <is>
          <t>I find I’m hungry after 2 hours if I eat small meals. Is it okay to eat something every 2 hours?</t>
        </is>
      </c>
      <c r="D4171" t="n">
        <v>1</v>
      </c>
      <c r="E4171" t="n">
        <v>4</v>
      </c>
      <c r="F4171">
        <f>HYPERLINK("https://www.reddit.com/r/GERD/comments/ece4jr/how_far_apart_should_meals_be/")</f>
        <v/>
      </c>
      <c r="G4171" t="inlineStr">
        <is>
          <t>2019-12-18 07:33:49</t>
        </is>
      </c>
      <c r="H4171" t="inlineStr"/>
    </row>
    <row r="4172">
      <c r="A4172" t="inlineStr">
        <is>
          <t>ech55l</t>
        </is>
      </c>
      <c r="B4172" t="inlineStr">
        <is>
          <t>Confused and Lost?!</t>
        </is>
      </c>
      <c r="C4172" t="inlineStr">
        <is>
          <t>Went to go see doctor and got upper Gastroscopy done.  They took samples and they couldn't tell what was wrong.
I feel like I'm constantly burping and my throat feels (sometimes) depending on the day like there's something inside when I swallow. It's weird in that it changes daily but I can't figure out what is causing it like what foods?
I'm not sure what tests need to be run... can someone please tell me what I can do now? :( They recommended abdominal ultrasound but not sure WHAT I could do like is a specialist for GERD? Are there tests to be run for GERD?
&amp;amp;#x200B;
Thank you all so much!</t>
        </is>
      </c>
      <c r="D4172" t="n">
        <v>1</v>
      </c>
      <c r="E4172" t="n">
        <v>5</v>
      </c>
      <c r="F4172">
        <f>HYPERLINK("https://www.reddit.com/r/GERD/comments/ech55l/confused_and_lost/")</f>
        <v/>
      </c>
      <c r="G4172" t="inlineStr">
        <is>
          <t>2019-12-18 11:19:23</t>
        </is>
      </c>
      <c r="H4172" t="inlineStr"/>
    </row>
    <row r="4173">
      <c r="A4173" t="inlineStr">
        <is>
          <t>echymp</t>
        </is>
      </c>
      <c r="B4173" t="inlineStr">
        <is>
          <t>There is hope</t>
        </is>
      </c>
      <c r="C4173" t="inlineStr">
        <is>
          <t>Hi, I wanted to share my story to give some optimism for those struggling with GERD/acid reflux.
I am a 27 year old male.  Healthy BMI, no prior health conditions.  Late last year (when I was 26), I begin experiencing some pretty severe acid reflux issues.  I had had occasional acid reflux in the past, but never thought much of it.  However, toward the end of the year I had two horrible choking episodes.
In both choking cases, I was eating a meal when suddenly a bite wouldn't go all the way down my throat.  Fortunately, the food was past my trachea and not obstructing my breathing, but it felt as though I had a lump stuck at the bottom of my throat near my stomach.  My body went into panic; I tried sticking my finger down my throat to vomit, but nothing would come up.  In the first instance, I just gagged and heaved until eventually the food went down a couple minutes later.  The second time, it took almost an hour.  It was awful; it felt like I might die.  I probably should have gone to the hospital, but I was worried about the cost (I live in the United States).  
I met with a gastroenterologist, who put me on a PPI.  I started taking Zantac every day as well.  However, over the following few months, I started to feel like the bottom of my throat (near my stomach) was almost always being irritated by reflux.  I also became very anxious about eating, worried that I could choke again at any time (it made me dislike eating so much that I lost 15 lbs in 2 months).   Oftentimes I would wake up in the middle of the night because of the reflux irritating my throat.  On one occasion, I woke up and had a panic attack because my throat was so irritated it felt like it was closing up and that I wouldn't be able to breathe -- I even called 911 (fortunately my throat didn't actually close up).  I got an endoscopy done, which found no hiatal hernia, no H. Pylori, and no EoE, but a lot of eosinophils in my esophagus near my stomach.  My doctor suspected this was due to all the irritation from the reflux, and upped my PPI.  
What caused all this so suddenly for me?  Well, all my symptoms started after an extended period of stress from my job, where I was rarely getting enough sleep and also drinking too much alcohol regularly (8-10 drinks a weekend on average).  In addition, I was drinking two cups of coffee a day and didn't have the best diet.  I suspect all these factors worked together in a kind of perfect storm to trigger my issues.
I came on this subreddit to learn more about the disease and how to get better, but I saw so many posts about people whose condition seemed to only get worse or stay the same that it made me even more worried.  I feared that I was going to have to live like this the rest of my life; that I'd always be on edge about possibly choking during my next meal, always having a lump in my throat, and rarely getting a good night's sleep.  
Obviously I didn't want that.  I decided to take every step I could to get better.  I cut out all alcohol and caffeine from my diet.  I propped the head of my bed up on blocks to elevate my body while I slept.  I cleaned up my diet, cutting out most processed foods and sugar.  I started eating smaller meals/portions, and not eating within an hour or two of going to bed. 
 To reduce my anxiety, I began exercising and meditating almost every day.  And, I made sure to get enough sleep most nights.  
After three or four months, my symptoms started to go away.  Now, almost eight months later, I once again rarely have any issues with reflux.  I still take Zantac or an equivalent twice a day most days (once in the morning and once before bed), and I take a PPI every other day, but things are pretty good.  I even slowly re-introduced alcohol into my diet, as I enjoy drinking socially.
I realize that this may not work for everyone, and that I am fortunate to have been able to get better with just medication and lifestyle changes.  However, I wanted to share this story to give some hope to people who are in a similar situation as me a year ago.
**TL;DR: 26/27 y/o started choking while eating due to GERD reflux.  Had horrible anxiety and reflux for a few months afterwards.  Was able to get better through lifestyle changes and medication; a year later, I am pretty much symptom free and feeling good again**</t>
        </is>
      </c>
      <c r="D4173" t="n">
        <v>1</v>
      </c>
      <c r="E4173" t="n">
        <v>21</v>
      </c>
      <c r="F4173">
        <f>HYPERLINK("https://www.reddit.com/r/GERD/comments/echymp/there_is_hope/")</f>
        <v/>
      </c>
      <c r="G4173" t="inlineStr">
        <is>
          <t>2019-12-18 12:17:26</t>
        </is>
      </c>
      <c r="H4173" t="inlineStr"/>
    </row>
    <row r="4174">
      <c r="A4174" t="inlineStr">
        <is>
          <t>eckifi</t>
        </is>
      </c>
      <c r="B4174" t="inlineStr">
        <is>
          <t>HH exercises</t>
        </is>
      </c>
      <c r="C4174" t="inlineStr">
        <is>
          <t>Anyone have any experience with doing specific exercises to help with Hiatal Hernia? I just watched a few videos. Tried a few of them which caused me to burp a few times providing some relief? 
Some background. Was taking 2 x 75mg ranitidine everyday for years until the recall. Had to switch to famotidine which seemed to be okay but now doesn’t seem to be as effective. I’m back to the “ball in my throat” and difficulty swallowing. Currently working on diet and slowing down on the partying. Doctor prescribes 40mg Tecta? I am trying to avoid PPIs if possible. Took them when I was younger but suffered horrible rebound which led me to try Zantac (Godsent).</t>
        </is>
      </c>
      <c r="D4174" t="n">
        <v>1</v>
      </c>
      <c r="E4174" t="n">
        <v>0</v>
      </c>
      <c r="F4174">
        <f>HYPERLINK("https://www.reddit.com/r/GERD/comments/eckifi/hh_exercises/")</f>
        <v/>
      </c>
      <c r="G4174" t="inlineStr">
        <is>
          <t>2019-12-18 15:29:46</t>
        </is>
      </c>
      <c r="H4174" t="inlineStr"/>
    </row>
    <row r="4175">
      <c r="A4175" t="inlineStr">
        <is>
          <t>ecljv9</t>
        </is>
      </c>
      <c r="B4175" t="inlineStr">
        <is>
          <t>IDK what i have and it’s ruining my social life.</t>
        </is>
      </c>
      <c r="C4175" t="inlineStr">
        <is>
          <t>Hey guys,
I have this acid issue where i wake up with sour saliva in my mouth every day. It started a couple years ago. Now i have REALLY BAD BREATH because of it and it has ruined my life to the point that i dont even that to people unless i am required to.
It never caused me stomach issue, i could always eat as soon as i wake up and eat again after 3/4. Now i’m barely hungry. I try to eat when i wake up but dont do it most of the days but i do eat when im hungry and then eat after 8 hours or so. Sometimes i eat only once a day.
I take care of my teeth and brush plus floss but my dentist thinks I’m lying.
There was a point where i was getting sharp pains in my stomach, they were really bad when i was hungry (probably was an ulcer)
So a 7/8 months ago i decided to talk to my doctor and he gave me ranitidine. It didn’t exactly work because i was still waking up with saliva but i was hungry as soon as i woke up and i could eat 3 times a day. But it stopped working after 3/4 days and i lost feeling in my stomach completely to the point that i went a day or so without eating and forcefed myself because i was feeling like fainting. Since then my stomach hasnt been the same with me barely feeling hunger. I decided to take otc ranitidine again and got the same issues plus constipation.
A couple months ago i tried gaviscon and it worked for a day or two then i got the same reaction as ranitidine plus worse. I was always feeling like there was gas in my stomach and felt like throwing up if i walked fast or was taking the stairs.
None of the medicine helped me with my bad breath issues.
 Thinking about when this started i remembered that a couple years ago i ate some cake then got sick but did not throw up i also remembered that i could not keep my saliva down for a couple of months during the day and j was walking with a botle to spit in.
These past months i have cut most of the food that could trigger acid reflux but none of them did anything for my stomach or breath.
I dont have my tonsils so it’s not tonsil stones.
I have a new doctors appointment in februari.
I am begging you for help: advice because u truly do not know what it could be.</t>
        </is>
      </c>
      <c r="D4175" t="n">
        <v>1</v>
      </c>
      <c r="E4175" t="n">
        <v>1</v>
      </c>
      <c r="F4175">
        <f>HYPERLINK("https://www.reddit.com/r/GERD/comments/ecljv9/idk_what_i_have_and_its_ruining_my_social_life/")</f>
        <v/>
      </c>
      <c r="G4175" t="inlineStr">
        <is>
          <t>2019-12-18 16:53:44</t>
        </is>
      </c>
      <c r="H4175" t="inlineStr"/>
    </row>
    <row r="4176">
      <c r="A4176" t="inlineStr">
        <is>
          <t>ecouas</t>
        </is>
      </c>
      <c r="B4176" t="inlineStr">
        <is>
          <t>After a few days of doing alittle better, a new prebiotic + probiotic powder from my functional medicine doctor gave me a flare up...</t>
        </is>
      </c>
      <c r="C4176" t="inlineStr">
        <is>
          <t>starting to doubt this whole ACV low stomach acid naturopathic stuff</t>
        </is>
      </c>
      <c r="D4176" t="n">
        <v>1</v>
      </c>
      <c r="E4176" t="n">
        <v>3</v>
      </c>
      <c r="F4176">
        <f>HYPERLINK("https://www.reddit.com/r/GERD/comments/ecouas/after_a_few_days_of_doing_alittle_better_a_new/")</f>
        <v/>
      </c>
      <c r="G4176" t="inlineStr">
        <is>
          <t>2019-12-18 21:35:54</t>
        </is>
      </c>
      <c r="H4176" t="inlineStr"/>
    </row>
    <row r="4177">
      <c r="A4177" t="inlineStr">
        <is>
          <t>ecpfcl</t>
        </is>
      </c>
      <c r="B4177" t="inlineStr">
        <is>
          <t>Fellow Raw throat 24/7 sufferes , it is really curable in gerd/lpr cases?</t>
        </is>
      </c>
      <c r="C4177" t="inlineStr">
        <is>
          <t>I was diagnosed with GERD after my phmetry even if I never experienced any heartburn in my life, did you get better at some point? I read many studies that it get healed at the 3 month to 6 months mark, is this true?</t>
        </is>
      </c>
      <c r="D4177" t="n">
        <v>1</v>
      </c>
      <c r="E4177" t="n">
        <v>11</v>
      </c>
      <c r="F4177">
        <f>HYPERLINK("https://www.reddit.com/r/GERD/comments/ecpfcl/fellow_raw_throat_247_sufferes_it_is_really/")</f>
        <v/>
      </c>
      <c r="G4177" t="inlineStr">
        <is>
          <t>2019-12-18 22:33:52</t>
        </is>
      </c>
      <c r="H4177" t="inlineStr"/>
    </row>
    <row r="4178">
      <c r="A4178" t="inlineStr">
        <is>
          <t>ecqnw6</t>
        </is>
      </c>
      <c r="B4178" t="inlineStr">
        <is>
          <t>Relapse after a full two months...</t>
        </is>
      </c>
      <c r="C4178" t="inlineStr">
        <is>
          <t>Lying here in bed after a serious coughing fit to clear my lungs of inhaled vomit. I was doing so well controlling my GERD with diet &amp;amp; omez, but the holiday candy is starting to roll in, I lost my will power before bed, ate a bunch of chocolates, and about two hours into sleep, here I lie having inhaled a mouthful of bile. My chest &amp;amp; throat are on fire and I'm feeling incredibly defeated. I know there is hope but it's a little hard to see right now. Just had to share.</t>
        </is>
      </c>
      <c r="D4178" t="n">
        <v>1</v>
      </c>
      <c r="E4178" t="n">
        <v>9</v>
      </c>
      <c r="F4178">
        <f>HYPERLINK("https://www.reddit.com/r/GERD/comments/ecqnw6/relapse_after_a_full_two_months/")</f>
        <v/>
      </c>
      <c r="G4178" t="inlineStr">
        <is>
          <t>2019-12-19 00:55:47</t>
        </is>
      </c>
      <c r="H4178" t="inlineStr"/>
    </row>
    <row r="4179">
      <c r="A4179" t="inlineStr">
        <is>
          <t>ecsq2e</t>
        </is>
      </c>
      <c r="B4179" t="inlineStr">
        <is>
          <t>Those of you with Linx for GERD, question about waiting before swallowing food.</t>
        </is>
      </c>
      <c r="C4179" t="inlineStr">
        <is>
          <t>Got the Linx last week.   After I swallow food, I feel and hear little "buzz" of the Linx opening at the bottom of the sternum.  Do any of know what I'm referring to?   Do you have to always wait for that feeling of the Linx to open you take another bite of food and swallow? It seems to take anywhere from 15-30 seconds after I swallow anything for it to open.</t>
        </is>
      </c>
      <c r="D4179" t="n">
        <v>1</v>
      </c>
      <c r="E4179" t="n">
        <v>7</v>
      </c>
      <c r="F4179">
        <f>HYPERLINK("https://www.reddit.com/r/GERD/comments/ecsq2e/those_of_you_with_linx_for_gerd_question_about/")</f>
        <v/>
      </c>
      <c r="G4179" t="inlineStr">
        <is>
          <t>2019-12-19 04:46:16</t>
        </is>
      </c>
      <c r="H4179" t="inlineStr"/>
    </row>
    <row r="4180">
      <c r="A4180" t="inlineStr">
        <is>
          <t>ect8ts</t>
        </is>
      </c>
      <c r="B4180" t="inlineStr">
        <is>
          <t>Ran out of esomeprazole, what can I do?</t>
        </is>
      </c>
      <c r="C4180" t="inlineStr">
        <is>
          <t>Two days ago, I took the last of my otc esomeprazole 20mg that I was taking 2 of in the morning 30 minutes before eating. 
yesterday, I took zantac 75mg since it's what they had at the hospital I was visiting, and I was feeling pretty okay. But today, I tried taking 20mg of omeprazole, and now my throat and chest are killing me. 
I'm a 23 year old trans man who's been diagnosed with GERD and chronic gastritis not related to h. pylori, and I'm pretty sure they said something about esophageal erosion. I've been taking esomeprazole for over a year now too. I just really need help for the day, because even my antiacid chews aren't working.</t>
        </is>
      </c>
      <c r="D4180" t="n">
        <v>1</v>
      </c>
      <c r="E4180" t="n">
        <v>6</v>
      </c>
      <c r="F4180">
        <f>HYPERLINK("https://www.reddit.com/r/GERD/comments/ect8ts/ran_out_of_esomeprazole_what_can_i_do/")</f>
        <v/>
      </c>
      <c r="G4180" t="inlineStr">
        <is>
          <t>2019-12-19 05:33:23</t>
        </is>
      </c>
      <c r="H4180" t="inlineStr"/>
    </row>
    <row r="4181">
      <c r="A4181" t="inlineStr">
        <is>
          <t>ecvnc8</t>
        </is>
      </c>
      <c r="B4181" t="inlineStr">
        <is>
          <t>Quick fix whilst at work?</t>
        </is>
      </c>
      <c r="C4181" t="inlineStr">
        <is>
          <t>Hi all,
I am currently experiencing the worst acid reflux I’ve had in a while. I came off Lansoprazole a couple of months ago in favour of a lifestyle change which was effective. However, I’ve been naughty recently with my food and didn’t have any reaction. Today, however, my body is fighting back. 
I’m at work and I dint have anything on me. I’ve tried drinking milk and water but they haven’t even touched the sides. I work in a pub and wondered if there would be anything at all that can get me through the last of my shift? It’s horrific and I’m struggling to do any of my jobs which is not great. Any advice for quick fixes til I can get home and down some gaviscon?</t>
        </is>
      </c>
      <c r="D4181" t="n">
        <v>1</v>
      </c>
      <c r="E4181" t="n">
        <v>4</v>
      </c>
      <c r="F4181">
        <f>HYPERLINK("https://www.reddit.com/r/GERD/comments/ecvnc8/quick_fix_whilst_at_work/")</f>
        <v/>
      </c>
      <c r="G4181" t="inlineStr">
        <is>
          <t>2019-12-19 08:37:26</t>
        </is>
      </c>
      <c r="H4181" t="inlineStr"/>
    </row>
    <row r="4182">
      <c r="A4182" t="inlineStr">
        <is>
          <t>ecwcgy</t>
        </is>
      </c>
      <c r="B4182" t="inlineStr">
        <is>
          <t>Any immediate care for my condition?</t>
        </is>
      </c>
      <c r="C4182" t="inlineStr">
        <is>
          <t>I prolly have an acid reflux. I woke up hours ago feeling the acid in my throat. My mouth tastes acidic until now. I'm nauseous and I have no meds with me. I stopped taking my meds months ago. My EENT prescribed me antihistamine (alnix plus) and stelix when I last met him. Can drinking tea helps?</t>
        </is>
      </c>
      <c r="D4182" t="n">
        <v>1</v>
      </c>
      <c r="E4182" t="n">
        <v>2</v>
      </c>
      <c r="F4182">
        <f>HYPERLINK("https://www.reddit.com/r/GERD/comments/ecwcgy/any_immediate_care_for_my_condition/")</f>
        <v/>
      </c>
      <c r="G4182" t="inlineStr">
        <is>
          <t>2019-12-19 09:26:31</t>
        </is>
      </c>
      <c r="H4182" t="inlineStr"/>
    </row>
    <row r="4183">
      <c r="A4183" t="inlineStr">
        <is>
          <t>ecxuyr</t>
        </is>
      </c>
      <c r="B4183" t="inlineStr">
        <is>
          <t>So this is it, huh?</t>
        </is>
      </c>
      <c r="C4183" t="inlineStr">
        <is>
          <t>That’s it. No more food I enjoy. I can never eat anything I like anymore. No more foods and drinks and snacks that are enjoyable. Just bland, repetitive food that even those make my stuff act up slightly. 
Constant discomfort now. From here on, no more just relaxation. That’s it? It’s just “tough luck”?  
I’m 21. I’m in decent shape. I may not always eat the healthiest of foods but I’m not glutinous. Why does this just randomly happen? 
I’m not going to lie guys. I’m feeling really hopeless. I can’t even see a doctor about this due to lack of insurance. I’ve only been dealing with this for 3 months and it’s been torturous, and I have to do this for the rest of my life?</t>
        </is>
      </c>
      <c r="D4183" t="n">
        <v>2</v>
      </c>
      <c r="E4183" t="n">
        <v>32</v>
      </c>
      <c r="F4183">
        <f>HYPERLINK("https://www.reddit.com/r/GERD/comments/ecxuyr/so_this_is_it_huh/")</f>
        <v/>
      </c>
      <c r="G4183" t="inlineStr">
        <is>
          <t>2019-12-19 11:15:09</t>
        </is>
      </c>
      <c r="H4183" t="inlineStr"/>
    </row>
    <row r="4184">
      <c r="A4184" t="inlineStr">
        <is>
          <t>ecycf8</t>
        </is>
      </c>
      <c r="B4184" t="inlineStr">
        <is>
          <t>Graham crackers work!</t>
        </is>
      </c>
      <c r="C4184" t="inlineStr">
        <is>
          <t>I had acid reflux for like 4 days I started to get really worried I even scheduled a doctors appointment just last week and thought it would never go away and then I did some google research and I saw something about how Graham crackers helps absorb some of the stomach acid. So I thought Ill go up to the store and get some graham crackers and if it doesn’t work well at least I like graham crackers so lol. But it worked! All of my symptoms went away! Sour taste/sweet in my mouth gone. And burning sensation in my stomach with my post nasal drip all disappeared. Graham crackers work!</t>
        </is>
      </c>
      <c r="D4184" t="n">
        <v>1</v>
      </c>
      <c r="E4184" t="n">
        <v>3</v>
      </c>
      <c r="F4184">
        <f>HYPERLINK("https://www.reddit.com/r/GERD/comments/ecycf8/graham_crackers_work/")</f>
        <v/>
      </c>
      <c r="G4184" t="inlineStr">
        <is>
          <t>2019-12-19 11:49:50</t>
        </is>
      </c>
      <c r="H4184" t="inlineStr"/>
    </row>
    <row r="4185">
      <c r="A4185" t="inlineStr">
        <is>
          <t>ecyeuv</t>
        </is>
      </c>
      <c r="B4185" t="inlineStr">
        <is>
          <t>reflux for 3 months</t>
        </is>
      </c>
      <c r="C4185" t="inlineStr">
        <is>
          <t>Hi, 28 years old I have reflux for 3 months.
I feel abdominal discomfort, acid in the esophagus, puffy abdomen, chest pressures, back runny nose, difficulty breathing and weakness in the body.
&amp;amp;#x200B;
1. I've tried Nexium for two months now - not helping.
2. I eat very healthy only cooked vegetables.
3. I'm a skinny person.
4. I do not take a drug that worsens reflux.
5. I don't have Helicobacter pylori.
What should I do in such a situation? Should I start thinking about surgery in the future? 
 Thank you so much for this forum.</t>
        </is>
      </c>
      <c r="D4185" t="n">
        <v>2</v>
      </c>
      <c r="E4185" t="n">
        <v>6</v>
      </c>
      <c r="F4185">
        <f>HYPERLINK("https://www.reddit.com/r/GERD/comments/ecyeuv/reflux_for_3_months/")</f>
        <v/>
      </c>
      <c r="G4185" t="inlineStr">
        <is>
          <t>2019-12-19 11:54:34</t>
        </is>
      </c>
      <c r="H4185" t="inlineStr"/>
    </row>
    <row r="4186">
      <c r="A4186" t="inlineStr">
        <is>
          <t>ed00s8</t>
        </is>
      </c>
      <c r="B4186" t="inlineStr">
        <is>
          <t>My gerd is back read please</t>
        </is>
      </c>
      <c r="C4186" t="inlineStr">
        <is>
          <t>I had gerd since 2001 between 04-and 09 I have tried so many different medicines. I also had 4 scopes during that 04-09. I’m a hypochondriac with my gerd the last one in 09 was and I been living my life.
The last few nights when I go to sleep I get reflux in my throat and gets pretty sore. Usually it goes away once I’m up and take my nexuim. But today I have a sore throat and hoarse voice from it. Now I really haven’t gone through a flare since 09 on ppi the whole time. My throat being sore and my voice not all there I google and read cancer. I can’t see a dr for this until mid January any thoughts on having a sore throat or hoarse voice? That common?</t>
        </is>
      </c>
      <c r="D4186" t="n">
        <v>1</v>
      </c>
      <c r="E4186" t="n">
        <v>3</v>
      </c>
      <c r="F4186">
        <f>HYPERLINK("https://www.reddit.com/r/GERD/comments/ed00s8/my_gerd_is_back_read_please/")</f>
        <v/>
      </c>
      <c r="G4186" t="inlineStr">
        <is>
          <t>2019-12-19 13:47:44</t>
        </is>
      </c>
      <c r="H4186" t="inlineStr"/>
    </row>
    <row r="4187">
      <c r="A4187" t="inlineStr">
        <is>
          <t>ed1hpd</t>
        </is>
      </c>
      <c r="B4187" t="inlineStr">
        <is>
          <t>Finally saw a doctor for GERD. I had it chronic daily for 5 years I'm 26 now. She said it's not long enough to develop Barrett's. Can anyone confirm this?</t>
        </is>
      </c>
      <c r="C4187" t="inlineStr">
        <is>
          <t>I used to be a Tums addict, and I've been on PPI's for a week and my GERD magically dissipated. I saw a doctor because now I decided I wanted to take better care of myself. I had expected her to make be go get an endoscopy, but she said that I was to young and I have not had GERD long enough and the PPI's should stop it from progressing to Barrett's. I'm relieved to hear that but I want to know what some of you GERD veteran's think of this? Any Barrett's people?</t>
        </is>
      </c>
      <c r="D4187" t="n">
        <v>1</v>
      </c>
      <c r="E4187" t="n">
        <v>13</v>
      </c>
      <c r="F4187">
        <f>HYPERLINK("https://www.reddit.com/r/GERD/comments/ed1hpd/finally_saw_a_doctor_for_gerd_i_had_it_chronic/")</f>
        <v/>
      </c>
      <c r="G4187" t="inlineStr">
        <is>
          <t>2019-12-19 15:34:37</t>
        </is>
      </c>
      <c r="H4187" t="inlineStr"/>
    </row>
    <row r="4188">
      <c r="A4188" t="inlineStr">
        <is>
          <t>ed1tvh</t>
        </is>
      </c>
      <c r="B4188" t="inlineStr">
        <is>
          <t>Upper abdominal fullness</t>
        </is>
      </c>
      <c r="C4188" t="inlineStr">
        <is>
          <t>I’m 14 and lately I’ve been feeling full in my chest and constantly burping. Also occasionally aches in my stomach and I’ve never been more anxious/scared in my life because I’m extremely afraid it could be stomach cancer even though I know it’s unlikely. I’ve been to a gi doc and he gave me ppis and told me to come back if it doesn’t work in 2 months and it helps but not completely. Any reassurance would be nice because I feel like I cannot enjoy life constantly worrying about stomach cancer as a teenager</t>
        </is>
      </c>
      <c r="D4188" t="n">
        <v>1</v>
      </c>
      <c r="E4188" t="n">
        <v>9</v>
      </c>
      <c r="F4188">
        <f>HYPERLINK("https://www.reddit.com/r/GERD/comments/ed1tvh/upper_abdominal_fullness/")</f>
        <v/>
      </c>
      <c r="G4188" t="inlineStr">
        <is>
          <t>2019-12-19 16:00:16</t>
        </is>
      </c>
      <c r="H4188" t="inlineStr"/>
    </row>
    <row r="4189">
      <c r="A4189" t="inlineStr">
        <is>
          <t>ed2fo3</t>
        </is>
      </c>
      <c r="B4189" t="inlineStr">
        <is>
          <t>Eating a plant is helping my Gerd</t>
        </is>
      </c>
      <c r="C4189" t="inlineStr">
        <is>
          <t>24 year old female here. I was diagnosed with acid reflux back in August. Doctor prescribed me 20 MG of omeprazole once before bed. I took the medications and saw no improvement. Symptoms were burning throat and in Nov I began to feel a burning sensation on my tongue as well. Nothing seemed to help.  its been a month since I’ve stopped the meds. I also stopped using regular toothpaste. (I now use one for sensitive teeth. This has helped with my burning mouth syndrome).  With these small changes and changing my diet (eating healthier and avoiding trigger foods) I have found some comfort. What I noticed help was a home remedy I began. I don’t know if this is for everyone im no doctor. 
What I do is, eat a piece of Aloe Vera  twice a day. Once in the morning and at night before going to sleep. Both times I swallow a piece and just drink a glass of water to help it go down. 
This has helped so so much. Burning hasn’t completely gone away but pain is a lot tolerable. I also see not having to take medications the rest of my life as a plus. Hope this helps!</t>
        </is>
      </c>
      <c r="D4189" t="n">
        <v>1</v>
      </c>
      <c r="E4189" t="n">
        <v>18</v>
      </c>
      <c r="F4189">
        <f>HYPERLINK("https://www.reddit.com/r/GERD/comments/ed2fo3/eating_a_plant_is_helping_my_gerd/")</f>
        <v/>
      </c>
      <c r="G4189" t="inlineStr">
        <is>
          <t>2019-12-19 16:47:40</t>
        </is>
      </c>
      <c r="H4189" t="inlineStr"/>
    </row>
    <row r="4190">
      <c r="A4190" t="inlineStr">
        <is>
          <t>ed2ohb</t>
        </is>
      </c>
      <c r="B4190" t="inlineStr">
        <is>
          <t>Any of you guys have POIS? or problems with ejaculation?</t>
        </is>
      </c>
      <c r="C4190" t="inlineStr">
        <is>
          <t>I have diagnosed myself with POIS(Post orgasmic illness syndrome) , but I have many symptoms of gerd undiagnosed however. Just wondering if you guys get symptomatic after ejaculation? I imagine that I do because of low zinc from possible gerd, and each time I ejaculate I am giving up too much zinc that my body needs.</t>
        </is>
      </c>
      <c r="D4190" t="n">
        <v>1</v>
      </c>
      <c r="E4190" t="n">
        <v>0</v>
      </c>
      <c r="F4190">
        <f>HYPERLINK("https://www.reddit.com/r/GERD/comments/ed2ohb/any_of_you_guys_have_pois_or_problems_with/")</f>
        <v/>
      </c>
      <c r="G4190" t="inlineStr">
        <is>
          <t>2019-12-19 17:08:07</t>
        </is>
      </c>
      <c r="H4190" t="inlineStr"/>
    </row>
    <row r="4191">
      <c r="A4191" t="inlineStr">
        <is>
          <t>ed2w6y</t>
        </is>
      </c>
      <c r="B4191" t="inlineStr">
        <is>
          <t>HELP: Ranitidine Alternative</t>
        </is>
      </c>
      <c r="C4191" t="inlineStr">
        <is>
          <t>I have been throwing up every day since they took Ranitidine off the market. I've tried Famotidine, sodium bicarbonate, baking soda and water, and of course Tums...nothing works. I've changed my diet and that's not working. I only eat lunch because it takes about 5-6 hours before I get sick, so if I did eat dinner I'd be up all night. The pharmacist said I can get Ranitidine through prescription but I don't have insurance. Does anyone have an alternative that works?</t>
        </is>
      </c>
      <c r="D4191" t="n">
        <v>1</v>
      </c>
      <c r="E4191" t="n">
        <v>13</v>
      </c>
      <c r="F4191">
        <f>HYPERLINK("https://www.reddit.com/r/GERD/comments/ed2w6y/help_ranitidine_alternative/")</f>
        <v/>
      </c>
      <c r="G4191" t="inlineStr">
        <is>
          <t>2019-12-19 17:25:54</t>
        </is>
      </c>
      <c r="H4191" t="inlineStr"/>
    </row>
    <row r="4192">
      <c r="A4192" t="inlineStr">
        <is>
          <t>ed40ne</t>
        </is>
      </c>
      <c r="B4192" t="inlineStr">
        <is>
          <t>Help! 4 days of nonstop chest pain and 2+ weeks of indigestion symptoms</t>
        </is>
      </c>
      <c r="C4192" t="inlineStr">
        <is>
          <t>Hi all,
27yo female. I have sadly been dealing with a whole gamut of bodily pains in the last 5 weeks that have most recently culminated in acid reflux and GERD symptoms. I went to the ER with chest pains and the lump feeling and was diagnosed with GERD.
I am so discouraged because I have cut out a lot of what I thought was causing it— coffee, alcohol, sugar, really anything fattening— and it doesn’t seem to get any better at ALL. It’s now at the point where the lump feeling isn’t there but I literally have constant pain and burning in my chest (especially the upper left) and esophagus. Does this sound about right? 
I thought it was heart related before and I have gotten several EKGs (my last one was 2.5 weeks ago) and an echo back in November; blood work all normal. 
I am even more frustrated because I’m in the middle of a move and was given bad info from healthcare.gov rep— thought I could get health care by January 1 and apparently that was wrong and cannot get it until Feb 1. I just feel like I need treatment NOW. I’m sure you all know how much pain and stress not feeling properly treated or diagnosed can feel.
Does anybody have ANY recommendations? I’m desperate. I’ve read that other people have suffered from reflux and pain with even a sip of water. Mine literally never seems to go away. It sometimes feels better than other times. It’s just so easy to worry it’s something worse than GERD, like an ulcer, or fear that the heart tests missed something. I really need some guidance on the blandest diet possible for a few days. Should I completely eliminate food for a few and see if that helps?
Welcoming any and all diet and treatment advice. Thank you.</t>
        </is>
      </c>
      <c r="D4192" t="n">
        <v>1</v>
      </c>
      <c r="E4192" t="n">
        <v>7</v>
      </c>
      <c r="F4192">
        <f>HYPERLINK("https://www.reddit.com/r/GERD/comments/ed40ne/help_4_days_of_nonstop_chest_pain_and_2_weeks_of/")</f>
        <v/>
      </c>
      <c r="G4192" t="inlineStr">
        <is>
          <t>2019-12-19 18:58:48</t>
        </is>
      </c>
      <c r="H4192" t="inlineStr"/>
    </row>
    <row r="4193">
      <c r="A4193" t="inlineStr">
        <is>
          <t>ed498u</t>
        </is>
      </c>
      <c r="B4193" t="inlineStr">
        <is>
          <t>Any suggestions on eating out ?</t>
        </is>
      </c>
      <c r="C4193" t="inlineStr">
        <is>
          <t>Hey guys I'm 19 year old male been suffering with gerd for about a year now and I've only been eating chicken and rice for the past couple months which help, but I still have reflux. I was wondering if you guys know any big food chains that sell food we can eat with gerd?</t>
        </is>
      </c>
      <c r="D4193" t="n">
        <v>1</v>
      </c>
      <c r="E4193" t="n">
        <v>7</v>
      </c>
      <c r="F4193">
        <f>HYPERLINK("https://www.reddit.com/r/GERD/comments/ed498u/any_suggestions_on_eating_out/")</f>
        <v/>
      </c>
      <c r="G4193" t="inlineStr">
        <is>
          <t>2019-12-19 19:19:23</t>
        </is>
      </c>
      <c r="H4193" t="inlineStr"/>
    </row>
    <row r="4194">
      <c r="A4194" t="inlineStr">
        <is>
          <t>ed4apk</t>
        </is>
      </c>
      <c r="B4194" t="inlineStr">
        <is>
          <t>Question: GERD medicine and having stomach acid</t>
        </is>
      </c>
      <c r="C4194" t="inlineStr">
        <is>
          <t>If most GERD meds significantly reduce or eliminate stomach acid how are you supposed to digest anything? My doctor suspects I have GERD and prescribed me famotidine. I am going to start it soon and wondering how I will be able to digest food with limited stomach acids. 
This has been a sucky journey already starting with a ton of heart palpitations that have subsided and turned into what I believe is crappy GERD.</t>
        </is>
      </c>
      <c r="D4194" t="n">
        <v>1</v>
      </c>
      <c r="E4194" t="n">
        <v>5</v>
      </c>
      <c r="F4194">
        <f>HYPERLINK("https://www.reddit.com/r/GERD/comments/ed4apk/question_gerd_medicine_and_having_stomach_acid/")</f>
        <v/>
      </c>
      <c r="G4194" t="inlineStr">
        <is>
          <t>2019-12-19 19:22:48</t>
        </is>
      </c>
      <c r="H4194" t="inlineStr"/>
    </row>
    <row r="4195">
      <c r="A4195" t="inlineStr">
        <is>
          <t>ed4btq</t>
        </is>
      </c>
      <c r="B4195" t="inlineStr">
        <is>
          <t>Just a rant.</t>
        </is>
      </c>
      <c r="C4195" t="inlineStr">
        <is>
          <t>I exercise daily. Drink 2-3L of water a day. Eat healthy and try to avoid all the GERD triggers. I haven't had a drink in a decade. I have never smoked. I don't eat chocolate. I'm off caffeine. 
And yet, I am still having a horrible reaction from a healthy dinner, trouble swallowing, globus sensation, shortness of breath, some IBS crap going on (literally), sore throats, bad breath, choking when I sleep. 
Doctor put me on pantaprazole. Here we go again!
Thankfully he'd sending me to a gastro, but when I went last time it was pretty much "You have GERD. Sorry about that!" 
Feeling irritated and disillusioned. 
It's so hard to be patient with your body when you try to do everything right.</t>
        </is>
      </c>
      <c r="D4195" t="n">
        <v>1</v>
      </c>
      <c r="E4195" t="n">
        <v>43</v>
      </c>
      <c r="F4195">
        <f>HYPERLINK("https://www.reddit.com/r/GERD/comments/ed4btq/just_a_rant/")</f>
        <v/>
      </c>
      <c r="G4195" t="inlineStr">
        <is>
          <t>2019-12-19 19:25:28</t>
        </is>
      </c>
      <c r="H4195" t="inlineStr"/>
    </row>
    <row r="4196">
      <c r="A4196" t="inlineStr">
        <is>
          <t>ed4ikw</t>
        </is>
      </c>
      <c r="B4196" t="inlineStr">
        <is>
          <t>Anyone here done a Bravo ph test? Some questions...</t>
        </is>
      </c>
      <c r="C4196" t="inlineStr">
        <is>
          <t>I got it put in today and there is intermittent sharp pain under my right breast area, especially when I swallow and food passes through the esophagus. I'm guessing that's where it is.
I already messaged my doctor about this. I was told to eat normally, but it's hard when it hurts like that.</t>
        </is>
      </c>
      <c r="D4196" t="n">
        <v>1</v>
      </c>
      <c r="E4196" t="n">
        <v>7</v>
      </c>
      <c r="F4196">
        <f>HYPERLINK("https://www.reddit.com/r/GERD/comments/ed4ikw/anyone_here_done_a_bravo_ph_test_some_questions/")</f>
        <v/>
      </c>
      <c r="G4196" t="inlineStr">
        <is>
          <t>2019-12-19 19:41:37</t>
        </is>
      </c>
      <c r="H4196" t="inlineStr"/>
    </row>
    <row r="4197">
      <c r="A4197" t="inlineStr">
        <is>
          <t>ed519y</t>
        </is>
      </c>
      <c r="B4197" t="inlineStr">
        <is>
          <t>apparently potato salad is a gerd food :(</t>
        </is>
      </c>
      <c r="C4197" t="inlineStr">
        <is>
          <t>i had some potato salad for LUNCH, many hours later I go to sleep....I get the mind racing...insomnia...body aching...i sit up....sure enough, im burping up potato salad flavor, even though i had my safe dinner (rice and lentils) 
what is this life? i cant even have potato salad?
:(
i just need to get super strict cos honestly i rather eat pure bland boring food than feel this way :(</t>
        </is>
      </c>
      <c r="D4197" t="n">
        <v>1</v>
      </c>
      <c r="E4197" t="n">
        <v>6</v>
      </c>
      <c r="F4197">
        <f>HYPERLINK("https://www.reddit.com/r/GERD/comments/ed519y/apparently_potato_salad_is_a_gerd_food/")</f>
        <v/>
      </c>
      <c r="G4197" t="inlineStr">
        <is>
          <t>2019-12-19 20:28:13</t>
        </is>
      </c>
      <c r="H4197" t="inlineStr"/>
    </row>
    <row r="4198">
      <c r="A4198" t="inlineStr">
        <is>
          <t>ed6qe5</t>
        </is>
      </c>
      <c r="B4198" t="inlineStr">
        <is>
          <t>Up literally all night with nausea</t>
        </is>
      </c>
      <c r="C4198" t="inlineStr">
        <is>
          <t>I recently started getting awful reflux. At first I didn’t realize it was reflux and thought I was getting a stomach virus often due to working with kids. But after 8-10 times in less than 6 months I realized it was something else. My major issue is that it keeps me up literally all night. It’s the worst nausea I’ve ever had, and nothing helps. I went to the doctor and she confirmed my suspicions but basically told me there’s no point in prescribing me an anti nausea because I need to figure out what’s causing it rather than treating the nausea. I’ve been trying to eliminate things, but it’s not a perfect system because I’m currently dealing with the debilitating nausea right now. 
Sometimes I throw up, sometimes I don’t. Sometimes I fee like I need to, but can’t. If I try to make myself I just dry heave a lot and it feels like I have something stuck in my chest. I’ll have a bad taste in my mouth all night and can’t stop burping. If I get close to falling asleep, any movement will wake me back up and the nausea is back up to a 10. 
Like I said, I can’t find anything that will make this nausea go away and let me sleep and my doctor wasn’t any help.  Any advice/ideas is much appreciated!</t>
        </is>
      </c>
      <c r="D4198" t="n">
        <v>1</v>
      </c>
      <c r="E4198" t="n">
        <v>7</v>
      </c>
      <c r="F4198">
        <f>HYPERLINK("https://www.reddit.com/r/GERD/comments/ed6qe5/up_literally_all_night_with_nausea/")</f>
        <v/>
      </c>
      <c r="G4198" t="inlineStr">
        <is>
          <t>2019-12-19 23:12:21</t>
        </is>
      </c>
      <c r="H4198" t="inlineStr"/>
    </row>
    <row r="4199">
      <c r="A4199" t="inlineStr">
        <is>
          <t>ed6x56</t>
        </is>
      </c>
      <c r="B4199" t="inlineStr">
        <is>
          <t>Retro-sternal pressure/lump in throat... plus, to nissen or not to nissen? That is the question</t>
        </is>
      </c>
      <c r="C4199" t="inlineStr">
        <is>
          <t>Ok so I know a symptom of LPR is a lump in throat sensation, but I have this feeling of pressure right at the base of the oesophagus and this feeling of pressure in my throat, like it’s closed up and swollen (not sore or scratchy or anything). I’ve had a manometry/24 hr pH test and it confirmed I have moderate GERD (manometry was all normal). 
Anyone else have this feeling? 
Second thing - I’ve seen two surgeons - one who looked at my gastroscopy images and said ‘hiatal hernia, slight laxity of LES,’ and offered me Nissen or Linx. The other just did a scope and found no hernia but noted ‘mild crural defect’ on the bit that connects stomach to duodenum (whatever that means - sorry for lack of technical terms, I don’t really know what I’m talking about.) I haven’t had my follow-up appointment with the second guy yet but he basically said beforehand that if he couldn’t find a mechanical problem such as a hernia or laxity of the LES, he wouldn’t do surgery because it won’t be of any help. 
But surely if I’m suffering from reflux, a nissen would stop that? What gives? 
I don’t know who to listen to, they’re both qualified, knowledgable individuals... so here I am reaching out to the internet for some kind of reassurance or advice. 
Any input on either of the above questions would be appreciated!</t>
        </is>
      </c>
      <c r="D4199" t="n">
        <v>1</v>
      </c>
      <c r="E4199" t="n">
        <v>1</v>
      </c>
      <c r="F4199">
        <f>HYPERLINK("https://www.reddit.com/r/GERD/comments/ed6x56/retrosternal_pressurelump_in_throat_plus_to/")</f>
        <v/>
      </c>
      <c r="G4199" t="inlineStr">
        <is>
          <t>2019-12-19 23:32:46</t>
        </is>
      </c>
      <c r="H4199" t="inlineStr"/>
    </row>
    <row r="4200">
      <c r="A4200" t="inlineStr">
        <is>
          <t>ed72mm</t>
        </is>
      </c>
      <c r="B4200" t="inlineStr">
        <is>
          <t>Can GERD be caused by spinal/nervous system problems?</t>
        </is>
      </c>
      <c r="C4200" t="inlineStr">
        <is>
          <t>A bit of exposition/context for my question:
In high school, I suffered fairly badly from GERD. My diet was poor and for a skinny guy I was not in the shape I'd have liked. But I was also under an intolerable amount of stress and constant computer work/tech addiction had me at tech neck to such a degree that I had horrible headaches/backaches/shoulderaches and spasming sometimes in my muscles. A problem developed in which I couldn't swallow solid food (it began as esophageal spasming) and I had to drink Ensure for months to keep going. I *never* associated these two problems with one another. An endoscopy showed dysmotility but not much else, and the pill prescribed didn't help much. I went to the chiropractor to treat the back/neck issues. Shortly thereafter, the swallowing issue resolved. I didn't think these might be connected until years later.
Cut to now. Now life-ruining back/neck/shoulder pain, but a job that keeps me at a computer a lot of the time. And on the phone. Tech neck is definite possibility, though never as badly as back then. I'm having the worst GERD of my life, possibly with LPR thrown in (my doctor thought I had asthma, which I've never been diagnosed with before). My throat hurts on waking up. My voice is gravelly. I have pain in my abdomen sometimes after eating. And--less so now, but definitely a lot in the beginning--I had spasms that were triggered whenever there was slight pressure on my abdomen and sometimes after eating. 
Is there any chance these GERD/LPR problems are connected to spinal issues or nervous system issues, and what might the possibilities be? I've been to several doctors but they usual wave it off. They tell me not to lose weight because I'm already thin (though I *feel* a bit out of shape) and kind of wave it off--go for a walk in the sunshine, read a self-help book, etc, etc. and have put me on 20mg omeprazole once daily for the last two years. I'm just worried about the damage I'm doing to my esophagus by letting it continue this way.</t>
        </is>
      </c>
      <c r="D4200" t="n">
        <v>1</v>
      </c>
      <c r="E4200" t="n">
        <v>8</v>
      </c>
      <c r="F4200">
        <f>HYPERLINK("https://www.reddit.com/r/GERD/comments/ed72mm/can_gerd_be_caused_by_spinalnervous_system/")</f>
        <v/>
      </c>
      <c r="G4200" t="inlineStr">
        <is>
          <t>2019-12-19 23:49:59</t>
        </is>
      </c>
      <c r="H4200" t="inlineStr"/>
    </row>
    <row r="4201">
      <c r="A4201" t="inlineStr">
        <is>
          <t>eda2qq</t>
        </is>
      </c>
      <c r="B4201" t="inlineStr">
        <is>
          <t>Can GERD or esophagus issues make you dizzy?</t>
        </is>
      </c>
      <c r="C4201" t="inlineStr">
        <is>
          <t>I know this is crazy, but I've been having esophageal spasms lately (I think) and when I just have one I feel very light-headed and dizzy the majority of the day.
I go to the GI in 2 weeks but was curious if anyone else has had these issues. I've had tons of different heart tests and my heart is fairly normal (outside a slight irregular heartbeat).</t>
        </is>
      </c>
      <c r="D4201" t="n">
        <v>1</v>
      </c>
      <c r="E4201" t="n">
        <v>13</v>
      </c>
      <c r="F4201">
        <f>HYPERLINK("https://www.reddit.com/r/GERD/comments/eda2qq/can_gerd_or_esophagus_issues_make_you_dizzy/")</f>
        <v/>
      </c>
      <c r="G4201" t="inlineStr">
        <is>
          <t>2019-12-20 05:16:36</t>
        </is>
      </c>
      <c r="H4201" t="inlineStr"/>
    </row>
    <row r="4202">
      <c r="A4202" t="inlineStr">
        <is>
          <t>edagxn</t>
        </is>
      </c>
      <c r="B4202" t="inlineStr">
        <is>
          <t>LINX VS TIF VS STRETTA, pls help suggest Canadian or Indian surgeon</t>
        </is>
      </c>
      <c r="C4202" t="inlineStr">
        <is>
          <t>Hi Friends,
I have been to India trip coincidentally after referred pantoprazole in Canada. Indian doctor diagnosed lex les and hiatus hernia to me.
Doctor prescribed me kinepride and rebbex as well as some b12 injections.I have some questions here, please answer them if possible by number wise. I was taking pantoprazole in canada. I do not want to continue medication because when i dont take medication, i still feel bitter taste in mouth all day and sometimes i eat once a day. I doubt that it is due to yoga breathing exercise which i recently started called as kapalbhati, could be cause of the issue. I stopped it now but it has already done big damage.
1) Please let me know if it is easily possible to shift this condition to original or surgery is only option?
2) In surgery which options are good e.g. linx or tif or nissen fundoplication or STRETTA ?
Thanks</t>
        </is>
      </c>
      <c r="D4202" t="n">
        <v>1</v>
      </c>
      <c r="E4202" t="n">
        <v>9</v>
      </c>
      <c r="F4202">
        <f>HYPERLINK("https://www.reddit.com/r/GERD/comments/edagxn/linx_vs_tif_vs_stretta_pls_help_suggest_canadian/")</f>
        <v/>
      </c>
      <c r="G4202" t="inlineStr">
        <is>
          <t>2019-12-20 05:53:00</t>
        </is>
      </c>
      <c r="H4202" t="inlineStr"/>
    </row>
    <row r="4203">
      <c r="A4203" t="inlineStr">
        <is>
          <t>edbxws</t>
        </is>
      </c>
      <c r="B4203" t="inlineStr">
        <is>
          <t>Winter is making my LPR worse (Rant/Vent)</t>
        </is>
      </c>
      <c r="C4203" t="inlineStr">
        <is>
          <t>A coworker got me sick and now after being so patient my throat is fucked again. Super sensitive!!! I can still swallow with minimum pain but it’s like a super itchy feeling and it’s really swollen now. I had some tea with manuka honey and a banana for bfast. I might use a steamer/boil some water to see if that helps. 
I’m kinda worried abt taking cough medicine BC it’s kind of a trigger.
Anyone else going through this bs????</t>
        </is>
      </c>
      <c r="D4203" t="n">
        <v>1</v>
      </c>
      <c r="E4203" t="n">
        <v>3</v>
      </c>
      <c r="F4203">
        <f>HYPERLINK("https://www.reddit.com/r/GERD/comments/edbxws/winter_is_making_my_lpr_worse_rantvent/")</f>
        <v/>
      </c>
      <c r="G4203" t="inlineStr">
        <is>
          <t>2019-12-20 07:54:38</t>
        </is>
      </c>
      <c r="H4203" t="inlineStr"/>
    </row>
    <row r="4204">
      <c r="A4204" t="inlineStr">
        <is>
          <t>edcj3w</t>
        </is>
      </c>
      <c r="B4204" t="inlineStr">
        <is>
          <t>Seeking Advice on Doctors</t>
        </is>
      </c>
      <c r="C4204" t="inlineStr">
        <is>
          <t>What are your experiences with Gastroenterologists? I have been dealing with chronic gas/belching for almost 6 months now and am now experiencing reflux nearly every day the last week despite adhering strictly to a pretty damn clean diet for about 4-3 of those months and some new supplement regimens. (L- Glutamine, DGL, Aloe, Slippery Elm).  
I do not want to take a PPI. I took antacids for years whenever I'd feel bloated before things became chronic. Every doctor is different obviously but in your experience, do conventional GI doctors really push PPIs as much I assume/fear they would? Or is that perhaps more a GP kindof thing? 
I want to solve my issue. Not mask my symptoms by removing the acid from my stomach with pharmaceuticals. I have a good idea of what could be happening how I want to approach treatment accordingly (plant based medicine, supplements, lifestyle, diet).
I just need to have tests done to narrow down what the real problems are. Mainly I need to have an endoscopy to check on my esophagus to make sure it's not too damaged from the reflux i've had and am having. I'm taking measures to minimize the reflux and neutralize it when It happens. 
I've scheduled an appointment with a GI doc who's credentials I like BUT it's way too far in the future. like 3 months from now is the soonest I can be seen by them failing a cancellation before then. I need to solve this sooner than that. So I am looking at other doctors in the mean time.
What is the likely hood that a conventional gastroenterologist would know anything about using plant based medicine, supplementation, etc. to treat whatever the underlying condition may be? 
For example, if it turns out i can get a test for bacterial overgrowth or infection done (SIBO, Candida, H. Pylori, etc.) and I test positive for one... I don't want to use antibiotics unless I ABSOLUTELY have to. I'd rather go for botanical anti microbial treatments..
So Long story short, my question is this: If I go to a Gastroenterologist are they just going to run the basic test and then tell me to take a PPI or Antacid? 
Honestly I should go to get the Endoscopy done soon either way to rule out major damage to the Esophagus. But beyond that how much help might the doctor be to me in solving things with a more integrated approach? Share your experiences. 
I've already seen a GP about this several months ago around when this started. They were very unhelpful. Wrote me a prescription for Zantac and told me to make some diet and lifestyle changes. Good advice sans the Zantac but I had already gotten that advice from the first page on Google. Needless to say I not easily trusting of GP's after that. Wondering if I should be as wary of a GI specialist.
TLDR: Have Gastroenterologist's recommended you take PPI's forever and go about your life? Have any actually tried to find the underlying cause of your GERD?</t>
        </is>
      </c>
      <c r="D4204" t="n">
        <v>1</v>
      </c>
      <c r="E4204" t="n">
        <v>7</v>
      </c>
      <c r="F4204">
        <f>HYPERLINK("https://www.reddit.com/r/GERD/comments/edcj3w/seeking_advice_on_doctors/")</f>
        <v/>
      </c>
      <c r="G4204" t="inlineStr">
        <is>
          <t>2019-12-20 08:39:17</t>
        </is>
      </c>
      <c r="H4204" t="inlineStr"/>
    </row>
    <row r="4205">
      <c r="A4205" t="inlineStr">
        <is>
          <t>eddcah</t>
        </is>
      </c>
      <c r="B4205" t="inlineStr">
        <is>
          <t>What adverse symptoms do you have when stopping PPIs?</t>
        </is>
      </c>
      <c r="C4205" t="inlineStr">
        <is>
          <t>Hey,
So to clarify I don't have gerd. I was proscribed dexilant 30mg when I started having some troubles with chronic nausea.
Post endoscopy I don't have any signs of an ulcer/gastritis or anything that should be causing nausea.
I cut out gluten and most of the nausea and diarrhea went away.
I then stopped taking my ppi and felt fine for a couple of days.
Now on my third day I have no appetite, nausea, a burning stomach and I feel lightheaded and jittery.
Is this normal when stopping a ppi? How long can I expect this to last and how can I manage the symptoms?
Thanks.</t>
        </is>
      </c>
      <c r="D4205" t="n">
        <v>1</v>
      </c>
      <c r="E4205" t="n">
        <v>4</v>
      </c>
      <c r="F4205">
        <f>HYPERLINK("https://www.reddit.com/r/GERD/comments/eddcah/what_adverse_symptoms_do_you_have_when_stopping/")</f>
        <v/>
      </c>
      <c r="G4205" t="inlineStr">
        <is>
          <t>2019-12-20 09:41:01</t>
        </is>
      </c>
      <c r="H4205" t="inlineStr"/>
    </row>
    <row r="4206">
      <c r="A4206" t="inlineStr">
        <is>
          <t>ede6o2</t>
        </is>
      </c>
      <c r="B4206" t="inlineStr">
        <is>
          <t>Could gum have caused this?</t>
        </is>
      </c>
      <c r="C4206" t="inlineStr">
        <is>
          <t>Hi all!  I was a nonstop gum chewer for years.  Every day I would chew every piece within a whole pack of gum.  Thats at least a dozen pieces or more a day, with one in my mouth at all times.  In Summer, I stopped chewing gum and then immediately developed GERD that has not gotten better at all with any treatment or dieting.  I wonder if all of that constant chewing tricked my LES into staying open at all times and maybe the constant swallowing while chewing gum was neutralizing my stomach acids?  Does anyone thinks this is a viable hypothesis?</t>
        </is>
      </c>
      <c r="D4206" t="n">
        <v>1</v>
      </c>
      <c r="E4206" t="n">
        <v>3</v>
      </c>
      <c r="F4206">
        <f>HYPERLINK("https://www.reddit.com/r/GERD/comments/ede6o2/could_gum_have_caused_this/")</f>
        <v/>
      </c>
      <c r="G4206" t="inlineStr">
        <is>
          <t>2019-12-20 10:45:39</t>
        </is>
      </c>
      <c r="H4206" t="inlineStr"/>
    </row>
    <row r="4207">
      <c r="A4207" t="inlineStr">
        <is>
          <t>edenq3</t>
        </is>
      </c>
      <c r="B4207" t="inlineStr">
        <is>
          <t>Sudden onset symptoms?</t>
        </is>
      </c>
      <c r="C4207" t="inlineStr">
        <is>
          <t>Hey all — I’m a 36 year old female, slightly overweight (but boy is this throat crap helping with that :P) and had a sudden onset of not being able to swallow anything more than broth the Monday before thanksgiving. Like, literally overnight it happened. I have never had heartburn in my life, at least never felt it, but this last month has been an absolute banner one in regards to stress and severe anxiety (and a monster sinus infection). 
Two doctors have both said this is likely GERD, but I need an endo to rule it out (which is scheduled for January 3rd, since I needed to wait for insurance to kick in). Right now they have me on 40mg of omeprazole once a day, and I’m not sure if it’s really doing much good — to be honest, the tightness in my throat feels WORSE since I’ve been taking these meds (almost two weeks now), and I’ve had this odd crackle sound that comes out occasionally, as well as a ... clicking? that comes from the same spot while walking. It’s an odd thing :P. It’s also new since taking these meds. 
Basically, I’m just wondering if this is something that can go from 0-60 in the span of less than 12 hrs.  I ate dinner at about 630pm, which was a bit of something spicy (and I’ve NEVER had a problem with spicy foods), and by my 1am bedtime, I pretty much couldn’t swallow. Breathing is absolutely fine, however.  
Symptoms are: difficulty swallowing, globus sensation at both the top (by my tonsils) and bottom of my throat (directly under my tracheal cartilage), “crackling” in my throat, and weight loss due to how much of a pain in the ass it is to eat. I also have post nasal drip, but I’m still working on clearing out this damn sinus infection (was on antibiotics for that for a bit, too). Breathing is not a problem, nor are there voice changes. I do have an endo scheduled, so there’s no “official” diagnoses yet, just speculation, and cancer/growths have NOT been ruled out yet, but I’m told unlikely due to my age (under 50), sex (f),  race (white), and lifestyle (don’t drink alcohol, don’t smoke). I’m just trying to get input because this waiting crap is annoying, and my patience is starting to wear thin :P
Thank you!</t>
        </is>
      </c>
      <c r="D4207" t="n">
        <v>1</v>
      </c>
      <c r="E4207" t="n">
        <v>7</v>
      </c>
      <c r="F4207">
        <f>HYPERLINK("https://www.reddit.com/r/GERD/comments/edenq3/sudden_onset_symptoms/")</f>
        <v/>
      </c>
      <c r="G4207" t="inlineStr">
        <is>
          <t>2019-12-20 11:20:49</t>
        </is>
      </c>
      <c r="H4207" t="inlineStr"/>
    </row>
    <row r="4208">
      <c r="A4208" t="inlineStr">
        <is>
          <t>edfpgn</t>
        </is>
      </c>
      <c r="B4208" t="inlineStr">
        <is>
          <t>How often should we get scoped?</t>
        </is>
      </c>
      <c r="C4208" t="inlineStr">
        <is>
          <t>I had my first scope done in 2004 I was young when I got gerd, was clear. Than in early of 2006 I asked for one and I had erosion  followed by two more scopes one in 2006 showed it healed. Than one in 2009 so I had 4 and was fed with getting them. The last one they said really didn’t even show reflux. I had got better, lately it’s back and could be stress or something I’m a hypochondriac though. Convinced myself the worst it’s been so many years I had one and I don’t have one scheduled and it’s the holidays. 
For us that have gerd I can’t find any information that says how often people with gerd should have one.
Some just say if your 50 obese white have symptoms of gerd I can’t find anything on how often.
I’m 40 now had this 18 years on poi’s the whole time o do not drink or smoke I eat bland I’m fit</t>
        </is>
      </c>
      <c r="D4208" t="n">
        <v>1</v>
      </c>
      <c r="E4208" t="n">
        <v>7</v>
      </c>
      <c r="F4208">
        <f>HYPERLINK("https://www.reddit.com/r/GERD/comments/edfpgn/how_often_should_we_get_scoped/")</f>
        <v/>
      </c>
      <c r="G4208" t="inlineStr">
        <is>
          <t>2019-12-20 12:39:12</t>
        </is>
      </c>
      <c r="H4208" t="inlineStr"/>
    </row>
    <row r="4209">
      <c r="A4209" t="inlineStr">
        <is>
          <t>edhc7o</t>
        </is>
      </c>
      <c r="B4209" t="inlineStr">
        <is>
          <t>Strange simptoms</t>
        </is>
      </c>
      <c r="C4209" t="inlineStr">
        <is>
          <t>When I eat something, approximately in two second I feel heat or burn over my entire body,my brain go dizzy</t>
        </is>
      </c>
      <c r="D4209" t="n">
        <v>1</v>
      </c>
      <c r="E4209" t="n">
        <v>6</v>
      </c>
      <c r="F4209">
        <f>HYPERLINK("https://www.reddit.com/r/GERD/comments/edhc7o/strange_simptoms/")</f>
        <v/>
      </c>
      <c r="G4209" t="inlineStr">
        <is>
          <t>2019-12-20 14:45:31</t>
        </is>
      </c>
      <c r="H4209" t="inlineStr"/>
    </row>
    <row r="4210">
      <c r="A4210" t="inlineStr">
        <is>
          <t>edhqtx</t>
        </is>
      </c>
      <c r="B4210" t="inlineStr">
        <is>
          <t>PH test with high acid exposure at night, doc says surgery is only option. Anyone in same situation ?</t>
        </is>
      </c>
      <c r="C4210" t="inlineStr">
        <is>
          <t>Finished manometry and PH test. Manometry was mostly ok with some motility issues. However PH test showed up that I had reflux at night and acid even staying in esophagus for 20 minutes at one point. Zero reflux during day and same on PH test results. 
Doctor suggested that surgery is my only option so I don’t damage my esophagus. I am 34 and really wanted to wait till I am a bit older to go for surgery and work it out with PPI. 
I was not taking my PPI for 7 days during PH test, has anyone done test with PPI to see if it improves ? Really need some opinions.</t>
        </is>
      </c>
      <c r="D4210" t="n">
        <v>1</v>
      </c>
      <c r="E4210" t="n">
        <v>7</v>
      </c>
      <c r="F4210">
        <f>HYPERLINK("https://www.reddit.com/r/GERD/comments/edhqtx/ph_test_with_high_acid_exposure_at_night_doc_says/")</f>
        <v/>
      </c>
      <c r="G4210" t="inlineStr">
        <is>
          <t>2019-12-20 15:18:11</t>
        </is>
      </c>
      <c r="H4210" t="inlineStr"/>
    </row>
    <row r="4211">
      <c r="A4211" t="inlineStr">
        <is>
          <t>ediauy</t>
        </is>
      </c>
      <c r="B4211" t="inlineStr">
        <is>
          <t>Sooo I drunk a beer / cola mix</t>
        </is>
      </c>
      <c r="C4211" t="inlineStr">
        <is>
          <t>And it helped!
My stomach was dancing samba for two days and I was like : fuck it! I want beer/ Cola mix (cold) and it was almost immediately gone...
Like, Wtf?
Why? How?</t>
        </is>
      </c>
      <c r="D4211" t="n">
        <v>1</v>
      </c>
      <c r="E4211" t="n">
        <v>6</v>
      </c>
      <c r="F4211">
        <f>HYPERLINK("https://www.reddit.com/r/GERD/comments/ediauy/sooo_i_drunk_a_beer_cola_mix/")</f>
        <v/>
      </c>
      <c r="G4211" t="inlineStr">
        <is>
          <t>2019-12-20 16:04:13</t>
        </is>
      </c>
      <c r="H4211" t="inlineStr"/>
    </row>
    <row r="4212">
      <c r="A4212" t="inlineStr">
        <is>
          <t>edjrth</t>
        </is>
      </c>
      <c r="B4212" t="inlineStr">
        <is>
          <t>What's the protocol for drinking water while eating? Should I drink water before, during, after?</t>
        </is>
      </c>
      <c r="C4212" t="inlineStr">
        <is>
          <t>I've heard rumors that drinking water before eating isn't the best and vice versa. 
What works best for you? Or do you think the order of drinking water and eating doesn't matter much? 
I'm counting to experiment with my body but wanted to hear your experiences. 
Thanks and happy gerdidays - I mean holidays :)</t>
        </is>
      </c>
      <c r="D4212" t="n">
        <v>1</v>
      </c>
      <c r="E4212" t="n">
        <v>9</v>
      </c>
      <c r="F4212">
        <f>HYPERLINK("https://www.reddit.com/r/GERD/comments/edjrth/whats_the_protocol_for_drinking_water_while/")</f>
        <v/>
      </c>
      <c r="G4212" t="inlineStr">
        <is>
          <t>2019-12-20 18:12:05</t>
        </is>
      </c>
      <c r="H4212" t="inlineStr"/>
    </row>
    <row r="4213">
      <c r="A4213" t="inlineStr">
        <is>
          <t>edk0vo</t>
        </is>
      </c>
      <c r="B4213" t="inlineStr">
        <is>
          <t>Gas reflux</t>
        </is>
      </c>
      <c r="C4213" t="inlineStr">
        <is>
          <t>Anyone feel their reflux is just in the form of gas?  My problems are burping that causes a lot of chest pain and throat pain. Just swallowing water causes me to burp so it’s making it really hard to avoid “triggers”. My symptoms are actually worse when standing up than lying down.  I’m on 40mg omeprazole but currently on a really bad flare up. 
Not sure what to do to settle things down and get back to normal.</t>
        </is>
      </c>
      <c r="D4213" t="n">
        <v>1</v>
      </c>
      <c r="E4213" t="n">
        <v>10</v>
      </c>
      <c r="F4213">
        <f>HYPERLINK("https://www.reddit.com/r/GERD/comments/edk0vo/gas_reflux/")</f>
        <v/>
      </c>
      <c r="G4213" t="inlineStr">
        <is>
          <t>2019-12-20 18:35:09</t>
        </is>
      </c>
      <c r="H4213" t="inlineStr"/>
    </row>
    <row r="4214">
      <c r="A4214" t="inlineStr">
        <is>
          <t>edk32p</t>
        </is>
      </c>
      <c r="B4214" t="inlineStr">
        <is>
          <t>Gerd? Or Gerd + something else?</t>
        </is>
      </c>
      <c r="C4214" t="inlineStr">
        <is>
          <t>Hi Everyone,
I was diagnosed in dec of 2016 with Gerd after a preventative colonoscopy/endoscopy. I have never really gotten what others would call typical "reflux" symptoms unless I eat something really acidic like marinara sauce. 
My symptoms instead are always burning / pressure / bloating stermum and pain on the side of my rib cage. They have looked at all organs and have done all types of scans (MRI, catscans, HIDA scans, esophageal mamometry, upper gi series, bravo capsule, endo, Colo, ultrasound) and the only diagnosis is Gerd. 
I have been on and off PPIs (currently on 20 mg nexium) since then and have developed all sorts of gi pains and issues since starting ppis that were not there before. These symptoms started as more sporstic and milder but have gotten way worse and more frequent. 
Symptoms
- Pain/pressure/burning in upper front right quadrant and upper back right quadrant
- Feel the need to make myself belch by patting my back like I am an infant. This sometimes helps to relieve that pressure (these belches feel very very deep and feel like they rumble in my intestines)
- intense burning in right shoulder blade
These symptoms are worse in the evening hut lately have been worse all of the time and I am starting to get a little nausea after eating. 
The only thing that seems to help is putting a heating pad on my upper right side. After about 10-15 minutes I usually hear a gurggling noise and the pressure subsides a little.  
Has anyone had similar symptoms? It feels like what some describe gallstones as but they told me after Mri, endoscopic ultrasound and hidsscsn that my gallbladder looks fine. 
Is this just a bad GERD flare up?</t>
        </is>
      </c>
      <c r="D4214" t="n">
        <v>1</v>
      </c>
      <c r="E4214" t="n">
        <v>4</v>
      </c>
      <c r="F4214">
        <f>HYPERLINK("https://www.reddit.com/r/GERD/comments/edk32p/gerd_or_gerd_something_else/")</f>
        <v/>
      </c>
      <c r="G4214" t="inlineStr">
        <is>
          <t>2019-12-20 18:40:42</t>
        </is>
      </c>
      <c r="H4214" t="inlineStr"/>
    </row>
    <row r="4215">
      <c r="A4215" t="inlineStr">
        <is>
          <t>edlvp3</t>
        </is>
      </c>
      <c r="B4215" t="inlineStr">
        <is>
          <t>What’s wrong with me?</t>
        </is>
      </c>
      <c r="C4215" t="inlineStr">
        <is>
          <t>I’m only 32 and have so many things wrong with me it’s hard not to get depressed thinking about the future. Looking for advise and insight from others to point me in the right direction as I go to visit my doctors soon.
Here’s my GI backstory. First off I am a lifelong (well since 10 years old) emetophobe (meaning severe fear of vomiting) which I have been in intense treatment for this past year with wondrous results thanks to medication and exposure therapy. Yes I fake vomit just about daily now. I believe that my fear and general anxiety has greatly impacted my GI system. 
I first started having trouble with my stomach in my teens- was an anxious student and noticed my stomach correlated with my nerves. It was the late nineties with web md just starting and I self diagnosed myself with IBS. Then in my early 20s I had a horrible lifestyle, like most, with insane amounts of coffee, bad diet, moderate alcohol consumption, and took Advil like candy. I developed my first ulcer and the pain was like nothing I’ve ever experienced. I took the diagnosis seriously and have never taken an Advil since and started taking better care of myself. Then in my late 20s I ramped up my love affair with coffee once again and would get terrible stomach pains like my ulcer pain and subsequently lay off for a few days, then switched to only tea (bad idea) and I think tea honestly made my stomach worse. My stress levels were through the roof and I began restricting food at first because I just felt so sick all the time I hardly had any appetite and my childhood emetophobia started creeping back in. I then developed gastritis and would wake up having panic attacks from dry heaving the moment I opened my eyes. I then suffered a mental breakdown due to all of my stress, anxiety, and panic attacks, and endured a year long severely restrictive eating disorder that completely wrecked what was left of my poor stomach. I finally found the right therapist and doctors and was put on mirtazapine which saved my life. I finally had an appetite again and gained 30 pounds overnight. I ate anything and everything totally freely. Then after a few months I developed acid reflux which my nutritionist said was completely normal for people recovering from an ED. It’s been about a year since then and I am lightyears away from that sick person. After starting the Prilosec my acid reflux completely stopped.
I am now on 20mg Prilosec (still) every morning, and take mirtazapine, gabapentin, and Paxil for my anxiety and panic disorder. Since I have health anxiety/ocd and emetophobia it’s sometimes hard for me to decipher what is ‘real’ and what is psychosomatic. My psychiatrist warned me when starting Paxil (started 2 months ago) that it could worsen acid reflux and that shot my anxiety through the roof because I had worked so hard to heal my stomach. 
So now moving forward the symptoms I notice I think are more geared towards LES/LPR. I have an incredibly strict vegetarian low acid diet with no caffeine, alcohol, chocolate, tomatoes, onions, garlic, lemon, or anything triggering. I also wonder if it has something to do with my vagus nerve as I cannot burp, but have ‘inside’ burps constantly. Way more gas on PPI. I never have stomach pain like I used to, but I will sometimes feel water refluxing up when I ‘burp’ if I drink too much water at once. The main symptom I get is a weird sensation in my throat, like not intense reflux like I used to- just a very mild sensation. My doctor said I could go up to 40mg omeprazole, which I’m not sure I need to- but I guess I’m just scared about the Paxil as I have to go up in dose and I’m afraid it’s going to make my reflux worse but it’s helping tremendously with my Panic disorder so I need to be on it. I was thinking of asking my doctor about Baclofen?</t>
        </is>
      </c>
      <c r="D4215" t="n">
        <v>1</v>
      </c>
      <c r="E4215" t="n">
        <v>0</v>
      </c>
      <c r="F4215">
        <f>HYPERLINK("https://www.reddit.com/r/GERD/comments/edlvp3/whats_wrong_with_me/")</f>
        <v/>
      </c>
      <c r="G4215" t="inlineStr">
        <is>
          <t>2019-12-20 21:28:34</t>
        </is>
      </c>
      <c r="H4215" t="inlineStr"/>
    </row>
    <row r="4216">
      <c r="A4216" t="inlineStr">
        <is>
          <t>edn3ks</t>
        </is>
      </c>
      <c r="B4216" t="inlineStr">
        <is>
          <t>Help me change my diet!</t>
        </is>
      </c>
      <c r="C4216" t="inlineStr">
        <is>
          <t>So I’m a young M who probably for the most part has acid reflux mostly when I eat poorly. I have plenty of days where I really don’t have any symptoms, and plenty where I do. After a recent bad episode however, I have decided that I want to to change my diet. First of all, I know I need to cut out coffee, which is a big trigger for me and at this point not worth it. Has anyone tried Yerba mate? A friend recommended it for me but I’m not sure if it will be any less acidic since it has plenty of caffeine. My next thing is obviously what and when I eat. I have noticed a big thing that causes acid reflux for me is if I wait a long time in between times I eat, and then eat big meals as well. I’m not sure how most of you do it, but I might want to change to a sort of 5 small meals a day thing, where I eat smaller meals more often. Do you guys have any recommendations for this type of eating schedule, and what kind of foods/meals would you recommend for this as well. I’d prefer to not just eat the most simple meals ever, since I usually have no problem with meat and am even pretty okay with spicy foods. I can’t eat eggs however, and I think cheese doesn’t go so well with me, however in small amounts like a slice on a cheeseburger is something I can manage.
Anyway, any advice is greatly appreciated!</t>
        </is>
      </c>
      <c r="D4216" t="n">
        <v>1</v>
      </c>
      <c r="E4216" t="n">
        <v>8</v>
      </c>
      <c r="F4216">
        <f>HYPERLINK("https://www.reddit.com/r/GERD/comments/edn3ks/help_me_change_my_diet/")</f>
        <v/>
      </c>
      <c r="G4216" t="inlineStr">
        <is>
          <t>2019-12-20 23:36:22</t>
        </is>
      </c>
      <c r="H4216" t="inlineStr"/>
    </row>
    <row r="4217">
      <c r="A4217" t="inlineStr">
        <is>
          <t>edp2nd</t>
        </is>
      </c>
      <c r="B4217" t="inlineStr">
        <is>
          <t>Suddenly developed Shortness of Breath and constant burping, triggered by one big meal - GERD related?</t>
        </is>
      </c>
      <c r="C4217" t="inlineStr">
        <is>
          <t>Hi all,
M / 26 / No history of notable issues with acid reflux
No clue if I have GERD but wanted your perspective.
Two nights ago, I had a huge meal over a span of a couple hours  - spaghetti bolognese, some fries, and then ice cream for dessert. Not the largest meal I’ve had but pretty substantial and naturally felt bloated.
An hour or so after, when I was lying in bed to go to bed i felt as if my throat was closing in on me and I freaked out. I felt like i couldn’t breath that well at all, so i kept on taking huge breaths. It wasn’t really helping. So i made myself vomited hoping clearing out my stomach of all the food would stop my bloated feeling and the shortness of breath. None of it really helped and eventually it was late enough I drifted to sleep.
Since then I’ve continued to experienced the shortness of breath feeling along with Yesterday it was worse since i couldn’t get over that feeling of the ball of wind in my throat. I’ve burped constantly, mainly involuntarily, and each burp provides a brief moment of relief. Otherwise I’m pretty cognizant of my shortness of breath. I don’t notice it if I’m in the zone/focused on something though. 
I visited an ER doctor and I’ve been prescribed Downporazol, which contains omprazole 40mg. Once a day.
I don’t really have any other GERD symptoms out of burping and shortness of breath. I do occasionally feel some tightness/pain in my chest though but briefly.
—
Any perspectives? I’ve never had any issues with bloatedness or shortness of breath or acid reflux so this is all new to me. And honestly FREAKING ME THE FUCK OUT. My health anxiety is NOT helping me.
A part of me wonders if my health anxiety gave me a panic attack the first night and now i just sort of ducked up my body as a result.
Anyways I appreciate the input, thank you so much.</t>
        </is>
      </c>
      <c r="D4217" t="n">
        <v>1</v>
      </c>
      <c r="E4217" t="n">
        <v>10</v>
      </c>
      <c r="F4217">
        <f>HYPERLINK("https://www.reddit.com/r/GERD/comments/edp2nd/suddenly_developed_shortness_of_breath_and/")</f>
        <v/>
      </c>
      <c r="G4217" t="inlineStr">
        <is>
          <t>2019-12-21 03:48:52</t>
        </is>
      </c>
      <c r="H4217" t="inlineStr"/>
    </row>
    <row r="4218">
      <c r="A4218" t="inlineStr">
        <is>
          <t>edpylr</t>
        </is>
      </c>
      <c r="B4218" t="inlineStr">
        <is>
          <t>Risks and issues after surgery</t>
        </is>
      </c>
      <c r="C4218" t="inlineStr">
        <is>
          <t>I would like to ask, what are the risks and issues related to GERD / LPR surgery? It would probably be Nissen. Are there any food and workout restrictions? I heard that people with Nissen are not able to vomit? Can I powerlift? Thanks.</t>
        </is>
      </c>
      <c r="D4218" t="n">
        <v>1</v>
      </c>
      <c r="E4218" t="n">
        <v>4</v>
      </c>
      <c r="F4218">
        <f>HYPERLINK("https://www.reddit.com/r/GERD/comments/edpylr/risks_and_issues_after_surgery/")</f>
        <v/>
      </c>
      <c r="G4218" t="inlineStr">
        <is>
          <t>2019-12-21 05:33:03</t>
        </is>
      </c>
      <c r="H4218" t="inlineStr"/>
    </row>
    <row r="4219">
      <c r="A4219" t="inlineStr">
        <is>
          <t>edqd9s</t>
        </is>
      </c>
      <c r="B4219" t="inlineStr">
        <is>
          <t>Barretts esophagus and PPIs</t>
        </is>
      </c>
      <c r="C4219" t="inlineStr">
        <is>
          <t>I was prescribed a PPI this summer after going to a gastroenterologist and then had a endoscopy done where they determined I had BE. H pylori test showed nothing. Before I started taking PPIs I weighed 172 pounds now I am down to 160 pounds in six months. I am a male in my 20s and stand 5 feet nine inches tall, FYI. 
I have completely changed my diet thanks to this sub and the books that have been recommended here and most days my symptoms are non existent thanks to my diet. But I continue to lose weight I should not be losing. I am planning on calling my gastroenterologist on Monday to talk to him about this but was wondering if anyone else here struggles with losing weight while on PPIs and what you've done to keep the weight on?
P.S. Thank you all for helping change my life.</t>
        </is>
      </c>
      <c r="D4219" t="n">
        <v>1</v>
      </c>
      <c r="E4219" t="n">
        <v>4</v>
      </c>
      <c r="F4219">
        <f>HYPERLINK("https://www.reddit.com/r/GERD/comments/edqd9s/barretts_esophagus_and_ppis/")</f>
        <v/>
      </c>
      <c r="G4219" t="inlineStr">
        <is>
          <t>2019-12-21 06:15:20</t>
        </is>
      </c>
      <c r="H4219" t="inlineStr"/>
    </row>
    <row r="4220">
      <c r="A4220" t="inlineStr">
        <is>
          <t>edqkjt</t>
        </is>
      </c>
      <c r="B4220" t="inlineStr">
        <is>
          <t>Anyone else have a "spot" ?</t>
        </is>
      </c>
      <c r="C4220" t="inlineStr">
        <is>
          <t>Mines under my bottom right rib. Went to the doctor and all that earlier this year. Biopsy was clear other than "chronic inflammation". Rest of esophageal and throat issues have cleared up over this year but still dealing with the same spot. Take a nightly Pepcid to keep it at bay but by mid day it's bothering me again. Sometimes you can even feel food almost scraping past it but I've never had anything get "stuck".</t>
        </is>
      </c>
      <c r="D4220" t="n">
        <v>1</v>
      </c>
      <c r="E4220" t="n">
        <v>5</v>
      </c>
      <c r="F4220">
        <f>HYPERLINK("https://www.reddit.com/r/GERD/comments/edqkjt/anyone_else_have_a_spot/")</f>
        <v/>
      </c>
      <c r="G4220" t="inlineStr">
        <is>
          <t>2019-12-21 06:35:21</t>
        </is>
      </c>
      <c r="H4220" t="inlineStr"/>
    </row>
    <row r="4221">
      <c r="A4221" t="inlineStr">
        <is>
          <t>edschq</t>
        </is>
      </c>
      <c r="B4221" t="inlineStr">
        <is>
          <t>Heart palpitations/ gerd?</t>
        </is>
      </c>
      <c r="C4221" t="inlineStr">
        <is>
          <t>So lately I’ve been experiencing heart palpitations while waking. Today I was woken up abruptly, got up to go do something then laid down I felt my heart kind of thudding. Then I started feeling all this tension and my stomach and chest was burning. I got up again my heart wasn’t racing, then it started racing and I began to dry heath. I keep trying to throw up but nothing comes out. My nausea subsided I sat on my bed for a little bit then it all went away.
I’ve had this before, went to the ER and they always tell me my heart is okay. I seriously don’t know what to do.</t>
        </is>
      </c>
      <c r="D4221" t="n">
        <v>1</v>
      </c>
      <c r="E4221" t="n">
        <v>6</v>
      </c>
      <c r="F4221">
        <f>HYPERLINK("https://www.reddit.com/r/GERD/comments/edschq/heart_palpitations_gerd/")</f>
        <v/>
      </c>
      <c r="G4221" t="inlineStr">
        <is>
          <t>2019-12-21 09:06:17</t>
        </is>
      </c>
      <c r="H4221" t="inlineStr"/>
    </row>
    <row r="4222">
      <c r="A4222" t="inlineStr">
        <is>
          <t>edvl2i</t>
        </is>
      </c>
      <c r="B4222" t="inlineStr">
        <is>
          <t>My EndoStim Device Has Been Removed</t>
        </is>
      </c>
      <c r="C4222" t="inlineStr">
        <is>
          <t>I was very fortunate to have been a part of the EndoStim device trial and had one implanted three years ago this month. It worked for me quite well after they made some adjustments, so I've been almost symptom free for about 18 months.
Unfortunately the company ran out of funding for the U.S. FDA trial, and I had to have the device removed a couple weeks ago. My symptoms are already starting to return. 
I'm interested in connecting with others in the exact same situation I'm in. Anybody else have their EndoStim device removed in the last couple of months? What's been your experience? Has heartburn and regurgitation started to recur?</t>
        </is>
      </c>
      <c r="D4222" t="n">
        <v>1</v>
      </c>
      <c r="E4222" t="n">
        <v>6</v>
      </c>
      <c r="F4222">
        <f>HYPERLINK("https://www.reddit.com/r/GERD/comments/edvl2i/my_endostim_device_has_been_removed/")</f>
        <v/>
      </c>
      <c r="G4222" t="inlineStr">
        <is>
          <t>2019-12-21 13:24:48</t>
        </is>
      </c>
      <c r="H4222" t="inlineStr"/>
    </row>
    <row r="4223">
      <c r="A4223" t="inlineStr">
        <is>
          <t>edwk5z</t>
        </is>
      </c>
      <c r="B4223" t="inlineStr">
        <is>
          <t>Should my mom do an other endoscopy or I worry too much</t>
        </is>
      </c>
      <c r="C4223" t="inlineStr">
        <is>
          <t>This summer my mother (54) brutally suffered from stomach pain and she couldn’t eat solid then some lipide she loose many weight and was very tired because this, I was so afraid that it’s was a cancer but she didn’t have acid problem before she rarely drink alcohol and she doesn’t smoke anymore. So she do an endoscopy and there were no cancer the doctor didn’t saw any problem at first but after the biopsie it’s was revealed that she suffered from inflammation that’s why she couldn’t had dysphagia. Strangely directly after the endoscopy she was able to eat so much more (doctor say it’s could also be psychic problem ) today she eat normally but she doesn’t eat  fat piece of meat like before she said it’s too big. She still have acid but much less than before because medication. But im a very anxious person (I have generalized anxiety ) and I’m afraid that she has a Barret problem even if the biopsie said nothing about this and I saw somewhere that inflammation could hide Barret problem  is this true? Does she should do an other endoscopy ?I think about this every day I’m so stressed, I loose 6 kg because stress. Sorry  for my bad English</t>
        </is>
      </c>
      <c r="D4223" t="n">
        <v>1</v>
      </c>
      <c r="E4223" t="n">
        <v>4</v>
      </c>
      <c r="F4223">
        <f>HYPERLINK("https://www.reddit.com/r/GERD/comments/edwk5z/should_my_mom_do_an_other_endoscopy_or_i_worry/")</f>
        <v/>
      </c>
      <c r="G4223" t="inlineStr">
        <is>
          <t>2019-12-21 14:45:35</t>
        </is>
      </c>
      <c r="H4223" t="inlineStr"/>
    </row>
    <row r="4224">
      <c r="A4224" t="inlineStr">
        <is>
          <t>edx8gj</t>
        </is>
      </c>
      <c r="B4224" t="inlineStr">
        <is>
          <t>H-2 Blocker Time of Day</t>
        </is>
      </c>
      <c r="C4224" t="inlineStr">
        <is>
          <t>I have been prescribed a PPI before dinner and an H-2 blocker before bed. Before I do this, I would like to try an H-2 blocker. Do I take one before breakfast, and before dinner? How does this work?</t>
        </is>
      </c>
      <c r="D4224" t="n">
        <v>1</v>
      </c>
      <c r="E4224" t="n">
        <v>5</v>
      </c>
      <c r="F4224">
        <f>HYPERLINK("https://www.reddit.com/r/GERD/comments/edx8gj/h2_blocker_time_of_day/")</f>
        <v/>
      </c>
      <c r="G4224" t="inlineStr">
        <is>
          <t>2019-12-21 15:40:27</t>
        </is>
      </c>
      <c r="H4224" t="inlineStr"/>
    </row>
    <row r="4225">
      <c r="A4225" t="inlineStr">
        <is>
          <t>edy9l7</t>
        </is>
      </c>
      <c r="B4225" t="inlineStr">
        <is>
          <t>Fairly new to GERD and learning</t>
        </is>
      </c>
      <c r="C4225" t="inlineStr">
        <is>
          <t>In 2012 I was diagnosed with GERD after having trouble getting rid of a bad cough. The cough lasted for 3 weeks with no relief when my doctor at the time checked for GERD. She prescribed nexium and that was the end of that. 18 months later I became pregnant and stopped all meds for a while, until OB told me to take Zantac and placed me on a bland diet for the last 8 weeks of my pregnancy. Since then, I’ve just gone back and forth taking nexium when I get a cough that doesn’t respond to my allergy meds, inhaler, or cough syrups. Lately, it seems my stomach is in a constant “upset” state and now I’m wondering if I don’t properly understand GERD and messed my stomach up or if it’s something else. I’ve tried asking a doctor about it before but it was just brushed off.
So my questions are:
Is GERD lifelong?
Can GERD get worse?
Are there better treatment options than nexium and Zantac?
Can I sue the makers of flaming hot Cheetos for this?(just kidding!)
I’m only 31 so I’m concerned about how this will affect  me 20-30 years from now. I wouldn’t want to do something like surgery only to be told it lasts 10 years and can’t be done again. I know I should see a specialist, but I’m just trying to understand the basics right now and go from there. Thanks for any help.</t>
        </is>
      </c>
      <c r="D4225" t="n">
        <v>1</v>
      </c>
      <c r="E4225" t="n">
        <v>2</v>
      </c>
      <c r="F4225">
        <f>HYPERLINK("https://www.reddit.com/r/GERD/comments/edy9l7/fairly_new_to_gerd_and_learning/")</f>
        <v/>
      </c>
      <c r="G4225" t="inlineStr">
        <is>
          <t>2019-12-21 17:08:10</t>
        </is>
      </c>
      <c r="H4225" t="inlineStr"/>
    </row>
    <row r="4226">
      <c r="A4226" t="inlineStr">
        <is>
          <t>ee0m39</t>
        </is>
      </c>
      <c r="B4226" t="inlineStr">
        <is>
          <t>Questions about H-2 Blockers</t>
        </is>
      </c>
      <c r="C4226" t="inlineStr">
        <is>
          <t>1) is tolerance to H-2 Blockers a thing?
2) will switching h-2 blocker brands (e.g. going from Zantac to Pepcid) prevent tolerance, or is there cross tolerance?
3) Is there really such thing as an acid rebound from getting off of an H-2 blocker?
4) Can H-2 Blockers be used as a long term treatment or will they inevitably stop working? Or is there some high dose in which they never stop working.</t>
        </is>
      </c>
      <c r="D4226" t="n">
        <v>1</v>
      </c>
      <c r="E4226" t="n">
        <v>9</v>
      </c>
      <c r="F4226">
        <f>HYPERLINK("https://www.reddit.com/r/GERD/comments/ee0m39/questions_about_h2_blockers/")</f>
        <v/>
      </c>
      <c r="G4226" t="inlineStr">
        <is>
          <t>2019-12-21 20:45:12</t>
        </is>
      </c>
      <c r="H4226" t="inlineStr"/>
    </row>
    <row r="4227">
      <c r="A4227" t="inlineStr">
        <is>
          <t>ee1t84</t>
        </is>
      </c>
      <c r="B4227" t="inlineStr">
        <is>
          <t>Can you be an athlete if you have gerd?</t>
        </is>
      </c>
      <c r="C4227" t="inlineStr">
        <is>
          <t>i have really bad gerd and i tried everything and i basically have to take omeprazole every day or i get screwed over and cant sleep and its hell.
considering sleep is one of the most important things for an athlete, is it okay to have gerd and take omeprazole?
anyone here have gerd and is a good athlete?</t>
        </is>
      </c>
      <c r="D4227" t="n">
        <v>1</v>
      </c>
      <c r="E4227" t="n">
        <v>4</v>
      </c>
      <c r="F4227">
        <f>HYPERLINK("https://www.reddit.com/r/GERD/comments/ee1t84/can_you_be_an_athlete_if_you_have_gerd/")</f>
        <v/>
      </c>
      <c r="G4227" t="inlineStr">
        <is>
          <t>2019-12-21 22:46:16</t>
        </is>
      </c>
      <c r="H4227" t="inlineStr"/>
    </row>
    <row r="4228">
      <c r="A4228" t="inlineStr">
        <is>
          <t>ee2h12</t>
        </is>
      </c>
      <c r="B4228" t="inlineStr">
        <is>
          <t>Tonsillectomy</t>
        </is>
      </c>
      <c r="C4228" t="inlineStr">
        <is>
          <t>I got a tonsillectomy and an adenoidectomy back in July due to them being the size of golf balls. Ever sense then I've had nothing but Globus sensation and Post Nasal Drip and my thirst feels tighter/smaller. Could the surgeries have caused it?</t>
        </is>
      </c>
      <c r="D4228" t="n">
        <v>1</v>
      </c>
      <c r="E4228" t="n">
        <v>1</v>
      </c>
      <c r="F4228">
        <f>HYPERLINK("https://www.reddit.com/r/GERD/comments/ee2h12/tonsillectomy/")</f>
        <v/>
      </c>
      <c r="G4228" t="inlineStr">
        <is>
          <t>2019-12-22 00:02:34</t>
        </is>
      </c>
      <c r="H4228" t="inlineStr"/>
    </row>
    <row r="4229">
      <c r="A4229" t="inlineStr">
        <is>
          <t>ee2ieg</t>
        </is>
      </c>
      <c r="B4229" t="inlineStr">
        <is>
          <t>My Struggle With Gerd &amp;amp; My Natural Remedies</t>
        </is>
      </c>
      <c r="C4229" t="inlineStr">
        <is>
          <t>Hey everyone,
I see a lot of posts on this sub reddit where a lot of the posters seem to be exclusively using pharmaceuticals for their GERD. 
I don't want to take away a solution from any of you who have found success with this method, but I'm hoping my story provides another angle. I was diagnosed with GERD in 2014 and I struggle mostly with symptoms of chronic cough, heartburn, mild globus/throat clearing, and lightheadness (not sure if GERD related) 
I was originally prescribed h2 blockers and ppi's, but I didn't last long on these medications.  Something about turning off your stomach acid didn't seem right, and after doing a lot of research I feel confident in my decision.  
We need stomach acid to absorb the nutrients in our food, and after getting some blood work done I was found to have low b12 and low iron.  These are some of the common nutrient deficiencies associated with poor digestion or digestive disease such as celiac.  
But in my case, I believe it is because I didn't have enough stomach acid already.  I also believe this is what causes my GERD, low stomach acid, not too much. Studies have shown that Acid could be what causes the LES to close tightly, so if you don't have enough acid this could cause your LES to stay open.  
With this theory, I started out to fix this problem with the hopes it would fix my GERD. 
And for the most part it has, and I can live my life 90% normal again.
Here is what I did 
1. Changed my diet, I eat a low carb diet and restrict most of my carbs to starches like root vegetables, not bread.  I also eat lots of lean meat, fish, and green vegetables.
2. I supplement my stomach acid. I take HCL w/pepsin before any big meals like dinner (I take 650mg - 1300mg ) to help digestion. I also use Swedish Bitters to promote natural stomach acid production for snacks and light meals. 
3. I drink Aloe Vera Juice - I believe this helps repair damage in the stomach lining, and I usually take this at night before bed. ( I use Arizona Naturals brand) ...  I have also heard of some people having similar healing success with DGL licorice root
4. I drink lemon water in the morning.  Every morning when I get up I squeeze a quarter of lemon into room temperature water or warm water and drink at least half an hour before I eat.   
5.  I exercise and try to keep my weight down, less fat around your mid section, less pressure on your stomach. 
6.  I take a really good pro-biotic everyday.  I believe that this really helps to get your gut health in order which again helps improve digestion.  I also find eating fermented foods like kimchi and sauerkraut really helps here too. 
7. Lastly if I do get heartburn still, I will chew a couple tablets of papaya enzymes because I find this helps with a bit of short term relief.  I also have had some success with a cap full of ACV in water, but this is hit or miss for me.
In conclusion, this has not been a cure all for me but I find if I stick to these things for the most part my digestion is good enough to get me through the day with little to no symptoms and it keeps me off the pharmaceuticals.
Feel free to ask questions and if I see them I'll do my best to respond. 
I hope this helps someone out there!</t>
        </is>
      </c>
      <c r="D4229" t="n">
        <v>1</v>
      </c>
      <c r="E4229" t="n">
        <v>12</v>
      </c>
      <c r="F4229">
        <f>HYPERLINK("https://www.reddit.com/r/GERD/comments/ee2ieg/my_struggle_with_gerd_my_natural_remedies/")</f>
        <v/>
      </c>
      <c r="G4229" t="inlineStr">
        <is>
          <t>2019-12-22 00:07:20</t>
        </is>
      </c>
      <c r="H4229" t="inlineStr"/>
    </row>
    <row r="4230">
      <c r="A4230" t="inlineStr">
        <is>
          <t>ee3bkl</t>
        </is>
      </c>
      <c r="B4230" t="inlineStr">
        <is>
          <t>For people wondering about the risk of esophageal cancer this article covers some of the most common perspectives on causes and prevention.</t>
        </is>
      </c>
      <c r="C4230" t="inlineStr">
        <is>
          <t>Link to article:
https://undark.org/2019/03/25/esophageal-cancer-rates-rising-united-states/</t>
        </is>
      </c>
      <c r="D4230" t="n">
        <v>1</v>
      </c>
      <c r="E4230" t="n">
        <v>7</v>
      </c>
      <c r="F4230">
        <f>HYPERLINK("https://www.reddit.com/r/GERD/comments/ee3bkl/for_people_wondering_about_the_risk_of_esophageal/")</f>
        <v/>
      </c>
      <c r="G4230" t="inlineStr">
        <is>
          <t>2019-12-22 02:01:04</t>
        </is>
      </c>
      <c r="H4230" t="inlineStr"/>
    </row>
    <row r="4231">
      <c r="A4231" t="inlineStr">
        <is>
          <t>ee5691</t>
        </is>
      </c>
      <c r="B4231" t="inlineStr">
        <is>
          <t>Why am I having issues with cheese all of a sudden?</t>
        </is>
      </c>
      <c r="C4231" t="inlineStr">
        <is>
          <t>I only have a problem with tomatoes but I’ve noticed for the past 2 weeks I’ve been having diarrhea and I never really eat a lot of dairy and when I do it’s low fat. What changed all of a sudden?</t>
        </is>
      </c>
      <c r="D4231" t="n">
        <v>1</v>
      </c>
      <c r="E4231" t="n">
        <v>2</v>
      </c>
      <c r="F4231">
        <f>HYPERLINK("https://www.reddit.com/r/GERD/comments/ee5691/why_am_i_having_issues_with_cheese_all_of_a_sudden/")</f>
        <v/>
      </c>
      <c r="G4231" t="inlineStr">
        <is>
          <t>2019-12-22 06:00:59</t>
        </is>
      </c>
      <c r="H4231" t="inlineStr"/>
    </row>
    <row r="4232">
      <c r="A4232" t="inlineStr">
        <is>
          <t>ee5bi4</t>
        </is>
      </c>
      <c r="B4232" t="inlineStr">
        <is>
          <t>Are my symptoms really GERD related and nothing else?</t>
        </is>
      </c>
      <c r="C4232" t="inlineStr">
        <is>
          <t>I’m a super anxious person with regards to my health. Any time I feel sick, I always think of the worst cases. I recently had an encounter with a woman and had oral sex with her. That moment onwards for whatever fking reason I start thinking that I might be HIV positive. I started having sore throat and metallic taste in my mouth after a week, googles says that’s a symptom for hiv. I had a few visits to my Primary care physician did other tests(strep throat, cmp) and she prescribed me antibiotics, sinus medication and some anti inflammatory stuff but nothing seemed to help. I got so paranoid that I literally took 3 HIV tests over the course of 45 days last one being a HIV screen 4th gen test done at the lab which apparently can be taken after 45days and that came back negative. I was happy then for a couple of days but my symptoms of throat and ear pain still did not go away. I then went to an ENT, he looked at my throat and ear (he put some kinda camera down my throat) and said they are both just fine. He said the pain is because of acid reflux and he does see acid. Asked me to take Prilosec for a month. I have been taking them for 3 weeks but still the pain in throat, ear and metallic taste is there and I’m paranoid again. Overall my sore throat and ear pain have been going on for over a month now. I’m gonna be on vacation soon but I can’t get excited for the trip. Any advice is greatly appreciated. Thanks guys.</t>
        </is>
      </c>
      <c r="D4232" t="n">
        <v>1</v>
      </c>
      <c r="E4232" t="n">
        <v>7</v>
      </c>
      <c r="F4232">
        <f>HYPERLINK("https://www.reddit.com/r/GERD/comments/ee5bi4/are_my_symptoms_really_gerd_related_and_nothing/")</f>
        <v/>
      </c>
      <c r="G4232" t="inlineStr">
        <is>
          <t>2019-12-22 06:15:57</t>
        </is>
      </c>
      <c r="H4232" t="inlineStr"/>
    </row>
    <row r="4233">
      <c r="A4233" t="inlineStr">
        <is>
          <t>ee6ggm</t>
        </is>
      </c>
      <c r="B4233" t="inlineStr">
        <is>
          <t>Another user posted this. Anyone try it?</t>
        </is>
      </c>
      <c r="C4233" t="inlineStr">
        <is>
          <t>“It's not about eliminating stomach acid, but rather balancing its level. Have you heard of  Lactic Acid Bacteria, or particularly  L. johnsonii No. 1088 ?   L. johnsonii No. 1088 is a natural ingredient and does not have a negative effect on the digestive system. This Lactic Acid Bacteria (LAB) strain reduces gastrin (a peptide hormone in the stomach that stimulates the secretion of gastric acid) and overactive gastric acid secretion and maintains them at an optimal level for effective digestion and pain relief. L. johnsonii No. 1088 targets the root cause of gastric concerns to provide long-term soothing effects. You can read more about it https://gastricell.com/l-johnsonii-no-1088/. “</t>
        </is>
      </c>
      <c r="D4233" t="n">
        <v>1</v>
      </c>
      <c r="E4233" t="n">
        <v>1</v>
      </c>
      <c r="F4233">
        <f>HYPERLINK("https://www.reddit.com/r/GERD/comments/ee6ggm/another_user_posted_this_anyone_try_it/")</f>
        <v/>
      </c>
      <c r="G4233" t="inlineStr">
        <is>
          <t>2019-12-22 08:02:24</t>
        </is>
      </c>
      <c r="H4233" t="inlineStr"/>
    </row>
    <row r="4234">
      <c r="A4234" t="inlineStr">
        <is>
          <t>ee6liu</t>
        </is>
      </c>
      <c r="B4234" t="inlineStr">
        <is>
          <t>Another new symptom- please let me know if you have experienced this</t>
        </is>
      </c>
      <c r="C4234" t="inlineStr">
        <is>
          <t>So now I can’t even sleep. I sleep with the pillows propped up but I guess I’m not high enough? After 40 minutes or 2 hours of sleep I wake up and I have this awful sensation. It’s like I feel I’m shivering but it’s not even cold. My muscles  are all twitchy, like basically
I can twitch all the muscles in my body very easily and I’m shakey. When I wake up like this it does kind of feel like my stomach is burning. I dry heave and after that if I just stand up everything goes away and I feel normal again.
I’m pretty sure I’m gonna end up dead soon</t>
        </is>
      </c>
      <c r="D4234" t="n">
        <v>1</v>
      </c>
      <c r="E4234" t="n">
        <v>5</v>
      </c>
      <c r="F4234">
        <f>HYPERLINK("https://www.reddit.com/r/GERD/comments/ee6liu/another_new_symptom_please_let_me_know_if_you/")</f>
        <v/>
      </c>
      <c r="G4234" t="inlineStr">
        <is>
          <t>2019-12-22 08:13:50</t>
        </is>
      </c>
      <c r="H4234" t="inlineStr"/>
    </row>
    <row r="4235">
      <c r="A4235" t="inlineStr">
        <is>
          <t>ee8pps</t>
        </is>
      </c>
      <c r="B4235" t="inlineStr">
        <is>
          <t>HH and GERD and OMG so noisy! And the belching! Anybody else??</t>
        </is>
      </c>
      <c r="C4235" t="inlineStr">
        <is>
          <t>I was diagnosed with HH over 20 years ago, which up until last month has been mostly asymptomatic except if eating too much (I'd get mild regurgitation). About a month ago I started waking up with a sore throat, cough, hoarseness, and a burning feeling in my stomach. Then the attacks of belching came on, along with a really noisy, growling, gurgling digestive tract. Eating seems to make everything worse, even though I follow a very clean diet, eat small meals, and am avoiding what I've learned are triggers for me.
My longtime internist moved away, and I've seen several lackluster ones, including the most recent who told me to take OTC Prilosec and "come back in eight weeks if it doesn't go away." The Prilosec didn't do a damned thing. I've scheduled a consult with yet another internist next week, who I'm hoping might be able to fast-track me to a GI specialist, because - THIS IS NO WAY TO LIVE.
I can deal with the pain and discomfort, but the belching and the noise - how the heck is a person supposed to go to work, interact with others, and most nightmarish of all, report for jury duty (I have a summons for next month) with a medical condition they can't control? I'm also having other digestive tract issues (alternating constipation and diarrhea) and am basically at the point where I don't want to leave my house.
Anybody else dealing with these specific bathroom/belching/noise issues, and if so - can you please share what your diagnosis was, if you've had one, and what your coping strategies are?
Many thanks.</t>
        </is>
      </c>
      <c r="D4235" t="n">
        <v>1</v>
      </c>
      <c r="E4235" t="n">
        <v>7</v>
      </c>
      <c r="F4235">
        <f>HYPERLINK("https://www.reddit.com/r/GERD/comments/ee8pps/hh_and_gerd_and_omg_so_noisy_and_the_belching/")</f>
        <v/>
      </c>
      <c r="G4235" t="inlineStr">
        <is>
          <t>2019-12-22 11:00:26</t>
        </is>
      </c>
      <c r="H4235" t="inlineStr"/>
    </row>
    <row r="4236">
      <c r="A4236" t="inlineStr">
        <is>
          <t>eeadnn</t>
        </is>
      </c>
      <c r="B4236" t="inlineStr">
        <is>
          <t>Allergy tests</t>
        </is>
      </c>
      <c r="C4236" t="inlineStr">
        <is>
          <t>Anyone ever use those tests like that are available at myallergyfoodtest.com?  I'm having a hard time getting started just figuring out which foods to cut out.</t>
        </is>
      </c>
      <c r="D4236" t="n">
        <v>1</v>
      </c>
      <c r="E4236" t="n">
        <v>5</v>
      </c>
      <c r="F4236">
        <f>HYPERLINK("https://www.reddit.com/r/GERD/comments/eeadnn/allergy_tests/")</f>
        <v/>
      </c>
      <c r="G4236" t="inlineStr">
        <is>
          <t>2019-12-22 13:10:52</t>
        </is>
      </c>
      <c r="H4236" t="inlineStr"/>
    </row>
    <row r="4237">
      <c r="A4237" t="inlineStr">
        <is>
          <t>eeam48</t>
        </is>
      </c>
      <c r="B4237" t="inlineStr">
        <is>
          <t>Lump in my throat</t>
        </is>
      </c>
      <c r="C4237" t="inlineStr">
        <is>
          <t>So for the past few months I’m pretty certain that I have GERD. Do the rest of you get a lump in your throat, sort of behind your tonsils as well? I have had one for a couple of weeks and I’m not sure what it is or how to treat it.</t>
        </is>
      </c>
      <c r="D4237" t="n">
        <v>1</v>
      </c>
      <c r="E4237" t="n">
        <v>8</v>
      </c>
      <c r="F4237">
        <f>HYPERLINK("https://www.reddit.com/r/GERD/comments/eeam48/lump_in_my_throat/")</f>
        <v/>
      </c>
      <c r="G4237" t="inlineStr">
        <is>
          <t>2019-12-22 13:29:27</t>
        </is>
      </c>
      <c r="H4237" t="inlineStr"/>
    </row>
    <row r="4238">
      <c r="A4238" t="inlineStr">
        <is>
          <t>eeb7gp</t>
        </is>
      </c>
      <c r="B4238" t="inlineStr">
        <is>
          <t>Question - do most of you have involuntary burps?</t>
        </is>
      </c>
      <c r="C4238" t="inlineStr">
        <is>
          <t>I’m nearly 26. I’ve had GI issues since I was 19.
Have had blood in stools since that age, (maybe like a few episodes a year that would last a week or so), and so I had a colonoscopy a few years back. Doctor said it was internal hemorrhoids and prescribed me a higher fiber diet.
As time went on I realized that my bowel patterns have changed. Sometimes I went whole weeks with only going once or not at all. I’ve eliminated gluten from my diet and my bowls have been a bit more on the normal side. I still get what I call pebble poops occasionally haha and sometimes I don’t go for a few days but it’s a bit better.
Meanwhile, I’ve notice I’ve been more bloated. I don’t eat anything particularly different than my brother, who is the same age, but my bloating - particularly within my face has gotten really bad. Now, we are twins so it’s easy to tell. I find that when I burp a lot some of this bloating goes down immensely. 
Sorry to have dragged this on, but I guess my main question is does this extra gas and bloat in my body point to gerd? Especially because I’m always burping - but it’s voluntarily like I make myself and it’s quite easy and it relieves my bloating in some sense.</t>
        </is>
      </c>
      <c r="D4238" t="n">
        <v>1</v>
      </c>
      <c r="E4238" t="n">
        <v>12</v>
      </c>
      <c r="F4238">
        <f>HYPERLINK("https://www.reddit.com/r/GERD/comments/eeb7gp/question_do_most_of_you_have_involuntary_burps/")</f>
        <v/>
      </c>
      <c r="G4238" t="inlineStr">
        <is>
          <t>2019-12-22 14:16:24</t>
        </is>
      </c>
      <c r="H4238" t="inlineStr"/>
    </row>
    <row r="4239">
      <c r="A4239" t="inlineStr">
        <is>
          <t>eebhmb</t>
        </is>
      </c>
      <c r="B4239" t="inlineStr">
        <is>
          <t>Need advice - Worsening symptoms</t>
        </is>
      </c>
      <c r="C4239" t="inlineStr">
        <is>
          <t>Hi all,
For a brief background, I've been a GERD sufferer for some time now, not sure how long but diagnosed via endoscopy 11/2017. Initial endoscopy for difficulty and mild pain while swallowing. Felt better and went off my PPI, but in 11/2018 symptoms came back (painful, difficult swallowing). Had a barium swallow done 01/2019 which showed obvious reflux and delayed/abnormal movement when supine. Again like an idiot went off PPI.  
Fast forward to today, for the past at least 8 or so months I have pain whenever I swallow anything, even saliva at times. I've been on pantoprazole for the last \~2 weeks, but the pain and difficulty I feel when I swallow is driving me nuts, often times feeling like food is stuck in my mid-chest, some regurgitation etc.  
I've asked for another endoscopy but my Gastro is skeptical, even telling me that she doesn't think it would be helpful, but the severe symptoms have me worried sick. Could some combination of stress, poor diet, and not being on a PPI cause these symptoms for such long periods of time? Could 2 years from an EGD and one from a barium swallow be time for something more serious to develop, or are these really esophagitis symptoms? Worried sick about cancer.
Any advice is appreciated. Thank you!</t>
        </is>
      </c>
      <c r="D4239" t="n">
        <v>1</v>
      </c>
      <c r="E4239" t="n">
        <v>4</v>
      </c>
      <c r="F4239">
        <f>HYPERLINK("https://www.reddit.com/r/GERD/comments/eebhmb/need_advice_worsening_symptoms/")</f>
        <v/>
      </c>
      <c r="G4239" t="inlineStr">
        <is>
          <t>2019-12-22 14:39:12</t>
        </is>
      </c>
      <c r="H4239" t="inlineStr"/>
    </row>
    <row r="4240">
      <c r="A4240" t="inlineStr">
        <is>
          <t>eec1my</t>
        </is>
      </c>
      <c r="B4240" t="inlineStr">
        <is>
          <t>PPI makes throat worse?</t>
        </is>
      </c>
      <c r="C4240" t="inlineStr">
        <is>
          <t>Hi everyone, new here. I was diagnosed with GERD in July. I've been on a few PPI's, never felt like they helped much. My dr has me on pantoprazole 40 mg. I swear it makes my throat feel worse. Dry, swollen. I felt this way with omeprazole and esomeprazole. Does anybody find this to be the case? I'm going crazy here with this constant lump in my throat. Any replies appreciated.</t>
        </is>
      </c>
      <c r="D4240" t="n">
        <v>1</v>
      </c>
      <c r="E4240" t="n">
        <v>2</v>
      </c>
      <c r="F4240">
        <f>HYPERLINK("https://www.reddit.com/r/GERD/comments/eec1my/ppi_makes_throat_worse/")</f>
        <v/>
      </c>
      <c r="G4240" t="inlineStr">
        <is>
          <t>2019-12-22 15:25:35</t>
        </is>
      </c>
      <c r="H4240" t="inlineStr"/>
    </row>
    <row r="4241">
      <c r="A4241" t="inlineStr">
        <is>
          <t>eecnzq</t>
        </is>
      </c>
      <c r="B4241" t="inlineStr">
        <is>
          <t>Unusual symptoms</t>
        </is>
      </c>
      <c r="C4241" t="inlineStr">
        <is>
          <t>I’m 14 and for the past maybe 6 months I’ve been getting these symptoms: lots of burping, a full feeling in my throat/upper abdomen like I have to burp but can’t, and when I’m off ppis, burping acid into my throat. I’ve gone to a gi doctor who gave me 40mg Omeprazole and i don’t get any sort of burning in my mouth and I don’t burp up acid anymore but I still get that uncomfortable bloating feeling in my upper abdomen. The strange thing is it’s always liquids, even water that cause issues. Food doesn’t normally cause issues as long as I’m avoiding chocolate and caffeine and taking the ppis. I’ll always burp up water after I drink it and it’s really uncomfortable. Are these possible gerd symptoms or could this be something worse. I know it’s extremely rare at my age but my anxiety makes me believe it could be stomach cancer even though many people have told me how unlikely it is. Thank you for reading</t>
        </is>
      </c>
      <c r="D4241" t="n">
        <v>1</v>
      </c>
      <c r="E4241" t="n">
        <v>5</v>
      </c>
      <c r="F4241">
        <f>HYPERLINK("https://www.reddit.com/r/GERD/comments/eecnzq/unusual_symptoms/")</f>
        <v/>
      </c>
      <c r="G4241" t="inlineStr">
        <is>
          <t>2019-12-22 16:18:10</t>
        </is>
      </c>
      <c r="H4241" t="inlineStr"/>
    </row>
    <row r="4242">
      <c r="A4242" t="inlineStr">
        <is>
          <t>eed9qm</t>
        </is>
      </c>
      <c r="B4242" t="inlineStr">
        <is>
          <t>Surprise Non-Med Relief?</t>
        </is>
      </c>
      <c r="C4242" t="inlineStr">
        <is>
          <t>In a moment of weakness I ate a slice of (non-tomato sauce but heavy garlic and greasy) pizza and it triggered some mild symptoms - no heartburn but sour taste in back of throat, some burping, ears itchy/burning. 
&amp;amp;#x200B;
I then drank some of the Kombucha I'd bought to try earlier that day, to see if it made things worse. Instead, it almost immediately got rid of my symptoms. For the rest of the day. 
&amp;amp;#x200B;
Is this a thing? Or a coincidence? I'm astonished.</t>
        </is>
      </c>
      <c r="D4242" t="n">
        <v>1</v>
      </c>
      <c r="E4242" t="n">
        <v>3</v>
      </c>
      <c r="F4242">
        <f>HYPERLINK("https://www.reddit.com/r/GERD/comments/eed9qm/surprise_nonmed_relief/")</f>
        <v/>
      </c>
      <c r="G4242" t="inlineStr">
        <is>
          <t>2019-12-22 17:09:27</t>
        </is>
      </c>
      <c r="H4242" t="inlineStr"/>
    </row>
    <row r="4243">
      <c r="A4243" t="inlineStr">
        <is>
          <t>eedl7x</t>
        </is>
      </c>
      <c r="B4243" t="inlineStr">
        <is>
          <t>Acid watcher diet</t>
        </is>
      </c>
      <c r="C4243" t="inlineStr">
        <is>
          <t>I am amazed at what this diet is doing and decided to share my experience here.  
I was diagnosed with gastritis, ibs and GERD 3 years ago. I had been on PPI’s ( omeprazole,rabeprazole) and other over the counter medications ( Zantac etc) on and off for all those 3 years. I tried FODMAP diet, no grain-diet, I also tried taking apple cider vinegar that is supposed to make things better...I bought lots of supplements that are supposed to improve my condition such as probiotics,enzimes etc.Anyways, I was still suffering almost everyday.And then I decided to give Acid watcher diet a try, since it was the thing I had not tried yet.What a difference!I have been following it for 5 days, and I am feeling so much better.If someone has been diagnosed with  GERD and has not tried it,you absolutely should.</t>
        </is>
      </c>
      <c r="D4243" t="n">
        <v>1</v>
      </c>
      <c r="E4243" t="n">
        <v>15</v>
      </c>
      <c r="F4243">
        <f>HYPERLINK("https://www.reddit.com/r/GERD/comments/eedl7x/acid_watcher_diet/")</f>
        <v/>
      </c>
      <c r="G4243" t="inlineStr">
        <is>
          <t>2019-12-22 17:36:55</t>
        </is>
      </c>
      <c r="H4243" t="inlineStr"/>
    </row>
    <row r="4244">
      <c r="A4244" t="inlineStr">
        <is>
          <t>eedxnn</t>
        </is>
      </c>
      <c r="B4244" t="inlineStr">
        <is>
          <t>Favorite recipes?</t>
        </is>
      </c>
      <c r="C4244" t="inlineStr">
        <is>
          <t>I’m in a bit of a rut with my diet. I was diagnosed with LPR over a month ago and have been doing incredibly well with a daily famotidine and the occasional antacid chew. But my diet is still very much up and down; I have plenty of snacks that are great but I have a hard time coming up with substantial meals that are good for me because a lot of recipes include ingredients I can’t have. I don’t eat a lot of red meat, mostly chicken and some fish; sides are a bit of a struggle. I have a crock pot that I’d love to try more recipes with, and I’d love to do more stuff in the oven instead of the stovetop (and, invariably, the microwave lol). My biggest triggers are spices, garlic, tomatoes, and citrus, though I really don’t struggle with much else in moderation. So, what are some recipes y’all love that are GERD-friendly?</t>
        </is>
      </c>
      <c r="D4244" t="n">
        <v>1</v>
      </c>
      <c r="E4244" t="n">
        <v>0</v>
      </c>
      <c r="F4244">
        <f>HYPERLINK("https://www.reddit.com/r/GERD/comments/eedxnn/favorite_recipes/")</f>
        <v/>
      </c>
      <c r="G4244" t="inlineStr">
        <is>
          <t>2019-12-22 18:06:22</t>
        </is>
      </c>
      <c r="H4244" t="inlineStr"/>
    </row>
    <row r="4245">
      <c r="A4245" t="inlineStr">
        <is>
          <t>eedyyd</t>
        </is>
      </c>
      <c r="B4245" t="inlineStr">
        <is>
          <t>Chest pain each swallow</t>
        </is>
      </c>
      <c r="C4245" t="inlineStr">
        <is>
          <t>Anyone get this symptom?  Currently on a really bad flare up. I’m on 40mg omeprazole but each time I swallow a piece of food I feel a slight pain in the center of my chest/bottom of esophagus. This has happened before but goes away when I’m not flaring for some reason. 
This time I think drinking alcohol and overeating during thanksgiving causes my nerves to go haywire and feel every sensation in there.</t>
        </is>
      </c>
      <c r="D4245" t="n">
        <v>1</v>
      </c>
      <c r="E4245" t="n">
        <v>1</v>
      </c>
      <c r="F4245">
        <f>HYPERLINK("https://www.reddit.com/r/GERD/comments/eedyyd/chest_pain_each_swallow/")</f>
        <v/>
      </c>
      <c r="G4245" t="inlineStr">
        <is>
          <t>2019-12-22 18:09:35</t>
        </is>
      </c>
      <c r="H4245" t="inlineStr"/>
    </row>
    <row r="4246">
      <c r="A4246" t="inlineStr">
        <is>
          <t>eeehiz</t>
        </is>
      </c>
      <c r="B4246" t="inlineStr">
        <is>
          <t>Hiatal Hernia Ruining Christmas</t>
        </is>
      </c>
      <c r="C4246" t="inlineStr">
        <is>
          <t>Major issues went to GI got endoscopy after thanksgiving they said “small” hiatal hernia detected got me on Prilosec and following all GERD guidelines rules and diet but still hurting in chest and liver area.  Quit caffeine AND nicotine gum for 3 weeks now. All other endoscopy results including biopsy were fine. Recent CT scan showed no abnormalities follow up with GI Jan 15 so I’m on my own till then unless I blow a fuse and need ER which I’ve done twice in a month and they were beyond useless except for the giant bill. Any tips on dealing with hernia? Might be a weak ELS abused caffeine for years. Might just need time to heal. After eating chest pain and shallow breathing for about an hour feels like heart attack. Kind of sucks but  have to follow doctors plan. Might double up the Prilosec she said that two doses were ok. Thanks for listening feel very alone in this battle.</t>
        </is>
      </c>
      <c r="D4246" t="n">
        <v>1</v>
      </c>
      <c r="E4246" t="n">
        <v>6</v>
      </c>
      <c r="F4246">
        <f>HYPERLINK("https://www.reddit.com/r/GERD/comments/eeehiz/hiatal_hernia_ruining_christmas/")</f>
        <v/>
      </c>
      <c r="G4246" t="inlineStr">
        <is>
          <t>2019-12-22 18:54:30</t>
        </is>
      </c>
      <c r="H4246" t="inlineStr"/>
    </row>
    <row r="4247">
      <c r="A4247" t="inlineStr">
        <is>
          <t>eef46q</t>
        </is>
      </c>
      <c r="B4247" t="inlineStr">
        <is>
          <t>GERD Flare Ups</t>
        </is>
      </c>
      <c r="C4247" t="inlineStr">
        <is>
          <t>Currently dealing with a flare up and it’s the holidays! Pretty lame, but it’s the first really bad one I’ve had in the past 10 years, so I can be thankful for that. 10 years ago I got scoped and diagnosed with gastritis and IBS and recovered for quite some time! Had to do the traditional PPI and bland diet for a month, but I did heal. 
So, I’m back on the PPIs and am trying to stick to a bland diet. But I know I’ll heal, might just take some time. For all those experiencing it for the first time, just know there is hope for healing and there are plenty of ways to mitigate the disease! Don’t lose hope!</t>
        </is>
      </c>
      <c r="D4247" t="n">
        <v>1</v>
      </c>
      <c r="E4247" t="n">
        <v>2</v>
      </c>
      <c r="F4247">
        <f>HYPERLINK("https://www.reddit.com/r/GERD/comments/eef46q/gerd_flare_ups/")</f>
        <v/>
      </c>
      <c r="G4247" t="inlineStr">
        <is>
          <t>2019-12-22 19:50:18</t>
        </is>
      </c>
      <c r="H4247" t="inlineStr"/>
    </row>
    <row r="4248">
      <c r="A4248" t="inlineStr">
        <is>
          <t>eefqrg</t>
        </is>
      </c>
      <c r="B4248" t="inlineStr">
        <is>
          <t>Best GERD diets and lifestyle changes</t>
        </is>
      </c>
      <c r="C4248" t="inlineStr">
        <is>
          <t>I’m ISO the best GERD diets. Totally understand everyone is different, but wondering what’s worked for everyone. I’m hoping to really buckle down and figure out what makes my GERD worse (though sometimes I even reflux water). I’ve had endoscopies and have another mid-January. Low FODMAP helps a bit. PPI only helps a bit. But honestly, I think stress is the main trigger for me. Anyways, curious to know what diet/lifestyle changes have worked for you all.</t>
        </is>
      </c>
      <c r="D4248" t="n">
        <v>1</v>
      </c>
      <c r="E4248" t="n">
        <v>9</v>
      </c>
      <c r="F4248">
        <f>HYPERLINK("https://www.reddit.com/r/GERD/comments/eefqrg/best_gerd_diets_and_lifestyle_changes/")</f>
        <v/>
      </c>
      <c r="G4248" t="inlineStr">
        <is>
          <t>2019-12-22 20:47:50</t>
        </is>
      </c>
      <c r="H4248" t="inlineStr"/>
    </row>
    <row r="4249">
      <c r="A4249" t="inlineStr">
        <is>
          <t>eeg6ru</t>
        </is>
      </c>
      <c r="B4249" t="inlineStr">
        <is>
          <t>GERD or cause for concern?</t>
        </is>
      </c>
      <c r="C4249" t="inlineStr">
        <is>
          <t>I had bad acid a few years ago with triggers but after a while of having apple cider vinegar and exercising, it didn't bother me for a while.
I started getting acid reflux again last week after a night of drinking. I admittedly live a very sedentary lifestyle now. 
However, this time, my throat (below my adam's apple) has been feeling very weird. It doesn't feel like a sore throat but it feels a little bit of discomfort. I felt something stuck in my throat a few days ago and it went away. Note that this isn't the back of my throat but a little  farther down. I also have been burping a lot and feel the acid reflux burps coming up. If I drink hot water or tea, the feeling in my throat goes away. However, my throat still does not feel 100%. I have not taken any zantac / medication, have been sticking to herbal / ayruvedic treatments (ginger, poppy seed, etc). Was wondering if I should be concerned since I've never had throat pain like this before.</t>
        </is>
      </c>
      <c r="D4249" t="n">
        <v>1</v>
      </c>
      <c r="E4249" t="n">
        <v>1</v>
      </c>
      <c r="F4249">
        <f>HYPERLINK("https://www.reddit.com/r/GERD/comments/eeg6ru/gerd_or_cause_for_concern/")</f>
        <v/>
      </c>
      <c r="G4249" t="inlineStr">
        <is>
          <t>2019-12-22 21:29:29</t>
        </is>
      </c>
      <c r="H4249" t="inlineStr"/>
    </row>
    <row r="4250">
      <c r="A4250" t="inlineStr">
        <is>
          <t>eegdg0</t>
        </is>
      </c>
      <c r="B4250" t="inlineStr">
        <is>
          <t>Post op nissian fundoplication tips ?</t>
        </is>
      </c>
      <c r="C4250" t="inlineStr">
        <is>
          <t>Spouse just had a nissian fundoplication on Thursday . We spent four days in the hospital three of which were very difficult for her lots of throwing up . 
Anyone have any tips to make post op easier ? 
First day home she was fine till this evening then the acid reflux pain started again. Not sure what caused this flare up .</t>
        </is>
      </c>
      <c r="D4250" t="n">
        <v>1</v>
      </c>
      <c r="E4250" t="n">
        <v>7</v>
      </c>
      <c r="F4250">
        <f>HYPERLINK("https://www.reddit.com/r/GERD/comments/eegdg0/post_op_nissian_fundoplication_tips/")</f>
        <v/>
      </c>
      <c r="G4250" t="inlineStr">
        <is>
          <t>2019-12-22 21:46:39</t>
        </is>
      </c>
      <c r="H4250" t="inlineStr"/>
    </row>
    <row r="4251">
      <c r="A4251" t="inlineStr">
        <is>
          <t>eegdhm</t>
        </is>
      </c>
      <c r="B4251" t="inlineStr">
        <is>
          <t>Coughing vs Choking, so annoying!</t>
        </is>
      </c>
      <c r="C4251" t="inlineStr">
        <is>
          <t>Been diagnosed with GERD and I'm starting to develop severe coughing especially (just as I am falling asleep is THE WORST).  Sometimes it's so bad it feels like I'm going to choke. Sometimes clear (mucus?) comes up with it.   Anyone found any remedies to help this in the short term?  I have an appt in January with my GI. She wanted me to take two omeprazole instead of one until the day of my appt.  Getting tired of upping the ante with PPI drugs and not getting to the bottom of it!</t>
        </is>
      </c>
      <c r="D4251" t="n">
        <v>1</v>
      </c>
      <c r="E4251" t="n">
        <v>2</v>
      </c>
      <c r="F4251">
        <f>HYPERLINK("https://www.reddit.com/r/GERD/comments/eegdhm/coughing_vs_choking_so_annoying/")</f>
        <v/>
      </c>
      <c r="G4251" t="inlineStr">
        <is>
          <t>2019-12-22 21:46:47</t>
        </is>
      </c>
      <c r="H4251" t="inlineStr"/>
    </row>
    <row r="4252">
      <c r="A4252" t="inlineStr">
        <is>
          <t>eegpll</t>
        </is>
      </c>
      <c r="B4252" t="inlineStr">
        <is>
          <t>How much time passes before your symptoms appear, after eating something you shouldn't?</t>
        </is>
      </c>
      <c r="C4252" t="inlineStr">
        <is>
          <t>I'm trying to figure out what works/doesn't work for me, but I'm not sure about the timeframe.</t>
        </is>
      </c>
      <c r="D4252" t="n">
        <v>1</v>
      </c>
      <c r="E4252" t="n">
        <v>6</v>
      </c>
      <c r="F4252">
        <f>HYPERLINK("https://www.reddit.com/r/GERD/comments/eegpll/how_much_time_passes_before_your_symptoms_appear/")</f>
        <v/>
      </c>
      <c r="G4252" t="inlineStr">
        <is>
          <t>2019-12-22 22:19:32</t>
        </is>
      </c>
      <c r="H4252" t="inlineStr"/>
    </row>
    <row r="4253">
      <c r="A4253" t="inlineStr">
        <is>
          <t>eehvso</t>
        </is>
      </c>
      <c r="B4253" t="inlineStr">
        <is>
          <t>Did anyone else's voice get deeper throughout the years?</t>
        </is>
      </c>
      <c r="C4253" t="inlineStr">
        <is>
          <t>My acid reflux has made my voice really raspy and deep. Which makes it hard to talk in a normal tone without people saying 'you're so quiet we can't hear you can you please speak louder' when I'm pretty sure I'm speaking in a normal tone. My voice used to be much lighter but now it's as deep as a young boys voice(I'm a 19 year old woman). And it's so annoying to me because I speak in a normal tone, yet people can't hear me??? I'm positive it's because of my deep voice. And it only gets worse when I get acid reflux(which I get daily and have experienced it everyday for 12 years). It's kind of making things awkward for me. Everyone says they can't hear me and it's getting annoying and only gets worse after getting Gerd.</t>
        </is>
      </c>
      <c r="D4253" t="n">
        <v>1</v>
      </c>
      <c r="E4253" t="n">
        <v>0</v>
      </c>
      <c r="F4253">
        <f>HYPERLINK("https://www.reddit.com/r/GERD/comments/eehvso/did_anyone_elses_voice_get_deeper_throughout_the/")</f>
        <v/>
      </c>
      <c r="G4253" t="inlineStr">
        <is>
          <t>2019-12-23 00:28:13</t>
        </is>
      </c>
      <c r="H4253" t="inlineStr"/>
    </row>
    <row r="4254">
      <c r="A4254" t="inlineStr">
        <is>
          <t>eei3p4</t>
        </is>
      </c>
      <c r="B4254" t="inlineStr">
        <is>
          <t>Signs of Hiatal Hernia?</t>
        </is>
      </c>
      <c r="C4254" t="inlineStr">
        <is>
          <t>Lately I've been having trouble eating. I get full too quickly and my stomach feels full all the time even if I only eat a little bit and I'm very hungry. My BMs are very inconsistent and can be described as constipation (despite repeated treatment with laxatives). 
I've also had significant amounts of acid reflux and my throat feels quite irritated. Right now, my upper stomach is slightly bulging out even though I ate much earlier. I have to sleep in an elevated position because I'm afraid of the acid going back up my throat. 
Does this sound like normal GERD or HH?</t>
        </is>
      </c>
      <c r="D4254" t="n">
        <v>1</v>
      </c>
      <c r="E4254" t="n">
        <v>3</v>
      </c>
      <c r="F4254">
        <f>HYPERLINK("https://www.reddit.com/r/GERD/comments/eei3p4/signs_of_hiatal_hernia/")</f>
        <v/>
      </c>
      <c r="G4254" t="inlineStr">
        <is>
          <t>2019-12-23 00:53:43</t>
        </is>
      </c>
      <c r="H4254" t="inlineStr"/>
    </row>
    <row r="4255">
      <c r="A4255" t="inlineStr">
        <is>
          <t>eeilku</t>
        </is>
      </c>
      <c r="B4255" t="inlineStr">
        <is>
          <t>Prilosec for four days now, awful experience</t>
        </is>
      </c>
      <c r="C4255" t="inlineStr">
        <is>
          <t>My doc diagnosed me with gerd last week, and the meds helped the lump in throat and reflux, but brought on a new issue. My muscles feel beaten, like all I’ve done is sleep the last two days. The reflux is better already, but the fatigue and muscle aches are beyond terrible. They seem to be getting a little better, and when I wake up they’re not bad, but as the day goes on, get worse. 
Anyone else had a similar experience ? Im just wanting to know if the side effects subside eventually. If so I can keep trucking through it, but if this is gonna be an everyday thing I’m stopping immediately.</t>
        </is>
      </c>
      <c r="D4255" t="n">
        <v>1</v>
      </c>
      <c r="E4255" t="n">
        <v>12</v>
      </c>
      <c r="F4255">
        <f>HYPERLINK("https://www.reddit.com/r/GERD/comments/eeilku/prilosec_for_four_days_now_awful_experience/")</f>
        <v/>
      </c>
      <c r="G4255" t="inlineStr">
        <is>
          <t>2019-12-23 01:49:07</t>
        </is>
      </c>
      <c r="H4255" t="inlineStr"/>
    </row>
    <row r="4256">
      <c r="A4256" t="inlineStr">
        <is>
          <t>eek5fa</t>
        </is>
      </c>
      <c r="B4256" t="inlineStr">
        <is>
          <t>y’all i literally give up</t>
        </is>
      </c>
      <c r="C4256" t="inlineStr">
        <is>
          <t>no medication is working for me rn
omeprazole
pantoprazole
tums
sucruflate
docusate
❌❌❌❌❌
literally i give up, my GI insists i continue with these meds but it’s been 5months.... like how much longer am i supposed to put my body thru all this unnecessary shit😭
i dont drink, vape, smoke.. none of that so my acid levels could not have risen from that
i used to be able to eat anything i wanted back in july but now im living a nightmare each and every day..
my daily meals are the same everyday
-Breakfast- 
eggs 
•or•
oatmeal and pancakes (vegan)
-snacks-
nutrigrain
vegan chips
gluten free toast &amp;amp; pbj
-dinner-
rice &amp;amp; fresh chicken breast with boiled vegetables 
•or•
gluten free chicken nuggets, white rice
i’ll have plain cheerios and sou vanilla every now an then
i also eat lots of apples and take probiotics drinks
how is it even possible to just randomly start having ongoing symptoms like heartburn, acid reflux, constant nausea , abdominal pain, bloating, starving, dehydration, tiredness, fatigue, and such sorts.
i have had an endoscopy, no case of h pylori
just inflammation of stomach,  esophagus, duodenitis
had a food test (4hrs) xrays to show how fast the food traveled my system, came back normal
i really don’t know what to do anymore... i honestly give up, i just wanna vomit nonstop to clean my digestive system. this shit is killing me😔</t>
        </is>
      </c>
      <c r="D4256" t="n">
        <v>1</v>
      </c>
      <c r="E4256" t="n">
        <v>30</v>
      </c>
      <c r="F4256">
        <f>HYPERLINK("https://www.reddit.com/r/GERD/comments/eek5fa/yall_i_literally_give_up/")</f>
        <v/>
      </c>
      <c r="G4256" t="inlineStr">
        <is>
          <t>2019-12-23 04:42:15</t>
        </is>
      </c>
      <c r="H4256" t="inlineStr"/>
    </row>
    <row r="4257">
      <c r="A4257" t="inlineStr">
        <is>
          <t>eek9ya</t>
        </is>
      </c>
      <c r="B4257" t="inlineStr">
        <is>
          <t>Cure hiatal Hernia naturally, any result?</t>
        </is>
      </c>
      <c r="C4257" t="inlineStr">
        <is>
          <t>Hi Friends,
I have started pushing stomach down. Doing water exercise.
I have hiatus hernia of 2.1 cm. My height is 168 cm and weight 78 kg, male.
Do you think it is possible to cure or reposition hiatus hernia to original place as well as making diaphragm stronger so that it should not slide back again?
&amp;amp;#x200B;
link to my previous question
[https://www.reddit.com/r/GERD/comments/edagxn/linx\_vs\_tif\_vs\_stretta\_pls\_help\_suggest\_canadian/](https://www.reddit.com/r/GERD/comments/edagxn/linx_vs_tif_vs_stretta_pls_help_suggest_canadian/)
&amp;amp;#x200B;
Thanks</t>
        </is>
      </c>
      <c r="D4257" t="n">
        <v>1</v>
      </c>
      <c r="E4257" t="n">
        <v>2</v>
      </c>
      <c r="F4257">
        <f>HYPERLINK("https://www.reddit.com/r/GERD/comments/eek9ya/cure_hiatal_hernia_naturally_any_result/")</f>
        <v/>
      </c>
      <c r="G4257" t="inlineStr">
        <is>
          <t>2019-12-23 04:55:26</t>
        </is>
      </c>
      <c r="H4257" t="inlineStr"/>
    </row>
    <row r="4258">
      <c r="A4258" t="inlineStr">
        <is>
          <t>eeljop</t>
        </is>
      </c>
      <c r="B4258" t="inlineStr">
        <is>
          <t>Pasta sauce alternatives</t>
        </is>
      </c>
      <c r="C4258" t="inlineStr">
        <is>
          <t>As an Italian, I am genetically programmed to eat pasta. As tomato sauce is bad for GERD, what alternatives could I have to satisfy my Italian craves.</t>
        </is>
      </c>
      <c r="D4258" t="n">
        <v>1</v>
      </c>
      <c r="E4258" t="n">
        <v>15</v>
      </c>
      <c r="F4258">
        <f>HYPERLINK("https://www.reddit.com/r/GERD/comments/eeljop/pasta_sauce_alternatives/")</f>
        <v/>
      </c>
      <c r="G4258" t="inlineStr">
        <is>
          <t>2019-12-23 06:53:13</t>
        </is>
      </c>
      <c r="H4258" t="inlineStr"/>
    </row>
    <row r="4259">
      <c r="A4259" t="inlineStr">
        <is>
          <t>eemvc4</t>
        </is>
      </c>
      <c r="B4259" t="inlineStr">
        <is>
          <t>Unexplained GERD possibly fixed</t>
        </is>
      </c>
      <c r="C4259" t="inlineStr">
        <is>
          <t>Turns out I've had multiple food intolerances and ibs for years. I'm on the low fodmap gluten free diet now and my symptoms of constipation, cramping, shortness of breath, acid reflux, excessive mucus, joint/muscle aches ect seem to be disappearing. If your tests show up clean and your doctor says "you're healthy" but you're still suffering, I'd recommend giving it a go.</t>
        </is>
      </c>
      <c r="D4259" t="n">
        <v>1</v>
      </c>
      <c r="E4259" t="n">
        <v>2</v>
      </c>
      <c r="F4259">
        <f>HYPERLINK("https://www.reddit.com/r/GERD/comments/eemvc4/unexplained_gerd_possibly_fixed/")</f>
        <v/>
      </c>
      <c r="G4259" t="inlineStr">
        <is>
          <t>2019-12-23 08:36:51</t>
        </is>
      </c>
      <c r="H4259" t="inlineStr"/>
    </row>
    <row r="4260">
      <c r="A4260" t="inlineStr">
        <is>
          <t>eemxz5</t>
        </is>
      </c>
      <c r="B4260" t="inlineStr">
        <is>
          <t>Having a bad flair up with sinus cold symptoms, anything to take besides omeprazole? Visit doctor or no?</t>
        </is>
      </c>
      <c r="C4260" t="inlineStr">
        <is>
          <t>Hi, this flair up started 20 days ago starting with a sore throat after a smoky concert then severe congestion and running nose and itchy eyes.
Now I am waking up in the middle of the night with my throat burning and in the morning I have blood in my tissues clearing my nose and dried bloody ear wax in my ears. At first it might not have been acid reflux but it sure is now, I get the acid gurgles all the time eating anything.
Normally Omeprazole clears me up fast. I’m allergic to antacid and it actually makes symptoms way worse. This seems to happen every winter, more time in bed I guess and eating more? I’m vegan and eat extremely healthy and plain as I’m also a serious athlete. There is not much to change there. 
I do NOT have health insurance for another 10 days, is it worth going to a clinic? I’m doubtful they could help but getting desperate.</t>
        </is>
      </c>
      <c r="D4260" t="n">
        <v>1</v>
      </c>
      <c r="E4260" t="n">
        <v>0</v>
      </c>
      <c r="F4260">
        <f>HYPERLINK("https://www.reddit.com/r/GERD/comments/eemxz5/having_a_bad_flair_up_with_sinus_cold_symptoms/")</f>
        <v/>
      </c>
      <c r="G4260" t="inlineStr">
        <is>
          <t>2019-12-23 08:42:14</t>
        </is>
      </c>
      <c r="H4260" t="inlineStr"/>
    </row>
    <row r="4261">
      <c r="A4261" t="inlineStr">
        <is>
          <t>eep7bp</t>
        </is>
      </c>
      <c r="B4261" t="inlineStr">
        <is>
          <t>Linx install and HH repair in three days!</t>
        </is>
      </c>
      <c r="C4261" t="inlineStr">
        <is>
          <t xml:space="preserve">  
    I'm nervous.  One of the hardest decisions of my life deciding between the linx and the Fundoplication.  My doc said its a coin flip on deciding between the two but he would choose the linx.</t>
        </is>
      </c>
      <c r="D4261" t="n">
        <v>1</v>
      </c>
      <c r="E4261" t="n">
        <v>10</v>
      </c>
      <c r="F4261">
        <f>HYPERLINK("https://www.reddit.com/r/GERD/comments/eep7bp/linx_install_and_hh_repair_in_three_days/")</f>
        <v/>
      </c>
      <c r="G4261" t="inlineStr">
        <is>
          <t>2019-12-23 11:25:32</t>
        </is>
      </c>
      <c r="H4261" t="inlineStr"/>
    </row>
    <row r="4262">
      <c r="A4262" t="inlineStr">
        <is>
          <t>eeq8p6</t>
        </is>
      </c>
      <c r="B4262" t="inlineStr">
        <is>
          <t>I'm hating my Life with all this PPI things.</t>
        </is>
      </c>
      <c r="C4262" t="inlineStr">
        <is>
          <t>4 months ago, I started having trouble swallowing, weight loss, heartburn. I went with an otorhinolaryngology and started with sucralfate and pantoprazole treatment. The situation didn't improve. Then i went with a gastroenterologist and he gave me 1 month more with the same treatment but with higher doses. Again, nothing improved. I had 2 endoscopies one month (September and October) apart and they only found me gastritis. I started treatment with Dexlansoprazole for a month and it did not improve significantly. As of today I have lost 48 lbs since September, I don't see improvement and I don't know what to do. I'm 23 Male, never had alcohol or smoked and I eat healthy, has anyone had a similar experience or what can you recommend? Thank you</t>
        </is>
      </c>
      <c r="D4262" t="n">
        <v>1</v>
      </c>
      <c r="E4262" t="n">
        <v>8</v>
      </c>
      <c r="F4262">
        <f>HYPERLINK("https://www.reddit.com/r/GERD/comments/eeq8p6/im_hating_my_life_with_all_this_ppi_things/")</f>
        <v/>
      </c>
      <c r="G4262" t="inlineStr">
        <is>
          <t>2019-12-23 12:41:59</t>
        </is>
      </c>
      <c r="H4262" t="inlineStr"/>
    </row>
    <row r="4263">
      <c r="A4263" t="inlineStr">
        <is>
          <t>eeqpkv</t>
        </is>
      </c>
      <c r="B4263" t="inlineStr">
        <is>
          <t>“Popping” feeling in throat while trying to swallow?</t>
        </is>
      </c>
      <c r="C4263" t="inlineStr">
        <is>
          <t>Hey everyone. I’ve posted here a few times and this is an issue I haven’t brought up before. My main issues usually involve my throat and swallowing, but something happening a bit for frequently is a sort of “pop” feeling when I swallow sometimes, specifically liquids. 
I notice it most when I just wake up and I notice I’m swallowing my excess saliva. But as I’m sitting here trudging through my late lunch I notice it as I try to drink to wash the food down. 
Anyone else experience issues with this?</t>
        </is>
      </c>
      <c r="D4263" t="n">
        <v>1</v>
      </c>
      <c r="E4263" t="n">
        <v>2</v>
      </c>
      <c r="F4263">
        <f>HYPERLINK("https://www.reddit.com/r/GERD/comments/eeqpkv/popping_feeling_in_throat_while_trying_to_swallow/")</f>
        <v/>
      </c>
      <c r="G4263" t="inlineStr">
        <is>
          <t>2019-12-23 13:15:38</t>
        </is>
      </c>
      <c r="H4263" t="inlineStr"/>
    </row>
    <row r="4264">
      <c r="A4264" t="inlineStr">
        <is>
          <t>eer9qs</t>
        </is>
      </c>
      <c r="B4264" t="inlineStr">
        <is>
          <t>Fiber</t>
        </is>
      </c>
      <c r="C4264" t="inlineStr">
        <is>
          <t>I have been working on reducing my stomach issues for a couple of years now and there are a few triggers with me, the biggest one being lactose.
However, I have discovered a new trick that may help others.  Fiber supplements.  I kind of stumbled onto it when I discovered that eating oatmeal calmed down my symptoms tremendously but also was not the most fun meal around.  So, the other day my son was complaining about similar issues and I got him some fiber supplements and it helped him, so I tried it and it has worked wonders.
My usual routine is that I try to skip breakfast and have a light lunch (trying to lose weight on top of all this) and it has helped me not feel sick and refluxy in the mornings and helped my appetite over lunch (not much, but it helps).
Maybe this is an idea that will work for you.  However, just be careful and don't get yourself constipated.</t>
        </is>
      </c>
      <c r="D4264" t="n">
        <v>1</v>
      </c>
      <c r="E4264" t="n">
        <v>0</v>
      </c>
      <c r="F4264">
        <f>HYPERLINK("https://www.reddit.com/r/GERD/comments/eer9qs/fiber/")</f>
        <v/>
      </c>
      <c r="G4264" t="inlineStr">
        <is>
          <t>2019-12-23 13:57:15</t>
        </is>
      </c>
      <c r="H4264" t="inlineStr"/>
    </row>
    <row r="4265">
      <c r="A4265" t="inlineStr">
        <is>
          <t>eerv4s</t>
        </is>
      </c>
      <c r="B4265" t="inlineStr">
        <is>
          <t>Opinions on this article about using PPI for a long time increase the risk of Gastric Cancer</t>
        </is>
      </c>
      <c r="C4265" t="inlineStr">
        <is>
          <t>I found this article today about the prolonged use of PPI and its correlation with gastric cancer, where they analyze the largest population so far. It reminded me of the Ranitidine article, but I wanted to know what you think? 
 https://bmjopen.bmj.com/content/7/10/e017739.full</t>
        </is>
      </c>
      <c r="D4265" t="n">
        <v>1</v>
      </c>
      <c r="E4265" t="n">
        <v>8</v>
      </c>
      <c r="F4265">
        <f>HYPERLINK("https://www.reddit.com/r/GERD/comments/eerv4s/opinions_on_this_article_about_using_ppi_for_a/")</f>
        <v/>
      </c>
      <c r="G4265" t="inlineStr">
        <is>
          <t>2019-12-23 14:41:21</t>
        </is>
      </c>
      <c r="H4265" t="inlineStr"/>
    </row>
    <row r="4266">
      <c r="A4266" t="inlineStr">
        <is>
          <t>eet1w6</t>
        </is>
      </c>
      <c r="B4266" t="inlineStr">
        <is>
          <t>If you take one PPI, for how many hours does it last?</t>
        </is>
      </c>
      <c r="C4266" t="inlineStr">
        <is>
          <t>I took Esompeprazole (similar to omeprazole) every night at 6 PM as directed by my doctor, 30 mins before sleep. I took 40mg (biggest) dose for 30 days, but it felt like it did nothing for my GERD. 
Now I tried out the lowest dose OTC H2 blocker, but instead I took it at noon. Now after 12 hours I still have no symptoms, and it feels like it worked like magic.
I'm starting to think that the reason this huge dose of a PPI didn't have a noticable change on my GERD because I took it at night, and by noon the next day I was experiencing my symptoms again. 
I did some research, but couldn't find any information regarding how long PPIs last. Anyone got a clue?</t>
        </is>
      </c>
      <c r="D4266" t="n">
        <v>1</v>
      </c>
      <c r="E4266" t="n">
        <v>4</v>
      </c>
      <c r="F4266">
        <f>HYPERLINK("https://www.reddit.com/r/GERD/comments/eet1w6/if_you_take_one_ppi_for_how_many_hours_does_it/")</f>
        <v/>
      </c>
      <c r="G4266" t="inlineStr">
        <is>
          <t>2019-12-23 16:11:40</t>
        </is>
      </c>
      <c r="H4266" t="inlineStr"/>
    </row>
    <row r="4267">
      <c r="A4267" t="inlineStr">
        <is>
          <t>eeudzd</t>
        </is>
      </c>
      <c r="B4267" t="inlineStr">
        <is>
          <t>Unsure what to do with GERD and HH</t>
        </is>
      </c>
      <c r="C4267" t="inlineStr">
        <is>
          <t>About 3 years ago I (26F) was diagnosed with GERD and a small hiatal hernia by a GI after doing an endoscopy. The doc basically told me that it was nothing to worry about and I would be fine if I lost weight (I am overweight but not morbidly obese or anything like that).  My problem with this statement is I had been dealing with this stomach pain for 4 years prior to my endoscopy (I had been avoiding the dr due to my horrible health insurance) and for most of those 4 years I was NOT overweight and was actually very healthy. 
Fast forward to now and I have learned that my flare ups are highly linked to my anxiety. The pain I experience can subside for weeks, but always comes back with a vengeance. I am not on any medication for this.  When I am dealing with my upset stomach, it’s typically so bad that I end up in the bathroom throwing up for awhile. 
I have an adjustable bed so I sleep elevated. I try not to eat past 6:30pm or earlier if I can. I eat Greek yogurt for breakfast every morning to try to get some probiotics in. 
I am unsure what to do at this point. Is it even worth trying to get a second opinion? I feel like the first doctor just shrugged me off and didn’t believe me, so I don’t want to waste my time if the situation is going to be the same.  Any thoughts or suggestions would be appreciated because I am lost at this point.</t>
        </is>
      </c>
      <c r="D4267" t="n">
        <v>1</v>
      </c>
      <c r="E4267" t="n">
        <v>1</v>
      </c>
      <c r="F4267">
        <f>HYPERLINK("https://www.reddit.com/r/GERD/comments/eeudzd/unsure_what_to_do_with_gerd_and_hh/")</f>
        <v/>
      </c>
      <c r="G4267" t="inlineStr">
        <is>
          <t>2019-12-23 17:59:28</t>
        </is>
      </c>
      <c r="H4267" t="inlineStr"/>
    </row>
    <row r="4268">
      <c r="A4268" t="inlineStr">
        <is>
          <t>eewkro</t>
        </is>
      </c>
      <c r="B4268" t="inlineStr">
        <is>
          <t>Not feeling significantly after starting medication. Chronic cough to the point where I feel I'm going to throw up sometimes, and random rashes or hives popping up out of nowhere. Not sure what to do, feel like giving up .</t>
        </is>
      </c>
      <c r="C4268" t="inlineStr">
        <is>
          <t>I was diagnosed with  GERD over 3 weeks ago now and since then I have started medication.  At this point I'm thinking this could be something more such as LPR, but since my GI diagnosed me with GERD, I took his word for it.  I Also have a small hernia but the doctor said it's small enough to not worry about it . I got my endoscopy and diagnosis done by a specialist in Mexico,  since I don't have health insurance and its across the border it just was easier for me at the time . What tipped me off in the first place was the chronic cough and throat clearing but it doesn't seem to be going away.  I suppose it may be my anxiety causing me to feel worse , but it's just very difficult to live day to day like this feeling like I'm killing my esophagus or throat by coughing.   I was prescribed pantoprazole 40mg , another medicine called itopride ( that isn't sold in the states ) and sucralfate in liquid form for stomach ulcer prevention .  All I'm wondering is if anyone felt worse before they got better ? Should I seek a second opinion here in the states , or maybe see another type of specialist such as a pulmonologist or ENT? Any help or advice would be awesome</t>
        </is>
      </c>
      <c r="D4268" t="n">
        <v>1</v>
      </c>
      <c r="E4268" t="n">
        <v>3</v>
      </c>
      <c r="F4268">
        <f>HYPERLINK("https://www.reddit.com/r/GERD/comments/eewkro/not_feeling_significantly_after_starting/")</f>
        <v/>
      </c>
      <c r="G4268" t="inlineStr">
        <is>
          <t>2019-12-23 21:02:36</t>
        </is>
      </c>
      <c r="H4268" t="inlineStr"/>
    </row>
    <row r="4269">
      <c r="A4269" t="inlineStr">
        <is>
          <t>eewrko</t>
        </is>
      </c>
      <c r="B4269" t="inlineStr">
        <is>
          <t>B.E. or not B.E.?</t>
        </is>
      </c>
      <c r="C4269" t="inlineStr">
        <is>
          <t>Short version: I’m a male in my 30s. I have annual EGDs for GERD, for which I take pantoprazole and nizatidine. Every year there’s inflammation, and periodically, he does a dilation. 
I’ve had some linear ulcers that have healed, and have occasionally had positive biopsies for eosinophilic esophagitis.
I had my most recent EGD in November. At my follow-up, doctor tells me that endoscopically, he saw Barrett’s. However, he took numerous biopsies of the area (GE junction) and all were negative for intestinal metaplasia. He said that the pathology report is the gold standard over visual appearance. 
Still, I worry about what he saw on endoscopy that appeared like BE in the first place. Any thoughts about this?
Thanks to everyone. Have a happy and healthy new year.</t>
        </is>
      </c>
      <c r="D4269" t="n">
        <v>1</v>
      </c>
      <c r="E4269" t="n">
        <v>5</v>
      </c>
      <c r="F4269">
        <f>HYPERLINK("https://www.reddit.com/r/GERD/comments/eewrko/be_or_not_be/")</f>
        <v/>
      </c>
      <c r="G4269" t="inlineStr">
        <is>
          <t>2019-12-23 21:18:53</t>
        </is>
      </c>
      <c r="H4269" t="inlineStr"/>
    </row>
    <row r="4270">
      <c r="A4270" t="inlineStr">
        <is>
          <t>eewyml</t>
        </is>
      </c>
      <c r="B4270" t="inlineStr">
        <is>
          <t>What’s the Christmas plan?</t>
        </is>
      </c>
      <c r="C4270" t="inlineStr">
        <is>
          <t>I’m struggling to see what I’m going to be eating as far as Christmas goes. I’ll be at two different holiday parties. Are you guys just saying fuck it? Or will you be packing your dinner with you? I hate being “that person” because there’s always someone that berates you to try their food. It’s already bad enough that I won’t be drinking /:</t>
        </is>
      </c>
      <c r="D4270" t="n">
        <v>1</v>
      </c>
      <c r="E4270" t="n">
        <v>0</v>
      </c>
      <c r="F4270">
        <f>HYPERLINK("https://www.reddit.com/r/GERD/comments/eewyml/whats_the_christmas_plan/")</f>
        <v/>
      </c>
      <c r="G4270" t="inlineStr">
        <is>
          <t>2019-12-23 21:36:56</t>
        </is>
      </c>
      <c r="H4270" t="inlineStr"/>
    </row>
    <row r="4271">
      <c r="A4271" t="inlineStr">
        <is>
          <t>eexhb5</t>
        </is>
      </c>
      <c r="B4271" t="inlineStr">
        <is>
          <t>Mouth vs nose breathing and a rapid improvement in GERD</t>
        </is>
      </c>
      <c r="C4271" t="inlineStr">
        <is>
          <t>I've, like many on this forum, struggled with GERD. No improvements at all even if I elevate my bed, on PPIs, antacids and what not, and a super restrictive diet.
I had only two symptoms - I'd wake up with acid hitting my throat every morning. The other was a horrid wet cough whenever I eat spicy or high fat foods. My overnight GERD was correlated with nutrition(i.e, high fat dinner would make it way worse).
I went back and was referred to another ENT as I wanted to make sure I wasn't missing something. The ENT happened to be a sleep specialist who said one possibility is that I'm breathing through my mouth while I am sleeping(I had naturally underdeveloped nasal passages or something) and he asked me to try a chin strap which would keep my mouth closed overnight. His hypothesis was that mouth breathing overnight could cause air buildup in my stomach, along with a few other things, causing me to reflux the stomach contents.
I tried this and I had, for the first time in years(and possibly since my childhood), incredible improvement in my reflux. It still happened to some level - and he's got me on an anti-allergy med to keep my nasal passages clear while I sleep to allow for easier breathing through the nose.
My symptoms have been much better after waking up EVERY day with reflux for years.
I am not out of the woods yet - but I hope this helps somoeone.</t>
        </is>
      </c>
      <c r="D4271" t="n">
        <v>1</v>
      </c>
      <c r="E4271" t="n">
        <v>10</v>
      </c>
      <c r="F4271">
        <f>HYPERLINK("https://www.reddit.com/r/GERD/comments/eexhb5/mouth_vs_nose_breathing_and_a_rapid_improvement/")</f>
        <v/>
      </c>
      <c r="G4271" t="inlineStr">
        <is>
          <t>2019-12-23 22:25:32</t>
        </is>
      </c>
      <c r="H4271" t="inlineStr"/>
    </row>
    <row r="4272">
      <c r="A4272" t="inlineStr">
        <is>
          <t>eeycs2</t>
        </is>
      </c>
      <c r="B4272" t="inlineStr">
        <is>
          <t>Pepcid Panic Attack</t>
        </is>
      </c>
      <c r="C4272" t="inlineStr">
        <is>
          <t>Anyone feels weird while taking pepcid? Like brain fog.</t>
        </is>
      </c>
      <c r="D4272" t="n">
        <v>1</v>
      </c>
      <c r="E4272" t="n">
        <v>3</v>
      </c>
      <c r="F4272">
        <f>HYPERLINK("https://www.reddit.com/r/GERD/comments/eeycs2/pepcid_panic_attack/")</f>
        <v/>
      </c>
      <c r="G4272" t="inlineStr">
        <is>
          <t>2019-12-23 23:58:04</t>
        </is>
      </c>
      <c r="H4272" t="inlineStr"/>
    </row>
    <row r="4273">
      <c r="A4273" t="inlineStr">
        <is>
          <t>eezoa4</t>
        </is>
      </c>
      <c r="B4273" t="inlineStr">
        <is>
          <t>Merry Christmas</t>
        </is>
      </c>
      <c r="C4273" t="inlineStr">
        <is>
          <t>Got your gaviscon ready?</t>
        </is>
      </c>
      <c r="D4273" t="n">
        <v>1</v>
      </c>
      <c r="E4273" t="n">
        <v>0</v>
      </c>
      <c r="F4273">
        <f>HYPERLINK("https://www.reddit.com/r/GERD/comments/eezoa4/merry_christmas/")</f>
        <v/>
      </c>
      <c r="G4273" t="inlineStr">
        <is>
          <t>2019-12-24 02:24:48</t>
        </is>
      </c>
      <c r="H4273" t="inlineStr"/>
    </row>
    <row r="4274">
      <c r="A4274" t="inlineStr">
        <is>
          <t>ef1bk2</t>
        </is>
      </c>
      <c r="B4274" t="inlineStr">
        <is>
          <t>Boston surgeon who does linx procedure?</t>
        </is>
      </c>
      <c r="C4274" t="inlineStr">
        <is>
          <t>Looking for recommendations on a great surgeon who does the linx, share your experience. Thanks!</t>
        </is>
      </c>
      <c r="D4274" t="n">
        <v>1</v>
      </c>
      <c r="E4274" t="n">
        <v>1</v>
      </c>
      <c r="F4274">
        <f>HYPERLINK("https://www.reddit.com/r/GERD/comments/ef1bk2/boston_surgeon_who_does_linx_procedure/")</f>
        <v/>
      </c>
      <c r="G4274" t="inlineStr">
        <is>
          <t>2019-12-24 05:25:11</t>
        </is>
      </c>
      <c r="H4274" t="inlineStr"/>
    </row>
    <row r="4275">
      <c r="A4275" t="inlineStr">
        <is>
          <t>ef2d3x</t>
        </is>
      </c>
      <c r="B4275" t="inlineStr">
        <is>
          <t>Need some encouragement with GERD</t>
        </is>
      </c>
      <c r="C4275" t="inlineStr">
        <is>
          <t>Hi guys...newly diagnosed with GERD. I'm feeling kinda depressed with the holidays and not being able to enjoy the food and drinks. I'm taking pantaprazole 40 mg, seems to be helping a little bit. I've changed my diet, but don't need to lose anymore weight. I lost 30 lbs in 6 months because I just wasn't able to eat, due to nausea and lump in throat. I know this is a chronic condition but please tell me it gets better. I could use some positive feedback. Thank you.</t>
        </is>
      </c>
      <c r="D4275" t="n">
        <v>1</v>
      </c>
      <c r="E4275" t="n">
        <v>26</v>
      </c>
      <c r="F4275">
        <f>HYPERLINK("https://www.reddit.com/r/GERD/comments/ef2d3x/need_some_encouragement_with_gerd/")</f>
        <v/>
      </c>
      <c r="G4275" t="inlineStr">
        <is>
          <t>2019-12-24 06:57:35</t>
        </is>
      </c>
      <c r="H4275" t="inlineStr"/>
    </row>
    <row r="4276">
      <c r="A4276" t="inlineStr">
        <is>
          <t>ef4wg0</t>
        </is>
      </c>
      <c r="B4276" t="inlineStr">
        <is>
          <t>Just got an upper endoscopy and esophageal widening...</t>
        </is>
      </c>
      <c r="C4276" t="inlineStr">
        <is>
          <t>My throat hurts (normal) but the area behind my chest bone also hurts (not severely). Almost a little like something is stuck in there or heartburn. Has anyone else experienced this?</t>
        </is>
      </c>
      <c r="D4276" t="n">
        <v>1</v>
      </c>
      <c r="E4276" t="n">
        <v>4</v>
      </c>
      <c r="F4276">
        <f>HYPERLINK("https://www.reddit.com/r/GERD/comments/ef4wg0/just_got_an_upper_endoscopy_and_esophageal/")</f>
        <v/>
      </c>
      <c r="G4276" t="inlineStr">
        <is>
          <t>2019-12-24 10:13:08</t>
        </is>
      </c>
      <c r="H4276" t="inlineStr"/>
    </row>
    <row r="4277">
      <c r="A4277" t="inlineStr">
        <is>
          <t>ef6ru5</t>
        </is>
      </c>
      <c r="B4277" t="inlineStr">
        <is>
          <t>How to prevent chest gas bubbles?</t>
        </is>
      </c>
      <c r="C4277" t="inlineStr">
        <is>
          <t>For a little context I had some acid reflux problems this summer due to vaping (i think) which i have been clean from since , so i was on omeprazole for a month or two which helped the issue go away then. It hasn’t been very bad since then except recently i went through something very stressful and also just got over the flu so it came back a little bit, the gas bubbles have been so bad it feels like im dying or being stabbed. (Could also sometimes be my asthma which gives me the stabby feeling periodically too) a nurse told me the gas bubbles could lead to other serious health issues and that’s made me even more stressed out, im an 18 yr old female should I really worry about this? Does anyone have any tips on preventing the gas bubbles in my chest or dealing with them so it doesn’t hurt me? I didn’t know they could hurt you so now I’m a bit stressed out</t>
        </is>
      </c>
      <c r="D4277" t="n">
        <v>1</v>
      </c>
      <c r="E4277" t="n">
        <v>1</v>
      </c>
      <c r="F4277">
        <f>HYPERLINK("https://www.reddit.com/r/GERD/comments/ef6ru5/how_to_prevent_chest_gas_bubbles/")</f>
        <v/>
      </c>
      <c r="G4277" t="inlineStr">
        <is>
          <t>2019-12-24 12:39:31</t>
        </is>
      </c>
      <c r="H4277" t="inlineStr"/>
    </row>
    <row r="4278">
      <c r="A4278" t="inlineStr">
        <is>
          <t>ef6tjz</t>
        </is>
      </c>
      <c r="B4278" t="inlineStr">
        <is>
          <t>Levocetirizine and GERD</t>
        </is>
      </c>
      <c r="C4278" t="inlineStr">
        <is>
          <t>Last night, I was so fed up with coughing (happens as soon as I lay down and it feels like half way between gagging and choking with about a 1% chance it could turn into vomit situation.  I have been coughing up clear mucus at times as well. 
Sick of the omeprazole not working and just frustrated, I took a 5mg dose of Xyzal (Levocetirizine) and within about 30 minutes I could fall asleep without coughing! Pleasant surprise! To my knowledge, this is an H1 blocker.   Anyone have any experience with this as well?</t>
        </is>
      </c>
      <c r="D4278" t="n">
        <v>1</v>
      </c>
      <c r="E4278" t="n">
        <v>0</v>
      </c>
      <c r="F4278">
        <f>HYPERLINK("https://www.reddit.com/r/GERD/comments/ef6tjz/levocetirizine_and_gerd/")</f>
        <v/>
      </c>
      <c r="G4278" t="inlineStr">
        <is>
          <t>2019-12-24 12:43:23</t>
        </is>
      </c>
      <c r="H4278" t="inlineStr"/>
    </row>
    <row r="4279">
      <c r="A4279" t="inlineStr">
        <is>
          <t>ef78r8</t>
        </is>
      </c>
      <c r="B4279" t="inlineStr">
        <is>
          <t>Heartburn and acid reflux for Christmas? Yay!</t>
        </is>
      </c>
      <c r="C4279" t="inlineStr">
        <is>
          <t>I’m suffering on Christmas Eve. Been suffering since yesterday. Don’t know what else to do except cry.</t>
        </is>
      </c>
      <c r="D4279" t="n">
        <v>1</v>
      </c>
      <c r="E4279" t="n">
        <v>37</v>
      </c>
      <c r="F4279">
        <f>HYPERLINK("https://www.reddit.com/r/GERD/comments/ef78r8/heartburn_and_acid_reflux_for_christmas_yay/")</f>
        <v/>
      </c>
      <c r="G4279" t="inlineStr">
        <is>
          <t>2019-12-24 13:17:50</t>
        </is>
      </c>
      <c r="H4279" t="inlineStr"/>
    </row>
    <row r="4280">
      <c r="A4280" t="inlineStr">
        <is>
          <t>ef7qtb</t>
        </is>
      </c>
      <c r="B4280" t="inlineStr">
        <is>
          <t>Breathing issues</t>
        </is>
      </c>
      <c r="C4280" t="inlineStr">
        <is>
          <t>Does anyone else have a hard time breathing with GERD? I am only 20 and this is causing me so many issues.</t>
        </is>
      </c>
      <c r="D4280" t="n">
        <v>1</v>
      </c>
      <c r="E4280" t="n">
        <v>14</v>
      </c>
      <c r="F4280">
        <f>HYPERLINK("https://www.reddit.com/r/GERD/comments/ef7qtb/breathing_issues/")</f>
        <v/>
      </c>
      <c r="G4280" t="inlineStr">
        <is>
          <t>2019-12-24 13:59:16</t>
        </is>
      </c>
      <c r="H4280" t="inlineStr"/>
    </row>
    <row r="4281">
      <c r="A4281" t="inlineStr">
        <is>
          <t>ef9ixf</t>
        </is>
      </c>
      <c r="B4281" t="inlineStr">
        <is>
          <t>Any ideas?</t>
        </is>
      </c>
      <c r="C4281" t="inlineStr">
        <is>
          <t>I got a tonsillectomy and an adenoidectomy back in July due to them being the size of golf balls. Ever sense then I've had nothing but Globus sensation and Post Nasal Drip and my throat feels tighter/smaller. Could the surgeries have caused it? Are there any meds or antacids I could take to alleviate these sensations?</t>
        </is>
      </c>
      <c r="D4281" t="n">
        <v>1</v>
      </c>
      <c r="E4281" t="n">
        <v>0</v>
      </c>
      <c r="F4281">
        <f>HYPERLINK("https://www.reddit.com/r/GERD/comments/ef9ixf/any_ideas/")</f>
        <v/>
      </c>
      <c r="G4281" t="inlineStr">
        <is>
          <t>2019-12-24 16:32:39</t>
        </is>
      </c>
      <c r="H4281" t="inlineStr"/>
    </row>
    <row r="4282">
      <c r="A4282" t="inlineStr">
        <is>
          <t>ef9ooe</t>
        </is>
      </c>
      <c r="B4282" t="inlineStr">
        <is>
          <t>PPI Omeprazole messed me up worse than before</t>
        </is>
      </c>
      <c r="C4282" t="inlineStr">
        <is>
          <t>So I have had chronic gerd, early satiety, uncomfortable fullness, and nausea for the last 4 years and I’ve tried everything under the sun. Probiotics, antidepressants, antibiotics, h2 inhibitors, herbal supplements, and of course PPI’s. But this most recent time I was prescribed 40mg of omeprazole because I still was feeling early satiety, feeling full for hours after a meal, and nausea occasionally.
For the record, I had multiple endoscopies within the last few years with only mild gastritis but no structural problems. Also had gallbladder taken out after it was found 30% functioning. Gastric emptying study was normal despite gastroparesis seeming like the issue.
So back to the recent 40mg omeprazole. I am also on 50mg sertraline (Zoloft) and it’s helping my GI problems a decent amount but I’m still nowhere near normal like I was before all this began happening in 2015. I was on the omeprazole for about 2 weeks before I had to quit. This medication was the only thing I changed within the two weeks (before I would supplement with Zantac that I have left since before the recall). This omeprazole caused intense abdominal pain (specifically right side of belly button) nausea, INCREASED REFLUX, even more early satiety, and just feeling like someone was just squeezing all of my organs. I stopped taking it a few days ago because it was making everything worse, and I’m still having those increased symptoms.
Does anyone have any suggestions? I’m sitting here after forcing myself to eat 2 bites of dinner in excruciating pain and discomfort and I just feel like I’m at a dead end road with no more options. Thanks for reading if you got this far and try to have happy holidays for me!</t>
        </is>
      </c>
      <c r="D4282" t="n">
        <v>1</v>
      </c>
      <c r="E4282" t="n">
        <v>17</v>
      </c>
      <c r="F4282">
        <f>HYPERLINK("https://www.reddit.com/r/GERD/comments/ef9ooe/ppi_omeprazole_messed_me_up_worse_than_before/")</f>
        <v/>
      </c>
      <c r="G4282" t="inlineStr">
        <is>
          <t>2019-12-24 16:46:50</t>
        </is>
      </c>
      <c r="H4282" t="inlineStr"/>
    </row>
    <row r="4283">
      <c r="A4283" t="inlineStr">
        <is>
          <t>efb6n8</t>
        </is>
      </c>
      <c r="B4283" t="inlineStr">
        <is>
          <t>Stuck in an anxiety-filled waiting game (sorry, long vent post)</t>
        </is>
      </c>
      <c r="C4283">
        <f>==Some backstory===
Things haven't been very easy for the last few years, I started having serious anxiety issues in the beginning of my junior year of high school, it came on so strong and so suddenly I was missing significant amounts of school before I was eventually allowed to do out-of-school tutoring if I began going to a psychiatrist. I was run through a grocery list of meds (Clonidine, Lexapro, Prozac, Wellbutrin, Propranolol, Xanax, Klonopin, and a few more) without even being told about talk therapy, meditation, or anything else. I was a basket case from being switched between scripts. I fell behind in tutoring and reached the point where my school and my family agreed I'd be better off leaving school and getting my GED. I came off all medication, got my GED, and started feeling a little bit better. I had put off driving because I didn't feel safe behind the wheel when I was anxious (all the time). 
The day before I turned 18 I tried marijuana, I found out it turned off my anxiety like a switch and allowed me to think things through in a rational manner and sleep like a rock. From that day on I started smoking a small joint every night a few hours before bed and I felt like a new person. With the motivation of having my horrible school years behind me, but not quite sure what to go to school for, I went to work at what turned out to be an awful, stressful job that turned out to be the start of my stomach issues, I think. After a year and a half of working there I realized I hadn't thought about school or driving, I hated my job so much it consumed me and was all I thought about until I started gagging from the anxiety every day before work which made me sick and work that much more unpleasant. Around the two-year mark I quit to save my health and started work with a friend doing some odd jobs to pay the bills.
I realized I needed to focus on my mental health so I could move forward in life, I got more serious about things; I started seeing a psychologist I really like, learned to meditate, lost some weight, and started eating a bit better.  I started driving, felt more confident than ever, and had switched from smoking marijuana to dry herb vaping. I walked into a local store one day and after talking to the owner, walked out with a job. Part time only I was promised. The hours increased and increased, I realized I was working for a narcissistic, bipolar, belittling nut job, but I stuck with it for the money and my mental health declined. I stopped driving, started smoking weed before work every day, and gagging from the anxiety again. Exactly one year after I started, I quit my job the week before Christmas 2018.
This signaled the start of the most stress I've ever been under, we had several deaths in the family, moved elderly family across the country to be nearby, and more. I had to help with so many different things I knew nothing about it made my head spin, but by this October things started to calm down and go back to normal.
===Recent issues start here===
By this November I was bringing my focus back to my health because I had started to lean heavier and heavier on Marijuana until I was smoking a gram or more a day. I wasn't exercising, and had stopped going to therapy because we had so much going on. I had noticed throughout the last year I began using a lot of tissues coughing up clear phlegm throughout the day but attributed it to my smoking. I was gagging most mornings and rarely threw up, and told myself it was from the anxiety. 
In early November I started noticing shortness of breath, I wasn't too worried since I've had it a couple times in the past, for a few days I occasionally can't get a full breath and have to take a deep breath/yawn. This went on for a few days without much concern, but a couple days later I woke up with some intestinal distress and ran to the bathroom. Immediately it felt like I was passing gasoline, painful burning mush shot out of me and I was doubled over in pain. My gut felt fine after I was done, just a good amount of burning and soreness on the departure gate for the next couple days. The next night as I was going to sleep I felt like I was being suffocated, it was the first time the breathing issue had alarmed me and it felt like my throat was closing up. I got an appointment with my doctor the next day who examined me and saw no obvious issues. Normal heart rate/blood pressure/blood oxygen/motor skills. He ordered a chest xray which came back normal, referred me to a pulmonologist about 6 weeks out, and told me to eat simply since I likely have a stomach bug. 
My anxiety was through the roof. Did the xray miss something? Is it more sinister than my lungs? After a few days of panic I was worn down until I went to the ER. Same results as doc, examinated as fine, they ran a chest xray which came back clear and an EKG which showed momentary t-wave inversion but I was told it was nothing. I was given klonopin which calmed me down and I started breathing easier. I had a discussion with the Physician about anxiety and was told to follow up with my doctor in 2-4 days. I decided to cut back on my Marijuana use, so I made the hard choice and switched back to vaporizing cannabis only, which has been jarring since this alone has cut the amount I consume in half. Pairing this with the health anxiety, my stomach started feeling a bit weird and gurgling a lot, occasionally it felt like my throat was swollen but I thought it was from being so anxious. My doctors office gave me the run-around asking me why it was necessary for me to see my doctor when I had been declared healthy at the ER. I called them every day for a week and a half and kept being told "oh he's not around, we haven't talked to him". Finally I got a sympathetic receptionist who booked me an appointment no-questions-asked with my doctor the same day. My doc confirmed I was fine but wanted to run a blood test, I agreed, blood was drawn, and was told the results would be available in a couple days. The results came back 7 days later, totally fine aside from slightly high cholesterol, boy do I hate waiting for results. 
I went back to the ER a week later feeling like my breathing was even worse. I was quickly examined, given another EKG which was fine, got a stern talking-to about my anxiety, and given a no-refill klonopin script (I live in a state where benzodiazepines are heavily restricted and frowned upon) and told to pick up some Pepcid AC for the gagging. I started to improve drastically taking 0.5mg of Klonopin before bed each day and was back to my normal self aside from the annoying shortness of breath. I got back in with my therapist and was feeling good for about a week, looking forward to getting answers at the pulmonologist I was eating normally and living life until one morning I woke up a few hours early, immediately began gagging and knew I had to throw up. I heaved and heaved and got only an undigested snack I'd eaten in the middle of the night. On the second round of heaving I felt pain in my throat which immediately stopped me from retching. I drank a glass of water, cleared my throat, and when I spit in the sink I noticed a streak of fresh red blood every time I spit for about an hour. My throat started to feel swollen, and I just figured I'd irritated it.  A couple days go by and it doesn't feel any better, and I start having chest pain which for the first time which I later identify as heartburn. I start eating less, drinking less, and feeling terrible because my breathing is even more restricted by my throat. My mouth flared up with 6-8 canker sores and I became scared this was a bad reaction to the pepcid and stopped taking it. 
On the 17th I went to the Pulmonologist. I got a very basic exam and asked for a quick history and asked a few questions, ending in "have you ever had acid reflux?" I said yes, recently, only occasionally. I was told he was was ordering me a chest CT w/ contrast at one nearby medical center and a Spirometry test at another, as well as prescribing me 40mg of Omeprazole to be taken in the morning with food. I have called them every day and I still do not have the appointments. It took the office until the night of the 19th to call in the prescription. I e-mailed my doctor about my issues who decided I should seek another specialist and referred me to an ENT, which I booked for early January. Ever since I've been waiting for these tests, I've been an anxious wreck. I can't eat anything without my stomach going crazy. I started the omeprazole and was recommended Mylanta by family to help with the throat soreness. The mylanta began giving me uncontrollable liquid diarrhea. I  I woke up Friday morning with a notification on my doctor's patient portal, stating I had a new current condition added to my profile by my pulmonologist.
"Gastro-esophageal reflux disease"
I started visiting this sub and began spiraling further. Reading about hiatal hernias, LPR, and all the lifestyle changes I need to make to accommodate a life with GERD is killing me and I don't know how to stop. My therapist is on vacation until mid-November. I've had the term "Nissen fundoplication" burning a hole in my mind ever since I first found out about it. I began regurgitating food after eating, my throat always burns, I can't sleep, my pee smells funny, and I'm on an emotional rollercoaster. I've cried several hours a day since Friday, I'm so worn down from staying on top of doctors offices who take weeks to book appointments or try to shoo me away because I was in too recently. When I do get into see the doctor I feel like I have 15 minutes and that's it. It seems like everyone is attributing everything to my anxiety and my brain can't accept it. There has to be a concrete reason, my anxiety tells me. I fear ill need stomach surgery or never be able to eat my favorite foods again. I began having visual distortions, felt dissociated, and had frequent headaches. I stopped the omeprazole after four days fearing it was that. I contacted my doctor about my concerns and they never got back to me before the holiday. It turns out my yearly physical falls on this Friday, I'm going to request a barium swallow and h. Pylori test. 
I'm sorry this is so long and disjointed and may not even belong here. Hopefully someone can sort through my rambling and perhaps relate. I've spent three hours writing this to hopefully empty my brain of some negativity until I can get back to my therapist. Perhaps this Friday will bring some answers. I don't know. I just hope my brain can last that long, I feel more worn down every day, and I feel like I know less and less about what's going on with me. 
Happy Holidays.</f>
        <v/>
      </c>
      <c r="D4283" t="n">
        <v>1</v>
      </c>
      <c r="E4283" t="n">
        <v>0</v>
      </c>
      <c r="F4283">
        <f>HYPERLINK("https://www.reddit.com/r/GERD/comments/efb6n8/stuck_in_an_anxietyfilled_waiting_game_sorry_long/")</f>
        <v/>
      </c>
      <c r="G4283" t="inlineStr">
        <is>
          <t>2019-12-24 19:12:14</t>
        </is>
      </c>
      <c r="H4283" t="inlineStr"/>
    </row>
    <row r="4284">
      <c r="A4284" t="inlineStr">
        <is>
          <t>efgsa4</t>
        </is>
      </c>
      <c r="B4284" t="inlineStr">
        <is>
          <t>Does cumin seed cause gerd for you?</t>
        </is>
      </c>
      <c r="C4284" t="inlineStr">
        <is>
          <t>Every day i Have a simple meal for dinner, rice, lentils, with a TINY bit of canola oil, himalayan salt, and cumin seed.
Problem is its been triggering my gerd and I feel like its the cumin seed causing it cos thats the flavor i burp up.
I read everywhere online that cumin seed is supposed to be good for gerd and lower acidity, I guess not?
Or maybe its the canola oil? Should I do extra virgin olive oil instead?
please help!</t>
        </is>
      </c>
      <c r="D4284" t="n">
        <v>1</v>
      </c>
      <c r="E4284" t="n">
        <v>2</v>
      </c>
      <c r="F4284">
        <f>HYPERLINK("https://www.reddit.com/r/GERD/comments/efgsa4/does_cumin_seed_cause_gerd_for_you/")</f>
        <v/>
      </c>
      <c r="G4284" t="inlineStr">
        <is>
          <t>2019-12-25 06:01:31</t>
        </is>
      </c>
      <c r="H4284" t="inlineStr"/>
    </row>
    <row r="4285">
      <c r="A4285" t="inlineStr">
        <is>
          <t>efhcqd</t>
        </is>
      </c>
      <c r="B4285" t="inlineStr">
        <is>
          <t>Does turmeric cause gerd?</t>
        </is>
      </c>
      <c r="C4285" t="inlineStr">
        <is>
          <t>people say its inflammatory and helps everything including gerd, but i feel like it definitely triggers gerd for me.</t>
        </is>
      </c>
      <c r="D4285" t="n">
        <v>1</v>
      </c>
      <c r="E4285" t="n">
        <v>9</v>
      </c>
      <c r="F4285">
        <f>HYPERLINK("https://www.reddit.com/r/GERD/comments/efhcqd/does_turmeric_cause_gerd/")</f>
        <v/>
      </c>
      <c r="G4285" t="inlineStr">
        <is>
          <t>2019-12-25 06:56:25</t>
        </is>
      </c>
      <c r="H4285" t="inlineStr"/>
    </row>
    <row r="4286">
      <c r="A4286" t="inlineStr">
        <is>
          <t>efhoeq</t>
        </is>
      </c>
      <c r="B4286" t="inlineStr">
        <is>
          <t>Any tips of how to stop waking up with an extremely dry and irritated mouth and throat?</t>
        </is>
      </c>
      <c r="C4286" t="inlineStr">
        <is>
          <t>I have reflux and I’m a mouth breather so I’m in a tough situation. Any ideas on how to combat this?</t>
        </is>
      </c>
      <c r="D4286" t="n">
        <v>1</v>
      </c>
      <c r="E4286" t="n">
        <v>5</v>
      </c>
      <c r="F4286">
        <f>HYPERLINK("https://www.reddit.com/r/GERD/comments/efhoeq/any_tips_of_how_to_stop_waking_up_with_an/")</f>
        <v/>
      </c>
      <c r="G4286" t="inlineStr">
        <is>
          <t>2019-12-25 07:26:03</t>
        </is>
      </c>
      <c r="H4286" t="inlineStr"/>
    </row>
    <row r="4287">
      <c r="A4287" t="inlineStr">
        <is>
          <t>efk18h</t>
        </is>
      </c>
      <c r="B4287" t="inlineStr">
        <is>
          <t>GERD survey - Please share your experience and labwork</t>
        </is>
      </c>
      <c r="C4287" t="inlineStr">
        <is>
          <t>Could everyone share their lab work and answer the following questions. 
0) Age, sex, weight, height. Are you overweight or fat? Do you exercise? 
1) What medicine do you take? Are you on a multivitamin for past 3 months? Do you have any other disease? 
2) Is your GERD caused by a hernia?
3) Do you have high or low estrogen? Do you have lab work to prove this? What are your numbers? 
4) Do you have high cholesterol? LDL? HDL? lp(a)?
5) Are you stressed? Do you have tension headaches?
6) Do you have anxiety? Do you think it’s caused by GERD?
7) How was your endoscopy? Any ulcers or hernia? Or all good?
8) Any medicines cause GERD when you haven’t needed medicine or was cured? (E.g. My GERD comes and goes. I didn’t have GERD for years until I took Arimidex and then it came back)
9) Have you done keto or low carb for more than  6 weeks? Did it help?
10) Anything on 23andme? MTHFR? 
11) Look up snp: rs1801131? rs1801133? rs12934922? rs6420424? rs6330? rs140701?
12) Low vitamin D? Vitamin A?
Please share labwork</t>
        </is>
      </c>
      <c r="D4287" t="n">
        <v>1</v>
      </c>
      <c r="E4287" t="n">
        <v>0</v>
      </c>
      <c r="F4287">
        <f>HYPERLINK("https://www.reddit.com/r/GERD/comments/efk18h/gerd_survey_please_share_your_experience_and/")</f>
        <v/>
      </c>
      <c r="G4287" t="inlineStr">
        <is>
          <t>2019-12-25 10:40:52</t>
        </is>
      </c>
      <c r="H4287" t="inlineStr"/>
    </row>
    <row r="4288">
      <c r="A4288" t="inlineStr">
        <is>
          <t>eflacr</t>
        </is>
      </c>
      <c r="B4288" t="inlineStr">
        <is>
          <t>Have issues with nausea from the throat when eating. Also excessive belching, etc. Any advice? Is this GERD?</t>
        </is>
      </c>
      <c r="C4288" t="inlineStr">
        <is>
          <t>Hi everyone, f(21) here. for a couple weeks now I’ve had bad stomach pain/nausea. I noticed that the nausea was never in my stomach, it was in my throat. I can barely eat. When I do eat, I feel like I can’t swallow. I feel like I need to hurry up and run to the bathroom to vomit. I haven’t thrown up yet, but when I eat it is so bad I feel like I am going too. I also have excessive benching. The belching usually makes me feel a bit better.  The belching is difficult to do because it feels like it comes from deep and is filled with vomit. This usually happens when I’m eating. When I am not eating, I am, for the most part, ok. Usually having gas makes me feel better. But I feel like I have a lump in my throat the size of a golf ball periodically throughout the day. It usually comes in waves. I saw my GI specialist. He put me on omeprazole 40mg once a day in the morning. Usually when I take it I feel worse with the nausea. He put me in for an emergency endoscopy which is next Monday. I am very nervous. I can barely eat or swallow anymore. The feeling is consuming. I have regurgitation issues as well, where when I do burp I usually regurgitate a lot. My doctor is thinking GERD, an ulcer, or a hiatal hernia. I am not sure what it is. But I am wondering if anyone else had any of these symptoms with GERD? Is this what GERD feels like? 
I should add that I have been tested for celiac and lactose intolerance, I don’t not have it. I have IBS since I was little. I have a little history of acid reflux but never severe. I also had a colonoscopy in January 2018 which was clear.</t>
        </is>
      </c>
      <c r="D4288" t="n">
        <v>1</v>
      </c>
      <c r="E4288" t="n">
        <v>1</v>
      </c>
      <c r="F4288">
        <f>HYPERLINK("https://www.reddit.com/r/GERD/comments/eflacr/have_issues_with_nausea_from_the_throat_when/")</f>
        <v/>
      </c>
      <c r="G4288" t="inlineStr">
        <is>
          <t>2019-12-25 12:22:19</t>
        </is>
      </c>
      <c r="H4288" t="inlineStr"/>
    </row>
    <row r="4289">
      <c r="A4289" t="inlineStr">
        <is>
          <t>eflt6w</t>
        </is>
      </c>
      <c r="B4289" t="inlineStr">
        <is>
          <t>Trying to get off Prilosec</t>
        </is>
      </c>
      <c r="C4289" t="inlineStr">
        <is>
          <t>22 year old male and weigh 130 pounds. I started taking Prilosec mid September when I could’ve easily solved my constipation/bloating issues with lifestyle changes looking back. The Prilosec did help my issues the first 2 weeks and when I stopped the issues returned so my family and I assumed I should just continue to take them which is what I did up until last week where I ran out and didn’t take any for 5 days. Was okay for the first 3 but on the fourth night my stomach started burning to the point where I couldn’t sleep through it. I never experienced this burning sensation in my stomach before so I was in quite a panic doing all sorts of research on what it could be. Turns out Prilosec has a hidden nightmare to it if you immediately stop taking it after prolonged usage.
My symptoms so far include:
Acid reflux
Burning sensation in my lower stomach (left or right depending on which side I lay on)
Heartburn
Weight loss (10 pounds since I started Prilosec)
Back pain (most likely from my posture when I’m standing bloated)
Bloating
Flatulence/burping. just experienced foul smelling burps today for the first time. Felt something creep high up through my esophagus and cause burning before I shot out of bed. 2 hours later I had a burping fit that felt like it was coming from the area that got burned and it smelled awful.)
Since we discovered this drugs backlash we’ve been trying a few things to correct my issues:
Increase water intake to dilute the acid. went from drinking 34oz to roughly 68oz of water within a 24 hour period. Didn’t help much I still felt the burning sensation. Just urinated a lot more than usual and it comes out nearly clear.
Changed up my eating.  I believe I have a gluten and lactose intolerance so I’m strictly eating broccoli green beans and grilled chicken. If I get hungry after 6pm I eat a few crackers or a handful of Cheerios to stop any hunger feelings. I imagine a healthier diet helps regardless but I still can’t get a good night’s sleep after this change.
Swanson mellow mag magnesium. Took it with a full bottle of water last night. God I wish I put more thought into that. Went to the bathroom at least 8 times pooping out green water and broccoli bits. Dad assumed my magnesium level or something was low due to the use of Prilosec. Gotta research that a bit more but I’m not doing that again.
Couldn’t sleep last night because of all the symptoms above plus the magnesium and I’m pretty sure I’m sleep deprived at this point. Around 8 hours ago I took 2 antacid tablets and followed it up with the Prilosec 2 hours afterwards. Stopped my symptoms for maybe an hour which thankfully was enough time for me to sleep before it all inevitably started coming back but I managed to get at least 5 or 6 hours of sleep. I’m ready to throw in the towel and head to an emergency room or quickcare but everything is closed today due to Christmas so I’m gonna be suffering until tomorrow. Right now my dad is telling me I could have low acid. I did a quick google search and apparently high and low acid seems to have similar symptoms. 
Thinking about it logically I’ve been downing a few antacids and taking the Prilosec daily since my symptoms started so it really would make more sense that my acid is low but what’s throwing me off is this burning sensation in my stomach I originally assumed to be excess acid from not taking the prilosec for 5 days straight. I have never experienced this so I’m not sure what it could be. My dad believes I have a stomach ulcer but I’m not too sure since I feel the burning on different areas of my stomach unless the ulcer just has an effect on my entire stomach. My next and last course of action before the doctor trip is to try apple cider vinegar to balance out my acid levels. My only concern with it is what happens if I’m wrong and my acid is actually high. 
If I could get actually get a good nights rest everyday I believe I could manage the backlash of Prilosec until my stomach pulls itself together but the symptoms come at me full force once I hit the bed. This morning I tried sleeping sitting on my couch tilting my head on a pillow. Not the most comfortable position but I manage to fall asleep without anything rising up my esophagus. 
At this point I know my best option is to get checked out and pinpoint what exactly is wrong with me but I absolutely do not want to take anymore ppi medications I feel really stupid for it and I’m not putting any other drug in my body unless I know every last detail about it. 
Any thoughts or advice? Not really sure what I’m looking for I know my path is about to get rough I’m just venting at this point and need someone to talk to about this.</t>
        </is>
      </c>
      <c r="D4289" t="n">
        <v>1</v>
      </c>
      <c r="E4289" t="n">
        <v>8</v>
      </c>
      <c r="F4289">
        <f>HYPERLINK("https://www.reddit.com/r/GERD/comments/eflt6w/trying_to_get_off_prilosec/")</f>
        <v/>
      </c>
      <c r="G4289" t="inlineStr">
        <is>
          <t>2019-12-25 13:05:46</t>
        </is>
      </c>
      <c r="H4289" t="inlineStr"/>
    </row>
    <row r="4290">
      <c r="A4290" t="inlineStr">
        <is>
          <t>efn5fc</t>
        </is>
      </c>
      <c r="B4290" t="inlineStr">
        <is>
          <t>Carbs cause reflux</t>
        </is>
      </c>
      <c r="C4290" t="inlineStr">
        <is>
          <t>Something I noticed is that if I eat carbs that aren't gluten free, I get lots of burping/reflux. I only accidentally stumbled upon this fact when put on a gluten-free diet by my doctor. I am not allergic to gluten (tests were done), but was asked to eat gluten-free for anti-inflammatory reasons. When I "cheat" on my diet then I get reflux. It's pretty consistent, so I figured I'd share this knowledge with others in case it helps them. I always thought it was onions, or meat, but I can eat those fine so long as I don't have gluten the same day as well.</t>
        </is>
      </c>
      <c r="D4290" t="n">
        <v>1</v>
      </c>
      <c r="E4290" t="n">
        <v>15</v>
      </c>
      <c r="F4290">
        <f>HYPERLINK("https://www.reddit.com/r/GERD/comments/efn5fc/carbs_cause_reflux/")</f>
        <v/>
      </c>
      <c r="G4290" t="inlineStr">
        <is>
          <t>2019-12-25 14:59:49</t>
        </is>
      </c>
      <c r="H4290" t="inlineStr"/>
    </row>
    <row r="4291">
      <c r="A4291" t="inlineStr">
        <is>
          <t>efo9ym</t>
        </is>
      </c>
      <c r="B4291" t="inlineStr">
        <is>
          <t>Finally had a night of easy swallowing, accidentally over ate/ate too fast!</t>
        </is>
      </c>
      <c r="C4291" t="inlineStr">
        <is>
          <t>I’m very happy to have finally enjoyed some food. But now I’m in quite amount of pain from over eating 😅. Plus it was food that may trigger me later, we will see how it goes.</t>
        </is>
      </c>
      <c r="D4291" t="n">
        <v>1</v>
      </c>
      <c r="E4291" t="n">
        <v>2</v>
      </c>
      <c r="F4291">
        <f>HYPERLINK("https://www.reddit.com/r/GERD/comments/efo9ym/finally_had_a_night_of_easy_swallowing/")</f>
        <v/>
      </c>
      <c r="G4291" t="inlineStr">
        <is>
          <t>2019-12-25 16:37:50</t>
        </is>
      </c>
      <c r="H4291" t="inlineStr"/>
    </row>
    <row r="4292">
      <c r="A4292" t="inlineStr">
        <is>
          <t>efosv9</t>
        </is>
      </c>
      <c r="B4292" t="inlineStr">
        <is>
          <t>What toothpaste do you use?</t>
        </is>
      </c>
      <c r="C4292" t="inlineStr">
        <is>
          <t>My teeth are getting weaker and they hurt all the time I’ve tried all the sensitivity toothbrushes and pastes. What works for u?</t>
        </is>
      </c>
      <c r="D4292" t="n">
        <v>1</v>
      </c>
      <c r="E4292" t="n">
        <v>3</v>
      </c>
      <c r="F4292">
        <f>HYPERLINK("https://www.reddit.com/r/GERD/comments/efosv9/what_toothpaste_do_you_use/")</f>
        <v/>
      </c>
      <c r="G4292" t="inlineStr">
        <is>
          <t>2019-12-25 17:25:06</t>
        </is>
      </c>
      <c r="H4292" t="inlineStr"/>
    </row>
    <row r="4293">
      <c r="A4293" t="inlineStr">
        <is>
          <t>efp3ev</t>
        </is>
      </c>
      <c r="B4293" t="inlineStr">
        <is>
          <t>Need advice gerd insomnia</t>
        </is>
      </c>
      <c r="C4293" t="inlineStr">
        <is>
          <t>So has anyone developed a sort of insomnia do to gerd related symptoms? Every time I got to sleep I can only sleep 2-3 hours before being awoken with slight burning in my chest and stomach. If I usually just posture up those symptoms go away quickly, but here I am left wide awake. I have been sleeping with my head elevated bed, but I’m not sure how much to angle it. Though I’m able to sleep better then lying flat, I still get the slight acid.
Also does anyone else get weird dreams before waking up with acid? I do.</t>
        </is>
      </c>
      <c r="D4293" t="n">
        <v>1</v>
      </c>
      <c r="E4293" t="n">
        <v>12</v>
      </c>
      <c r="F4293">
        <f>HYPERLINK("https://www.reddit.com/r/GERD/comments/efp3ev/need_advice_gerd_insomnia/")</f>
        <v/>
      </c>
      <c r="G4293" t="inlineStr">
        <is>
          <t>2019-12-25 17:51:36</t>
        </is>
      </c>
      <c r="H4293" t="inlineStr"/>
    </row>
    <row r="4294">
      <c r="A4294" t="inlineStr">
        <is>
          <t>efp3xm</t>
        </is>
      </c>
      <c r="B4294" t="inlineStr">
        <is>
          <t>Persistent sour taste, at a loss</t>
        </is>
      </c>
      <c r="C4294" t="inlineStr">
        <is>
          <t>I have LPR and have been taking amitriptyline and Gaviscon at night for about a year+ to control the symptoms. Recently I developed this sour taste in my mouth that is driving me nuts. My tongue also gets white constantly despite scraping it. The weird thing is that as far as I can tell I don't have bad breath though. It's just the weird taste.
I asked my dentist about thrush and he said it definitely wasn't. Maybe it's a side effect of the amitriptyline? This never used to happen though. I've tried adding Nexium/famotidine back to my routine (they never seem to do anything for me) and nothing so far.</t>
        </is>
      </c>
      <c r="D4294" t="n">
        <v>1</v>
      </c>
      <c r="E4294" t="n">
        <v>4</v>
      </c>
      <c r="F4294">
        <f>HYPERLINK("https://www.reddit.com/r/GERD/comments/efp3xm/persistent_sour_taste_at_a_loss/")</f>
        <v/>
      </c>
      <c r="G4294" t="inlineStr">
        <is>
          <t>2019-12-25 17:52:50</t>
        </is>
      </c>
      <c r="H4294" t="inlineStr"/>
    </row>
    <row r="4295">
      <c r="A4295" t="inlineStr">
        <is>
          <t>efpghk</t>
        </is>
      </c>
      <c r="B4295" t="inlineStr">
        <is>
          <t>AWD Readers/Do-ers.. I have a question before starting</t>
        </is>
      </c>
      <c r="C4295" t="inlineStr">
        <is>
          <t>Did you follow the meal plan provided to the tee or did you just take the healing phase friendly grocery list and make your own recipes? 
Did your symptoms get better? 
Also should I get a gerd pillow for bed? 
Thanks in advance!</t>
        </is>
      </c>
      <c r="D4295" t="n">
        <v>1</v>
      </c>
      <c r="E4295" t="n">
        <v>1</v>
      </c>
      <c r="F4295">
        <f>HYPERLINK("https://www.reddit.com/r/GERD/comments/efpghk/awd_readersdoers_i_have_a_question_before_starting/")</f>
        <v/>
      </c>
      <c r="G4295" t="inlineStr">
        <is>
          <t>2019-12-25 18:24:57</t>
        </is>
      </c>
      <c r="H4295" t="inlineStr"/>
    </row>
    <row r="4296">
      <c r="A4296" t="inlineStr">
        <is>
          <t>efs1q3</t>
        </is>
      </c>
      <c r="B4296" t="inlineStr">
        <is>
          <t>Heartburn and light headed?</t>
        </is>
      </c>
      <c r="C4296" t="inlineStr">
        <is>
          <t>I’m new here, and am in so much pain and discomfort right now. Every year for the last 10 or so years I get awful heartburn that lasts for a week straight with no relief. It hurts so bad to lay down or tilt by body in the slightest bit. No medicines that I’ve tried OTC will come close to helping.
Now I’ve started to get heartburn more frequently and it even makes me light headed and I have major brain fog. Has anyone experienced this? I’m going to try and get into my doctors office tomorrow because after 3 days of straight heartburn I’m going to lose it.</t>
        </is>
      </c>
      <c r="D4296" t="n">
        <v>1</v>
      </c>
      <c r="E4296" t="n">
        <v>2</v>
      </c>
      <c r="F4296">
        <f>HYPERLINK("https://www.reddit.com/r/GERD/comments/efs1q3/heartburn_and_light_headed/")</f>
        <v/>
      </c>
      <c r="G4296" t="inlineStr">
        <is>
          <t>2019-12-25 22:38:30</t>
        </is>
      </c>
      <c r="H4296" t="inlineStr"/>
    </row>
    <row r="4297">
      <c r="A4297" t="inlineStr">
        <is>
          <t>efs7lj</t>
        </is>
      </c>
      <c r="B4297" t="inlineStr">
        <is>
          <t>Can a Hiatus Hernia Spontaneously Correct?</t>
        </is>
      </c>
      <c r="C4297" t="inlineStr">
        <is>
          <t>Nearly 8 years (and many annual EGDs) ago, I had a barium swallow test, during which the radiologist gave a Dx of a small hiatal hernia. I was around 23 at the time. 
No treatment was ever given, and no evidence of it has ever been mentioned since in any subsequent EGD. 
Is this something that can come and go?</t>
        </is>
      </c>
      <c r="D4297" t="n">
        <v>1</v>
      </c>
      <c r="E4297" t="n">
        <v>2</v>
      </c>
      <c r="F4297">
        <f>HYPERLINK("https://www.reddit.com/r/GERD/comments/efs7lj/can_a_hiatus_hernia_spontaneously_correct/")</f>
        <v/>
      </c>
      <c r="G4297" t="inlineStr">
        <is>
          <t>2019-12-25 22:56:31</t>
        </is>
      </c>
      <c r="H4297" t="inlineStr"/>
    </row>
    <row r="4298">
      <c r="A4298" t="inlineStr">
        <is>
          <t>efsd9f</t>
        </is>
      </c>
      <c r="B4298" t="inlineStr">
        <is>
          <t>Pill Swallowing difficulty ?</t>
        </is>
      </c>
      <c r="C4298" t="inlineStr">
        <is>
          <t>Does anyone else have a hard time swallowing pills of any kind ? I usually have to time the swallowing part right, which takes like 30 seconds of mental preparation to swallow a pill, otherwise it just feels like it got stuck in my throat somewhere. I'm not sure how people do it, but there's no way I could swallow a normal sized 'big pill' , that most people would I guess consider normal. Some days are better than others, but if I'm not careful it just feels like it gets jammed in my throat. Anyone else ?  And I have diagnosed 'Silent Reflux' LPR, which absolutely ruins my throat (assuming this is the reason)</t>
        </is>
      </c>
      <c r="D4298" t="n">
        <v>1</v>
      </c>
      <c r="E4298" t="n">
        <v>8</v>
      </c>
      <c r="F4298">
        <f>HYPERLINK("https://www.reddit.com/r/GERD/comments/efsd9f/pill_swallowing_difficulty/")</f>
        <v/>
      </c>
      <c r="G4298" t="inlineStr">
        <is>
          <t>2019-12-25 23:13:10</t>
        </is>
      </c>
      <c r="H4298" t="inlineStr"/>
    </row>
    <row r="4299">
      <c r="A4299" t="inlineStr">
        <is>
          <t>efsr6g</t>
        </is>
      </c>
      <c r="B4299" t="inlineStr">
        <is>
          <t>Advice Needed! GERD Related Symptoms Have Gotten Bad</t>
        </is>
      </c>
      <c r="C4299" t="inlineStr">
        <is>
          <t>Hi all,
I am a 21 year old male who currently weighs in at roughly 125 lbs. I have some questions regarding the treatment GERD-like symptoms that hopefully somebody on this subreddit can help me answer. This may get a bit lengthy, as I’m going to go over everything that has happened regarding my GI health in chronological order starting a little over a year ago. Allow me to preface what’s going on, I will have a TL;DR at the very end. 
**Disclaimer: I have experienced constipation in small amounts almost my entire life, but never anything lasting more than a five days until this sequence of events began over a year ago.
A little over a year ago (September 2018) I got an upper endoscopy done after getting a doctor’s recommendation after complaining about constipation, heartburn, sore stomach &amp;amp; occasional diarrhea. These symptoms were more noticeable and persistent than they had ever been in my life. After the endoscopy, I was told that I may have a mild form of acid reflux, as there was a small amount of scarred tissue in the back of my esophagus. I was prescribed sixty pills of Pantoprazole, 40 mg to take once every day. It took me roughly fourth months to finish the prescription. I was told to return to the GI doctor who did my endoscopy if I did not start to feel better after regular use of the Pantoprazole. I eventually did start to feel a bit better after regular use of the prescription. I had less heartburn, less pain in my gut &amp;amp; my bowel movements became more regular. I did not return to the GI doctor &amp;amp; just continued on with my day-to-day life relatively symptom free.
Then, about seven months ago (mid-to-late May 2019) I began experiencing similar symptoms again. I noticed that constipation was becoming more regular in my life &amp;amp; I’d have heartburn more than I wanted to, albeit the heartburn wasn’t as bad as the constipation this time. I decided to go back to the GI doctor — a different one this time — and I explained to her my symptoms. She proceeded to tell me that I may have IBS with constipation &amp;amp; prescribed me thirty pills of Linzess, 290 mcg to be taken once daily before the first meal of my day. She said that if the Linzess didn’t help me long-term, then it would be wise to get a lower endoscopy/colonoscopy. The Linzess worked for a bit &amp;amp; helped get my bowels moving more regularly, and my bowel movements eventually started to return to a more normal pattern/physical appearance. I finished the first thirty pills &amp;amp; decided I did not need a refill because my constipation/heartburn were improving. I also canceled my checkup with the GI doctor who prescribed me the Linzess &amp;amp; wrote off undergoing a lower endoscopy/colonoscopy. Again, I went back to living my day-to-day life.
Here’s the kicker. About two months ago (mid October 2019) I started to get sick. The doctors whom I visited all believed it to be a viral infection, as I tested negative for strep (twice) &amp;amp; mono. I I was congested from time to time, I was coughing a lot &amp;amp; had a decent amount of mucus buildup. Along with the sickness came the GERD-like symptoms I’ve been describing. They developed over a few weeks &amp;amp; alongside them came a few new ones: constipation, sore stomach, occasional sore/irritated throat, heartburn &amp;amp; bad breath/my teeth being more yellow than usual. I also noticed that I’d occasionally wake up in the morning with a hoarse voice, something I was not really used to. I have yet to visit the GI doctor regarding these specific symptoms, but they’ve gotten to the point where they have effected my life in a significant enough way to where I’m getting anxious about my health. As someone who already has anxiety, this has not been fun to deal with. I will be scheduling an appointment tomorrow when the doctor reopens after Holiday &amp;amp; hopefully I can get in relatively soon.
In the meantime, I have a few questions to ask some of you who are likely more versed in the specifics of GERD than I am. 
1) How can I best treat heartburn/stomach pain/constipation?
I still have a few spare Pantoprazole pills that may be an option, but not for long. My diet isn’t too great being a college student, but I’ve been getting it slowly back on track over the last week or so.
2) How concerned should I be about health? 
This is going to seem kind of silly, but my GERD-like symptoms have peaked in the recent weeks &amp;amp; it’s something I’ve never experienced this badly before. I haven’t really had solid confirmation from a doctor as to what’s going on. To make things worse, my symptoms are hindering my ability to eat regular meals because often I don’t feel hungry at all. I also haven’t been eating at regular meal times which I know may be contributing to my symptoms, it’s just difficult to do so with the stomach pain/heartburn I’m having. As mentioned earlier, I’m also weighing in at only around 125 lbs, around 20-25 lbs down from my usual weight of 145-150 lbs. I’ve weighed 125-130 lbs for about half a year now.
TL;DR. I have GERD-like symptoms of constipation, sore stomach, occasional sore/irritated throat, heartburn &amp;amp; bad breath/my teeth being more yellow than usual. They are the worse they have ever been in my young adult life. I have not been able to eat on normal schedule for close to two months &amp;amp; am underweight by 20-25 lbs. I am seeking some advice on how to treat these symptoms before visiting a GI doctor.</t>
        </is>
      </c>
      <c r="D4299" t="n">
        <v>1</v>
      </c>
      <c r="E4299" t="n">
        <v>3</v>
      </c>
      <c r="F4299">
        <f>HYPERLINK("https://www.reddit.com/r/GERD/comments/efsr6g/advice_needed_gerd_related_symptoms_have_gotten/")</f>
        <v/>
      </c>
      <c r="G4299" t="inlineStr">
        <is>
          <t>2019-12-25 23:57:37</t>
        </is>
      </c>
      <c r="H4299" t="inlineStr"/>
    </row>
    <row r="4300">
      <c r="A4300" t="inlineStr">
        <is>
          <t>efwrg4</t>
        </is>
      </c>
      <c r="B4300" t="inlineStr">
        <is>
          <t>Does anyone here have GORD, not GERD?</t>
        </is>
      </c>
      <c r="C4300" t="inlineStr">
        <is>
          <t>Getting a Modified Barium swallow done in 2 weeks. My biggest symptoms is difficulty swallowing, to the point where I can’t eat hardly, Lingual Tonsil Hypertrophy, and a salivary gland disorder apparently (not proven, just a ballpark guess from my ENT.) My endoscope in July found I have bile in my stomach, my ENT has said that I might actually have GORD. Does anyone else have this? Thanks!</t>
        </is>
      </c>
      <c r="D4300" t="n">
        <v>1</v>
      </c>
      <c r="E4300" t="n">
        <v>8</v>
      </c>
      <c r="F4300">
        <f>HYPERLINK("https://www.reddit.com/r/GERD/comments/efwrg4/does_anyone_here_have_gord_not_gerd/")</f>
        <v/>
      </c>
      <c r="G4300" t="inlineStr">
        <is>
          <t>2019-12-26 07:35:15</t>
        </is>
      </c>
      <c r="H4300" t="inlineStr"/>
    </row>
    <row r="4301">
      <c r="A4301" t="inlineStr">
        <is>
          <t>efyt6f</t>
        </is>
      </c>
      <c r="B4301" t="inlineStr">
        <is>
          <t>Paid Interview with GERD Patients</t>
        </is>
      </c>
      <c r="C4301" t="inlineStr">
        <is>
          <t>Hello r/GERD, we hope you're having a good day,
Oshi Health is currently looking for participants with GERD for a 45-min paid phone interview. We are interested in learning more about your experience with the disease, your diagnosis journey and your experience with your health care providers and care plans.
Participants who complete an interview will be earning a $45 Amazon Gift Card.
If you are interested in helping us, please fill out the following form:
Interview Screener
We'd really appreciate your input! We hope to hear from you soon!</t>
        </is>
      </c>
      <c r="D4301" t="n">
        <v>1</v>
      </c>
      <c r="E4301" t="n">
        <v>1</v>
      </c>
      <c r="F4301">
        <f>HYPERLINK("https://www.reddit.com/r/GERD/comments/efyt6f/paid_interview_with_gerd_patients/")</f>
        <v/>
      </c>
      <c r="G4301" t="inlineStr">
        <is>
          <t>2019-12-26 10:17:44</t>
        </is>
      </c>
      <c r="H4301" t="inlineStr"/>
    </row>
    <row r="4302">
      <c r="A4302" t="inlineStr">
        <is>
          <t>eg03w1</t>
        </is>
      </c>
      <c r="B4302" t="inlineStr">
        <is>
          <t>Is it normal to have shooting reflux in the throat?</t>
        </is>
      </c>
      <c r="C4302" t="inlineStr">
        <is>
          <t>I have a severe case of acid reflux, i dont normally get heartburn but I have severe reflux in the throat. I often get gurgling noises and burps even without drinking or eating. I havent eaten in a while as its causing me alot of swallowing problems. I wake up choking on the reflux at night and sometimes cant take a sip of water as theres too much acid shooting in my throat preventing me from keeping any liquid down. I need to take my zantac liquid but I cant even manage that because im literally suffering on just my saliva. 
Is it normal to sometimes feel the shooting reflux back into my mouth? Also is there any quick relief so I can at least take my medication and maybe take a sip of water? Really need advice</t>
        </is>
      </c>
      <c r="D4302" t="n">
        <v>1</v>
      </c>
      <c r="E4302" t="n">
        <v>12</v>
      </c>
      <c r="F4302">
        <f>HYPERLINK("https://www.reddit.com/r/GERD/comments/eg03w1/is_it_normal_to_have_shooting_reflux_in_the_throat/")</f>
        <v/>
      </c>
      <c r="G4302" t="inlineStr">
        <is>
          <t>2019-12-26 11:58:40</t>
        </is>
      </c>
      <c r="H4302" t="inlineStr"/>
    </row>
    <row r="4303">
      <c r="A4303" t="inlineStr">
        <is>
          <t>eg1684</t>
        </is>
      </c>
      <c r="B4303" t="inlineStr">
        <is>
          <t>HELP</t>
        </is>
      </c>
      <c r="C4303" t="inlineStr">
        <is>
          <t>My husband is very sick. He’s been in and out of the hospital the past few years . He has gerd/acid reflux and he is lactose intolerant. Anyone know some home recipes that won’t trigger him to get sick?</t>
        </is>
      </c>
      <c r="D4303" t="n">
        <v>1</v>
      </c>
      <c r="E4303" t="n">
        <v>1</v>
      </c>
      <c r="F4303">
        <f>HYPERLINK("https://www.reddit.com/r/GERD/comments/eg1684/help/")</f>
        <v/>
      </c>
      <c r="G4303" t="inlineStr">
        <is>
          <t>2019-12-26 13:21:18</t>
        </is>
      </c>
      <c r="H4303" t="inlineStr"/>
    </row>
    <row r="4304">
      <c r="A4304" t="inlineStr">
        <is>
          <t>eg1zlv</t>
        </is>
      </c>
      <c r="B4304" t="inlineStr">
        <is>
          <t>Stomach cancer age 20 fear</t>
        </is>
      </c>
      <c r="C4304" t="inlineStr">
        <is>
          <t>So its me again, still strugglin with GERD like symptoms since April of 2019 but I still dont know if this is something serious and I feel like docs wont take me seriously. I started having burning inside my stomach and heartburn, shortness of breath and burping hundreds of times a day. Docs prescribed me pantoprazole 40 mg in May and I took 40 mg for like few months and it did take the worst heartburn away. I lost weight this summer, everybody says I look healthier now because I ditched junk food and started eating less and little bit more "healthier". I still dont eat  that much but earlier this month I had zero burning inside my stomach and could eat even chocolate but again this Sunday I started having pressure and burning under my left rib. Its always in the same location, I felt this in October but it went away and came back now. I am scared if I am dying and docs just tell its my hypochondria and something not serious fucking me over. I had a gastroscopy in October of 2016 and thats why they wont do another one to me because it would ne "unnecessary" cuz I am young and its only been three years. They booked me a time for abdominal ultrasound next week but here I am thinking if I'll end up dying young because docs dont take me seriously. They checked my bloods in July and they were good. They have pressed around my stomach and listened to it with a stethoscope, all good. What causes a feeling of burning in one location that can spread around my stomach in a wave like feeling and sometimes feel it in my lower esophagus when I burp. I am so worried that I cry almost daily.</t>
        </is>
      </c>
      <c r="D4304" t="n">
        <v>1</v>
      </c>
      <c r="E4304" t="n">
        <v>19</v>
      </c>
      <c r="F4304">
        <f>HYPERLINK("https://www.reddit.com/r/GERD/comments/eg1zlv/stomach_cancer_age_20_fear/")</f>
        <v/>
      </c>
      <c r="G4304" t="inlineStr">
        <is>
          <t>2019-12-26 14:23:54</t>
        </is>
      </c>
      <c r="H4304" t="inlineStr"/>
    </row>
    <row r="4305">
      <c r="A4305" t="inlineStr">
        <is>
          <t>eg21qh</t>
        </is>
      </c>
      <c r="B4305" t="inlineStr">
        <is>
          <t>BEST OVER THE COUNTER MEDS</t>
        </is>
      </c>
      <c r="C4305" t="inlineStr">
        <is>
          <t>Tums just aren’t doing it anymore. What are your best over the counter meds that ARENT PPI’s. Any sort of treatment I’m missing?
TIA</t>
        </is>
      </c>
      <c r="D4305" t="n">
        <v>1</v>
      </c>
      <c r="E4305" t="n">
        <v>5</v>
      </c>
      <c r="F4305">
        <f>HYPERLINK("https://www.reddit.com/r/GERD/comments/eg21qh/best_over_the_counter_meds/")</f>
        <v/>
      </c>
      <c r="G4305" t="inlineStr">
        <is>
          <t>2019-12-26 14:28:42</t>
        </is>
      </c>
      <c r="H4305" t="inlineStr"/>
    </row>
    <row r="4306">
      <c r="A4306" t="inlineStr">
        <is>
          <t>eg27qs</t>
        </is>
      </c>
      <c r="B4306" t="inlineStr">
        <is>
          <t>Pro-Kinetic Medications in the US</t>
        </is>
      </c>
      <c r="C4306" t="inlineStr">
        <is>
          <t>In the US, I’ve been prescribed pantoprazole and an H2 blocker (nizatidine). During time in other countries, I’ve been advised that I should consider a prokinetic as well, but my gastroenterologist doesn’t seem convinced. 
Moreover, it seems like the majority of these medications are not available in the US. 
Anyone on one, or have any insight into the US aversion to them?</t>
        </is>
      </c>
      <c r="D4306" t="n">
        <v>1</v>
      </c>
      <c r="E4306" t="n">
        <v>5</v>
      </c>
      <c r="F4306">
        <f>HYPERLINK("https://www.reddit.com/r/GERD/comments/eg27qs/prokinetic_medications_in_the_us/")</f>
        <v/>
      </c>
      <c r="G4306" t="inlineStr">
        <is>
          <t>2019-12-26 14:42:01</t>
        </is>
      </c>
      <c r="H4306" t="inlineStr"/>
    </row>
    <row r="4307">
      <c r="A4307" t="inlineStr">
        <is>
          <t>eg2i3z</t>
        </is>
      </c>
      <c r="B4307" t="inlineStr">
        <is>
          <t>Found myself eating late last night and couldn't sleep . Had symptoms of fast heart rate, sweating , and shallow breathing . Can someone explain in simple terms why this happens exactly? Before I used to be able to eat meals at whatever time I wanted, now I can't sleep if I eat late.</t>
        </is>
      </c>
      <c r="C4307" t="inlineStr">
        <is>
          <t>Newly diagnosed with GERD, and on medication but I still can't seem to figure out why certain things happen the way they do.</t>
        </is>
      </c>
      <c r="D4307" t="n">
        <v>1</v>
      </c>
      <c r="E4307" t="n">
        <v>6</v>
      </c>
      <c r="F4307">
        <f>HYPERLINK("https://www.reddit.com/r/GERD/comments/eg2i3z/found_myself_eating_late_last_night_and_couldnt/")</f>
        <v/>
      </c>
      <c r="G4307" t="inlineStr">
        <is>
          <t>2019-12-26 15:04:37</t>
        </is>
      </c>
      <c r="H4307" t="inlineStr"/>
    </row>
    <row r="4308">
      <c r="A4308" t="inlineStr">
        <is>
          <t>eg2l2y</t>
        </is>
      </c>
      <c r="B4308" t="inlineStr">
        <is>
          <t>So turns out that I'm essentially predisposed to having in GERD at someone point in my life . Am I essentially screwed for the rest of my life ?</t>
        </is>
      </c>
      <c r="C4308" t="inlineStr">
        <is>
          <t>I was diagnosed with GERD, laryngitis , gastritis , overly opened esophagus and a small hernia  after an endoscopy over a month ago now .  Currently on PPIs and itopride .  Currently my sister suffers from GERD aswell  but she was diagnosed over a year ago now , but with less severe symptoms.    My GI, believes that it is somehow linked and that it may be hereditary,  perhaps from my father who has had gastrointestinal issues since I can remember.   The endoscopy displayed that both me and my sister have an overly extended or open esophagus ,which I'm assuming might of caused the GERD we have now ?  Meanwhile it was all a bit complicated to comprehend,  all i could   assimilate in my head was that I was going to live with this for the rest of my life.  If if this a hereditary disorder,  do I have no hope to ever feel normal again?</t>
        </is>
      </c>
      <c r="D4308" t="n">
        <v>1</v>
      </c>
      <c r="E4308" t="n">
        <v>3</v>
      </c>
      <c r="F4308">
        <f>HYPERLINK("https://www.reddit.com/r/GERD/comments/eg2l2y/so_turns_out_that_im_essentially_predisposed_to/")</f>
        <v/>
      </c>
      <c r="G4308" t="inlineStr">
        <is>
          <t>2019-12-26 15:11:16</t>
        </is>
      </c>
      <c r="H4308" t="inlineStr"/>
    </row>
    <row r="4309">
      <c r="A4309" t="inlineStr">
        <is>
          <t>eg4bau</t>
        </is>
      </c>
      <c r="B4309" t="inlineStr">
        <is>
          <t>Weight loss after treatment?</t>
        </is>
      </c>
      <c r="C4309" t="inlineStr">
        <is>
          <t>Hey all, I have a question just out of curiosity. So I (26F) was diagnosed with LPR a month and a half ago after having two months of horrid symptoms. After two weeks of taking a daily famotidine and some minor dietary changes, I was pretty much symptom-free. However, when my doctor initially started seeing me for this problem, I weighed 120 lbs (the heaviest I’ve ever been, I’m 5’3” and have always been pretty skinny). I had a check-in with my doctor after two weeks of treatment and I was down to 114. Doc said I needed to try to get back up to my initial weight. I’ve been eating pretty much the same as I always have since then, barring my trigger foods. I got on the scale the other day to check my progress (6 lbs in a month should be a breeze right?). I was shocked to see I’m now down to 110. I have had a cold the past few days, but I’m still eating well enough that I shouldn’t have lost that much weight in two days, which means I’ve still been losing this past month. I’m just wondering if anyone else has experienced weight loss following treatment for their symptoms?</t>
        </is>
      </c>
      <c r="D4309" t="n">
        <v>1</v>
      </c>
      <c r="E4309" t="n">
        <v>19</v>
      </c>
      <c r="F4309">
        <f>HYPERLINK("https://www.reddit.com/r/GERD/comments/eg4bau/weight_loss_after_treatment/")</f>
        <v/>
      </c>
      <c r="G4309" t="inlineStr">
        <is>
          <t>2019-12-26 17:32:27</t>
        </is>
      </c>
      <c r="H4309" t="inlineStr"/>
    </row>
    <row r="4310">
      <c r="A4310" t="inlineStr">
        <is>
          <t>eg58rm</t>
        </is>
      </c>
      <c r="B4310" t="inlineStr">
        <is>
          <t>Is it okay to take marshmallow root and slippery elm alongside omeprazole?</t>
        </is>
      </c>
      <c r="C4310" t="inlineStr">
        <is>
          <t>Just curious if anybody has tried this combo and if it’s safe. I’ve been taking omeprazole 40mg for the last week and only 20mg for the 2 weeks before that. I got some relief briefly with the double dosage, have been partaking in the food, and now my chest is super uncomfortable. Sigh. I’ve been waiting to take the herbal supplements to see if the upping of omeprazole helped. Now I want to add the others but not sure if it’s ok to mix. Anybody had any luck?</t>
        </is>
      </c>
      <c r="D4310" t="n">
        <v>1</v>
      </c>
      <c r="E4310" t="n">
        <v>1</v>
      </c>
      <c r="F4310">
        <f>HYPERLINK("https://www.reddit.com/r/GERD/comments/eg58rm/is_it_okay_to_take_marshmallow_root_and_slippery/")</f>
        <v/>
      </c>
      <c r="G4310" t="inlineStr">
        <is>
          <t>2019-12-26 18:53:35</t>
        </is>
      </c>
      <c r="H4310" t="inlineStr"/>
    </row>
    <row r="4311">
      <c r="A4311" t="inlineStr">
        <is>
          <t>eg69mf</t>
        </is>
      </c>
      <c r="B4311" t="inlineStr">
        <is>
          <t>Sleeping with acid reflux</t>
        </is>
      </c>
      <c r="C4311" t="inlineStr">
        <is>
          <t>Acid reflux has made my asthma come back (feels like it at least) I constantly wake up not being able to breathe. How can I fix this? No breathing treatments or inhalers and I already have a humidifier, Ive tried vicks as well.</t>
        </is>
      </c>
      <c r="D4311" t="n">
        <v>1</v>
      </c>
      <c r="E4311" t="n">
        <v>12</v>
      </c>
      <c r="F4311">
        <f>HYPERLINK("https://www.reddit.com/r/GERD/comments/eg69mf/sleeping_with_acid_reflux/")</f>
        <v/>
      </c>
      <c r="G4311" t="inlineStr">
        <is>
          <t>2019-12-26 20:24:38</t>
        </is>
      </c>
      <c r="H4311" t="inlineStr"/>
    </row>
    <row r="4312">
      <c r="A4312" t="inlineStr">
        <is>
          <t>eg9md9</t>
        </is>
      </c>
      <c r="B4312" t="inlineStr">
        <is>
          <t>Bodybuilding Gerd Meal Plan</t>
        </is>
      </c>
      <c r="C4312" t="inlineStr">
        <is>
          <t>Hey, guys were wondering if any of yall have some good calorie-dense foods I can eat to gain weight a.k.a. muscle because I'm currently trying to lean bulk. Currently at 157lbs goal weight is 170lbs and for me, I have to eat 2,800 calories a day to gain each week.</t>
        </is>
      </c>
      <c r="D4312" t="n">
        <v>1</v>
      </c>
      <c r="E4312" t="n">
        <v>6</v>
      </c>
      <c r="F4312">
        <f>HYPERLINK("https://www.reddit.com/r/GERD/comments/eg9md9/bodybuilding_gerd_meal_plan/")</f>
        <v/>
      </c>
      <c r="G4312" t="inlineStr">
        <is>
          <t>2019-12-27 02:30:18</t>
        </is>
      </c>
      <c r="H4312" t="inlineStr"/>
    </row>
    <row r="4313">
      <c r="A4313" t="inlineStr">
        <is>
          <t>egbelg</t>
        </is>
      </c>
      <c r="B4313" t="inlineStr">
        <is>
          <t>Have no idea what I have? Is this GERD?</t>
        </is>
      </c>
      <c r="C4313" t="inlineStr">
        <is>
          <t>So for literally as long as I can remember I’ve always felt sick after eating bigger meals, but i’ve never had heartburn. I always feel sick in my throat (if that makes any sense) and always feel like i have to burp to temporarily relieve the throat “nausea” for a couple of seconds. It is so bad that if I go out for breakfast, I am sick the rest of the day. The only time I don’t really get these symptoms is when I eat very little or starve myself. I’ve always thought this was GERD because I will regurgitate quite often, but the pain is always in my throat??? Does anyone else have these symptoms?? If it helps, my grandma and my aunt both have acid reflux, and my mom has eosinophilic esophagitis??</t>
        </is>
      </c>
      <c r="D4313" t="n">
        <v>1</v>
      </c>
      <c r="E4313" t="n">
        <v>7</v>
      </c>
      <c r="F4313">
        <f>HYPERLINK("https://www.reddit.com/r/GERD/comments/egbelg/have_no_idea_what_i_have_is_this_gerd/")</f>
        <v/>
      </c>
      <c r="G4313" t="inlineStr">
        <is>
          <t>2019-12-27 05:53:14</t>
        </is>
      </c>
      <c r="H4313" t="inlineStr"/>
    </row>
    <row r="4314">
      <c r="A4314" t="inlineStr">
        <is>
          <t>egbo3t</t>
        </is>
      </c>
      <c r="B4314" t="inlineStr">
        <is>
          <t>Laryngitis from GERD? Anxiety over symptoms.</t>
        </is>
      </c>
      <c r="C4314" t="inlineStr">
        <is>
          <t>I’ve been having extreme anxiety over my symptoms. Pain in ears, sore throat for weeks - now with mucus and coughing. Also burning under tongue? I just had an endoscopy done and I have a hiatal hernia so that’s great.  I’m making an appointment with the ENT to see if they can do a scope of my throat areas. I just want to know I’m not alone with these weirder symptoms of gerd. I google and only find the worse. I have Crohns and Hoshimotos so I worry about my immune system.</t>
        </is>
      </c>
      <c r="D4314" t="n">
        <v>1</v>
      </c>
      <c r="E4314" t="n">
        <v>22</v>
      </c>
      <c r="F4314">
        <f>HYPERLINK("https://www.reddit.com/r/GERD/comments/egbo3t/laryngitis_from_gerd_anxiety_over_symptoms/")</f>
        <v/>
      </c>
      <c r="G4314" t="inlineStr">
        <is>
          <t>2019-12-27 06:18:02</t>
        </is>
      </c>
      <c r="H4314" t="inlineStr"/>
    </row>
    <row r="4315">
      <c r="A4315" t="inlineStr">
        <is>
          <t>egciz8</t>
        </is>
      </c>
      <c r="B4315" t="inlineStr">
        <is>
          <t>I literally cannot tolerate any spices it seem</t>
        </is>
      </c>
      <c r="C4315" t="inlineStr">
        <is>
          <t>not even simple cumin seed which is supposed to be good for acidity. The only way i can sleep well at night is if I eat fully bland foods. Anyone else in this boat?
Though after the hell insomnia i suffered the past 10 years, I much rather eat bland foods if it means I can sleep at night.</t>
        </is>
      </c>
      <c r="D4315" t="n">
        <v>1</v>
      </c>
      <c r="E4315" t="n">
        <v>2</v>
      </c>
      <c r="F4315">
        <f>HYPERLINK("https://www.reddit.com/r/GERD/comments/egciz8/i_literally_cannot_tolerate_any_spices_it_seem/")</f>
        <v/>
      </c>
      <c r="G4315" t="inlineStr">
        <is>
          <t>2019-12-27 07:34:02</t>
        </is>
      </c>
      <c r="H4315" t="inlineStr"/>
    </row>
    <row r="4316">
      <c r="A4316" t="inlineStr">
        <is>
          <t>egcpfp</t>
        </is>
      </c>
      <c r="B4316" t="inlineStr">
        <is>
          <t>How do people like Nikocado, Boogie2988, and Amberlynn Reid not have GERD?</t>
        </is>
      </c>
      <c r="C4316" t="inlineStr">
        <is>
          <t>its annoying cos I'm just 10 lbs overweight and I'm losing the weight, and I'm eating the most bland whole foods diet possible and still get gerd+hell insomnia if I accidentally use a spice or something at lunch, but these people on youtube are clinically obese and they just keep on piling down all the junkiest foods on the planet and still don't seem to have gerd or insomnia? How does that work?</t>
        </is>
      </c>
      <c r="D4316" t="n">
        <v>1</v>
      </c>
      <c r="E4316" t="n">
        <v>6</v>
      </c>
      <c r="F4316">
        <f>HYPERLINK("https://www.reddit.com/r/GERD/comments/egcpfp/how_do_people_like_nikocado_boogie2988_and/")</f>
        <v/>
      </c>
      <c r="G4316" t="inlineStr">
        <is>
          <t>2019-12-27 07:49:23</t>
        </is>
      </c>
      <c r="H4316" t="inlineStr"/>
    </row>
    <row r="4317">
      <c r="A4317" t="inlineStr">
        <is>
          <t>egcy6v</t>
        </is>
      </c>
      <c r="B4317" t="inlineStr">
        <is>
          <t>Losing my mind...need help</t>
        </is>
      </c>
      <c r="C4317" t="inlineStr">
        <is>
          <t>Hey, fam. So, I (21/M) suffered from some form of reflux, acid or otherwise (I'll explain this in a second), most times I ate from the time I was ~15 to now. It was only recently that I decided enough was enough, so I went to my primary care physician. 
After discussing symptoms she was 100% convinced this was GERD and I was put on Prilosec (20mg), and, eventually, on treatment for H. Pylori (Amoxicillin/Clarithromycin/Lansoprazole). I'm 10 days into that treatment now. 
Now, see, I don't know if I'm just now noticing it or if it's a new issue, but when I swallow it doesn't feel like food gets STUCK. It just feels like some food takes a second longer to go down once it hits right below my throat. However, and this is what's got me so crazy, it isn't everything and it never hurts. In fact, the food that takes a bit longer isn't even consistent. 
To give an example of what I'm talking about: last night I had some beef roast and like that went down fine without any real problems. It probably took about 2 or 3 seconds for each bite to pass down my esophagus into my stomach. However, later I went to play pool and, while there, it felt like *something* was in my chest. I went to the bathroom to drink water to see if I was imagining things, and it went straight down, no problems. I came home and ate a few pieces of a dry bagel and, again, no real problems (I mean it took a second more, but like it's dry bread of course it did). 
Furthermore, when I was at the pool hall I felt this insane need to burp. When I tried, however, I could taste that I definitely had some form of reflux sitting in my chest waiting to be regurgitated. But (and maybe y'all can clue me in if this is normal too) it didn't feel like ACID reflux, it just felt like...reflux - like a combination of non-acidic liquid and the food I'd eaten in the evening. 
Combine this with the fact I only ever really feel my left side of the esophagus when I swallow, and I'm a complete wreck.
Idk fam I'm just so afraid of esophageal cancer from having not known about my acid reflux/leaving it untreated for so long.</t>
        </is>
      </c>
      <c r="D4317" t="n">
        <v>1</v>
      </c>
      <c r="E4317" t="n">
        <v>8</v>
      </c>
      <c r="F4317">
        <f>HYPERLINK("https://www.reddit.com/r/GERD/comments/egcy6v/losing_my_mindneed_help/")</f>
        <v/>
      </c>
      <c r="G4317" t="inlineStr">
        <is>
          <t>2019-12-27 08:08:43</t>
        </is>
      </c>
      <c r="H4317" t="inlineStr"/>
    </row>
    <row r="4318">
      <c r="A4318" t="inlineStr">
        <is>
          <t>egdpg6</t>
        </is>
      </c>
      <c r="B4318" t="inlineStr">
        <is>
          <t>Gastroparesis</t>
        </is>
      </c>
      <c r="C4318" t="inlineStr">
        <is>
          <t>Have any of you been diagnosed with gastroparesis?? If so, how to help it? What symptoms do you suffer with from this?</t>
        </is>
      </c>
      <c r="D4318" t="n">
        <v>1</v>
      </c>
      <c r="E4318" t="n">
        <v>6</v>
      </c>
      <c r="F4318">
        <f>HYPERLINK("https://www.reddit.com/r/GERD/comments/egdpg6/gastroparesis/")</f>
        <v/>
      </c>
      <c r="G4318" t="inlineStr">
        <is>
          <t>2019-12-27 09:06:45</t>
        </is>
      </c>
      <c r="H4318" t="inlineStr"/>
    </row>
    <row r="4319">
      <c r="A4319" t="inlineStr">
        <is>
          <t>egdym3</t>
        </is>
      </c>
      <c r="B4319" t="inlineStr">
        <is>
          <t>Effects of stopping PPI cold turkey?</t>
        </is>
      </c>
      <c r="C4319" t="inlineStr">
        <is>
          <t>Ran out of Protonix PPI for 2 days now. Have been experiencing acid reflux along with coughing up phlegm. Bit more headaches, back pain, and fatigue 
I sit next to a guy at work who has pneumonia and refuses to take a sick day; so I’m hoping it’s not pneumonia 
Any tips to take care of acid rebounds is greatly appreciated</t>
        </is>
      </c>
      <c r="D4319" t="n">
        <v>1</v>
      </c>
      <c r="E4319" t="n">
        <v>5</v>
      </c>
      <c r="F4319">
        <f>HYPERLINK("https://www.reddit.com/r/GERD/comments/egdym3/effects_of_stopping_ppi_cold_turkey/")</f>
        <v/>
      </c>
      <c r="G4319" t="inlineStr">
        <is>
          <t>2019-12-27 09:26:00</t>
        </is>
      </c>
      <c r="H4319" t="inlineStr"/>
    </row>
    <row r="4320">
      <c r="A4320" t="inlineStr">
        <is>
          <t>egejob</t>
        </is>
      </c>
      <c r="B4320" t="inlineStr">
        <is>
          <t>My GERD is getting more and more sensitive with time</t>
        </is>
      </c>
      <c r="C4320" t="inlineStr">
        <is>
          <t>More and more foods are triggering me each day it seems. Foods that were 100% safe for me are now giving me that burning insomnia. Does that mean my lower esophageal sphincter is getting weaker? Anyone else experience this? What to do?</t>
        </is>
      </c>
      <c r="D4320" t="n">
        <v>1</v>
      </c>
      <c r="E4320" t="n">
        <v>8</v>
      </c>
      <c r="F4320">
        <f>HYPERLINK("https://www.reddit.com/r/GERD/comments/egejob/my_gerd_is_getting_more_and_more_sensitive_with/")</f>
        <v/>
      </c>
      <c r="G4320" t="inlineStr">
        <is>
          <t>2019-12-27 10:09:50</t>
        </is>
      </c>
      <c r="H4320" t="inlineStr"/>
    </row>
    <row r="4321">
      <c r="A4321" t="inlineStr">
        <is>
          <t>egemiy</t>
        </is>
      </c>
      <c r="B4321" t="inlineStr">
        <is>
          <t>Side/armpit pains</t>
        </is>
      </c>
      <c r="C4321" t="inlineStr">
        <is>
          <t>I was recently diagnosed with GERD about six weeks ago and have been taking 40mg omeprazole for it. During this time I’ve started getting occasional short and sharp pains in or just below my armpits on either side. They seem random and don’t feel muscular in nature. Does anyone else have these?
I don’t feel any swollen lymph nodes except maybe one on the left side that is very small, about the size of a lentil at most.</t>
        </is>
      </c>
      <c r="D4321" t="n">
        <v>1</v>
      </c>
      <c r="E4321" t="n">
        <v>15</v>
      </c>
      <c r="F4321">
        <f>HYPERLINK("https://www.reddit.com/r/GERD/comments/egemiy/sidearmpit_pains/")</f>
        <v/>
      </c>
      <c r="G4321" t="inlineStr">
        <is>
          <t>2019-12-27 10:15:43</t>
        </is>
      </c>
      <c r="H4321" t="inlineStr"/>
    </row>
    <row r="4322">
      <c r="A4322" t="inlineStr">
        <is>
          <t>egfqfg</t>
        </is>
      </c>
      <c r="B4322" t="inlineStr">
        <is>
          <t>Anyone have luck getting rid of constant burping?</t>
        </is>
      </c>
      <c r="C4322" t="inlineStr">
        <is>
          <t>Hi all! A little over 2 months ago I woke up a month postpartum after two rounds of antibiotics, lots of NSAIDs, a night of spicy food and beer and milk, with crazy heart palpitations and constant burping. I haven’t stopped burping since. I was able to control it with GERD diet until I was prescribed citalopram, which flared me up and as I’ve been on it since, I now have pressure in my chest almost constantly (feels like a big air bubble below my breast bone) and some icky coughing. I was on a PPI for a week, but side effects weren’t worth the relief (I did get great relief from burping though, almost immediately which signals to me it’s not TOO serious yet.) the side effects were sore and aching joints and muscles and neuropathy (so scary!) Pepcid gives me sore jaws (so strange) so I’m trying to manage with natural remedies. I’m literally willing to do anything with my diet to make me feel better. 
I’m eating paleo ish (with rice and oatmeal occasionally) and it’s been tricky to figure out my triggers as I burp constantly no matter what. It gets worse with sugar for sure and processed food, as well as super spicy stuff. Other than that it’s hard to tell. Coffee doesn’t seem to bother me but I’ve cut that out too just in case. 
Any success stories with getting rid of the painful (though tiny) burping? I have two little ones and it’s been rough. I’m weaning off the SSRI to see if that helps.
Thank you all!! I have Gaviscon Advance at home but am out of town right now so haven’t been able to use it or know if it’s effective.</t>
        </is>
      </c>
      <c r="D4322" t="n">
        <v>1</v>
      </c>
      <c r="E4322" t="n">
        <v>6</v>
      </c>
      <c r="F4322">
        <f>HYPERLINK("https://www.reddit.com/r/GERD/comments/egfqfg/anyone_have_luck_getting_rid_of_constant_burping/")</f>
        <v/>
      </c>
      <c r="G4322" t="inlineStr">
        <is>
          <t>2019-12-27 11:38:37</t>
        </is>
      </c>
      <c r="H4322" t="inlineStr"/>
    </row>
    <row r="4323">
      <c r="A4323" t="inlineStr">
        <is>
          <t>egggtc</t>
        </is>
      </c>
      <c r="B4323" t="inlineStr">
        <is>
          <t>Do I have GERD ? [bad taste/smell in nose and mouth for months]</t>
        </is>
      </c>
      <c r="C4323" t="inlineStr">
        <is>
          <t>Since August Ive been smelling and tasing a really sour taste from my nose and mouth. (the problem is still here).
My friends told me that my breath stinks, but it was mainly coming from my nose. I went to the doctor and she gave me some nasal hormon spray, she taught it was an infection. After a month of using this spray, the smell didnt go away. 
i went to the ENT, he scanned my nose with a tube and told me that I dont have any infection, but my nasal tonsils are inflamed, which is caused by acid he though. I went back to the doctor and today I had to do a test to see if I have any gut bacteria in my stomach. I tried some medicine to treat the acid today, and it feels like the became less.
Tonight I woke up (the doctor told me that not everyone feels a heartburn or pain when they have acid reflux, and alot of people get it in their sleep), so I woke up and my mouth was tasting like vomit, this exact smell Ive been smelling  from my nose and friends told me about it, I dont know if it might be a bacteria or something, Ive never experienced acid reflux</t>
        </is>
      </c>
      <c r="D4323" t="n">
        <v>1</v>
      </c>
      <c r="E4323" t="n">
        <v>5</v>
      </c>
      <c r="F4323">
        <f>HYPERLINK("https://www.reddit.com/r/GERD/comments/egggtc/do_i_have_gerd_bad_tastesmell_in_nose_and_mouth/")</f>
        <v/>
      </c>
      <c r="G4323" t="inlineStr">
        <is>
          <t>2019-12-27 12:33:15</t>
        </is>
      </c>
      <c r="H4323" t="inlineStr"/>
    </row>
    <row r="4324">
      <c r="A4324" t="inlineStr">
        <is>
          <t>eggodu</t>
        </is>
      </c>
      <c r="B4324" t="inlineStr">
        <is>
          <t>Pain in chest when swallowing solid foods only?</t>
        </is>
      </c>
      <c r="C4324" t="inlineStr">
        <is>
          <t>I know the response is going to be “go see a doctor” but I wanted to ask here first -
For the past few weeks I’ve had a pain to the right of my sternum every time I swallow mainly bulky foods like bread. It’s a short sharp pain that only lasts a few seconds. It’s not particularly debilitating, just annoying. It doesn’t happen when I eat soft foods or drink liquids. It will stop after I’ve eaten a few bites of bulky food, but will happen again if I stop eating for a few minutes and take another bite.
Could this be GERD? I’ve started taking Nexium for a few days and haven’t had any improvement yet. Googling it says this is a symptom of esophageal cancer so I’m pretty terrified, although I’m 25 so I assume the chances of that are low.</t>
        </is>
      </c>
      <c r="D4324" t="n">
        <v>1</v>
      </c>
      <c r="E4324" t="n">
        <v>5</v>
      </c>
      <c r="F4324">
        <f>HYPERLINK("https://www.reddit.com/r/GERD/comments/eggodu/pain_in_chest_when_swallowing_solid_foods_only/")</f>
        <v/>
      </c>
      <c r="G4324" t="inlineStr">
        <is>
          <t>2019-12-27 12:48:57</t>
        </is>
      </c>
      <c r="H4324" t="inlineStr"/>
    </row>
    <row r="4325">
      <c r="A4325" t="inlineStr">
        <is>
          <t>egh9ri</t>
        </is>
      </c>
      <c r="B4325" t="inlineStr">
        <is>
          <t>Cobblestone throat?</t>
        </is>
      </c>
      <c r="C4325" t="inlineStr">
        <is>
          <t>Anyone have flesh colored/red bumps on the back of their throat? Saw online some call it cobblestone throat and people get it from colds/virus but also GERD and LPR. I just noticed I have this and am not sure if it’s because I’ve been eating terribly because of the holidays (😬) and I’m on the verge of a flare up, or if I just got sick... hmm...</t>
        </is>
      </c>
      <c r="D4325" t="n">
        <v>1</v>
      </c>
      <c r="E4325" t="n">
        <v>6</v>
      </c>
      <c r="F4325">
        <f>HYPERLINK("https://www.reddit.com/r/GERD/comments/egh9ri/cobblestone_throat/")</f>
        <v/>
      </c>
      <c r="G4325" t="inlineStr">
        <is>
          <t>2019-12-27 13:34:12</t>
        </is>
      </c>
      <c r="H4325" t="inlineStr"/>
    </row>
    <row r="4326">
      <c r="A4326" t="inlineStr">
        <is>
          <t>egjkpx</t>
        </is>
      </c>
      <c r="B4326" t="inlineStr">
        <is>
          <t>Relief from taking L. johnsonii No. 1088</t>
        </is>
      </c>
      <c r="C4326" t="inlineStr">
        <is>
          <t>Is this the real deal? I just ate a meal full of trigger foods a few hours after taking L. johnsonii No. 1088 and the amount of acid reflux I am experiencing is minimal compared to what I usually do.</t>
        </is>
      </c>
      <c r="D4326" t="n">
        <v>1</v>
      </c>
      <c r="E4326" t="n">
        <v>16</v>
      </c>
      <c r="F4326">
        <f>HYPERLINK("https://www.reddit.com/r/GERD/comments/egjkpx/relief_from_taking_l_johnsonii_no_1088/")</f>
        <v/>
      </c>
      <c r="G4326" t="inlineStr">
        <is>
          <t>2019-12-27 16:39:07</t>
        </is>
      </c>
      <c r="H4326" t="inlineStr"/>
    </row>
    <row r="4327">
      <c r="A4327" t="inlineStr">
        <is>
          <t>egkzzl</t>
        </is>
      </c>
      <c r="B4327" t="inlineStr">
        <is>
          <t>LPR Differential Diagnosis?</t>
        </is>
      </c>
      <c r="C4327" t="inlineStr">
        <is>
          <t>Hi all,
38/M, since October I started having a lump in throat feeling on my right side only.  Went to an ENT and they said it looked like LPR and put me on a PPI twice daily.  Since that time I feel like it's gotten worse, making me wonder if it's something else entirely.  Has anyone been diagnosed with LPR only to find out it was something else?  
Other symptoms I've had: back pain (mainly upper), leg tightness behind my knees and in my calves, and heel pain.  Sometimes I feel "shaky" - just off from normal.  And I've felt fatigued more than usual.  
Any thoughts/similar experiences?</t>
        </is>
      </c>
      <c r="D4327" t="n">
        <v>1</v>
      </c>
      <c r="E4327" t="n">
        <v>14</v>
      </c>
      <c r="F4327">
        <f>HYPERLINK("https://www.reddit.com/r/GERD/comments/egkzzl/lpr_differential_diagnosis/")</f>
        <v/>
      </c>
      <c r="G4327" t="inlineStr">
        <is>
          <t>2019-12-27 18:43:56</t>
        </is>
      </c>
      <c r="H4327" t="inlineStr"/>
    </row>
    <row r="4328">
      <c r="A4328" t="inlineStr">
        <is>
          <t>egl0bo</t>
        </is>
      </c>
      <c r="B4328" t="inlineStr">
        <is>
          <t>Great Support Here - this part frustrates me.</t>
        </is>
      </c>
      <c r="C4328" t="inlineStr">
        <is>
          <t>I feel like quite a few posts in this subreddit are from people complaining because they feel they don’t deserve GERD because they’re Healthing Perfectly, and it’s exhausting. Of course I empathize with anyone who has this disease or its symptoms. But I feel like people seriously need a lesson in compassion - no one deserves to be ill. Not even if they’re fat. Or they eat pizza. Or they don’t work out as much as you think is the correct amount (and yes, I am all of these things).  Humans are worthy of our understanding and sympathy because we’re people. If only healthy people are worthwhile or valued, then we are all, in this subreddit focused on our shared disease, of less value.</t>
        </is>
      </c>
      <c r="D4328" t="n">
        <v>1</v>
      </c>
      <c r="E4328" t="n">
        <v>30</v>
      </c>
      <c r="F4328">
        <f>HYPERLINK("https://www.reddit.com/r/GERD/comments/egl0bo/great_support_here_this_part_frustrates_me/")</f>
        <v/>
      </c>
      <c r="G4328" t="inlineStr">
        <is>
          <t>2019-12-27 18:44:43</t>
        </is>
      </c>
      <c r="H4328" t="inlineStr"/>
    </row>
    <row r="4329">
      <c r="A4329" t="inlineStr">
        <is>
          <t>egmccw</t>
        </is>
      </c>
      <c r="B4329" t="inlineStr">
        <is>
          <t>Another night of burning insomnia!!</t>
        </is>
      </c>
      <c r="C4329" t="inlineStr">
        <is>
          <t>it's so funny!! been eating whole foods plant based, just had a tiny bit of olive oil with my dinner 6 hours ago....now i wont be able to sleep tonight!!! 🤡🌎
I said screw it. Cos i cleaned up my diet and did everything i could and things still arent getting better. Since im not gonna sleep anyways tonight, im gonna go get some mcdonalds cos if Im gonna suffer gerd insomnia regardless, Im gonna at least enjoy some tasty food!</t>
        </is>
      </c>
      <c r="D4329" t="n">
        <v>1</v>
      </c>
      <c r="E4329" t="n">
        <v>2</v>
      </c>
      <c r="F4329">
        <f>HYPERLINK("https://www.reddit.com/r/GERD/comments/egmccw/another_night_of_burning_insomnia/")</f>
        <v/>
      </c>
      <c r="G4329" t="inlineStr">
        <is>
          <t>2019-12-27 20:46:55</t>
        </is>
      </c>
      <c r="H4329" t="inlineStr"/>
    </row>
    <row r="4330">
      <c r="A4330" t="inlineStr">
        <is>
          <t>egmljs</t>
        </is>
      </c>
      <c r="B4330" t="inlineStr">
        <is>
          <t>Is it okay to take 90-100mg of Pepcid in a day?</t>
        </is>
      </c>
      <c r="C4330" t="inlineStr">
        <is>
          <t>My doctor switched me from 300mg Zantac to 80mg Pepcid a day. It isn’t nearly as helpful and right now I’m having a lot of bad acid reflux and stomach pain. I took 10 mg earlier to try to calm it down and still want to take my 80mg at bedtime like normal. Is this okay?</t>
        </is>
      </c>
      <c r="D4330" t="n">
        <v>1</v>
      </c>
      <c r="E4330" t="n">
        <v>9</v>
      </c>
      <c r="F4330">
        <f>HYPERLINK("https://www.reddit.com/r/GERD/comments/egmljs/is_it_okay_to_take_90100mg_of_pepcid_in_a_day/")</f>
        <v/>
      </c>
      <c r="G4330" t="inlineStr">
        <is>
          <t>2019-12-27 21:11:37</t>
        </is>
      </c>
      <c r="H4330" t="inlineStr"/>
    </row>
    <row r="4331">
      <c r="A4331" t="inlineStr">
        <is>
          <t>egn5e0</t>
        </is>
      </c>
      <c r="B4331" t="inlineStr">
        <is>
          <t>how many of you have a weird, not normal looking tongue ever since you had gerd/LPR ?</t>
        </is>
      </c>
      <c r="C4331" t="inlineStr">
        <is>
          <t>So my tongue looks like a ‘geographic’ type of tongue, cut looking, and weird stuff going on with it. Keep in mind I’ve already had every test biopsy known to get a diagnosis, I only have a LPR diagnosis but no gastro I’ve been to has yet to figure it out. Only keep getting PPI’s prescribed that don’t work. One of my doctors (two weeks ago) told me my tongue looks weird and that I possibly have H pylori or some sort of bacteria.    I got a biopsy done for that, and blood tests, but apparently he said it isn’t accurate since I was on PPI’s actively at the time. 
Anyone else have this tongue issue ? And maybe this is connected to h pylori or a different bacteria / parasite ?</t>
        </is>
      </c>
      <c r="D4331" t="n">
        <v>1</v>
      </c>
      <c r="E4331" t="n">
        <v>0</v>
      </c>
      <c r="F4331">
        <f>HYPERLINK("https://www.reddit.com/r/GERD/comments/egn5e0/how_many_of_you_have_a_weird_not_normal_looking/")</f>
        <v/>
      </c>
      <c r="G4331" t="inlineStr">
        <is>
          <t>2019-12-27 22:06:59</t>
        </is>
      </c>
      <c r="H4331" t="inlineStr"/>
    </row>
    <row r="4332">
      <c r="A4332" t="inlineStr">
        <is>
          <t>egoil6</t>
        </is>
      </c>
      <c r="B4332" t="inlineStr">
        <is>
          <t>What are the Omeprazole side effects you're experiencing?</t>
        </is>
      </c>
      <c r="C4332" t="inlineStr">
        <is>
          <t>F30, normal weight.
Background:
My symptoms got worse in Nov-2018 and I did a lot of googling and realized my sore throat might be actually reflux. In Jan-2019  gastroscopy confirmed a small hiatal hernia, got a prescription for omeprazole 20. I didn't take it though as my symptoms got better. Must be season and stress related. I also stopped drinking juices and fizzy drinks, cut on tomatoes, alcohol, almost completely eliminated fried foods.
Symptoms/side effects:
In Sep-2019 my symptoms got worse again, so I started taking omeprazole. I was visiting the US back then, so my diet was horrible. After I returned home my symptoms were still getting worse, I don't think omeprazole helped at all. I gained about 3kg (I'm 165cm, 63kg now). My symptoms got much worse. I was constipated  and bloated, I felt really heavy and I felt like nothing is going down my stomach. Like if I drank water after breakfast, it would just keep floating in my overly full stomach. I feel like omeprazole has slowed my digestion down. Sometimes my stomach is so full that I cannot eat or drink anything, cannot bend, or I'm puking into my mouth instantly. It's horrible. I can't help but think that somehow it's related to omeprazole.
Then I realized tums give me much better relief. Does that make any sense? 
Did anyone experienced similar symptoms?
TL;DR
I feel like omeprazole doesn't bring me any relief  to GERD caused by hiatal hernia. I think I'm bloated and constipated and my metabolism slowed down due to omeprazole.</t>
        </is>
      </c>
      <c r="D4332" t="n">
        <v>1</v>
      </c>
      <c r="E4332" t="n">
        <v>9</v>
      </c>
      <c r="F4332">
        <f>HYPERLINK("https://www.reddit.com/r/GERD/comments/egoil6/what_are_the_omeprazole_side_effects_youre/")</f>
        <v/>
      </c>
      <c r="G4332" t="inlineStr">
        <is>
          <t>2019-12-28 00:45:31</t>
        </is>
      </c>
      <c r="H4332" t="inlineStr"/>
    </row>
    <row r="4333">
      <c r="A4333" t="inlineStr">
        <is>
          <t>egqlyg</t>
        </is>
      </c>
      <c r="B4333" t="inlineStr">
        <is>
          <t>Today the last day for me!</t>
        </is>
      </c>
      <c r="C4333" t="inlineStr">
        <is>
          <t>I'm gonna eat the last meal plan that worked for me and if it doesn't work I am going to my garage and run my car until I die from carbon monoxide. I've always felt like life was bullshit and I refuse to suffer another day like this. If i can't live on my terms I'm going to die on my own terms.</t>
        </is>
      </c>
      <c r="D4333" t="n">
        <v>1</v>
      </c>
      <c r="E4333" t="n">
        <v>12</v>
      </c>
      <c r="F4333">
        <f>HYPERLINK("https://www.reddit.com/r/GERD/comments/egqlyg/today_the_last_day_for_me/")</f>
        <v/>
      </c>
      <c r="G4333" t="inlineStr">
        <is>
          <t>2019-12-28 05:13:27</t>
        </is>
      </c>
      <c r="H4333" t="inlineStr"/>
    </row>
    <row r="4334">
      <c r="A4334" t="inlineStr">
        <is>
          <t>egriew</t>
        </is>
      </c>
      <c r="B4334" t="inlineStr">
        <is>
          <t>Rant</t>
        </is>
      </c>
      <c r="C4334" t="inlineStr">
        <is>
          <t>Im traveling rn and have had an acid reflux the past 3months. The cough hasn’t given me one damn break. I cant sleep except during the day. My family booked a two night hotel to a semi expensive place. The lunch isn’t included ao they bought cup of noodles. We dont eat that frequently we actually have a pretty clean diet. But the only other option is mandarin oranges. Im sick of this stupid acid reflux. The cough sucks ass and im lazy as fuck. Im not even unhealthy so i don’t understand. Im at the weight i should be for 17years old. And im quite active. Im just frustrated bc i got a mucus cold a week ago and things just are kind of sucking right now.</t>
        </is>
      </c>
      <c r="D4334" t="n">
        <v>1</v>
      </c>
      <c r="E4334" t="n">
        <v>5</v>
      </c>
      <c r="F4334">
        <f>HYPERLINK("https://www.reddit.com/r/GERD/comments/egriew/rant/")</f>
        <v/>
      </c>
      <c r="G4334" t="inlineStr">
        <is>
          <t>2019-12-28 06:45:46</t>
        </is>
      </c>
      <c r="H4334" t="inlineStr"/>
    </row>
    <row r="4335">
      <c r="A4335" t="inlineStr">
        <is>
          <t>egrp33</t>
        </is>
      </c>
      <c r="B4335" t="inlineStr">
        <is>
          <t>Can kefir replace Omeprazole?</t>
        </is>
      </c>
      <c r="C4335" t="inlineStr">
        <is>
          <t>Someone recently recommended kefir to alleviate acid reflux symptoms. It's a fermented drink like a drinkable yogurt that's high in probiotics. I started drinking it before the holiday season when I knew I'd be indulging in some trigger foods and probably overeating, and I have to say, it's helped tremendously. I feel like it's more effective than Omeprazole even on those "cheat days." I feel totally normal for the first time in months.
So my first reason for posting is to recommend that. My second is that I'm considering weaning off Omeprazole. I've been taking it for 6 months straight (20 mg only in the morning), and since I've achieved some normality unrelated to the pills, I want to try to reduce my dependency on them. Does anyone have any recommendations about how to best do this? Can I go cold turkey or should I do it gradually?</t>
        </is>
      </c>
      <c r="D4335" t="n">
        <v>1</v>
      </c>
      <c r="E4335" t="n">
        <v>11</v>
      </c>
      <c r="F4335">
        <f>HYPERLINK("https://www.reddit.com/r/GERD/comments/egrp33/can_kefir_replace_omeprazole/")</f>
        <v/>
      </c>
      <c r="G4335" t="inlineStr">
        <is>
          <t>2019-12-28 07:03:14</t>
        </is>
      </c>
      <c r="H4335" t="inlineStr"/>
    </row>
    <row r="4336">
      <c r="A4336" t="inlineStr">
        <is>
          <t>egsygt</t>
        </is>
      </c>
      <c r="B4336" t="inlineStr">
        <is>
          <t>Can ulcer lead to cancer?</t>
        </is>
      </c>
      <c r="C4336" t="inlineStr">
        <is>
          <t>Hello, 2 years ago I was diagnosed with an ulcer or with gastritis I don't know, they did some biopsy
I didn't really take the medication, I take 3 antibiotic for mauve 12 days and sometimes forgot to take them
For the last 2 years I didn't do anything about my gerd 
Now I read somewhere that an ulcer can transform into cancer
Is it true? If it's true how much time it takes?
I don't want to get stomach cancer at a young age! It's basically a death sentence, like pancrearis or esophagus cancer</t>
        </is>
      </c>
      <c r="D4336" t="n">
        <v>1</v>
      </c>
      <c r="E4336" t="n">
        <v>0</v>
      </c>
      <c r="F4336">
        <f>HYPERLINK("https://www.reddit.com/r/GERD/comments/egsygt/can_ulcer_lead_to_cancer/")</f>
        <v/>
      </c>
      <c r="G4336" t="inlineStr">
        <is>
          <t>2019-12-28 08:50:40</t>
        </is>
      </c>
      <c r="H4336" t="inlineStr"/>
    </row>
    <row r="4337">
      <c r="A4337" t="inlineStr">
        <is>
          <t>egv8sg</t>
        </is>
      </c>
      <c r="B4337" t="inlineStr">
        <is>
          <t>GOOD DAYS BAD DAYS</t>
        </is>
      </c>
      <c r="C4337" t="inlineStr">
        <is>
          <t>No rhyme or reason to why some days suck some days don’t. Yesterday felt wonderful almost like my old self maybe turned a corner. Today started off great had energy cleaned house put together some Christmas stuff then an hour later here we go. Hiatal hernia reminding me I’m screwed and all the rest. Ate no fat today probiotic yogurt no salt pretzels the usual but GERD is quite the roller coaster.  I try not to complain to my family and just deal with it but when your entire chest and stomach feel like you’re in a clamp it’s difficult be jolly. Have a Jan 16 GI follow up to see if meds are working just went from Prilosec 20 to Nexium 40 a couple days ago thought the 40s were the silver bullet but jury still out on that dream.</t>
        </is>
      </c>
      <c r="D4337" t="n">
        <v>1</v>
      </c>
      <c r="E4337" t="n">
        <v>8</v>
      </c>
      <c r="F4337">
        <f>HYPERLINK("https://www.reddit.com/r/GERD/comments/egv8sg/good_days_bad_days/")</f>
        <v/>
      </c>
      <c r="G4337" t="inlineStr">
        <is>
          <t>2019-12-28 11:49:30</t>
        </is>
      </c>
      <c r="H4337" t="inlineStr"/>
    </row>
    <row r="4338">
      <c r="A4338" t="inlineStr">
        <is>
          <t>egvue1</t>
        </is>
      </c>
      <c r="B4338" t="inlineStr">
        <is>
          <t>anyone try 3 day body dedox?</t>
        </is>
      </c>
      <c r="C4338" t="inlineStr">
        <is>
          <t>looked it up and has good reviews, people say it works in reviews, just no eating for 3 days and its replaced by natural juices</t>
        </is>
      </c>
      <c r="D4338" t="n">
        <v>1</v>
      </c>
      <c r="E4338" t="n">
        <v>4</v>
      </c>
      <c r="F4338">
        <f>HYPERLINK("https://www.reddit.com/r/GERD/comments/egvue1/anyone_try_3_day_body_dedox/")</f>
        <v/>
      </c>
      <c r="G4338" t="inlineStr">
        <is>
          <t>2019-12-28 12:34:41</t>
        </is>
      </c>
      <c r="H4338" t="inlineStr"/>
    </row>
    <row r="4339">
      <c r="A4339" t="inlineStr">
        <is>
          <t>egxuaz</t>
        </is>
      </c>
      <c r="B4339" t="inlineStr">
        <is>
          <t>Have had GERD my whole life. I'm afraid taking Omeprazole every other day is harmful.</t>
        </is>
      </c>
      <c r="C4339" t="inlineStr">
        <is>
          <t>I'm 20 (21 tomorrow), male. I have horrible anxiety, and I'm worried my Omeprazole has been harming me. I've taken it every day to every other day for literal years, and after reading up some of the side effects, I've become extremely worried. I feel like a lot of those effects are fairly similar to what's happening to me, but on the other hand... GERD is GERD. I can still die from that too. Taking it less often certainly would be less harmful right? I just don't want to hurt myself more from not taking it period...</t>
        </is>
      </c>
      <c r="D4339" t="n">
        <v>1</v>
      </c>
      <c r="E4339" t="n">
        <v>19</v>
      </c>
      <c r="F4339">
        <f>HYPERLINK("https://www.reddit.com/r/GERD/comments/egxuaz/have_had_gerd_my_whole_life_im_afraid_taking/")</f>
        <v/>
      </c>
      <c r="G4339" t="inlineStr">
        <is>
          <t>2019-12-28 15:11:14</t>
        </is>
      </c>
      <c r="H4339" t="inlineStr"/>
    </row>
    <row r="4340">
      <c r="A4340" t="inlineStr">
        <is>
          <t>egy0jq</t>
        </is>
      </c>
      <c r="B4340" t="inlineStr">
        <is>
          <t>Is there any way to predict/calculate the pH level of a recipe when the level of individual ingredients is known?</t>
        </is>
      </c>
      <c r="C4340" t="inlineStr">
        <is>
          <t>Is there some sort of math formula that can be used or is it more complex than that?
Is it as simple as just adjusting for the different amounts of ingredients and calculating the average pH? So a recipe with 100g of ingredient X with a pH of 3 and 200g of ingredient Y with a pH of 6 would be (3 + 6 + 6) / 3 = 5? Or am i completely off lol</t>
        </is>
      </c>
      <c r="D4340" t="n">
        <v>1</v>
      </c>
      <c r="E4340" t="n">
        <v>1</v>
      </c>
      <c r="F4340">
        <f>HYPERLINK("https://www.reddit.com/r/GERD/comments/egy0jq/is_there_any_way_to_predictcalculate_the_ph_level/")</f>
        <v/>
      </c>
      <c r="G4340" t="inlineStr">
        <is>
          <t>2019-12-28 15:25:18</t>
        </is>
      </c>
      <c r="H4340" t="inlineStr"/>
    </row>
    <row r="4341">
      <c r="A4341" t="inlineStr">
        <is>
          <t>eh0hpq</t>
        </is>
      </c>
      <c r="B4341" t="inlineStr">
        <is>
          <t>Radical, but possible? Taking IV Vitamin Therapy in replacement of food. So is possible in the long term?</t>
        </is>
      </c>
      <c r="C4341" t="inlineStr">
        <is>
          <t>Okay, now this seems radical but want an idea of how crazy it is, and whether it’s possible. 
One of my clients at work provides IV vitamin therapy where they inject patients with vitamins to help sustain their bodies. 
So assuming I can get all the vitamins I need for my body (yes it would be expensive), therefore I don’t need to eat, therefore I won’t risk getting reflux. 
It’s radical and probably dangerous, but is it a good substitute?</t>
        </is>
      </c>
      <c r="D4341" t="n">
        <v>1</v>
      </c>
      <c r="E4341" t="n">
        <v>3</v>
      </c>
      <c r="F4341">
        <f>HYPERLINK("https://www.reddit.com/r/GERD/comments/eh0hpq/radical_but_possible_taking_iv_vitamin_therapy_in/")</f>
        <v/>
      </c>
      <c r="G4341" t="inlineStr">
        <is>
          <t>2019-12-28 18:57:07</t>
        </is>
      </c>
      <c r="H4341" t="inlineStr"/>
    </row>
    <row r="4342">
      <c r="A4342" t="inlineStr">
        <is>
          <t>eh1kc3</t>
        </is>
      </c>
      <c r="B4342" t="inlineStr">
        <is>
          <t>What kind of GERD do I have? Symptoms seem different from most posters here.</t>
        </is>
      </c>
      <c r="C4342" t="inlineStr">
        <is>
          <t>I believe I have GERD. But after reading a lot of posts on this subreddit, I do not believe my symptoms match the majority of the posters here. I was hoping someone could tell me if I have GERD, and if so, if my GERD matches a particular sub-type (hiatal hernia maybe) and what I can do about it.
Reasons why I think I have GERD:
* I often have post-nasal drip
* I find it impossible to lie horizontally for longer than 4 hours without developing burning pain in the pit of my stomach.
* I feel better after taking Gaviscon (indicates the the cessation of burning is caused by neutralization of acid)
Factors that seem different from most:
* I do not experience pain in the throat or chest, ever. Only in the pit of my stomach and only after lying down for a long time.
* I do not experience pain during the day, ever.
* I do not spontaneously regurgitate the contents of my stomach.
* I do not have difficulty swallowing and I do not get a sore throat.
*I do not experience nausea.
*I am not obese; I am thin and physically fit.</t>
        </is>
      </c>
      <c r="D4342" t="n">
        <v>1</v>
      </c>
      <c r="E4342" t="n">
        <v>4</v>
      </c>
      <c r="F4342">
        <f>HYPERLINK("https://www.reddit.com/r/GERD/comments/eh1kc3/what_kind_of_gerd_do_i_have_symptoms_seem/")</f>
        <v/>
      </c>
      <c r="G4342" t="inlineStr">
        <is>
          <t>2019-12-28 20:35:22</t>
        </is>
      </c>
      <c r="H4342" t="inlineStr"/>
    </row>
    <row r="4343">
      <c r="A4343" t="inlineStr">
        <is>
          <t>eh1utv</t>
        </is>
      </c>
      <c r="B4343" t="inlineStr">
        <is>
          <t>When 20mg omeprazole once daily stops working</t>
        </is>
      </c>
      <c r="C4343" t="inlineStr">
        <is>
          <t>Hi, all:
For about two years I've been on a once daily dose of omeprazole (20mg). It worked extremely well in the beginning, but my GERD has increased lately and I suspect I have some LPR thrown in there, too. I'm waking up with a sore throat and it often feels raw throughout the day. 
I had a particularly bad period during grad school a few years ago in which stress was heightened, I was probably eating poorly/gained some weight (maybe 15-20 lbs) and might've exacerbated everything with too much coffee and alcohol. 
I've improved my eating a *lot--*I don't eat out much at all anymore, and when I'm at home I typically eat pretty bland food (i.e. baked chicken and vegetables). However, I still haven't lost some of the weight that I gained during that time so I think I'm thinking of going on the South Beach Diet, the only diet i've ever been on so far that has worked like magic where belly fat *and* reflux are concerned. 
In the meantime, would it help to increase my omeprazole to twice daily? I'm extremely worried already having been on it as long as I have been so am hesitant to increase the dose, but with my GERD/LPR getting worse to the point of my throat being sore, I'm worried about the damage it's doing internally. Doctors have been no help--they just dismiss it as caused by anxiety (even if it is, it has consequences for my body, so like--help me treat it) and I even had one say, "Go for a walk in the sunshine" (hasn't helped me for the past few years, why would it now?--I get 4 miles in a day). This would only be until I'd been on the diet for a month or two and started seeing weight loss results, and then I'd wean off it very VERY slowly (since I've been on it for so long, the weaning will be very gradual).</t>
        </is>
      </c>
      <c r="D4343" t="n">
        <v>1</v>
      </c>
      <c r="E4343" t="n">
        <v>12</v>
      </c>
      <c r="F4343">
        <f>HYPERLINK("https://www.reddit.com/r/GERD/comments/eh1utv/when_20mg_omeprazole_once_daily_stops_working/")</f>
        <v/>
      </c>
      <c r="G4343" t="inlineStr">
        <is>
          <t>2019-12-28 21:03:52</t>
        </is>
      </c>
      <c r="H4343" t="inlineStr"/>
    </row>
    <row r="4344">
      <c r="A4344" t="inlineStr">
        <is>
          <t>eh2odd</t>
        </is>
      </c>
      <c r="B4344" t="inlineStr">
        <is>
          <t>GERD is the absolute worst. Help!</t>
        </is>
      </c>
      <c r="C4344" t="inlineStr">
        <is>
          <t>I’ve had acid reflux since I was 12. I mean like just awful awful can’t even stand up heartburn at least once a week. Once I was 16 it would be 3 times a week where I would get this really terrible burning. I had a lot of stress of course and I discovered I was lactose intolerant which really helped. Then just this last year (March 2019) it started to develop again. As an 18 year old getting really intense heartburn it’s really scary. They diagnosed me with GERD even though heartburn was the only symptom. They of course prescribed Omeprazole, and i took for a month, no weird side effects and it helped. Then I had a lot of issues with my birth control, after a pelvic infection and some weird chronic pelvic pain in August I noticed my heartburn was back but it’s different now. I can barely eat anything. I’ve been diagnosed with anxiety and combined, they make each other worse. This last month has been a living hell. I know my triggers are dairy, carbonation, and anything spicy. And even though I’ve been trying to avoid them, it’s horrible. I can’t work, I can’t eat hardly anything without feeling super full. It burns, and I can feel it coming up my throat. My birth control that I’m on now has the unfortunate side effect of random nausea. So I take Zofran as needed. That causes constipation which just makes me feel more bloated and uncomfortable. I’m supposed to have scope work done in January and I’m genuinely concerned about an ulcer at this point. I want to know any tips or tricks. I’m actually quite a bit underweight, and I’ve lost pounds in these last 6 months. I changed up my diet, I take nauzene when I have a flare up, and I take probiotics daily which definitely help. When I tried to get back onto Omeprazole (my doctors really like the stuff I guess) I noticed all these symptoms which made my stomach feel actually worse. I just want the pain and suffering to end. Also anything to know before having a colonoscopy or a endoscopy</t>
        </is>
      </c>
      <c r="D4344" t="n">
        <v>1</v>
      </c>
      <c r="E4344" t="n">
        <v>2</v>
      </c>
      <c r="F4344">
        <f>HYPERLINK("https://www.reddit.com/r/GERD/comments/eh2odd/gerd_is_the_absolute_worst_help/")</f>
        <v/>
      </c>
      <c r="G4344" t="inlineStr">
        <is>
          <t>2019-12-28 22:26:52</t>
        </is>
      </c>
      <c r="H4344" t="inlineStr"/>
    </row>
    <row r="4345">
      <c r="A4345" t="inlineStr">
        <is>
          <t>eh3i69</t>
        </is>
      </c>
      <c r="B4345" t="inlineStr">
        <is>
          <t>Birthday foods/cake suggestions!</t>
        </is>
      </c>
      <c r="C4345" t="inlineStr">
        <is>
          <t>Hi guys! My birthday is next week and I’m having a party at my house. I’m wondering what the best kind of cake is when it comes to gerd. I know chocolate is kinda off limits but just plain vanilla seems so boring. Also wondering wha snacks you suggest. I’m the only one with gerd but I want people to still be able to enjoy the food and cake as well. Thanks in advance!</t>
        </is>
      </c>
      <c r="D4345" t="n">
        <v>1</v>
      </c>
      <c r="E4345" t="n">
        <v>16</v>
      </c>
      <c r="F4345">
        <f>HYPERLINK("https://www.reddit.com/r/GERD/comments/eh3i69/birthday_foodscake_suggestions/")</f>
        <v/>
      </c>
      <c r="G4345" t="inlineStr">
        <is>
          <t>2019-12-29 00:08:11</t>
        </is>
      </c>
      <c r="H4345" t="inlineStr"/>
    </row>
    <row r="4346">
      <c r="A4346" t="inlineStr">
        <is>
          <t>eh3ma9</t>
        </is>
      </c>
      <c r="B4346" t="inlineStr">
        <is>
          <t>Rib pain almost every night?</t>
        </is>
      </c>
      <c r="C4346" t="inlineStr">
        <is>
          <t>Should I be concerned? I got prescribed PPIs for 3 months and started 3 days ago. Haven't felt any changes yet as I still get nightly rib/back pain and burping/acid. Also threw up twice today. Could this be an ulcer or something worse? I drink a ton of water and have been eating relatively healthy. I did a pretty intensive work out today so not sure if that's the problem. Not sure what's going on..</t>
        </is>
      </c>
      <c r="D4346" t="n">
        <v>1</v>
      </c>
      <c r="E4346" t="n">
        <v>5</v>
      </c>
      <c r="F4346">
        <f>HYPERLINK("https://www.reddit.com/r/GERD/comments/eh3ma9/rib_pain_almost_every_night/")</f>
        <v/>
      </c>
      <c r="G4346" t="inlineStr">
        <is>
          <t>2019-12-29 00:22:55</t>
        </is>
      </c>
      <c r="H4346" t="inlineStr"/>
    </row>
    <row r="4347">
      <c r="A4347" t="inlineStr">
        <is>
          <t>eh43e9</t>
        </is>
      </c>
      <c r="B4347" t="inlineStr">
        <is>
          <t>Strange Symptoms - GERD?</t>
        </is>
      </c>
      <c r="C4347" t="inlineStr">
        <is>
          <t>So I've never been diagnosed with GERD but doctors I've visited in the past have suggested that I likely have it. I've been to the ER for chest pain before thinking it's heart related and so far that hasn't been the case.
I'm actually writing this from the waiting room of an ER right now. About 6 weeks ago after a night of having a few too many drinks (on a pretty empty stomach), I woke up the next morning with a ton of anxiety and a rapid heart rate. It took the better part of that morning to calm down from it.
As a bit of background, I have issues with anxiety from time to time. I can go months with no anxiety and then it can flare up out of the blue. The worst part is that it always manifests physically which has contributed to some bad health anxiety. So, going back to the night I mentioned above, within a day, I got this feeling of fullness/bloat right at the top of my abdomen, below my sternum. It doesn't hurt, it's just a noticable fullness and occasionally I'll feel bloated after a meal. When I'm a little bloated, I can push on the area an I can feel a "clicking" sensation. It's been like this for nearly two months... I have a suspicion that this might be a hiatial hernia but will need to speak to a gastroenterologist to confirm. Night time is generally not great either. I have this shooting sensation that travels up my chest and throat that jolts me awake. For the first few weeks, I feel a burning/tingling sensation that travels down my arms and hands. This has calmed down but I still have interrupted sleep.
The things I find most worrying are the dull chest pain/discomfort but I also have pain in the shoulders, neck and upper back that seem to coincide with the stomach issues/bloating. I get so tense/inflamed and it just makes things like concentrating at work very difficult. The sensations set off my anxiety and I start to get convinced its heart related. I have a yearly cardiologist check up and next to some (now controlled) sleep apnea there are no issues with the ticker. I also have issues with my sinuses and brain fog and all of mixed together is truly debilitating. I know I need to do a lot more to change some lifestyle habits (I am overweight) but I've never had that stomach stuff like this before. I've had reflux before and know what it feels like and it's never lasted long for me, so this stuff is a new animal. I've even started having this cool, irritated sensation in my throat that had turned into a dry cough... I'll follow up with my doctor soon as the PPI I was prescribed didn't do anything to help but I was curious if any of you had similar circumstances? It would be nice to know I'm not going crazy. Sorry for the long post and thanks for taking the time.</t>
        </is>
      </c>
      <c r="D4347" t="n">
        <v>1</v>
      </c>
      <c r="E4347" t="n">
        <v>0</v>
      </c>
      <c r="F4347">
        <f>HYPERLINK("https://www.reddit.com/r/GERD/comments/eh43e9/strange_symptoms_gerd/")</f>
        <v/>
      </c>
      <c r="G4347" t="inlineStr">
        <is>
          <t>2019-12-29 01:28:19</t>
        </is>
      </c>
      <c r="H4347" t="inlineStr"/>
    </row>
    <row r="4348">
      <c r="A4348" t="inlineStr">
        <is>
          <t>eh4a3k</t>
        </is>
      </c>
      <c r="B4348" t="inlineStr">
        <is>
          <t>Pain when swallowing and parethesia ( tingling)</t>
        </is>
      </c>
      <c r="C4348" t="inlineStr">
        <is>
          <t>Hello, for 2 days now i feel a discomfort / pain when i swallow ,its located in my esophagus , i also have some tingling in my whole body,dont know if its related
i burp a lot and food seem to not move proprely 
&amp;amp;#x200B;
medical history : non atrophic gastritis 
endoscopy in january 2018 , no  barret esophagus, no stomach cancer
my gerd are untreated  but never bother me ( they just bother me at night)</t>
        </is>
      </c>
      <c r="D4348" t="n">
        <v>1</v>
      </c>
      <c r="E4348" t="n">
        <v>3</v>
      </c>
      <c r="F4348">
        <f>HYPERLINK("https://www.reddit.com/r/GERD/comments/eh4a3k/pain_when_swallowing_and_parethesia_tingling/")</f>
        <v/>
      </c>
      <c r="G4348" t="inlineStr">
        <is>
          <t>2019-12-29 01:54:53</t>
        </is>
      </c>
      <c r="H4348" t="inlineStr"/>
    </row>
    <row r="4349">
      <c r="A4349" t="inlineStr">
        <is>
          <t>eh5f5d</t>
        </is>
      </c>
      <c r="B4349" t="inlineStr">
        <is>
          <t>Drinking has caused me horrible IBS and GERD symptoms.</t>
        </is>
      </c>
      <c r="C4349" t="inlineStr">
        <is>
          <t>I started drinking around age 18. I’m 31 now and still drink. Ever since I started drinking my digestive system has been a complete mess. I don’t think it was just the alcohol that did the damage, but also the loads of sugar and sweeteners I’d consume with the booze. 
I’ve tried to moderate my drinking and I’ve managed to quit a few times. The longest I was sober was about 3 months. In that time I saw practically no improvement in symptoms. My digestive system is so messed up that food literally goes right through me undigested within minutes after eating sometimes. Even plain foods like rice fuck me up. I’m in constant discomfort and get horrible hot flashes, cold chills, itchy skin, feel sensitive to touch and temperature and all kinds of other symptoms.
I relapsed because ironically alcohol gives me relief from my symptoms, but only when I’m drunk. It wears off the next morning. These days I don’t drink anywhere near as heavily as I used to, and I totally avoid sugar/sweeteners. I’m on medication for GERD which is a big help, but even so my IBS is still terrible.
I’m hoping I haven’t permanently damaged my gut. I want to get sober again, but it’s a little discouraging that even after a few months I was still suffering terribly from my symptoms.
Is there anyone who has had a similar experience? Do I just need to stick it out with sobriety longer before I see an improvement?</t>
        </is>
      </c>
      <c r="D4349" t="n">
        <v>1</v>
      </c>
      <c r="E4349" t="n">
        <v>4</v>
      </c>
      <c r="F4349">
        <f>HYPERLINK("https://www.reddit.com/r/GERD/comments/eh5f5d/drinking_has_caused_me_horrible_ibs_and_gerd/")</f>
        <v/>
      </c>
      <c r="G4349" t="inlineStr">
        <is>
          <t>2019-12-29 04:28:38</t>
        </is>
      </c>
      <c r="H4349" t="inlineStr"/>
    </row>
    <row r="4350">
      <c r="A4350" t="inlineStr">
        <is>
          <t>eh5jpb</t>
        </is>
      </c>
      <c r="B4350" t="inlineStr">
        <is>
          <t>Elevate Your Mattress. Don't Think About It. DO IT NOW!</t>
        </is>
      </c>
      <c r="C4350" t="inlineStr">
        <is>
          <t>I didn't do this for a long time. And when I did try it... I did like 6 inchs, which wasn't enough because it just went right back to flat underneath my body weight....
Then one day, I said... I'm gonna jack this thing up to the max... using a big pillow wrapped in blanket. Before I lay down on it, the head of the mattress is lifted up a good 10-12 inches. (will try to include a picture later).
The difference is phenomenal.
I think GERD effects us all in different ways, but mine messed me up at night. I couldn't sleep on my sides without getting a weird back pain.
Within just a few hours, I had to go to my back and I hate back sleeping, always been a side sleeper. It was a weird pain that lasted up to 30+ minutes after waking. Just very, very uncomfortable.
Now... much much better sleep and I'm I've been off acid reducers for at least 3 weeks now. (I also avoid my trigger foods, so that helps too).
Just wanted to share and suggest if you haven't done it yet.... JUST DO IT. Find an old pillow, or an old blanket... and put it under the mattress. Then see how you feel in the morning.</t>
        </is>
      </c>
      <c r="D4350" t="n">
        <v>1</v>
      </c>
      <c r="E4350" t="n">
        <v>14</v>
      </c>
      <c r="F4350">
        <f>HYPERLINK("https://www.reddit.com/r/GERD/comments/eh5jpb/elevate_your_mattress_dont_think_about_it_do_it/")</f>
        <v/>
      </c>
      <c r="G4350" t="inlineStr">
        <is>
          <t>2019-12-29 04:45:01</t>
        </is>
      </c>
      <c r="H4350" t="inlineStr"/>
    </row>
    <row r="4351">
      <c r="A4351" t="inlineStr">
        <is>
          <t>eh5zy0</t>
        </is>
      </c>
      <c r="B4351" t="inlineStr">
        <is>
          <t>Sudden lump in throat sensation whenever I swallow. It's been 10 hours and it hasn't gone away. Should I go to the hospital?</t>
        </is>
      </c>
      <c r="C4351" t="inlineStr">
        <is>
          <t>When I was 13, I got a chunk of salmon stuck in my esophagus, which landed me in the hospital where they diagnosed me with GERD and Eosinophilic Esophagitis. Never had any symptoms aside from hearburn once in the blue moon before then. Ever since then, I've had on and off issues with my GERD, but usually have it under good control when I eat healthy. The only problem that tends to stick with me is constant burping. I burp more often than anyone I know and sometimes it worries me. I've been dealing with a lot of bloating and gas this month too.
The past week or so, I let myself go and ate too many bad foods and an excessive amount of calories. I even ate a bit of gluten and a lot of dairy (which is off my list of safe foods). I never experienced any problems (aside from bloating). Fast forward to a day after my week long binge on sweets and fast food, I get a random massive lump feeling in my throat when I take a sip of water in the evening. Before that, I had hunger pangs and some slight stomach discomfort. I went from eating 2500-3200 calories per day to 1200 which is what I assume is the cause. After noticing the lump feeling, I began to panic and had what I feel like was a 3.5 hour long panic attack. I was shaking, trembling and terrified. I kept swallowing water to see if it would go away. I took an anti acid and some natural remedies, but nothing worked. So here I am now, after only 4 hours of sleep, with the feeling of a big lump in my throat/esophagus whenever I swallow anything. I'm not sure I'll even be able to eat today. 
The only other times I've experienced a lump in my throat sensation, it was still relatively mild and went away over the course of a few hours. But since this still hasn't gone away since last night and feels a lot more severe than the other times, I'm really worried. 
Should I go to the hospital? Things can still pass through my esophagus, so it's not an obstruction. Just a very uncomfortable feeling that leaves me feeling very anxious.</t>
        </is>
      </c>
      <c r="D4351" t="n">
        <v>1</v>
      </c>
      <c r="E4351" t="n">
        <v>5</v>
      </c>
      <c r="F4351">
        <f>HYPERLINK("https://www.reddit.com/r/GERD/comments/eh5zy0/sudden_lump_in_throat_sensation_whenever_i/")</f>
        <v/>
      </c>
      <c r="G4351" t="inlineStr">
        <is>
          <t>2019-12-29 05:38:05</t>
        </is>
      </c>
      <c r="H4351" t="inlineStr"/>
    </row>
    <row r="4352">
      <c r="A4352" t="inlineStr">
        <is>
          <t>eh96z7</t>
        </is>
      </c>
      <c r="B4352" t="inlineStr">
        <is>
          <t>Shortness of breath</t>
        </is>
      </c>
      <c r="C4352" t="inlineStr">
        <is>
          <t>M/32/200lbs/6’2”
Ive only recently been diagnosed with GERD and I’ve been having 3-5 day periods where I feel like I can’t breathe. A couple weeks ago I went to Urgent Care and they did an EKG and some blood tests, they said it was probably “just” anxiety but then said I might have a blood clot in my lungs and sent me to the Emergency Room. 
At the Emergency Room they did several rounds blood tests, chest X-ray, 3 EKGs throughout the night, a chest MRI with dye and said everything looked normal and healthy but told me to start taking small dose aspirin. They told me to schedule a cardiac stress test as soon as I’m able(which will be January when my new health insurance kicks in) just to be sure.
The past 3 days have been miserable, I feel like I can hardly go up or down the stairs in my house. Today it feels like my lungs are burning as well. I’ve seen on here that many people seem to experience similar symptoms. Does anything help with this? It’s causing me tremendous anxiety which is probably just making it worse and I’m fighting the urge to go to urgent care again because I just can not afford anymore healthcare right now.</t>
        </is>
      </c>
      <c r="D4352" t="n">
        <v>1</v>
      </c>
      <c r="E4352" t="n">
        <v>4</v>
      </c>
      <c r="F4352">
        <f>HYPERLINK("https://www.reddit.com/r/GERD/comments/eh96z7/shortness_of_breath/")</f>
        <v/>
      </c>
      <c r="G4352" t="inlineStr">
        <is>
          <t>2019-12-29 10:12:16</t>
        </is>
      </c>
      <c r="H4352" t="inlineStr"/>
    </row>
    <row r="4353">
      <c r="A4353" t="inlineStr">
        <is>
          <t>ehd7mz</t>
        </is>
      </c>
      <c r="B4353" t="inlineStr">
        <is>
          <t>Burned my throat - any gentle food recommendations?</t>
        </is>
      </c>
      <c r="C4353" t="inlineStr">
        <is>
          <t>Hey everyone! The food I ate over the holidays caused my GERD symptoms to flare up and I ended up burning my throat due to reflux. Having difficulty swallowing even my own saliva.
Any food recommendations while it heals that should hurt less?</t>
        </is>
      </c>
      <c r="D4353" t="n">
        <v>1</v>
      </c>
      <c r="E4353" t="n">
        <v>4</v>
      </c>
      <c r="F4353">
        <f>HYPERLINK("https://www.reddit.com/r/GERD/comments/ehd7mz/burned_my_throat_any_gentle_food_recommendations/")</f>
        <v/>
      </c>
      <c r="G4353" t="inlineStr">
        <is>
          <t>2019-12-29 15:11:57</t>
        </is>
      </c>
      <c r="H4353" t="inlineStr"/>
    </row>
    <row r="4354">
      <c r="A4354" t="inlineStr">
        <is>
          <t>ehddp6</t>
        </is>
      </c>
      <c r="B4354" t="inlineStr">
        <is>
          <t>Thoughts on my symptoms?</t>
        </is>
      </c>
      <c r="C4354" t="inlineStr">
        <is>
          <t>Hey all.
About two-three weeks ago I began having, what I assume, are crazy panic attacks that typically start with my heart racing and if I don’t manage it, turn into a full-blown episode of me thinking I’m having a heart-attack/on-the-verge of passing out.  
I have no history of anxiety or panic disorders. I’m a 28 year old male, I don’t drink, exercise regularly, and overall am generally healthy. I have not been to a doctor about any of this because I have no coverage until 01/01 and financially not in a position to take on medical expenses.
As time has gone on, I’ve started noticing a pretty distinct correlation between having a panic attack and my diet. That is, eating acidic seems to be a trigger in some regards.
Symptoms I’m having that brought me to this sub include a lumpy feeling in bottom of my throat (which spirals into me thinking shortness of breath, which then triggers anxiety lol), a very distinguishable heat in the dead center of my chest, a clear phlegm when I eat overly fatty foods, and an extreme lethargy. Symptoms seem to be the worst in the morning and are amplified by lying down and sometimes on a certain side. 
I am going to get everything checked out as soon as my coverage kicks in. I guess I’m just grasping at anything I can to reassure me what I’m going through is a gastro issue rather than a heart issue. I’d much prefer that for some reason lol.
Thanks in advance!</t>
        </is>
      </c>
      <c r="D4354" t="n">
        <v>1</v>
      </c>
      <c r="E4354" t="n">
        <v>3</v>
      </c>
      <c r="F4354">
        <f>HYPERLINK("https://www.reddit.com/r/GERD/comments/ehddp6/thoughts_on_my_symptoms/")</f>
        <v/>
      </c>
      <c r="G4354" t="inlineStr">
        <is>
          <t>2019-12-29 15:24:47</t>
        </is>
      </c>
      <c r="H4354" t="inlineStr"/>
    </row>
    <row r="4355">
      <c r="A4355" t="inlineStr">
        <is>
          <t>ehdmb4</t>
        </is>
      </c>
      <c r="B4355" t="inlineStr">
        <is>
          <t>Feel like I'm gonna be sick</t>
        </is>
      </c>
      <c r="C4355" t="inlineStr">
        <is>
          <t>Had an amazing night, now wanna ring my bf and tell him all about it, but instead I had to hang up and sit infront of the loo cause I think I'm going to be sick. Didnt eat or drink anything out of the ordinary, but still feel this bad. Its shit.</t>
        </is>
      </c>
      <c r="D4355" t="n">
        <v>1</v>
      </c>
      <c r="E4355" t="n">
        <v>1</v>
      </c>
      <c r="F4355">
        <f>HYPERLINK("https://www.reddit.com/r/GERD/comments/ehdmb4/feel_like_im_gonna_be_sick/")</f>
        <v/>
      </c>
      <c r="G4355" t="inlineStr">
        <is>
          <t>2019-12-29 15:43:04</t>
        </is>
      </c>
      <c r="H4355" t="inlineStr"/>
    </row>
    <row r="4356">
      <c r="A4356" t="inlineStr">
        <is>
          <t>ehe8pt</t>
        </is>
      </c>
      <c r="B4356" t="inlineStr">
        <is>
          <t>Weird feeling on tongue?</t>
        </is>
      </c>
      <c r="C4356" t="inlineStr">
        <is>
          <t>I’m not sure if it’s something else, because my symptoms fluctuate between nearly nonexistent and severe. Sometimes I feel almost normal, but other times I feel really sick. Sometimes I can eat whatever I want without too many symptoms, but other times if I just eat a little bit I start feeling like I’ll throw up. However, when I do drag myself to the bathroom nothing comes up..... also, I have this weird feeling in the back of my tongue like someone is pushing down on it and forcing me to throw up (and yet again I don’t ever vomit), but I only gag a few times. 
My tongue feels like it doesn’t work properly and I have too much saliva, so sometimes I have to spit it out so my mouth doesn’t look foamy. Other times there’s a lump in the back of my throat, seemingly. I also have loads of mucus (?) stuck in my throat and when I swallow it’s rather sticky. Also have to clear my throat a lot. Ranitidine used to help a bit but after they recalled that I’ve been using famotidine, which unfortunately doesn’t help much. I’m only 16 and this is seriously ruining my life; has anyone successfully coped with this? Thank you!</t>
        </is>
      </c>
      <c r="D4356" t="n">
        <v>1</v>
      </c>
      <c r="E4356" t="n">
        <v>0</v>
      </c>
      <c r="F4356">
        <f>HYPERLINK("https://www.reddit.com/r/GERD/comments/ehe8pt/weird_feeling_on_tongue/")</f>
        <v/>
      </c>
      <c r="G4356" t="inlineStr">
        <is>
          <t>2019-12-29 16:31:26</t>
        </is>
      </c>
      <c r="H4356" t="inlineStr"/>
    </row>
    <row r="4357">
      <c r="A4357" t="inlineStr">
        <is>
          <t>ehem34</t>
        </is>
      </c>
      <c r="B4357" t="inlineStr">
        <is>
          <t>Any OTC to take every day?</t>
        </is>
      </c>
      <c r="C4357" t="inlineStr">
        <is>
          <t>Hello. So i recently figured out that i have GERD. (not diagnosed though, but the symptoms all match up). Yes, i know i should go to the doctor and get a proper diagnosis, but i'm just so afraid of how much that's going to cost. Is there any daily OTC i could take? I just finished an omeprazole 2 week treatment. I just hate living like this.</t>
        </is>
      </c>
      <c r="D4357" t="n">
        <v>1</v>
      </c>
      <c r="E4357" t="n">
        <v>19</v>
      </c>
      <c r="F4357">
        <f>HYPERLINK("https://www.reddit.com/r/GERD/comments/ehem34/any_otc_to_take_every_day/")</f>
        <v/>
      </c>
      <c r="G4357" t="inlineStr">
        <is>
          <t>2019-12-29 16:59:58</t>
        </is>
      </c>
      <c r="H4357" t="inlineStr"/>
    </row>
    <row r="4358">
      <c r="A4358" t="inlineStr">
        <is>
          <t>ehfhx1</t>
        </is>
      </c>
      <c r="B4358" t="inlineStr">
        <is>
          <t>Desperate for a way to relieve esophagus spasms</t>
        </is>
      </c>
      <c r="C4358" t="inlineStr">
        <is>
          <t>My episodes of esophagus spasms are becoming more frequent. I’ve been waking up from a dead sleep with my throat uncontrollably clenching.
It just started up again, even though I haven’t eaten or drank anything in hours.
Is there anything I can do to relieve it?? Right now I don’t know if any method so I just suffer through it. I’ve tried drinking hot beverages, no luck.</t>
        </is>
      </c>
      <c r="D4358" t="n">
        <v>1</v>
      </c>
      <c r="E4358" t="n">
        <v>15</v>
      </c>
      <c r="F4358">
        <f>HYPERLINK("https://www.reddit.com/r/GERD/comments/ehfhx1/desperate_for_a_way_to_relieve_esophagus_spasms/")</f>
        <v/>
      </c>
      <c r="G4358" t="inlineStr">
        <is>
          <t>2019-12-29 18:12:01</t>
        </is>
      </c>
      <c r="H4358" t="inlineStr"/>
    </row>
    <row r="4359">
      <c r="A4359" t="inlineStr">
        <is>
          <t>ehgupt</t>
        </is>
      </c>
      <c r="B4359" t="inlineStr">
        <is>
          <t>I'm experiencing a lot of skin changes ever since my GERD started . Not sure if its anxiety or the medicine but it's really annoying . As if GERD is not enough to deal with. Anyone else experience this ?</t>
        </is>
      </c>
      <c r="C4359" t="inlineStr">
        <is>
          <t>After my GERD began , I started going into a lot of stress and anxiety as many of us  have shared.      A month into my diagnoses and treatment , I've started experiencing a lot of new skin issues that I never had before and I'm trying to figure out if its GERD related or the medication.   I've started getting a lot of small skin bumps and itchy rashes on my beard and face that flare up every now and then , either due to stress? Or maybe something else. I'm on pantoprazole,  itopride and sucralfate .  I'm not sure if these new acne/ skin problems are due to the anxiety and stress caused by gerd , or if its maybe the medicine I'm taking and Its side effects.  Anyone experiencing anything similar ?</t>
        </is>
      </c>
      <c r="D4359" t="n">
        <v>1</v>
      </c>
      <c r="E4359" t="n">
        <v>4</v>
      </c>
      <c r="F4359">
        <f>HYPERLINK("https://www.reddit.com/r/GERD/comments/ehgupt/im_experiencing_a_lot_of_skin_changes_ever_since/")</f>
        <v/>
      </c>
      <c r="G4359" t="inlineStr">
        <is>
          <t>2019-12-29 20:08:12</t>
        </is>
      </c>
      <c r="H4359" t="inlineStr"/>
    </row>
    <row r="4360">
      <c r="A4360" t="inlineStr">
        <is>
          <t>ehgx8l</t>
        </is>
      </c>
      <c r="B4360" t="inlineStr">
        <is>
          <t>Could throwing up help?</t>
        </is>
      </c>
      <c r="C4360" t="inlineStr">
        <is>
          <t>I have near-constant acid regurgitation (and nausea as a result). The acid comes so high up my esophagus that I often will burp a little bit of it into my mouth. I often think about throwing up since, well, if I get rid of some stomach acid then it can't reach my upper esophagus, right?
I'm waiting to get treatment but in the meantime could throwing up help me at all? Does anybody else throw up when the acid reaches their upper esophagus?</t>
        </is>
      </c>
      <c r="D4360" t="n">
        <v>1</v>
      </c>
      <c r="E4360" t="n">
        <v>5</v>
      </c>
      <c r="F4360">
        <f>HYPERLINK("https://www.reddit.com/r/GERD/comments/ehgx8l/could_throwing_up_help/")</f>
        <v/>
      </c>
      <c r="G4360" t="inlineStr">
        <is>
          <t>2019-12-29 20:14:16</t>
        </is>
      </c>
      <c r="H4360" t="inlineStr"/>
    </row>
    <row r="4361">
      <c r="A4361" t="inlineStr">
        <is>
          <t>ehgypp</t>
        </is>
      </c>
      <c r="B4361" t="inlineStr">
        <is>
          <t>Any GERD/ LPR sufferers from houston ?</t>
        </is>
      </c>
      <c r="C4361" t="inlineStr">
        <is>
          <t>Just wondering if  I'm the only one</t>
        </is>
      </c>
      <c r="D4361" t="n">
        <v>1</v>
      </c>
      <c r="E4361" t="n">
        <v>0</v>
      </c>
      <c r="F4361">
        <f>HYPERLINK("https://www.reddit.com/r/GERD/comments/ehgypp/any_gerd_lpr_sufferers_from_houston/")</f>
        <v/>
      </c>
      <c r="G4361" t="inlineStr">
        <is>
          <t>2019-12-29 20:18:09</t>
        </is>
      </c>
      <c r="H4361" t="inlineStr"/>
    </row>
    <row r="4362">
      <c r="A4362" t="inlineStr">
        <is>
          <t>ehh7me</t>
        </is>
      </c>
      <c r="B4362" t="inlineStr">
        <is>
          <t>Question about gerd/breathlessness</t>
        </is>
      </c>
      <c r="C4362" t="inlineStr">
        <is>
          <t>Has anyone had the symptoms of the feeling of breathlessness?  I don’t have asthma but I assume this it what feels like.......sometimes after I eat, it becomes a chore to get up the stairs. I do notice this subsides when I’m exercising everyday.  Breathing part is the part that scares me, I know I can breathe but it’s a rapid type of breathing if my belly is full.  Bowell movements aren’t as regular as they use to be (Metamucil helps, I was like clock work before I noticed these symptoms of what feels like excessive air in the tummy)
I don’t want to start in a ppi, I’ll take tums to relieve myself, any other suggestions?   I just got back into exercising everyday.</t>
        </is>
      </c>
      <c r="D4362" t="n">
        <v>1</v>
      </c>
      <c r="E4362" t="n">
        <v>8</v>
      </c>
      <c r="F4362">
        <f>HYPERLINK("https://www.reddit.com/r/GERD/comments/ehh7me/question_about_gerdbreathlessness/")</f>
        <v/>
      </c>
      <c r="G4362" t="inlineStr">
        <is>
          <t>2019-12-29 20:40:02</t>
        </is>
      </c>
      <c r="H4362" t="inlineStr"/>
    </row>
    <row r="4363">
      <c r="A4363" t="inlineStr">
        <is>
          <t>ehhob6</t>
        </is>
      </c>
      <c r="B4363" t="inlineStr">
        <is>
          <t>How to absorb important nutrients with long-term PPI use</t>
        </is>
      </c>
      <c r="C4363" t="inlineStr">
        <is>
          <t>I've had GERD for 25 years, and I was just recently diagnosed with a hiatal hernia. I'll probably be on a PPI for the next few years, I imagine, until/unless I get surgery. This got me concerned about what I can do to ensure I absorb adequate amounts of the essential vitamins and minerals. I can eat all the right things, but I can't make sure my digestive track will break it down and absorb it. I've seen some people say they take a multivitamin, but doesn't that require acid to be broken down and absorbed, just like food? I could be wrong about that, I don't know. I was thinking that maybe there is a good shake or smoothie that has all the essential vitamins and minerals, and I imagine that, being a liquid, it wouldn't require as much break down in order to be absorbed. Is this thinking accurate? The Google search below yielded some interesting hits, if anyone is interested. Anyone have any opinions?
&amp;amp;#x200B;
 [https://www.google.com/search?sxsrf=ACYBGNTno6oUQ\_OQJ46udBZ5g9lIugEZcg%3A1577681071021&amp;amp;ei=r4AJXuBum7-1BpfyoKAP&amp;amp;q=shake+with+all+nutrients+needed&amp;amp;oq=shake+with+all+nutrients+needed&amp;amp;gs\_l=psy-ab.3..33i299l3.38564.47395..47581...1.1..0.93.2354.32......0....1..gws-wiz.......0i71j35i39j0i273j0i67j0j0i131j0i10i67j0i131i67j0i10j0i22i30j33i22i29i30j33i160.1gEof640FWs&amp;amp;ved=0ahUKEwiggrr-x9zmAhWbX80KHRc5CPQQ4dUDCAs&amp;amp;uact=5](https://www.google.com/search?sxsrf=ACYBGNTno6oUQ_OQJ46udBZ5g9lIugEZcg%3A1577681071021&amp;amp;ei=r4AJXuBum7-1BpfyoKAP&amp;amp;q=shake+with+all+nutrients+needed&amp;amp;oq=shake+with+all+nutrients+needed&amp;amp;gs_l=psy-ab.3..33i299l3.38564.47395..47581...1.1..0.93.2354.32......0....1..gws-wiz.......0i71j35i39j0i273j0i67j0j0i131j0i10i67j0i131i67j0i10j0i22i30j33i22i29i30j33i160.1gEof640FWs&amp;amp;ved=0ahUKEwiggrr-x9zmAhWbX80KHRc5CPQQ4dUDCAs&amp;amp;uact=5)</t>
        </is>
      </c>
      <c r="D4363" t="n">
        <v>1</v>
      </c>
      <c r="E4363" t="n">
        <v>9</v>
      </c>
      <c r="F4363">
        <f>HYPERLINK("https://www.reddit.com/r/GERD/comments/ehhob6/how_to_absorb_important_nutrients_with_longterm/")</f>
        <v/>
      </c>
      <c r="G4363" t="inlineStr">
        <is>
          <t>2019-12-29 21:21:05</t>
        </is>
      </c>
      <c r="H4363" t="inlineStr"/>
    </row>
    <row r="4364">
      <c r="A4364" t="inlineStr">
        <is>
          <t>ehisr4</t>
        </is>
      </c>
      <c r="B4364" t="inlineStr">
        <is>
          <t>When do Omeprazole side effects finally go away? It has been almost 3 weeks.</t>
        </is>
      </c>
      <c r="C4364" t="inlineStr">
        <is>
          <t>For context, please see my previous post:
[https://www.reddit.com/r/GERD/comments/e5o8bi/can\_anybody\_please\_make\_sense\_of\_the\_past\_few/](https://www.reddit.com/r/GERD/comments/e5o8bi/can_anybody_please_make_sense_of_the_past_few/)
But TLDR: I was put on Pantoprazole, then Omeprazole (and also changed diet intensely) due to minor inflammation in my esophagus. After a few days on Panto, my throat felt on fire and a rancid taste in my mouth started. It has now been over a month and the symptoms have not changed:
&amp;amp;#x200B;
After learning that I may likely have low stomach acid, not high, and after getting worse and worse and worse on Omeprazole (and with strict diet and lifestyle changes for over a month), I stopped Omeprazole. This was Dec 14.
Since stopping, the disgusting taste in my mouth has not gone away at all. I have been dehydrated despite nonstop water drinking, and my tongue has been swollen and pink and fuzzy. My stomach has not been great either, a lot of stomach sickness, random pains, etc.
I have tried everything. I read it may be a bacteria issue and have been taking probiotics, digestive enzymes, and various supplements to soothe digestion. My diet remains strict. No caffeine, no tomato, garlic, etc, etc, etc. I sleep upright. I have been intermittent fasting, not eating many hours before bed and not eating until a few hours into the next day. This is all supposed to help my problem and nothing has worked.
I am going crazy. When does this end? I had multiple GI doctors tell me "it's out of your system in 24 hours" but they must be completely wrong, right? Are they lying or uninformed?
Additionally, I found this study about what I seem to be going through but it does not say when these symptoms resolve:
[https://databankws.lareb.nl/Downloads/kwb\_2010\_1\_panto.pdf](https://databankws.lareb.nl/Downloads/kwb_2010_1_panto.pdf)</t>
        </is>
      </c>
      <c r="D4364" t="n">
        <v>1</v>
      </c>
      <c r="E4364" t="n">
        <v>18</v>
      </c>
      <c r="F4364">
        <f>HYPERLINK("https://www.reddit.com/r/GERD/comments/ehisr4/when_do_omeprazole_side_effects_finally_go_away/")</f>
        <v/>
      </c>
      <c r="G4364" t="inlineStr">
        <is>
          <t>2019-12-29 23:12:46</t>
        </is>
      </c>
      <c r="H4364" t="inlineStr"/>
    </row>
    <row r="4365">
      <c r="A4365" t="inlineStr">
        <is>
          <t>ehkt6e</t>
        </is>
      </c>
      <c r="B4365" t="inlineStr">
        <is>
          <t>Migrating Motor Complex and GERD</t>
        </is>
      </c>
      <c r="C4365" t="inlineStr">
        <is>
          <t>I was discussing digestion with a GERD patient and when I came to Migrating Motor Complex, she mentioned that she has not felt MMC in years. If you are wondering what is MMC - basically it is the last part of digestion whereby the stomach and intestines clear themselves of food and leftovers. The symptom of MMC is the rumbling in the tummy, which one can actually hear in-between meal. This got me wondering on whether this is common with other GERD patients? So just putting the question out in the community whether do you hear your stomach rumbling between meals or not? 
How this information is helpful - because in case your MMC is not working, then your GERD might be caused due to Gut motility issues rather than any other tummy issues.</t>
        </is>
      </c>
      <c r="D4365" t="n">
        <v>1</v>
      </c>
      <c r="E4365" t="n">
        <v>7</v>
      </c>
      <c r="F4365">
        <f>HYPERLINK("https://www.reddit.com/r/GERD/comments/ehkt6e/migrating_motor_complex_and_gerd/")</f>
        <v/>
      </c>
      <c r="G4365" t="inlineStr">
        <is>
          <t>2019-12-30 03:09:45</t>
        </is>
      </c>
      <c r="H4365" t="inlineStr"/>
    </row>
    <row r="4366">
      <c r="A4366" t="inlineStr">
        <is>
          <t>ehllqh</t>
        </is>
      </c>
      <c r="B4366" t="inlineStr">
        <is>
          <t>Baking Soda mixed in water for GERD? Your experiences?</t>
        </is>
      </c>
      <c r="C4366" t="inlineStr">
        <is>
          <t>I have read it might be beneficial but looking for more reassurance of its benefits before trying it myself.
If you found it beneficial, how much do you suggest taking per glass of water?
Trying to look for a alternative to TUMS (which I like but I have to take 3 of them every time there is a flair up)
Thank you in advance for your answers.</t>
        </is>
      </c>
      <c r="D4366" t="n">
        <v>1</v>
      </c>
      <c r="E4366" t="n">
        <v>7</v>
      </c>
      <c r="F4366">
        <f>HYPERLINK("https://www.reddit.com/r/GERD/comments/ehllqh/baking_soda_mixed_in_water_for_gerd_your/")</f>
        <v/>
      </c>
      <c r="G4366" t="inlineStr">
        <is>
          <t>2019-12-30 04:41:54</t>
        </is>
      </c>
      <c r="H4366" t="inlineStr"/>
    </row>
    <row r="4367">
      <c r="A4367" t="inlineStr">
        <is>
          <t>ehmjry</t>
        </is>
      </c>
      <c r="B4367" t="inlineStr">
        <is>
          <t>Wedge Pillow Chest Soreness?</t>
        </is>
      </c>
      <c r="C4367" t="inlineStr">
        <is>
          <t>Anyone sore in the morning from your wedge pillow? Maybe it’s the GERD but feels muscular to me, sleep with 7inch pillow wedge AND bed raised about 6 inches. But very sore each morning in my chest but more around breast than esophagus. Its hard to say if all these preventions work but I’m doing most of them to try and help myself. Thanks!</t>
        </is>
      </c>
      <c r="D4367" t="n">
        <v>1</v>
      </c>
      <c r="E4367" t="n">
        <v>3</v>
      </c>
      <c r="F4367">
        <f>HYPERLINK("https://www.reddit.com/r/GERD/comments/ehmjry/wedge_pillow_chest_soreness/")</f>
        <v/>
      </c>
      <c r="G4367" t="inlineStr">
        <is>
          <t>2019-12-30 06:17:40</t>
        </is>
      </c>
      <c r="H4367" t="inlineStr"/>
    </row>
    <row r="4368">
      <c r="A4368" t="inlineStr">
        <is>
          <t>ehngep</t>
        </is>
      </c>
      <c r="B4368" t="inlineStr">
        <is>
          <t>Only feeling acid in my stomach, does not make it way up to esophagus, is it GERD?</t>
        </is>
      </c>
      <c r="C4368" t="inlineStr">
        <is>
          <t>I have been having sudden stomach issues since August, had an endoscopy and nothing was found. I feel nauseous a lot of time, I feel acid in my stomach but it doesn't make it's way up to my esophagus, does anyone else experience that? Occasional diarrhea as well. Stool samples and blood test all came back clean. 
&amp;amp;#x200B;
Any suggestions or feedback on what this could be? Or what works best to get rid of stomach acid buildup?  Any trigger foods I should stay away from?</t>
        </is>
      </c>
      <c r="D4368" t="n">
        <v>1</v>
      </c>
      <c r="E4368" t="n">
        <v>7</v>
      </c>
      <c r="F4368">
        <f>HYPERLINK("https://www.reddit.com/r/GERD/comments/ehngep/only_feeling_acid_in_my_stomach_does_not_make_it/")</f>
        <v/>
      </c>
      <c r="G4368" t="inlineStr">
        <is>
          <t>2019-12-30 07:33:41</t>
        </is>
      </c>
      <c r="H4368" t="inlineStr"/>
    </row>
    <row r="4369">
      <c r="A4369" t="inlineStr">
        <is>
          <t>ehnk2r</t>
        </is>
      </c>
      <c r="B4369" t="inlineStr">
        <is>
          <t>About to get my endoscopy! Just wondering if I could get some words of encouragement for how nervous I am!</t>
        </is>
      </c>
      <c r="C4369" t="inlineStr">
        <is>
          <t>Hey everyone, health anxiety and general anxiety disorder sufferer here! I’ve been having the absolute worst upper GI upset lately. Really, really bad (See previous posts.) Well, I had an endoscopy scheduled later in the week but I called everyday for a cancellation, well yesterday I got the call and I’m going in in 2 hours, today. I am hungry, thirsty, and TERRIFIED of going under. I keep thinking about not waking up. What if something goes wrong and they cut my insides?? What if I never get to get up and live life? I’m 21f. I am SO SCARED!!! Currently shaking on my bathroom floor right now trying to get up!</t>
        </is>
      </c>
      <c r="D4369" t="n">
        <v>1</v>
      </c>
      <c r="E4369" t="n">
        <v>33</v>
      </c>
      <c r="F4369">
        <f>HYPERLINK("https://www.reddit.com/r/GERD/comments/ehnk2r/about_to_get_my_endoscopy_just_wondering_if_i/")</f>
        <v/>
      </c>
      <c r="G4369" t="inlineStr">
        <is>
          <t>2019-12-30 07:41:34</t>
        </is>
      </c>
      <c r="H4369" t="inlineStr"/>
    </row>
    <row r="4370">
      <c r="A4370" t="inlineStr">
        <is>
          <t>ehnk3q</t>
        </is>
      </c>
      <c r="B4370" t="inlineStr">
        <is>
          <t>Has omeprazole stopped working for some people?</t>
        </is>
      </c>
      <c r="C4370" t="inlineStr">
        <is>
          <t>So today I've been having symptoms like I was before being diagnosed and put on medicine. I'm shaky, I feel feverish, and my stomach feels like it's both imploding and exploding. I've never felt like this since being on medicine, so I'm worried.
I've been taking prescription strength omeprazole and ranitidine for the last few months since I've been diagnosed with gerd. I've stopped taking ranitidine since a couple days ago because my fiance was worried about it with the recall, (which shouldn't affect me too much anyway because I was spotty about taking it because it's hard to remember to take meds at night) and I still take generic  tums thing I take too.
Does anyone else have this experience?</t>
        </is>
      </c>
      <c r="D4370" t="n">
        <v>1</v>
      </c>
      <c r="E4370" t="n">
        <v>10</v>
      </c>
      <c r="F4370">
        <f>HYPERLINK("https://www.reddit.com/r/GERD/comments/ehnk3q/has_omeprazole_stopped_working_for_some_people/")</f>
        <v/>
      </c>
      <c r="G4370" t="inlineStr">
        <is>
          <t>2019-12-30 07:41:38</t>
        </is>
      </c>
      <c r="H4370" t="inlineStr"/>
    </row>
    <row r="4371">
      <c r="A4371" t="inlineStr">
        <is>
          <t>eho3ee</t>
        </is>
      </c>
      <c r="B4371" t="inlineStr">
        <is>
          <t>Lpr/gerd?</t>
        </is>
      </c>
      <c r="C4371" t="inlineStr">
        <is>
          <t>Hey guys I’m really scared and I think I have cancer. I’m 18 (m) and I been having these symptoms of trouble swallowing, chest pain,post nasel drip, phlegm in throat, a lump in throat feeling, indigestion, throat pops when I swallow, burping a lot after every meal or drink. When I wake up in the morning I have a sore throat and a lot of chest pressure like I ate a full meal but it’s in my chest. For about two weeks I couldn’t swallow nothing. All I had was yogurt and water. Lost major weight. Now I’m back to eating foods but everything feels like it get stuck. Even with slight risk factors everyone thinks I’m fine. I have been experiencing this for 2 months and about to be 3. And also I’ve been going to the doctors back and forth and explaining these problems. I started researching (which I know I shouldn’t have) it gives me gerd, lpr or esophageal and stomach cancer. I’m trying to schedule a endoscope quick as possible. Please let me know if you’re dealing with this or someone else is.</t>
        </is>
      </c>
      <c r="D4371" t="n">
        <v>1</v>
      </c>
      <c r="E4371" t="n">
        <v>17</v>
      </c>
      <c r="F4371">
        <f>HYPERLINK("https://www.reddit.com/r/GERD/comments/eho3ee/lprgerd/")</f>
        <v/>
      </c>
      <c r="G4371" t="inlineStr">
        <is>
          <t>2019-12-30 08:22:29</t>
        </is>
      </c>
      <c r="H4371" t="inlineStr"/>
    </row>
    <row r="4372">
      <c r="A4372" t="inlineStr">
        <is>
          <t>ehpeoo</t>
        </is>
      </c>
      <c r="B4372" t="inlineStr">
        <is>
          <t>Has anyone tried Mastic Gum?</t>
        </is>
      </c>
      <c r="C4372" t="inlineStr">
        <is>
          <t>A friend told about Mastic Gum and how it can help a lot with acid build up, GERD, digestive issues, ulcers and more. Anyone have experience with this? Did it work?</t>
        </is>
      </c>
      <c r="D4372" t="n">
        <v>1</v>
      </c>
      <c r="E4372" t="n">
        <v>9</v>
      </c>
      <c r="F4372">
        <f>HYPERLINK("https://www.reddit.com/r/GERD/comments/ehpeoo/has_anyone_tried_mastic_gum/")</f>
        <v/>
      </c>
      <c r="G4372" t="inlineStr">
        <is>
          <t>2019-12-30 09:56:28</t>
        </is>
      </c>
      <c r="H4372" t="inlineStr"/>
    </row>
    <row r="4373">
      <c r="A4373" t="inlineStr">
        <is>
          <t>ehrno8</t>
        </is>
      </c>
      <c r="B4373" t="inlineStr">
        <is>
          <t>Poking stomach pain just under / below left ribs</t>
        </is>
      </c>
      <c r="C4373" t="inlineStr">
        <is>
          <t>I rarely ask about my ailments on here but this has been bothering me for a few days and i’m curious to see if anyone else has ever experienced pain like this. It basically feels like someone is poking my stomach under my left rib cage. I also have a feeling of general fullness. Eating makes it much worse.</t>
        </is>
      </c>
      <c r="D4373" t="n">
        <v>1</v>
      </c>
      <c r="E4373" t="n">
        <v>34</v>
      </c>
      <c r="F4373">
        <f>HYPERLINK("https://www.reddit.com/r/GERD/comments/ehrno8/poking_stomach_pain_just_under_below_left_ribs/")</f>
        <v/>
      </c>
      <c r="G4373" t="inlineStr">
        <is>
          <t>2019-12-30 12:32:22</t>
        </is>
      </c>
      <c r="H4373" t="inlineStr"/>
    </row>
    <row r="4374">
      <c r="A4374" t="inlineStr">
        <is>
          <t>ehs8n3</t>
        </is>
      </c>
      <c r="B4374" t="inlineStr">
        <is>
          <t>Best type of Alcohol for GERD/ Acid Reflux</t>
        </is>
      </c>
      <c r="C4374" t="inlineStr">
        <is>
          <t>Hello reddit !
I'm 22 years old and for the past 3 months have been suffering from acid reflux. I took Nexium [a type of PPI] for 3 months and today is my last day. I won't drink the PPI tomorrow and as we know, it's new years eve tomorrow.
Anyone with some advice about what type of alcohol is least acidic/ a good choice for someone who suffers from moderate GERD and acid reflux? Not a heavy drinker, so hopefully taht fact may be an advantage as well.
Thanks !</t>
        </is>
      </c>
      <c r="D4374" t="n">
        <v>1</v>
      </c>
      <c r="E4374" t="n">
        <v>10</v>
      </c>
      <c r="F4374">
        <f>HYPERLINK("https://www.reddit.com/r/GERD/comments/ehs8n3/best_type_of_alcohol_for_gerd_acid_reflux/")</f>
        <v/>
      </c>
      <c r="G4374" t="inlineStr">
        <is>
          <t>2019-12-30 13:13:09</t>
        </is>
      </c>
      <c r="H4374" t="inlineStr"/>
    </row>
    <row r="4375">
      <c r="A4375" t="inlineStr">
        <is>
          <t>ehtbvg</t>
        </is>
      </c>
      <c r="B4375" t="inlineStr">
        <is>
          <t>GERD flareup, stress, or something else?</t>
        </is>
      </c>
      <c r="C4375" t="inlineStr">
        <is>
          <t>I have had gerd flareups where I have acid burning in my throat for days and bad chest pains, but I've also experienced times where I have pain in other parts of my body. I chalked it up to gerd because there are so many symptoms that accompany it that aren't listed. Now, I'm not so sure what's wrong with me. Basically, when I've had these times I've had to be out of school for a whole week at a time because my ribs, sides, and back hurt just from small movements like walking to the bathroom. The best way I can describe it is a soreness or sensitivity. Feels like I got punched all over and my body is bruised or something. I started feeling like this the day after a busy day of standing and running around at work. I'm on my third day of these pains. I can still eat fine and drink water with no acid in my throat. The only thing bothering me is the pain. Is this normal with gerd? Has anyone else experienced this?</t>
        </is>
      </c>
      <c r="D4375" t="n">
        <v>1</v>
      </c>
      <c r="E4375" t="n">
        <v>8</v>
      </c>
      <c r="F4375">
        <f>HYPERLINK("https://www.reddit.com/r/GERD/comments/ehtbvg/gerd_flareup_stress_or_something_else/")</f>
        <v/>
      </c>
      <c r="G4375" t="inlineStr">
        <is>
          <t>2019-12-30 14:31:23</t>
        </is>
      </c>
      <c r="H4375" t="inlineStr"/>
    </row>
    <row r="4376">
      <c r="A4376" t="inlineStr">
        <is>
          <t>ehtl06</t>
        </is>
      </c>
      <c r="B4376" t="inlineStr">
        <is>
          <t>My experience with GERD, getting the TIF procedure, and my advice.</t>
        </is>
      </c>
      <c r="C4376" t="inlineStr">
        <is>
          <t>This is a little long but it will be worth reading. I will do a quick summary with some advice first:
I am a 30 year old male who suffered from GERD and LPR for 8 years. I got the TIF procedure on November 20th 2019 and I am a completely new person. All of my GERD and LPR symptoms are gone. If you are suffering from heart burn non-stop, or the LPR symptoms you will read about here (trouble breathing, throat congestion, trouble swallowing, post nasal drip, Vocal Cord Dysfunction, etc) see your doctor and have him send you to a Gastroenterologist ASAP, and then get an upper endoscopy ASAP. Don't let them just put you on omeprazole for years (doctors will do this), be very adamant about getting an upper endoscopy so that you know you do in fact have a problem with your LES. **Don't just read things on the internet and speculate what you might have!** Either it isn't functioning properly (in my case) or you also have a hiatal hernia there which causes it to be too wide and not function properly. If you do in fact have a hernia, but it is 2 cm or less, you are still a candidate for the TIF procedure which I will get to later. 
Also, **there is no magic cure diet if you have GERD**. If your lower esophageal sphincter doesn't function properly, then diet change will not fix it. It's like if your finger got cut off and someone told you to drink apple cider vinegar and it will grow back. The answer is surgery, and that's that. I will say that the ketogenic diet made my heart burn a little better, but I still always had to take medicine, and my LPR symptoms were always there. It is so frustrating to see these dumb YouTube click-bait videos with "Cure your GERD with this one diet trick!" etc. 
If you don't want to be on a PPI the rest of your life, or you're suffering from LPR symptoms, then the answer is surgery and it's as simple as that. Luckily, things like the Stretta and TIF procedure now exist. Go google the Stretta and the TIF procedure and read about them. The TIF is incisionless, safe, effective, long lasting, and most importantly, fixable later down the line. The Nissan Fundoplication, is not fixable and not a good idea for someone younger. The TIF could last forever, but if it doesn't and my GERD comes back in 20 years, they can easily go back in and re-tighten it. If you have a hiatal hernia, you can get a surgery where they repair that, and then do the TIF at the same time. So if you're suffering, I can't emphasize enough that **THERE IS HOPE**. If your insurance denies the TIF, like it did me, it's only about 10,000 cash. Still a lot, but doable to fix this crappy disease. 
If you can't find a doctor in your area or state who offers the TIF, find one on the internet who does. Do whatever it takes to get surgery ASAP because this disease only gets worse. I am glad I am still young, but this disease made my 20s much worse than they should have been. 
**Here's my story below:**
I started getting non-stop heart burn at age 22. I took tums constantly and knew something was off, so I saw my primary doctor. I was prescribed omeprazole (prilosec) twice a day for 30 days to see if we could "reset" my LES (Lower Esophageal Sphincter). I remember how well it worked and how I could eat anything with no problem. I was also a college student in my senior year, a singer in an a cappella group. After the 30 days, I stopped taking the prilosec and it came back. I saw my doctor and he said I needed to get an upper endoscopy. I had already done the barium swallow test which didn't show anything. I was an idiot, and didn't get an upper endoscopy for another couple of years. 
So the next few years I get diagnosed with asthma because I am struggling to breathe all the time (because of GERD). I am prescribed inhalers but of course they don't do anything. I would later see an ENT who would diagnose me with vocal chord dysfunction. THIS is why I was struggling to breath, and it turns out LPR is a big cause of VCD. Vocal cord dysfunction makes it harder to breath in. Anyways, I can't remember how many doctors I saw but I kept seeking surgery for GERD but was told that surgery is only for those who desperately need it and that I should just stay on prilosec (forever!). This is because at the time the most known surgery was the Nissan Fundoplication, which is not a good option for a young person (or a good option at all really). I start doing research and discover the Stretta procedure. The stretta is where they put a tool down your esophagus, and use radio frequency energy on your LES which essentially forces it to thicken up over the next several. I thought this was my answer. So I finally scheduled an appoint for an upper endoscopy at Oregon Clinic. 
Before getting my endoscopy, I just want to add that at this point I suffered horrible side effects from the prilosec but did not know it was the prilosec. I really struggled to breathe. It felt like there was a weight on my chest all the time. I would still have the out of breath feeling after switching medications, but it really improved after getting off of prilosec. I'm not really sure why I suffered this side effect. I was also clearing my throat constantly, and food would get stuck in my throat. 
So I get the upper endoscopy and my doctor actually dilated my esophagus during the procedure which helped A LOT. I could swallow much better afterwards. Essentially the GERD had caused scar tissue in my throat. It is also confirmed through this and the PH study that I definitely have GERD. I met with him afterwards, hoping to discuss the stretta, but he told me that the stretta doesn't actually work and I can't get it. I was pretty furious (this guy didn't have great bed side manner. He didn't give me any other options, just said to come back in 6 months). I'm not sure why but I decided to switch to Zantac, which was a much better medicine for me (although it dehydrated me and made me thirsty all the time). I could breathe much better. Of course after taking it multiple times a day for several years it would eventually be recalled for having a cancer causing substance in it. Awesome. 
So I go back to the drawing board and I eventually find a doctor at UC Irvine, named Dr. Keneth Chang, who offers the Stretta, or so I thought. It turns out he didn't but his nurse said he is one of the best in the world, to I should seek his help anyways. Over the next year (I am 28 at this point) I fly down down to get another endoscopy, a 96 hour ph test, and then finally a meeting with the Dr. to discuss options. He told me that the TIF procedure is the most effective, most cutting edge surgery I can get and that we can do it. I schedule it, and then my insurance ends up denying it. It really, really sucked. 
So, I quit my job and switched insurances (I hated my job anyways). I actually got onto the Oregon Health Plan, which is government insurance that I expected to suck. It only covered me in Oregon so I asked UC Irvine if they knew anyone in Oregon. They suggested Dr. Kevin Reavis of Oregon Clinic, who they worked with before. It turned out my insurance covered a visit with him. I could not speak higher of this man. He treated me with respect, understood that all of my symptoms were in fact caused by GERD. I asked him if the surgery would help all of this vocal cord crap and he said yes. He was correct. I had to do another manometry test, which if you've had before you know SUCKS and is slightly traumatizing, but at this point I was willing to do whatever it took to get something done. 
I got the TIF procedure November 20th, 2019 and I am a completely new person now. Literally all, yes ALL of my symptoms of GERD and LPR are gone. No more heartburn, no more phlegm stuck in my throat all the time, and I CAN BREATHE. I remember day 5 specifically after the surgery laying in bed, and just breathing normally. It had probably been 8 years since I have been able to breathe normally. 
When I woke up from the procedure I was in a good amount of pain, but they gave me morphine, and then delotted, for the next day in my stay the hospital. The first five days were rough, but I had vicodine which helped. You are on a liquid diet for the first week, so I drank this stuff called Ample (meal replacement that is good for you. They offer a vegan option if you need), and I also drank Soylent which isn't as good for you but that doesn't matter. Also a lot of broth. The pain gets better and better each day. I had a lot of gas, and my body just had to adjust to actually having a barrier between my stomach and esophagus. It's now been 5 weeks and I feel like I am 21 again. I am a new person. I can run and now get out of breath, I don't have to take any medicine, I can eat anything I want and not get heart burn! (I generally eat healthy but just to test it, I had Chinese food and red wine one night, and NO HEART BURN). My life has been given back to me. 
I just want to add that this disease harms everybody differently. My nurse at UC Irvine had GERD, and she told me she took prilosec in the morning, and a Zantac at night and that worked for her. One of his residents also had it, and didn't have any of the symptoms I explained. He even seemed skeptical of me. He said they can't promise surgery would fix any  of this. But I was 99 percent sure. Because all of my problems started once I got GERD. Literally all of them. And all of them are not gone now that I have a new valve. So if you see a doctor and they act like your symptoms are non-sense, but you KNOW what you are going through and would rather have surgery, don't let them just put you on a PPI your whole life. 
Sorry that was long, but I just want to help as many people as I know how crappy this disease is.</t>
        </is>
      </c>
      <c r="D4376" t="n">
        <v>1</v>
      </c>
      <c r="E4376" t="n">
        <v>84</v>
      </c>
      <c r="F4376">
        <f>HYPERLINK("https://www.reddit.com/r/GERD/comments/ehtl06/my_experience_with_gerd_getting_the_tif_procedure/")</f>
        <v/>
      </c>
      <c r="G4376" t="inlineStr">
        <is>
          <t>2019-12-30 14:50:02</t>
        </is>
      </c>
      <c r="H4376" t="inlineStr"/>
    </row>
    <row r="4377">
      <c r="A4377" t="inlineStr">
        <is>
          <t>ehtpke</t>
        </is>
      </c>
      <c r="B4377" t="inlineStr">
        <is>
          <t>How many MM is your esophagus?</t>
        </is>
      </c>
      <c r="C4377" t="inlineStr">
        <is>
          <t>They gave me a Prilosec pill that is 18 mm. I’ve heard that people with GERD have smaller esophagus. Should I be afraid?</t>
        </is>
      </c>
      <c r="D4377" t="n">
        <v>1</v>
      </c>
      <c r="E4377" t="n">
        <v>12</v>
      </c>
      <c r="F4377">
        <f>HYPERLINK("https://www.reddit.com/r/GERD/comments/ehtpke/how_many_mm_is_your_esophagus/")</f>
        <v/>
      </c>
      <c r="G4377" t="inlineStr">
        <is>
          <t>2019-12-30 14:59:10</t>
        </is>
      </c>
      <c r="H4377" t="inlineStr"/>
    </row>
    <row r="4378">
      <c r="A4378" t="inlineStr">
        <is>
          <t>ehv8ee</t>
        </is>
      </c>
      <c r="B4378" t="inlineStr">
        <is>
          <t>Anyone else having these GERD symptoms?</t>
        </is>
      </c>
      <c r="C4378" t="inlineStr">
        <is>
          <t>So I'm a 22/M and I was recently diagnosed with GERD disease. One day at work I got an extreme tightness, almost shock feeling in my chest follow by the feeling of passing out. So a friend of mine rushed me to the ER and I had a bunch of Cardiac test, blood test, X-Ray all done on me and they said I was all clear nothing was wrong. 
Well I've been back about 4 times all for the same thing and each time tests are done and they come back as all good with Cardiovascular system. 
It hasn't been very bad for a couple weeks but the last few days I've been having extreme pain right in the middle of my chest, a tightness almost shock feeling and left with a soar feeling like someone is pressing against my chest after. Soar to the touch.
Today was the worst. It's been going on all day and I'll be okay for a bit then all of a sudden it's like a sharp/shock pain in the middle of my chest followed by a slight "out of it" state. 
My sides have also been hurting..I'm just curious if anyone else has had these symptoms with GERD's disease?? 
Kind of a peace in mind thing I guess..
Thank you</t>
        </is>
      </c>
      <c r="D4378" t="n">
        <v>1</v>
      </c>
      <c r="E4378" t="n">
        <v>7</v>
      </c>
      <c r="F4378">
        <f>HYPERLINK("https://www.reddit.com/r/GERD/comments/ehv8ee/anyone_else_having_these_gerd_symptoms/")</f>
        <v/>
      </c>
      <c r="G4378" t="inlineStr">
        <is>
          <t>2019-12-30 16:55:38</t>
        </is>
      </c>
      <c r="H4378" t="inlineStr"/>
    </row>
    <row r="4379">
      <c r="A4379" t="inlineStr">
        <is>
          <t>ehw95n</t>
        </is>
      </c>
      <c r="B4379" t="inlineStr">
        <is>
          <t>PLEASE RESPOND</t>
        </is>
      </c>
      <c r="C4379" t="inlineStr">
        <is>
          <t>I feel like I’m going crazy, I’ve had heartburn all my life but never this bad. It’s every night! It’s horrible the pain is in my tummy my back my upper chest. My breastbone/sternum even swelled up twice! Sometimes I feel like when I swallow there is something in my throat like a lump. It’s every night! I have Ulcerative Colitis and January 22rd they are doing a endoscopy because they are concerned I have more wrong with me! My mom has Barrett’s and her esophagus is thickened she pukes after every meal since she was a young adult. Do I need to go to the er??????? I’m trying to get remission with my Ulcerative Colitis now I’m dealing with this! I’m scared I’m tired I just can’t take it but I don’t want to go to the er every month my last visit was October. Please help I’m terrified I’m angry I’m fed up.</t>
        </is>
      </c>
      <c r="D4379" t="n">
        <v>1</v>
      </c>
      <c r="E4379" t="n">
        <v>8</v>
      </c>
      <c r="F4379">
        <f>HYPERLINK("https://www.reddit.com/r/GERD/comments/ehw95n/please_respond/")</f>
        <v/>
      </c>
      <c r="G4379" t="inlineStr">
        <is>
          <t>2019-12-30 18:17:18</t>
        </is>
      </c>
      <c r="H4379" t="inlineStr"/>
    </row>
    <row r="4380">
      <c r="A4380" t="inlineStr">
        <is>
          <t>ehwjdg</t>
        </is>
      </c>
      <c r="B4380" t="inlineStr">
        <is>
          <t>Another Acid Watcher Diet Post</t>
        </is>
      </c>
      <c r="C4380" t="inlineStr">
        <is>
          <t>I’m starting the healing phase on 1/1/20. I’m dreading giving up my coffee, but this throat tightness is scary. Share with me your experience on the AWD? How long did it take to notice results. What was your go to easy quick food fixes? Or tips/tricks? You guys have been so helpful post diagnosis so cheers to you.</t>
        </is>
      </c>
      <c r="D4380" t="n">
        <v>1</v>
      </c>
      <c r="E4380" t="n">
        <v>2</v>
      </c>
      <c r="F4380">
        <f>HYPERLINK("https://www.reddit.com/r/GERD/comments/ehwjdg/another_acid_watcher_diet_post/")</f>
        <v/>
      </c>
      <c r="G4380" t="inlineStr">
        <is>
          <t>2019-12-30 18:40:44</t>
        </is>
      </c>
      <c r="H4380" t="inlineStr"/>
    </row>
    <row r="4381">
      <c r="A4381" t="inlineStr">
        <is>
          <t>ehx13q</t>
        </is>
      </c>
      <c r="B4381" t="inlineStr">
        <is>
          <t>Mattress wedge/elevator to incline instead of pillows. What's your experience?</t>
        </is>
      </c>
      <c r="C4381" t="inlineStr">
        <is>
          <t>My doctor recommended that I get a 'mattress wedge' instead of using pillows or using a pillow wedge. She said that a wedge pillow will fold me in the middle (solar plexus) and cause problems. My current solution of using two pillows is causing neck stiffness.
What is your experience with mattress elevators/wedges? Any particular recommendations?</t>
        </is>
      </c>
      <c r="D4381" t="n">
        <v>1</v>
      </c>
      <c r="E4381" t="n">
        <v>4</v>
      </c>
      <c r="F4381">
        <f>HYPERLINK("https://www.reddit.com/r/GERD/comments/ehx13q/mattress_wedgeelevator_to_incline_instead_of/")</f>
        <v/>
      </c>
      <c r="G4381" t="inlineStr">
        <is>
          <t>2019-12-30 19:21:20</t>
        </is>
      </c>
      <c r="H4381" t="inlineStr"/>
    </row>
    <row r="4382">
      <c r="A4382" t="inlineStr">
        <is>
          <t>ehy0of</t>
        </is>
      </c>
      <c r="B4382" t="inlineStr">
        <is>
          <t>PLEASE HELP</t>
        </is>
      </c>
      <c r="C4382" t="inlineStr">
        <is>
          <t>I’m not sure if it’s something else, because my symptoms fluctuate between nearly nonexistent and severe. Sometimes I feel almost normal, but other times I feel really sick. Sometimes I can eat whatever I want without too many symptoms, but other times if I just eat a little bit I start feeling like I’ll throw up. However, when I do drag myself to the bathroom nothing comes up..... also, I have this weird feeling in the back of my tongue like someone is pushing down on it and forcing me to throw up (and yet again I don’t ever vomit), but I only gag a few times. 
My tongue feels like it doesn’t work properly and I have too much saliva, so sometimes I have to spit it out so my mouth doesn’t look foamy. Other times there’s a lump in the back of my throat, seemingly. I also have loads of mucus (?) stuck in my throat and when I swallow it’s rather sticky. Also have to clear my throat a lot. Ranitidine used to help a bit but after they recalled that I’ve been using famotidine, which unfortunately doesn’t help much. I’m only 16 and this is seriously ruining my life; has anyone successfully coped with this? Thank you!</t>
        </is>
      </c>
      <c r="D4382" t="n">
        <v>1</v>
      </c>
      <c r="E4382" t="n">
        <v>6</v>
      </c>
      <c r="F4382">
        <f>HYPERLINK("https://www.reddit.com/r/GERD/comments/ehy0of/please_help/")</f>
        <v/>
      </c>
      <c r="G4382" t="inlineStr">
        <is>
          <t>2019-12-30 20:46:04</t>
        </is>
      </c>
      <c r="H4382" t="inlineStr"/>
    </row>
    <row r="4383">
      <c r="A4383" t="inlineStr">
        <is>
          <t>ehyb0t</t>
        </is>
      </c>
      <c r="B4383" t="inlineStr">
        <is>
          <t>Do I have GERD?</t>
        </is>
      </c>
      <c r="C4383" t="inlineStr">
        <is>
          <t>I quit smoking (smoked for 5 years) 50 days ago using nicotine lozenges. Since then I've been having some symptoms that seem to me to be unrelated to smoking cessation:
* chest tightness
* some days i've felt the need to clear my throat a lot
* occasional post nasal drip and need to cough
* somedays i'll wake up with a hoarse voice
* slight wheeze at the end of a deep and rapid exhale
While they are relatively mild, none of these symptoms have seemed to improve much at all. I am a night owl so I tend to eat a lot later in the night. Usually after my final meal i'll belch once or twice with occasional slight regurgitation or stomach acid coming up. None of this was happening when I smoked so I've been pretty confused? I am going to get off the nicotine lozenges in a week or so to see if thats the cause. Also, I have not had heartburn of that i'm aware. Should I change my diet and/or my lifestyle/sleep schedule?</t>
        </is>
      </c>
      <c r="D4383" t="n">
        <v>1</v>
      </c>
      <c r="E4383" t="n">
        <v>2</v>
      </c>
      <c r="F4383">
        <f>HYPERLINK("https://www.reddit.com/r/GERD/comments/ehyb0t/do_i_have_gerd/")</f>
        <v/>
      </c>
      <c r="G4383" t="inlineStr">
        <is>
          <t>2019-12-30 21:11:55</t>
        </is>
      </c>
      <c r="H4383" t="inlineStr"/>
    </row>
    <row r="4384">
      <c r="A4384" t="inlineStr">
        <is>
          <t>ehypyi</t>
        </is>
      </c>
      <c r="B4384" t="inlineStr">
        <is>
          <t>Burping while on PPIs?</t>
        </is>
      </c>
      <c r="C4384" t="inlineStr">
        <is>
          <t>Hey guys, my husband was diagnosed with GERD and is on PPIs. He was on omeprazole for a month but his heartburn came back. Now hes on Dexilant for 4 months but he is burping more and more as they days go by. Is this normal? He still has 2 months of medicine left but I'm scared as the burping is increasing by day... I didnt think PPIs would do that... could it be that the medication isnt working?</t>
        </is>
      </c>
      <c r="D4384" t="n">
        <v>1</v>
      </c>
      <c r="E4384" t="n">
        <v>5</v>
      </c>
      <c r="F4384">
        <f>HYPERLINK("https://www.reddit.com/r/GERD/comments/ehypyi/burping_while_on_ppis/")</f>
        <v/>
      </c>
      <c r="G4384" t="inlineStr">
        <is>
          <t>2019-12-30 21:50:47</t>
        </is>
      </c>
      <c r="H4384" t="inlineStr"/>
    </row>
    <row r="4385">
      <c r="A4385" t="inlineStr">
        <is>
          <t>ehz4gg</t>
        </is>
      </c>
      <c r="B4385" t="inlineStr">
        <is>
          <t>I need some ppi/h2 blocker advice.</t>
        </is>
      </c>
      <c r="C4385" t="inlineStr">
        <is>
          <t>I was put on 60 mg Dexilant and was feeling great unitl my prescription ran out and I found out that if I wanted to take it any longer, I'd have to fork over 270 dollars a month because my insurance does not cover it. I was, unknowingly, given a coupon for my first month. So, I had to look and see which ppi my insurance would cover which ended up being pantoprazole. The problem is that they only allow 40 mg, so I have been trying to go from 60 mg to 40mg.  My reflux has been horrible for the past week. Should I go ahead and just buy an otc h2 blocker for the time being to take a night? (That's when I feel the worst) Which h2 block do you prefer? I am currently in the healing phase of the acid watcher diet which has helped but I feel one of my biggest triggers is eating too large a meal.  Thanks, dudes and dudettes.</t>
        </is>
      </c>
      <c r="D4385" t="n">
        <v>1</v>
      </c>
      <c r="E4385" t="n">
        <v>6</v>
      </c>
      <c r="F4385">
        <f>HYPERLINK("https://www.reddit.com/r/GERD/comments/ehz4gg/i_need_some_ppih2_blocker_advice/")</f>
        <v/>
      </c>
      <c r="G4385" t="inlineStr">
        <is>
          <t>2019-12-30 22:29:17</t>
        </is>
      </c>
      <c r="H4385" t="inlineStr"/>
    </row>
    <row r="4386">
      <c r="A4386" t="inlineStr">
        <is>
          <t>ei07o1</t>
        </is>
      </c>
      <c r="B4386" t="inlineStr">
        <is>
          <t>Please help me, I'm afraid to sleep</t>
        </is>
      </c>
      <c r="C4386" t="inlineStr">
        <is>
          <t>Hi everyone :(  Please bear with me, I know this may be a bit all over the place but I really need help. I am a 21 y/o girl with **major MAJOR** health anxiety. I have had acid reflux since I was 10 and irritable bowel syndrome since I was 16. Two days ago I went to urgent care because I was experiencing cold-like symptoms (cough, sneezing, runny nose), but I have also been experiencing a lot of burping and a gurgling in my throat that felt like acid that was also making me cough and irritating my throat. The NP told me to take some Mucinex DM. I took Mucinex DM that night and went to bed but woke up at like 1 in the morning intensely coughing and felt like I had to throw up something hard (like maybe the pill?), but didn't get to the bathroom in time so I swallowed whatever I was feeling. I just woke up again feeling the exact same way, but could not throw anything up. Obviously, at this point, it's very unlikely that the pill would have lodged into my throat (I say this in confidence because I cried to two nurses and a pharmacist who all told me that it's virtually impossible at this point, lol), but I'm wondering if this can be a sign of like LPR or something related? It does feel like something is stuck in my throat or that its a lump or something??? I'm just terrified of going back to sleep because I know I'm going to wake up feeling like I'm choking and gagging on something. My anxiety is impacting my closest relationships and I am barely getting any sleep.</t>
        </is>
      </c>
      <c r="D4386" t="n">
        <v>1</v>
      </c>
      <c r="E4386" t="n">
        <v>3</v>
      </c>
      <c r="F4386">
        <f>HYPERLINK("https://www.reddit.com/r/GERD/comments/ei07o1/please_help_me_im_afraid_to_sleep/")</f>
        <v/>
      </c>
      <c r="G4386" t="inlineStr">
        <is>
          <t>2019-12-31 00:29:23</t>
        </is>
      </c>
      <c r="H4386" t="inlineStr"/>
    </row>
    <row r="4387">
      <c r="A4387" t="inlineStr">
        <is>
          <t>ei0fy4</t>
        </is>
      </c>
      <c r="B4387" t="inlineStr">
        <is>
          <t>The never-ending saga of a GERD sufferer</t>
        </is>
      </c>
      <c r="C4387" t="inlineStr">
        <is>
          <t>Me, while stupidly eating a food that I know will trigger my symptoms: “it’s ok, it will be worth it!”
Me, hours later, sick as hell in the bathroom while everyone else sleeps: “.....that was definitely NOT worth it” 
😂😂</t>
        </is>
      </c>
      <c r="D4387" t="n">
        <v>1</v>
      </c>
      <c r="E4387" t="n">
        <v>8</v>
      </c>
      <c r="F4387">
        <f>HYPERLINK("https://www.reddit.com/r/GERD/comments/ei0fy4/the_neverending_saga_of_a_gerd_sufferer/")</f>
        <v/>
      </c>
      <c r="G4387" t="inlineStr">
        <is>
          <t>2019-12-31 00:58:03</t>
        </is>
      </c>
      <c r="H4387" t="inlineStr"/>
    </row>
    <row r="4388">
      <c r="A4388" t="inlineStr">
        <is>
          <t>ei0j2c</t>
        </is>
      </c>
      <c r="B4388" t="inlineStr">
        <is>
          <t>I'm so tired of vurping! (vomit burp)</t>
        </is>
      </c>
      <c r="C4388" t="inlineStr">
        <is>
          <t>I take 2 different medications several times a day to help with reflux. My throat is a mess. I hate this</t>
        </is>
      </c>
      <c r="D4388" t="n">
        <v>1</v>
      </c>
      <c r="E4388" t="n">
        <v>10</v>
      </c>
      <c r="F4388">
        <f>HYPERLINK("https://www.reddit.com/r/GERD/comments/ei0j2c/im_so_tired_of_vurping_vomit_burp/")</f>
        <v/>
      </c>
      <c r="G4388" t="inlineStr">
        <is>
          <t>2019-12-31 01:08:41</t>
        </is>
      </c>
      <c r="H4388" t="inlineStr"/>
    </row>
    <row r="4389">
      <c r="A4389" t="inlineStr">
        <is>
          <t>ei1lf8</t>
        </is>
      </c>
      <c r="B4389" t="inlineStr">
        <is>
          <t>Gastricell Legit?</t>
        </is>
      </c>
      <c r="C4389" t="inlineStr">
        <is>
          <t>Hey guys, stumbled upon another possible solution to GERD and it was called Gastricell I was wondering if it's legit? They have some reviews on amazon but IDK if their legit been looking on the subreddit and there's a guy recommending gastricell like crazy. Hopefully, it's legit because I already bought it :(</t>
        </is>
      </c>
      <c r="D4389" t="n">
        <v>1</v>
      </c>
      <c r="E4389" t="n">
        <v>4</v>
      </c>
      <c r="F4389">
        <f>HYPERLINK("https://www.reddit.com/r/GERD/comments/ei1lf8/gastricell_legit/")</f>
        <v/>
      </c>
      <c r="G4389" t="inlineStr">
        <is>
          <t>2019-12-31 03:12:29</t>
        </is>
      </c>
      <c r="H4389" t="inlineStr"/>
    </row>
    <row r="4390">
      <c r="A4390" t="inlineStr">
        <is>
          <t>ei3ic8</t>
        </is>
      </c>
      <c r="B4390" t="inlineStr">
        <is>
          <t>Dysphagia LPR</t>
        </is>
      </c>
      <c r="C4390" t="inlineStr">
        <is>
          <t>I haven’t seen this asked much, I was just wondering if anyone experiences dysphagia , on &amp;amp; off with having silent reflux or gerd? It’s basically in the initiating swallow phase, just feels like my throats stretching right at the beginning of swallowing, and sometimes I catch food particles right at the top of my throat, and it dislodges it self after like an hour after I’m more relaxed, best way I could explain.  And I’ve already got my throat checked &amp;amp; an endoscopy with pristine results, zero sense as to why I’m experiencing this, my best guess is nerve problem or something ? I’ve also been on PPI’s for a few months, some days the swallowing is better than other days, but I still wouldn’t swallow without chewing thoroughly. 
Please if anyone has answers lmk</t>
        </is>
      </c>
      <c r="D4390" t="n">
        <v>1</v>
      </c>
      <c r="E4390" t="n">
        <v>1</v>
      </c>
      <c r="F4390">
        <f>HYPERLINK("https://www.reddit.com/r/GERD/comments/ei3ic8/dysphagia_lpr/")</f>
        <v/>
      </c>
      <c r="G4390" t="inlineStr">
        <is>
          <t>2019-12-31 06:28:56</t>
        </is>
      </c>
      <c r="H4390" t="inlineStr"/>
    </row>
    <row r="4391">
      <c r="A4391" t="inlineStr">
        <is>
          <t>ei5gtp</t>
        </is>
      </c>
      <c r="B4391" t="inlineStr">
        <is>
          <t>Nexxium withdrawal stomach pain</t>
        </is>
      </c>
      <c r="C4391" t="inlineStr">
        <is>
          <t>Have been taking Nexium twice a day for over 20 years. Every time I inadvertently miss a dose, within about 8 hours I get stomach pain that gets more and more severe until I suddenly throw up and keep throwing up until I can retain another Nexium.  Have had a small hiatal hernia for a long time. Internist does not seem concerned. Has anyone else had this and how do I ever get off Nexium?</t>
        </is>
      </c>
      <c r="D4391" t="n">
        <v>1</v>
      </c>
      <c r="E4391" t="n">
        <v>2</v>
      </c>
      <c r="F4391">
        <f>HYPERLINK("https://www.reddit.com/r/GERD/comments/ei5gtp/nexxium_withdrawal_stomach_pain/")</f>
        <v/>
      </c>
      <c r="G4391" t="inlineStr">
        <is>
          <t>2019-12-31 08:59:07</t>
        </is>
      </c>
      <c r="H4391" t="inlineStr"/>
    </row>
    <row r="4392">
      <c r="A4392" t="inlineStr">
        <is>
          <t>ei6aej</t>
        </is>
      </c>
      <c r="B4392" t="inlineStr">
        <is>
          <t>Alcohol recs??</t>
        </is>
      </c>
      <c r="C4392" t="inlineStr">
        <is>
          <t>what are some alcohol recs? i used to be able to have sprite with alc etc. now it causes my gerd to flare up. i have had whiskey with water and that seemed to cause no side effects. i don't drink often every once in a while and i've been taking pepcid to help relieve symptoms. 
thanks!</t>
        </is>
      </c>
      <c r="D4392" t="n">
        <v>1</v>
      </c>
      <c r="E4392" t="n">
        <v>4</v>
      </c>
      <c r="F4392">
        <f>HYPERLINK("https://www.reddit.com/r/GERD/comments/ei6aej/alcohol_recs/")</f>
        <v/>
      </c>
      <c r="G4392" t="inlineStr">
        <is>
          <t>2019-12-31 09:56:58</t>
        </is>
      </c>
      <c r="H4392" t="inlineStr"/>
    </row>
    <row r="4393">
      <c r="A4393" t="inlineStr">
        <is>
          <t>ei6bfs</t>
        </is>
      </c>
      <c r="B4393" t="inlineStr">
        <is>
          <t>GERD or no?</t>
        </is>
      </c>
      <c r="C4393" t="inlineStr">
        <is>
          <t>I don't know what's wrong with me, I feel my chest will explode and heartburn as soon as I eat something, I took pantoprazole for 1 month and it's gone, now it's back , I do not know what to do. I still think I'm having a heart attack, I'm in stress right now. I don't know if it's GERD or just due to stress..
I changed my diet, but still the same, I have HB even when I drink water.. and burp alot.
Is this GERD or only episodic HB due to stress? I’m afraid of havinf stomach cancer or something..</t>
        </is>
      </c>
      <c r="D4393" t="n">
        <v>1</v>
      </c>
      <c r="E4393" t="n">
        <v>1</v>
      </c>
      <c r="F4393">
        <f>HYPERLINK("https://www.reddit.com/r/GERD/comments/ei6bfs/gerd_or_no/")</f>
        <v/>
      </c>
      <c r="G4393" t="inlineStr">
        <is>
          <t>2019-12-31 09:59:00</t>
        </is>
      </c>
      <c r="H4393" t="inlineStr"/>
    </row>
    <row r="4394">
      <c r="A4394" t="inlineStr">
        <is>
          <t>ei77a3</t>
        </is>
      </c>
      <c r="B4394" t="inlineStr">
        <is>
          <t>Marijuana does not help</t>
        </is>
      </c>
      <c r="C4394" t="inlineStr">
        <is>
          <t>I smoked everyday for almost 2 years. My stomach and esophagus are inflamed because of it. Whoever is saying it's helpful is a liar and doesn't know what they're talking about.</t>
        </is>
      </c>
      <c r="D4394" t="n">
        <v>1</v>
      </c>
      <c r="E4394" t="n">
        <v>50</v>
      </c>
      <c r="F4394">
        <f>HYPERLINK("https://www.reddit.com/r/GERD/comments/ei77a3/marijuana_does_not_help/")</f>
        <v/>
      </c>
      <c r="G4394" t="inlineStr">
        <is>
          <t>2019-12-31 11:02:43</t>
        </is>
      </c>
      <c r="H4394" t="inlineStr"/>
    </row>
    <row r="4395">
      <c r="A4395" t="inlineStr">
        <is>
          <t>ei8eeh</t>
        </is>
      </c>
      <c r="B4395" t="inlineStr">
        <is>
          <t>When should I cut off the omeprazole?</t>
        </is>
      </c>
      <c r="C4395" t="inlineStr">
        <is>
          <t>I’ve been on OTC omeprazole for about 2 months now. I know it’s harmful long term, so I want to get off of it, but it helps enough to warrant wanting to stay on it. I don’t know when I’m seeing a doctor again so I’m stuck with what I can do on my own OTC. 
When should I cut off the omeprazole? Any side affects from stopping I should know about?</t>
        </is>
      </c>
      <c r="D4395" t="n">
        <v>1</v>
      </c>
      <c r="E4395" t="n">
        <v>8</v>
      </c>
      <c r="F4395">
        <f>HYPERLINK("https://www.reddit.com/r/GERD/comments/ei8eeh/when_should_i_cut_off_the_omeprazole/")</f>
        <v/>
      </c>
      <c r="G4395" t="inlineStr">
        <is>
          <t>2019-12-31 12:31:37</t>
        </is>
      </c>
      <c r="H4395" t="inlineStr"/>
    </row>
    <row r="4396">
      <c r="A4396" t="inlineStr">
        <is>
          <t>ei8k4c</t>
        </is>
      </c>
      <c r="B4396" t="inlineStr">
        <is>
          <t>Are there any good OTC medications for LPR?</t>
        </is>
      </c>
      <c r="C4396" t="inlineStr">
        <is>
          <t>I believe that I have symptoms of LPR. I've been to a general practitioner twice, allergist once, and a gastroenterologist (got an endoscopy, everything looked fine) once regarding the issues I have. I have never been diagnosed with anything but my symptoms seem to align well with LPR.
Anything I eat causes intense throat clearing for about 10-20 minutes afterwards; a couple of wet coughs followed by the feeling that something is almost crawling up my throat. It happens regardless of what I’ve eaten; I can eat a cucumber, a saltine cracker, literally anything, and have this reaction. I also have an ever-present, annoying postnasal drip. If I talk for a longer period of time than normal (consistently for ~1 hr) I will experience hoarseness. Drinking Sprite (the only kind of coke I like) HURTS so bad!
I’d like to take an over the counter medication to see if my symptoms improve. I’m having trouble finding OTC medications that are recommended for LPR, so I'm looking for suggestions!
I’m also planning out a long-term dietary change to see if I get relief, and I won't be able to schedule another doctor appointment for 2-3 weeks. I’m trying to think of what I can do in the meantime. I'm open to suggestions of any type. Thanks for reading this far!</t>
        </is>
      </c>
      <c r="D4396" t="n">
        <v>1</v>
      </c>
      <c r="E4396" t="n">
        <v>8</v>
      </c>
      <c r="F4396">
        <f>HYPERLINK("https://www.reddit.com/r/GERD/comments/ei8k4c/are_there_any_good_otc_medications_for_lpr/")</f>
        <v/>
      </c>
      <c r="G4396" t="inlineStr">
        <is>
          <t>2019-12-31 12:43:42</t>
        </is>
      </c>
      <c r="H4396" t="inlineStr"/>
    </row>
    <row r="4397">
      <c r="A4397" t="inlineStr">
        <is>
          <t>ei9cbl</t>
        </is>
      </c>
      <c r="B4397" t="inlineStr">
        <is>
          <t>A [pretty] successful scope story below! I couldn’t have done it without you all! This sub is the best! (Pantoprazole question too!)</t>
        </is>
      </c>
      <c r="C4397" t="inlineStr">
        <is>
          <t>Hey guys! 
I made a post yesterday about how nervous I was. I was beyond nervous for my endoscopy. I have been having upper GI upset for a while now. 
The place I went to for the procedure makes everyone go under if you want the procedure. They will not do it while you are awake. I have had anesthesia in the past, but I always hated the fact I was losing control of my body. I went with my boyfriend who had to be there to drive me home. When I was wheeled into the procedure room I started to panic. But honestly, I remembered what everyone said here. Everyone in the comments of my post did it, and they were fine, so I will be too. I let them put the mouthpiece on me and even though I did cry a few tears, I let the nurse hold my hand and I watched the anesthesiologist inject the medicine. I then remember waking up to my boyfriends face. I also remember feeling like I was on Mars, and coughing—A LOT of coughing. So much coughing. I think it was a mixture of dry throat, post nasal drip, and having a three foot camera down my throat. When I went home I had some weird esophagus(?) pain. Some throat pain. And some back pain. I honestly think I may be getting a head cold that’s what the coughing is from and the scope didn’t help with it either. 
My results were good. With my anxiety, I figured it was something sinister. Turns out I am, for the most part, ok. I have gastritis so they biopsied that for h-pylori. I have irritation at the bottom of my esophagus due to acid reflux and heartburn, so they biopsied that as well. I got prescribed pantoprazole 40 mg after complaining I didn’t like omeprazole 40 mg. I really doubt I’ll like pantoprazole though. All those medicines make me feel icky. Anyone have any experiences with those (pantoprazole in particular)???
Other than that, I really just want to thank everyone here for your advice, kindness, and generosity with your words. You all gave me such comfort and I read your responses up to the minute they took my phone away! What an amazing subreddit. Thank you alll!!</t>
        </is>
      </c>
      <c r="D4397" t="n">
        <v>1</v>
      </c>
      <c r="E4397" t="n">
        <v>0</v>
      </c>
      <c r="F4397">
        <f>HYPERLINK("https://www.reddit.com/r/GERD/comments/ei9cbl/a_pretty_successful_scope_story_below_i_couldnt/")</f>
        <v/>
      </c>
      <c r="G4397" t="inlineStr">
        <is>
          <t>2019-12-31 13:46:13</t>
        </is>
      </c>
      <c r="H4397" t="inlineStr"/>
    </row>
    <row r="4398">
      <c r="A4398" t="inlineStr">
        <is>
          <t>ei9jk4</t>
        </is>
      </c>
      <c r="B4398" t="inlineStr">
        <is>
          <t>Developed a lump sensation in my throat 3 days ago and it hasn't gone away since then. Also struggling to eat solid foods with ease. Terrified I have cancer. Help!?</t>
        </is>
      </c>
      <c r="C4398" t="inlineStr">
        <is>
          <t>Some background: Grew up with major anxiety and still have it just as bad to this day. Was diagnosed with GERD/moderate esophagitis and Eosinophilic Esophagitis between the ages of 13 to 15 after I got a piece of salmon stuck in my throat. Was put on prevacid for a month which helped turn the condition from moderate to mild. Ever since then, I've been controlling it with diet and supplements, but have days where I get off track. It's been 10 years (I'm 24 now) since then and 10 years since I've had an endoscopy. My symptoms since then are: tight feeling in throat most evenings, occasional heartburn (3× a month), burning sensation when swallowing certain foods on occasion, excessive burping and post nasal drip. 
2-3 days ago, I got a sudden lump in my throat the moment I took a sip of water. Before then, I was perfectly fine, maybe a bit hungry. The week prior to this, I've been eating and binging on foods I don't normally eat. I have experienced a mild lump sensation in my throat throughout the year, but it's never been THIS bad or lasted this long. I've been having trouble eating solid foods without turning them into mush first so I'm mostly eating soft and liquid foods out of fear the food will get stuck.
Sometimes I can feel the lump even when I don't swallow. I don't feel it as much while swallowing food, but can feel it the most when swallowing water. I have to clear my throat often and I almost feel like I can't breathe sometimes.  I'm worried this sensation will never go away or will worsen. Or that it's gotten to the point that I have esophageal cancer. I'm waiting to be referred to a better gastroenterologist. Until then, is there anything I could do to reduce this lump sensation? It worsens my anxiety 10 fold.</t>
        </is>
      </c>
      <c r="D4398" t="n">
        <v>1</v>
      </c>
      <c r="E4398" t="n">
        <v>3</v>
      </c>
      <c r="F4398">
        <f>HYPERLINK("https://www.reddit.com/r/GERD/comments/ei9jk4/developed_a_lump_sensation_in_my_throat_3_days/")</f>
        <v/>
      </c>
      <c r="G4398" t="inlineStr">
        <is>
          <t>2019-12-31 14:02:42</t>
        </is>
      </c>
      <c r="H4398" t="inlineStr"/>
    </row>
    <row r="4399">
      <c r="A4399" t="inlineStr">
        <is>
          <t>eiacaz</t>
        </is>
      </c>
      <c r="B4399" t="inlineStr">
        <is>
          <t>New to GERD.. Scared to sleep. Heart attack or what?!!!</t>
        </is>
      </c>
      <c r="C4399" t="inlineStr">
        <is>
          <t>Hi everyone! I’m a 22F. I just came back from the hospital because this morning I woke up abruptly from a deep and amazing sleep due to chest discomfort. I was very sleepy and delusional, so I went into panic mode thinking I was having a heart attack. My bowel moved quickly and I did the #2 a little bit and started feeling nauseous. I then started to vomit white, clear fluid. (Sorry for the too much info). I dont know if it was in my head because of me panicking, but my left arm felt a little numb once in the ambulance. My blood pressure was high, but then again it could’ve been the anxiety.  At the hospital, doctor did an EKG and it was normal. They did a regular blood test (not a specific heart disease test), and that was also normal. They gave me antacids and it went away... but always came back. I’m home, still feeling the burning sensation in my chest right after I eat or while I’m eating, but its not as bad as this morning. I’m now laying down and it started to worsen again. So I’m on my left side now, and its not too bad, but still there. I guess my question is if people also have my symptoms or a similar experience. I’m having major anxiety thinking something is wrong with my heart but I cant see my primary doctor until next monday. I may be overreacting but what if something happens again while I sleep??! Any experiences, advice, whatever... I’ll appreciate it!!!!</t>
        </is>
      </c>
      <c r="D4399" t="n">
        <v>1</v>
      </c>
      <c r="E4399" t="n">
        <v>6</v>
      </c>
      <c r="F4399">
        <f>HYPERLINK("https://www.reddit.com/r/GERD/comments/eiacaz/new_to_gerd_scared_to_sleep_heart_attack_or_what/")</f>
        <v/>
      </c>
      <c r="G4399" t="inlineStr">
        <is>
          <t>2019-12-31 15:07:08</t>
        </is>
      </c>
      <c r="H4399" t="inlineStr"/>
    </row>
    <row r="4400">
      <c r="A4400" t="inlineStr">
        <is>
          <t>eiacrw</t>
        </is>
      </c>
      <c r="B4400" t="inlineStr">
        <is>
          <t>H-2 Blocker Twice a Day: Question</t>
        </is>
      </c>
      <c r="C4400" t="inlineStr">
        <is>
          <t>A long time ago my doctor told me to take Pepcid prescription strength twice a day. He said 30 minutes before breakfast. He also said to take it later in the day. I don’t remember if he said to take it before dinner or before bed. What do you think?</t>
        </is>
      </c>
      <c r="D4400" t="n">
        <v>1</v>
      </c>
      <c r="E4400" t="n">
        <v>20</v>
      </c>
      <c r="F4400">
        <f>HYPERLINK("https://www.reddit.com/r/GERD/comments/eiacrw/h2_blocker_twice_a_day_question/")</f>
        <v/>
      </c>
      <c r="G4400" t="inlineStr">
        <is>
          <t>2019-12-31 15:08:02</t>
        </is>
      </c>
      <c r="H4400" t="inlineStr"/>
    </row>
    <row r="4401">
      <c r="A4401" t="inlineStr">
        <is>
          <t>eib13t</t>
        </is>
      </c>
      <c r="B4401" t="inlineStr">
        <is>
          <t>Psyschogastroenterology</t>
        </is>
      </c>
      <c r="C4401" t="inlineStr">
        <is>
          <t>The two way communication disruption between brain and gut causes a lot of symptoms for IBS so I think it might apply to GERD too based on this [news article](https://health.usnews.com/health-news/blogs/eat-run/articles/the-brain-gut-connection).
Has anyone heard if any people trying anything in this field?</t>
        </is>
      </c>
      <c r="D4401" t="n">
        <v>1</v>
      </c>
      <c r="E4401" t="n">
        <v>22</v>
      </c>
      <c r="F4401">
        <f>HYPERLINK("https://www.reddit.com/r/GERD/comments/eib13t/psyschogastroenterology/")</f>
        <v/>
      </c>
      <c r="G4401" t="inlineStr">
        <is>
          <t>2019-12-31 16:02:32</t>
        </is>
      </c>
      <c r="H4401" t="inlineStr"/>
    </row>
    <row r="4402">
      <c r="A4402" t="inlineStr">
        <is>
          <t>eibauc</t>
        </is>
      </c>
      <c r="B4402" t="inlineStr">
        <is>
          <t>Question: can I smoke weed after getting an upper endoscopy?</t>
        </is>
      </c>
      <c r="C4402" t="inlineStr">
        <is>
          <t>I just got an upper endoscopy and I forgot to ask the doctors if I could smoke today. They told me no alcohol and driving etc bc of the effects of the anesthesia. But they didn’t say anything about other drugs.</t>
        </is>
      </c>
      <c r="D4402" t="n">
        <v>1</v>
      </c>
      <c r="E4402" t="n">
        <v>5</v>
      </c>
      <c r="F4402">
        <f>HYPERLINK("https://www.reddit.com/r/GERD/comments/eibauc/question_can_i_smoke_weed_after_getting_an_upper/")</f>
        <v/>
      </c>
      <c r="G4402" t="inlineStr">
        <is>
          <t>2019-12-31 16:23:38</t>
        </is>
      </c>
      <c r="H4402" t="inlineStr"/>
    </row>
    <row r="4403">
      <c r="A4403" t="inlineStr">
        <is>
          <t>eic97z</t>
        </is>
      </c>
      <c r="B4403" t="inlineStr">
        <is>
          <t>H-2 Blocker Tolerance Question</t>
        </is>
      </c>
      <c r="C4403" t="inlineStr">
        <is>
          <t>Do they stop working completely? They are really working for me right now after a few days and I’m worried they will stop. If you take a high enough dose, does the tolerance not even matter? Do you become partially or completely tolerant ?</t>
        </is>
      </c>
      <c r="D4403" t="n">
        <v>1</v>
      </c>
      <c r="E4403" t="n">
        <v>3</v>
      </c>
      <c r="F4403">
        <f>HYPERLINK("https://www.reddit.com/r/GERD/comments/eic97z/h2_blocker_tolerance_question/")</f>
        <v/>
      </c>
      <c r="G4403" t="inlineStr">
        <is>
          <t>2019-12-31 17:45:06</t>
        </is>
      </c>
      <c r="H4403" t="inlineStr"/>
    </row>
    <row r="4404">
      <c r="A4404" t="inlineStr">
        <is>
          <t>eij33z</t>
        </is>
      </c>
      <c r="B4404" t="inlineStr">
        <is>
          <t>Cimetidine and Pantoprazole question</t>
        </is>
      </c>
      <c r="C4404" t="inlineStr">
        <is>
          <t>I just saw it on Amazon and I am curious as Ranitidine is still not on the shelves and Famotidine doesn’t work for my reflux.
Also, is Pantoprazole available in the US as Nexium/Prevacid aren’t doing anything for me. I have been on 40mg Pantoprazole a day.</t>
        </is>
      </c>
      <c r="D4404" t="n">
        <v>1</v>
      </c>
      <c r="E4404" t="n">
        <v>10</v>
      </c>
      <c r="F4404">
        <f>HYPERLINK("https://www.reddit.com/r/GERD/comments/eij33z/cimetidine_and_pantoprazole_question/")</f>
        <v/>
      </c>
      <c r="G4404" t="inlineStr">
        <is>
          <t>2020-01-01 06:52:14</t>
        </is>
      </c>
      <c r="H4404" t="inlineStr"/>
    </row>
    <row r="4405">
      <c r="A4405" t="inlineStr">
        <is>
          <t>eijkvz</t>
        </is>
      </c>
      <c r="B4405" t="inlineStr">
        <is>
          <t>Taking a ‘probiotic’ with significant relief</t>
        </is>
      </c>
      <c r="C4405" t="inlineStr">
        <is>
          <t>So, I’ll make this sort &amp;amp; also, I’m not trying to advertise any product. But I’m taking something called gastricel. After 3 days of taking it, Ive noticed some major changes in symptoms, a significant reduction. Nothing prior as ever helped my LPR symptoms, EVER. Not gonna say it’s a cure because it’s only been 3 days and according to their claims it should take 3 months for a full treatment. I believe it’s a strain of probiotic as far as the box goes. I’ve been taking ppi’s for months with BARELY any relief, on a strict diet. When I introduced this new probiotic I definitely can note a huge change for the better. HOPING, that this is gonna be my golden nugget, but try it if you want, I bought it online. Like I said I don’t want to be advertising a random product, but as far as my personal experience it’s helping</t>
        </is>
      </c>
      <c r="D4405" t="n">
        <v>1</v>
      </c>
      <c r="E4405" t="n">
        <v>0</v>
      </c>
      <c r="F4405">
        <f>HYPERLINK("https://www.reddit.com/r/GERD/comments/eijkvz/taking_a_probiotic_with_significant_relief/")</f>
        <v/>
      </c>
      <c r="G4405" t="inlineStr">
        <is>
          <t>2020-01-01 07:39:40</t>
        </is>
      </c>
      <c r="H4405" t="inlineStr"/>
    </row>
    <row r="4406">
      <c r="A4406" t="inlineStr">
        <is>
          <t>eiki5c</t>
        </is>
      </c>
      <c r="B4406" t="inlineStr">
        <is>
          <t>Does this sound like GERD or something else? (Sorry for the long post!)</t>
        </is>
      </c>
      <c r="C4406" t="inlineStr">
        <is>
          <t>I’m a 28 year old Male. 6’4” about 235 pounds. I’ve never had any major health issues before and have always been pretty healthy. Over the past year, I’ve put on about 30 pounds. Most of my jeans and dress pants for work are all pretty tight on my waist because of the weight gain. Starting about two weeks ago, I noticed there were 2 or 3 days where I was getting some mild heartburn. It wasn’t painful or anything so I just took some Tums and it seemed go away. I figured the tightness around my waist from my pants was causing some reflux. 
Then a week ago, on Christmas Day, after eating a large dinner with my family, I was sitting on the couch and began to feel very lightheaded and extremely warm. I stood up and walked outside to try and cool off, and it seemed to help a bit. But that feeling of lightheadedness made me extremely anxious because I wasn’t sure why it was happening. The feeling happened once again on our drive home, but once we were home everything seemed to subside. 
Over the next 2 days, I had a few more of these lightheaded “episodes”, but they weren’t as severe as the ones on Christmas Day.  This whole time though, I am extremely anxious trying to figure out what’s wrong with me. Then that Saturday, I think I built this all up in my head and gave myself an anxiety attack. I went to the ER and they did an EKG, chest X-ray and blood work and everything came back normal. The physician said it was probably stress and anxiety and just to try and take it easy for a few days. That night I slept for 14 hours because I was so exhausted from the trip to the ER. The next day, I felt somewhat normal but had no appetite at all. But I didn’t have any of that lightheadedness. I think the trip to the ER helped ease my mind a little bit and relieve some of my anxiety. 
Then on Monday, I finally noticed a hot burning in my chest. It was heartburn, but way worse than I’ve ever had it before. My wife said it was probably because I’ve barely eaten anything over the past couple days. So I forced myself to eat something and also took some of my wife’s Pepcid to see if it would help and the heartburn seemed to calm it a bit. 
My appetite has seem to come back and I’m eating pretty regularly now. I’m feeling about 90% normal. Besides the constant heartburn, the only other symptom I am having is this lightheadedness that will come on right after I eat. It only last about 2 or 3 seconds then goes away. And it’s nowhere near as bad as the episodes of it I had on Christmas. It now only happens maybe twice a day, usually right after lunch and dinner. I’m thinking this might be acid entering my Eustachian tubes? Does all of this sound like GERD, or maybe just some sort of severe reflux? I have an appointment with my family doctor soon. Just trying to figure out how to manage all this in the meantime.</t>
        </is>
      </c>
      <c r="D4406" t="n">
        <v>1</v>
      </c>
      <c r="E4406" t="n">
        <v>3</v>
      </c>
      <c r="F4406">
        <f>HYPERLINK("https://www.reddit.com/r/GERD/comments/eiki5c/does_this_sound_like_gerd_or_something_else_sorry/")</f>
        <v/>
      </c>
      <c r="G4406" t="inlineStr">
        <is>
          <t>2020-01-01 08:58:45</t>
        </is>
      </c>
      <c r="H4406" t="inlineStr"/>
    </row>
    <row r="4407">
      <c r="A4407" t="inlineStr">
        <is>
          <t>eikrk9</t>
        </is>
      </c>
      <c r="B4407" t="inlineStr">
        <is>
          <t>Best GERD-friendly sushi options</t>
        </is>
      </c>
      <c r="C4407" t="inlineStr">
        <is>
          <t>Hey all!  What have you successfully enjoyed at sushi restaurants?  I’d like to enjoy more than salmon when I go, and I find that sushi affects my symptoms only minimally.  Thanks!</t>
        </is>
      </c>
      <c r="D4407" t="n">
        <v>1</v>
      </c>
      <c r="E4407" t="n">
        <v>15</v>
      </c>
      <c r="F4407">
        <f>HYPERLINK("https://www.reddit.com/r/GERD/comments/eikrk9/best_gerdfriendly_sushi_options/")</f>
        <v/>
      </c>
      <c r="G4407" t="inlineStr">
        <is>
          <t>2020-01-01 09:19:26</t>
        </is>
      </c>
      <c r="H4407" t="inlineStr"/>
    </row>
    <row r="4408">
      <c r="A4408" t="inlineStr">
        <is>
          <t>eio7zl</t>
        </is>
      </c>
      <c r="B4408" t="inlineStr">
        <is>
          <t>How long until I feel better</t>
        </is>
      </c>
      <c r="C4408" t="inlineStr">
        <is>
          <t>I finally saw an ENT and was confirmed by a scope that I have LPR. My doctor put me on omeprozol for 3 months to see if it helps my breathing issues and irritation. How soon will that start to work? Also does any one have experience with the surgery to fix gerd I am only 20 and don’t want to be on medicine long term if possible.</t>
        </is>
      </c>
      <c r="D4408" t="n">
        <v>1</v>
      </c>
      <c r="E4408" t="n">
        <v>19</v>
      </c>
      <c r="F4408">
        <f>HYPERLINK("https://www.reddit.com/r/GERD/comments/eio7zl/how_long_until_i_feel_better/")</f>
        <v/>
      </c>
      <c r="G4408" t="inlineStr">
        <is>
          <t>2020-01-01 13:39:04</t>
        </is>
      </c>
      <c r="H4408" t="inlineStr"/>
    </row>
    <row r="4409">
      <c r="A4409" t="inlineStr">
        <is>
          <t>eiojxg</t>
        </is>
      </c>
      <c r="B4409" t="inlineStr">
        <is>
          <t>What was your diet like before Gerd?</t>
        </is>
      </c>
      <c r="C4409" t="inlineStr">
        <is>
          <t>What types of foods did you consume the most? 
include your favorite snack.
I ate whatever my mother made.
I also use to eat a shit ton of hot cheetos.</t>
        </is>
      </c>
      <c r="D4409" t="n">
        <v>1</v>
      </c>
      <c r="E4409" t="n">
        <v>12</v>
      </c>
      <c r="F4409">
        <f>HYPERLINK("https://www.reddit.com/r/GERD/comments/eiojxg/what_was_your_diet_like_before_gerd/")</f>
        <v/>
      </c>
      <c r="G4409" t="inlineStr">
        <is>
          <t>2020-01-01 14:04:03</t>
        </is>
      </c>
      <c r="H4409" t="inlineStr"/>
    </row>
    <row r="4410">
      <c r="A4410" t="inlineStr">
        <is>
          <t>eip8d4</t>
        </is>
      </c>
      <c r="B4410" t="inlineStr">
        <is>
          <t>About GERD, confusion, and the internet</t>
        </is>
      </c>
      <c r="C4410" t="inlineStr">
        <is>
          <t>If you are looking for information on GERD online, first I want to recommend you limit yourself to Gastroenterology related .gov and .org sites, and also that you limit this to the last 5-10 years so you get more current research and understanding. I also recommend you find a way to see a GI(gastrointestinal) doctor for diagnosis. I am going to share what I've learned from spending a lot of time reading about this and trying different things after my own diagnosis, because I hope it might help others who are as confused and upset as a started out. Feel free to correct anything I get wrong, but please share your source if you do. It is fair to admit that even experts on GERD have their disagreements, and the science on it is a work in progress with many complications. 
It is important to distinguish different uses of the term "GERD". The failure to distinguish them is a source of a great deal of confusion, and is a problem with much of online information and discourse about GERD.
* "GERD" used to refer to chronic reflux - You get reflux/reflux symptoms frequently enough for concern.
* "GERD" used to refer to specifically a malfunctioning LES - Your reflux is the result of a compromised lower esophageal sphincter. 
There are also different reasons for the compromised sphincter, a hiatal hernia doesn't always result in a problem, but can be a cause. Some people's sphincters are just worn out by excessive eating/drinking(unsurprising that its prevalence is much higher in the US than other countries), other people may just have had bad luck and got a more vulnerable or weak one from the start. So it is a lifestyle disease in many cases, but not for everyone. Not all people have the same severity of reflux because some sphincters are more compromised than others and fail to prevent reflux more frequently or severely. 
Often, various people have enough reflux that they think they have the malfunctioning LES or don't really understand the difference, maybe even are diagnosed by a physician(but not a GI/endoscopy confirmation) and claim to have cured it. Their reflux may not have been caused by a mechanical issue or the LES specifically, but a dietary problem and was not the same kind of GERD that a GI doctor would diagnose you with. Thus far all of the reliable(from GI doctors and official sites) sources on GERD I've found say that the sphincter doesn't just heal itself, that diet is not going to fix a mechanical malfunction. The one thing that can happen, is that people who are overweight can find symptom relief if their weight is causing stomach pressure that results in reflux. That doesn't mean losing weight healed their sphincter, just that the sphincter now has an easier job basically - whether or not it was the sphincter at the root of the issue. 
Currently, there is just no cure for some of the causes of chronic reflux - if your lower esophageal sphincter is weak, you are limited to surgery and/or lifelong medication and/or a limited diet to simply manage symptoms. This is a complex part of your body that doesn't just heal itself over time. I am acutely aware of how much this sucks. Management of symptoms is also not a cure - people will claim certain diets fixed their GERD, often this just means they stopped experiencing symptoms without the underlying dysfunction of their digestive system being addressed, or did not have an actual mechanical dysfunction. 
There's a ton of snake oil salesmen online, spreading misinformation and preying on desperate people - this is understandably a disease that is quite hard on people, and hearing that it can't be cured is not what you want to hear so people search for anything else. People looking for a sliver of hope can fall into the bad habit of finding only the answers they're desperate for, even if they come from unreliable sources. I went through that phase a little bit myself, wanting to find some possibility that this wasn't a lifelong problem, that I had some chance of returning to normal. It mostly leads to chaotic diet changes and wasted money. It is better, I think, to not go through the ups and downs of finding what look like possible solutions and then later just finding more reliable sources that completely deny them or finding out by trial and error that they don't work.
Of course, it is certainly still good to not have symptoms. And some of the misinformation, especially personal accounts, are just from people not using very precise language and confusing other people. I am not dismissing diets as a treatment for symptoms - they are just not a cure, so don't get your hopes up that doing a few months of keto or intermittent fasting will fix the problem. It is very disappointing that GERD is such a convoluted term right now, and that even among the medical community misunderstanding is somewhat prevalent.
Finding out why you're having chronic reflux is important to understanding what you should do about it. Unfortunately, it seems many people are tossed on acid blocking medications and given some vague information and diagnosis and sent on their way. GERD is complicated and requires detailed information about an individual person, but many healthcare providers use more "one size fits all" approaches and will misinform you or misdiagnose it. It's understandably hard to give so many people advanced care, and as an individual you can improve the care you get by figuring things out yourself and asking specific questions, asking about specific treatments, and asking to see a doctor that specializes in your condition. The challenge is in actually figuring things out on your own, when so much of the available information you find is poorly articulated or wrong.
Lastly, if you are desperate, stressed, depressed, and feel like giving up... well that's normal enough. Dealing with the news that you now have an incurable lifelong condition that significantly reduces your quality of life and complicates something as basic as eating is understandably not something people are going to be happy about. Don't be surprised if anxiety, depression, or other psychological disorders are mentioned by your doctor. I lay around in bed for weeks, taking sleep medications basically whenever I wasn't working to just not experience life anymore. Whether these issues will persists depends on the person and the severity of symptoms, but often people adapt over time, so giving yourself up to 6 months before doing anything dramatic is recommended. I also want to add that blaming yourself over your lifestyle may not be reasonable or helpful, as many of us are deeply misinformed about what a healthy portion size for meals is. Many developed bad habits young, that are very hard to change once you have them. Many had no idea GERD was a possible thing. Many didn't know about the additional risk of carbonated beverage and other factors. Then there's the complication of how easily digestible what you eat is, since delayed emptying can mean you build up too much in your stomach and strain your LES. I just thought as long as I managed my weight and didn't overtax my liver I'd be alright, and so I was hit seemingly out of nowhere with this. It's surprising how common it is, and how bad it is, yet how poorly understood and under the radar it is because heartburn on its own is so common and many people get the occasional acid reflux that's not that bad.</t>
        </is>
      </c>
      <c r="D4410" t="n">
        <v>1</v>
      </c>
      <c r="E4410" t="n">
        <v>31</v>
      </c>
      <c r="F4410">
        <f>HYPERLINK("https://www.reddit.com/r/GERD/comments/eip8d4/about_gerd_confusion_and_the_internet/")</f>
        <v/>
      </c>
      <c r="G4410" t="inlineStr">
        <is>
          <t>2020-01-01 14:59:39</t>
        </is>
      </c>
      <c r="H4410" t="inlineStr"/>
    </row>
    <row r="4411">
      <c r="A4411" t="inlineStr">
        <is>
          <t>eiq2cr</t>
        </is>
      </c>
      <c r="B4411" t="inlineStr">
        <is>
          <t>Request: Low-Carb Diet Tips</t>
        </is>
      </c>
      <c r="C4411" t="inlineStr">
        <is>
          <t>Hello everyone. 
I'm committing to fixing my GERD in 2020 as it has been driving me insane for the past 5 years or so. Over this time I've gone on a health rollercoaster of tests and diets, bloodwork and supplements, endoscopies and x-rays, I think many of you know the drill. 
After going through this sub it seems that many have experienced relief from a low-carb diet, so **I was wondering if those who have done this or are going through it might explain what they are and are not eating, or perhaps provide a few resources that you're using**.
To explain a little more about my personal situation, I'm a 26 year-old underweight male. My symptoms so far have included:
\-Chest pain (tight, squeezing feeling behind my sternum) almost always
\-Constant burping and low-grade nausea
\-Sensitivity to certain foods (namely coffee, sweets, large meals, etc.), aggravates other symptoms here
\-Anxiety, panic attacks
\-Fatigue
My theory behind the illness for me personally is that my GERD is caused by a bacterial overgrowth in my stomach or intestines as a result of acne medications that I took for an extended period of time in the past (aka took antibiotics for years and it wiped out my natural microbiome). Please let me know if anyone else feels that they're in this boat or similar.
I've found that traditional medicine simply wants to prescribe PPIs (I've tried a bunch and none have really worked for me), or surgery (last resort option which I don't really see myself ever doing). I'd like to think that this can be helped with lifestyle and dietary changes and would like to commit to that avenue for awhile.
TIA for all your help.</t>
        </is>
      </c>
      <c r="D4411" t="n">
        <v>1</v>
      </c>
      <c r="E4411" t="n">
        <v>8</v>
      </c>
      <c r="F4411">
        <f>HYPERLINK("https://www.reddit.com/r/GERD/comments/eiq2cr/request_lowcarb_diet_tips/")</f>
        <v/>
      </c>
      <c r="G4411" t="inlineStr">
        <is>
          <t>2020-01-01 16:04:04</t>
        </is>
      </c>
      <c r="H4411" t="inlineStr"/>
    </row>
    <row r="4412">
      <c r="A4412" t="inlineStr">
        <is>
          <t>eiq2iw</t>
        </is>
      </c>
      <c r="B4412" t="inlineStr">
        <is>
          <t>How long should I let stomach pain go before heading to ER?</t>
        </is>
      </c>
      <c r="C4412" t="inlineStr">
        <is>
          <t>I’m back with another question for fellow sufferers. Due to some terrible eating (and over-eating) for the holidays....I started getting pain after eating (just left of center at ribs). This morning I ate garbage for breakfast and then had a big sub for lunch. Anyway....right after the sub I had severe pain. Same place....just left of center at ribs. It started at 2pm today. It’s now 7pm and the pain is still going (slightly less). I have taken gas-x, gaviscon advance, and pepcid. No luck. Should I leave it overnight before going to the ER (to see if it goes away)?  Has it already been too long?  Should I take or eat anything else to help ease this pain?!!  :/. Sorry for the new (frantic) post.</t>
        </is>
      </c>
      <c r="D4412" t="n">
        <v>1</v>
      </c>
      <c r="E4412" t="n">
        <v>3</v>
      </c>
      <c r="F4412">
        <f>HYPERLINK("https://www.reddit.com/r/GERD/comments/eiq2iw/how_long_should_i_let_stomach_pain_go_before/")</f>
        <v/>
      </c>
      <c r="G4412" t="inlineStr">
        <is>
          <t>2020-01-01 16:04:27</t>
        </is>
      </c>
      <c r="H4412" t="inlineStr"/>
    </row>
    <row r="4413">
      <c r="A4413" t="inlineStr">
        <is>
          <t>eiqrch</t>
        </is>
      </c>
      <c r="B4413" t="inlineStr">
        <is>
          <t>Switched from Omemprepozale to Pepcid</t>
        </is>
      </c>
      <c r="C4413" t="inlineStr">
        <is>
          <t>Hello, I'm a 16 yo male and I've had some kind of acid reflux for 3, 4 months now and my GI doesn't really know whether or not it's GERD or just school stress. I was taking Omemp. for 3 months and usually only felt symptoms when going to school and during, not after or on weekends. (My symptoms would usually just be a globus sensation, a short shorter stomach ache, and slight heartburn) Over my Christmas break I have felt completely fine and I went to go see my GI for a check up 2 days ago and he switched me off of O. and is having me take Pepcid for 3 weeks twice per day, but I've just been doing 1 tablet of 20mg per day for 2 days because the box says not to take more than 2 in 24 hours. Anyway, I take it in the morning and now it's the night before school and I write this with a slight burn in my throat, nothing major, but I'm not sure what to do.</t>
        </is>
      </c>
      <c r="D4413" t="n">
        <v>1</v>
      </c>
      <c r="E4413" t="n">
        <v>5</v>
      </c>
      <c r="F4413">
        <f>HYPERLINK("https://www.reddit.com/r/GERD/comments/eiqrch/switched_from_omemprepozale_to_pepcid/")</f>
        <v/>
      </c>
      <c r="G4413" t="inlineStr">
        <is>
          <t>2020-01-01 16:59:35</t>
        </is>
      </c>
      <c r="H4413" t="inlineStr"/>
    </row>
    <row r="4414">
      <c r="A4414" t="inlineStr">
        <is>
          <t>eirwse</t>
        </is>
      </c>
      <c r="B4414" t="inlineStr">
        <is>
          <t>Endoscopy Results</t>
        </is>
      </c>
      <c r="C4414" t="inlineStr">
        <is>
          <t>Hey I made a post yesterday about weed and GERD. I have a rather simple question that will most likely merit a complex response. My GI said that my esophagus and stomach are inflamed. I also have abrasions in my esophagus. How screwed am I and how long does something like this take to heal, if it ever will. Thanks.</t>
        </is>
      </c>
      <c r="D4414" t="n">
        <v>1</v>
      </c>
      <c r="E4414" t="n">
        <v>30</v>
      </c>
      <c r="F4414">
        <f>HYPERLINK("https://www.reddit.com/r/GERD/comments/eirwse/endoscopy_results/")</f>
        <v/>
      </c>
      <c r="G4414" t="inlineStr">
        <is>
          <t>2020-01-01 18:32:16</t>
        </is>
      </c>
      <c r="H4414" t="inlineStr"/>
    </row>
    <row r="4415">
      <c r="A4415" t="inlineStr">
        <is>
          <t>eit94d</t>
        </is>
      </c>
      <c r="B4415" t="inlineStr">
        <is>
          <t>Slow Emptying Stomach</t>
        </is>
      </c>
      <c r="C4415" t="inlineStr">
        <is>
          <t>Hi all!  When I had my endoscopy done, my doctor mentioned that I had a slow-emptying stomach (not quite gastroparesis) caused by anxiety.  Has anyone else heard of this as something related to GERD?  I discounted this piece of information and I've only been focused on reducing the acid and heavy fats in my diet, but I haven't considered a few things, and I'm wondering what you all think...
1. I stopped chewing gum 4-5 months ago.  Until then I chewed a pack of gum a day, constantly stimulating digestion.  By stopping, I'm wondering if I slowed down digestion significantly, causing indigestion.
2. I stopped smoking cigarettes and drinking coffee--another speeder upper.
3. I stopped exercising.  Before 4-5 months ago, I lifted weights 4 times a week and walked 10-20,000 steps a day
4. I started a high-fiber diet to combat GERD, but high fiber diets can slow stomach emptying more.  My diet includes more nuts than before as well.
With all of those lifestyle changes, and a massive amount of anxiety (with a hint of depression to top it), bloating from PPIs, etc, I wonder if I'm exacerbating my issues as I try to fix them.  Does anyone have thoughts/advice?
Thanks in advance!</t>
        </is>
      </c>
      <c r="D4415" t="n">
        <v>1</v>
      </c>
      <c r="E4415" t="n">
        <v>2</v>
      </c>
      <c r="F4415">
        <f>HYPERLINK("https://www.reddit.com/r/GERD/comments/eit94d/slow_emptying_stomach/")</f>
        <v/>
      </c>
      <c r="G4415" t="inlineStr">
        <is>
          <t>2020-01-01 20:25:26</t>
        </is>
      </c>
      <c r="H4415" t="inlineStr"/>
    </row>
    <row r="4416">
      <c r="A4416" t="inlineStr">
        <is>
          <t>eiu3qf</t>
        </is>
      </c>
      <c r="B4416" t="inlineStr">
        <is>
          <t>Just wanted to share that goat milk has been such a great blessing to me and has been so much better than any pill or vitamin.</t>
        </is>
      </c>
      <c r="C4416" t="inlineStr">
        <is>
          <t>I’ve tried to eat less acidic foods, and drink goat milk daily and it has been such a turn around. The goat milk really cools down the acidic pain in the heart. I’d highly recommend it.
“And thou shalt have goats' milk enough for thy food, for the food of thy household, and for the maintenance for thy maidens.”
‭‭Proverbs‬ ‭27:27‬ ‭KJV‬‬</t>
        </is>
      </c>
      <c r="D4416" t="n">
        <v>1</v>
      </c>
      <c r="E4416" t="n">
        <v>1</v>
      </c>
      <c r="F4416">
        <f>HYPERLINK("https://www.reddit.com/r/GERD/comments/eiu3qf/just_wanted_to_share_that_goat_milk_has_been_such/")</f>
        <v/>
      </c>
      <c r="G4416" t="inlineStr">
        <is>
          <t>2020-01-01 21:42:03</t>
        </is>
      </c>
      <c r="H4416" t="inlineStr"/>
    </row>
    <row r="4417">
      <c r="A4417" t="inlineStr">
        <is>
          <t>eiuhu7</t>
        </is>
      </c>
      <c r="B4417" t="inlineStr">
        <is>
          <t>Esophagus spasms that feel like heart palpitations?</t>
        </is>
      </c>
      <c r="C4417" t="inlineStr">
        <is>
          <t>Is this real and a side effect of gerd ? I’m having anxiety thinking I’m having heart spasms but could it possibly just be from gerd? Trying to logic my way out of this spiral - not sure if esophageal spasms are real.</t>
        </is>
      </c>
      <c r="D4417" t="n">
        <v>1</v>
      </c>
      <c r="E4417" t="n">
        <v>8</v>
      </c>
      <c r="F4417">
        <f>HYPERLINK("https://www.reddit.com/r/GERD/comments/eiuhu7/esophagus_spasms_that_feel_like_heart_palpitations/")</f>
        <v/>
      </c>
      <c r="G4417" t="inlineStr">
        <is>
          <t>2020-01-01 22:19:37</t>
        </is>
      </c>
      <c r="H4417" t="inlineStr"/>
    </row>
    <row r="4418">
      <c r="A4418" t="inlineStr">
        <is>
          <t>eiw3y2</t>
        </is>
      </c>
      <c r="B4418" t="inlineStr">
        <is>
          <t>Just started Esomeprazole (generic), feeling slightly nauseous, very bloated and feel like something is in my throat.</t>
        </is>
      </c>
      <c r="C4418" t="inlineStr">
        <is>
          <t>I saw a doctor last night after being awake the previous 3 nights in a row with waves of nausea and sometimes heartburn. Previously it would happen to me once every few weeks and occasionally a couple nights a week. Starting a few weeks ago I began to feel nauseous during the day as well, such as before, during or after meals. Then in the last week the night nausea has suddenly become much worse.
The doctor ordered blood and breath tests and put me on esomeprazole 20mg (generic), twice/day for a week and then once/day after. I took my first dose this morning before eating anything and felt a bit nauseous at breakfast time, so I only ate a museli bar. That made me feel full, boated and gassy (belching) for hours. Same thing happened with lunch, afterwards I was bloated and gassy for about 5 hours. 
Took the second dose an hour and a half ago and an hour later tried to attack dinner but still feel bloated and full so only got a couple bites in. I'm now feeling a little nauseous (not out of the ordinary for me) and bloated, but also feel like there's something in my throat which isn't a common symptom for me.
Is this just anxiety or a side effect?</t>
        </is>
      </c>
      <c r="D4418" t="n">
        <v>1</v>
      </c>
      <c r="E4418" t="n">
        <v>5</v>
      </c>
      <c r="F4418">
        <f>HYPERLINK("https://www.reddit.com/r/GERD/comments/eiw3y2/just_started_esomeprazole_generic_feeling/")</f>
        <v/>
      </c>
      <c r="G4418" t="inlineStr">
        <is>
          <t>2020-01-02 01:25:44</t>
        </is>
      </c>
      <c r="H4418" t="inlineStr"/>
    </row>
    <row r="4419">
      <c r="A4419" t="inlineStr">
        <is>
          <t>eiwl12</t>
        </is>
      </c>
      <c r="B4419" t="inlineStr">
        <is>
          <t>Weaning off PPI's</t>
        </is>
      </c>
      <c r="C4419" t="inlineStr">
        <is>
          <t>Hi everyone,
I have been on 2x40 mg pantoprozole for about half a year, and have reduced it to 1x 40 mg per day now.
Now, I would like to wean off even further and eventually stop the use of the ppi, but this pill is uncuttable (it's probably coated). So I can not lose the dosage, and lower dosages are also not available.
What would be another way to wean off easily? Maybe switching to another PPI which I can cut?</t>
        </is>
      </c>
      <c r="D4419" t="n">
        <v>1</v>
      </c>
      <c r="E4419" t="n">
        <v>10</v>
      </c>
      <c r="F4419">
        <f>HYPERLINK("https://www.reddit.com/r/GERD/comments/eiwl12/weaning_off_ppis/")</f>
        <v/>
      </c>
      <c r="G4419" t="inlineStr">
        <is>
          <t>2020-01-02 02:23:38</t>
        </is>
      </c>
      <c r="H4419" t="inlineStr"/>
    </row>
    <row r="4420">
      <c r="A4420" t="inlineStr">
        <is>
          <t>eixjnc</t>
        </is>
      </c>
      <c r="B4420" t="inlineStr">
        <is>
          <t>Esophageal ulcer at 23 years old</t>
        </is>
      </c>
      <c r="C4420" t="inlineStr">
        <is>
          <t>Hello,last month I was spitting  blood
After an endoscopy they found an ulcerative lesion in my esophagus
After a biopsy it was classified as benign and no barret was seen
They also found gastritis in my stomach and also take biopsy
I have Gerd since my childhood, it affect my whole family
Can an esophageal ulcer turn into cancer?.
Is esophageal ulcer genetic?</t>
        </is>
      </c>
      <c r="D4420" t="n">
        <v>1</v>
      </c>
      <c r="E4420" t="n">
        <v>5</v>
      </c>
      <c r="F4420">
        <f>HYPERLINK("https://www.reddit.com/r/GERD/comments/eixjnc/esophageal_ulcer_at_23_years_old/")</f>
        <v/>
      </c>
      <c r="G4420" t="inlineStr">
        <is>
          <t>2020-01-02 04:17:11</t>
        </is>
      </c>
      <c r="H4420" t="inlineStr"/>
    </row>
    <row r="4421">
      <c r="A4421" t="inlineStr">
        <is>
          <t>ej2nlu</t>
        </is>
      </c>
      <c r="B4421" t="inlineStr">
        <is>
          <t>Can I take Pepcid 3 times a day?</t>
        </is>
      </c>
      <c r="C4421" t="inlineStr">
        <is>
          <t>It helps for 6 hours, not 12. I feel like I need it three times a day. Is this bad? 60 mg total.</t>
        </is>
      </c>
      <c r="D4421" t="n">
        <v>2</v>
      </c>
      <c r="E4421" t="n">
        <v>42</v>
      </c>
      <c r="F4421">
        <f>HYPERLINK("https://www.reddit.com/r/GERD/comments/ej2nlu/can_i_take_pepcid_3_times_a_day/")</f>
        <v/>
      </c>
      <c r="G4421" t="inlineStr">
        <is>
          <t>2020-01-02 11:13:27</t>
        </is>
      </c>
      <c r="H4421" t="inlineStr"/>
    </row>
    <row r="4422">
      <c r="A4422" t="inlineStr">
        <is>
          <t>ej311h</t>
        </is>
      </c>
      <c r="B4422" t="inlineStr">
        <is>
          <t>Lightheaded/dizzy with violent belching and hiccups?</t>
        </is>
      </c>
      <c r="C4422" t="inlineStr">
        <is>
          <t>Hi all, so I started omeprazole a few weeks back (I don't know the dosage off the top of my head) to take each morning. I ate pretty shittily last week because of the holidays, but have noticed since getting back that I get massively dizzy, lightheaded, and fatigued in the 2-ish hours after I eat, no matter what I eat. Chickpea salad for lunch, for example, has me about to pass out at my desk. 
This is all coupled with some relative pain in my chest near my collarbone.
Curious if these symptoms are out of the normal and if I should be more worried/heading to an ER? Anyone else with any similarities?</t>
        </is>
      </c>
      <c r="D4422" t="n">
        <v>3</v>
      </c>
      <c r="E4422" t="n">
        <v>0</v>
      </c>
      <c r="F4422">
        <f>HYPERLINK("https://www.reddit.com/r/GERD/comments/ej311h/lightheadeddizzy_with_violent_belching_and_hiccups/")</f>
        <v/>
      </c>
      <c r="G4422" t="inlineStr">
        <is>
          <t>2020-01-02 11:39:35</t>
        </is>
      </c>
      <c r="H4422" t="inlineStr"/>
    </row>
    <row r="4423">
      <c r="A4423" t="inlineStr">
        <is>
          <t>ej3udc</t>
        </is>
      </c>
      <c r="B4423" t="inlineStr">
        <is>
          <t>Back pain in between shoulder blades.</t>
        </is>
      </c>
      <c r="C4423" t="inlineStr">
        <is>
          <t>I have a really bad flare up with gerd. I’m sipping on chicken broth. I’m very bloated. Has anyone had the back pain?</t>
        </is>
      </c>
      <c r="D4423" t="n">
        <v>17</v>
      </c>
      <c r="E4423" t="n">
        <v>47</v>
      </c>
      <c r="F4423">
        <f>HYPERLINK("https://www.reddit.com/r/GERD/comments/ej3udc/back_pain_in_between_shoulder_blades/")</f>
        <v/>
      </c>
      <c r="G4423" t="inlineStr">
        <is>
          <t>2020-01-02 12:35:52</t>
        </is>
      </c>
      <c r="H4423" t="inlineStr"/>
    </row>
    <row r="4424">
      <c r="A4424" t="inlineStr">
        <is>
          <t>ej4cvq</t>
        </is>
      </c>
      <c r="B4424" t="inlineStr">
        <is>
          <t>Pantoprazole pros and cons</t>
        </is>
      </c>
      <c r="C4424" t="inlineStr">
        <is>
          <t>Hi everyone...I've been on pantoprazole 40 mgs for almost 2 weeks now. I feel like it has some pros and cons. Maybe some of you can agree. 
Pros :  nausea has been lessened, still there somewhat in morning though. Lump in throat has lessened but still there.
Cons: I feel like heartburn is worse. I am burping more. I feel like my throat is burning more than usual. I feel very depressed, more so than usual. I also have horrible ringing in ears. 
Has anyone else had the same? I almost don't want to continue.</t>
        </is>
      </c>
      <c r="D4424" t="n">
        <v>7</v>
      </c>
      <c r="E4424" t="n">
        <v>104</v>
      </c>
      <c r="F4424">
        <f>HYPERLINK("https://www.reddit.com/r/GERD/comments/ej4cvq/pantoprazole_pros_and_cons/")</f>
        <v/>
      </c>
      <c r="G4424" t="inlineStr">
        <is>
          <t>2020-01-02 13:10:33</t>
        </is>
      </c>
      <c r="H4424" t="inlineStr"/>
    </row>
    <row r="4425">
      <c r="A4425" t="inlineStr">
        <is>
          <t>ej4no3</t>
        </is>
      </c>
      <c r="B4425" t="inlineStr">
        <is>
          <t>Random thought of the day . My gf loves to watch mukbang videos and sometimes I watch with her, and I begin wonder how people like that who just eat ridiculous amount of food dont get GERD but I do</t>
        </is>
      </c>
      <c r="C4425" t="inlineStr">
        <is>
          <t>I mean, how does that make sense at all ? 😂 more of a rant than anything else.</t>
        </is>
      </c>
      <c r="D4425" t="n">
        <v>6</v>
      </c>
      <c r="E4425" t="n">
        <v>6</v>
      </c>
      <c r="F4425">
        <f>HYPERLINK("https://www.reddit.com/r/GERD/comments/ej4no3/random_thought_of_the_day_my_gf_loves_to_watch/")</f>
        <v/>
      </c>
      <c r="G4425" t="inlineStr">
        <is>
          <t>2020-01-02 13:31:38</t>
        </is>
      </c>
      <c r="H4425" t="inlineStr"/>
    </row>
    <row r="4426">
      <c r="A4426" t="inlineStr">
        <is>
          <t>ej4ofl</t>
        </is>
      </c>
      <c r="B4426" t="inlineStr">
        <is>
          <t>Does anyone else experience a sort of hoarse sounding cough with their GERD or LPR?</t>
        </is>
      </c>
      <c r="C4426" t="inlineStr">
        <is>
          <t>Maybe it's just me but its something I experience daily and more often that not , I have spurts of coughing till I almost throw up .</t>
        </is>
      </c>
      <c r="D4426" t="n">
        <v>6</v>
      </c>
      <c r="E4426" t="n">
        <v>29</v>
      </c>
      <c r="F4426">
        <f>HYPERLINK("https://www.reddit.com/r/GERD/comments/ej4ofl/does_anyone_else_experience_a_sort_of_hoarse/")</f>
        <v/>
      </c>
      <c r="G4426" t="inlineStr">
        <is>
          <t>2020-01-02 13:33:10</t>
        </is>
      </c>
      <c r="H4426" t="inlineStr"/>
    </row>
    <row r="4427">
      <c r="A4427" t="inlineStr">
        <is>
          <t>ej4x9w</t>
        </is>
      </c>
      <c r="B4427" t="inlineStr">
        <is>
          <t>Weed &amp;amp; acid reflux/gerd</t>
        </is>
      </c>
      <c r="C4427" t="inlineStr">
        <is>
          <t>So I’ve been smoking and dealing with gerd , and I honestly think after months of self research, when you inhale your sucking up air the smoke naturally irritates your stomach and throat, and all the inhaling causes gas, burps etc and that’s why you may feel heartburn or acid when your trying to enjoy however you smoke. This is just my experience but I found when you drink water, a spoon of mustard or drink anti acid you gain relief and can enjoy your high or get your health benefits. Lmk your experience with smoking with acid or gerd</t>
        </is>
      </c>
      <c r="D4427" t="n">
        <v>1</v>
      </c>
      <c r="E4427" t="n">
        <v>0</v>
      </c>
      <c r="F4427">
        <f>HYPERLINK("https://www.reddit.com/r/GERD/comments/ej4x9w/weed_acid_refluxgerd/")</f>
        <v/>
      </c>
      <c r="G4427" t="inlineStr">
        <is>
          <t>2020-01-02 13:50:07</t>
        </is>
      </c>
      <c r="H4427" t="inlineStr"/>
    </row>
    <row r="4428">
      <c r="A4428" t="inlineStr">
        <is>
          <t>ej5jsb</t>
        </is>
      </c>
      <c r="B4428" t="inlineStr">
        <is>
          <t>Health anxiety and GERD?</t>
        </is>
      </c>
      <c r="C4428" t="inlineStr">
        <is>
          <t>I have had these symptoms for as long as I can remember at least maybe 10 years, off and on:
- feeling of not being able to get full breath but a 2500 goddamn dollar lung function test told me otherwise
- choking feeling almost constantly when I have these flares
- heartburn after meals almost immediately
- constant burping and so much air trapped iny esophagus and stomach that it makes me feel like I can't breathe
- heavy heartbeats or palpitations when I'm burpy or heartburny
- burping food into my mouth (gross, sorry) sometimes
Now I will say I am overweight but this crap has been going on for years, and I remember having bad heartburn as a kid. I'm 35 now. I don't have high blood pressure or diabetes. I DO have extreme health anxiety.
I've spent the last 6 months in an anxiety spiral about my back, then when that pain was explained, i fixated on being cold all the time, then it was my guts (bathroom habits) and now that it's resolved, my brain is telling me these GERD-like symptoms are heart problems.
Are these typical GERD symptoms? Am I overreacting?</t>
        </is>
      </c>
      <c r="D4428" t="n">
        <v>2</v>
      </c>
      <c r="E4428" t="n">
        <v>18</v>
      </c>
      <c r="F4428">
        <f>HYPERLINK("https://www.reddit.com/r/GERD/comments/ej5jsb/health_anxiety_and_gerd/")</f>
        <v/>
      </c>
      <c r="G4428" t="inlineStr">
        <is>
          <t>2020-01-02 14:34:07</t>
        </is>
      </c>
      <c r="H4428" t="inlineStr"/>
    </row>
    <row r="4429">
      <c r="A4429" t="inlineStr">
        <is>
          <t>ej5x40</t>
        </is>
      </c>
      <c r="B4429" t="inlineStr">
        <is>
          <t>How to tighten the LES suggestions</t>
        </is>
      </c>
      <c r="C4429" t="inlineStr">
        <is>
          <t>I’m trying to tighten my lower oesophageal sphincter, due to the fact that it doesn’t enable me to use my CPAP machine for my sleep apnea. 
The air simply rushes into my stomach, and continues to fill up until I feel extremely uncomfortable and proceed to start breathing very shallowly due to the pressure on my lungs, 
This causes me to lose all sleepiness and disrupt nightly sleep. This is even on an extremely low pressure. 
I cannot go long without the machine or I become super fatigued. I toyed with diets with no avail.
I have been on SSRIs/tricyclics for a while and have come off in the last three weeks. LES may be slightly better but still sluggish. 
Any advice on what may help to strength/tighten this muscle? ALCAR and bacopa might help.</t>
        </is>
      </c>
      <c r="D4429" t="n">
        <v>2</v>
      </c>
      <c r="E4429" t="n">
        <v>18</v>
      </c>
      <c r="F4429">
        <f>HYPERLINK("https://www.reddit.com/r/GERD/comments/ej5x40/how_to_tighten_the_les_suggestions/")</f>
        <v/>
      </c>
      <c r="G4429" t="inlineStr">
        <is>
          <t>2020-01-02 15:00:12</t>
        </is>
      </c>
      <c r="H4429" t="inlineStr"/>
    </row>
    <row r="4430">
      <c r="A4430" t="inlineStr">
        <is>
          <t>ej70ub</t>
        </is>
      </c>
      <c r="B4430" t="inlineStr">
        <is>
          <t>Insurance denied omeprazole after 90 days usage</t>
        </is>
      </c>
      <c r="C4430" t="inlineStr">
        <is>
          <t>Apparently my aetna plan won't cover PPI's after 90 day useage in a 365 day time frame.  Anyone else have this happen? Pharmacist said I needed to have my doctor contact them to continue.  Got the OTC generics for now but thought that was odd as I know a bunch of people on this sub are pretty much always on PPIs.</t>
        </is>
      </c>
      <c r="D4430" t="n">
        <v>2</v>
      </c>
      <c r="E4430" t="n">
        <v>26</v>
      </c>
      <c r="F4430">
        <f>HYPERLINK("https://www.reddit.com/r/GERD/comments/ej70ub/insurance_denied_omeprazole_after_90_days_usage/")</f>
        <v/>
      </c>
      <c r="G4430" t="inlineStr">
        <is>
          <t>2020-01-02 16:20:04</t>
        </is>
      </c>
      <c r="H4430" t="inlineStr"/>
    </row>
    <row r="4431">
      <c r="A4431" t="inlineStr">
        <is>
          <t>ej7cib</t>
        </is>
      </c>
      <c r="B4431" t="inlineStr">
        <is>
          <t>Gaviscon long term ?</t>
        </is>
      </c>
      <c r="C4431" t="inlineStr">
        <is>
          <t>I stopped using ppi's 2 months ago for my LPR and instead I'm taking 5-10 ml of gaviscon advance (UK version) every night before I sleep .
I dont know if gaviscon advance is ok for long term usage though ( every day)???
atm it's the only thing that kinda works for me and I see myself staying on it for the foreseeable future but I'm not sure if that's safe and if there is any side effects of long term usage</t>
        </is>
      </c>
      <c r="D4431" t="n">
        <v>3</v>
      </c>
      <c r="E4431" t="n">
        <v>6</v>
      </c>
      <c r="F4431">
        <f>HYPERLINK("https://www.reddit.com/r/GERD/comments/ej7cib/gaviscon_long_term/")</f>
        <v/>
      </c>
      <c r="G4431" t="inlineStr">
        <is>
          <t>2020-01-02 16:43:42</t>
        </is>
      </c>
      <c r="H4431" t="inlineStr"/>
    </row>
    <row r="4432">
      <c r="A4432" t="inlineStr">
        <is>
          <t>ej8oij</t>
        </is>
      </c>
      <c r="B4432" t="inlineStr">
        <is>
          <t>Has anyone else noticed symptoms started not long after an intense vomiting experience</t>
        </is>
      </c>
      <c r="C4432" t="inlineStr">
        <is>
          <t>I seem to recall first symptoms of reflux after getting food poisoning and vomiting. Anyone else?</t>
        </is>
      </c>
      <c r="D4432" t="n">
        <v>0</v>
      </c>
      <c r="E4432" t="n">
        <v>10</v>
      </c>
      <c r="F4432">
        <f>HYPERLINK("https://www.reddit.com/r/GERD/comments/ej8oij/has_anyone_else_noticed_symptoms_started_not_long/")</f>
        <v/>
      </c>
      <c r="G4432" t="inlineStr">
        <is>
          <t>2020-01-02 18:27:14</t>
        </is>
      </c>
      <c r="H4432" t="inlineStr"/>
    </row>
    <row r="4433">
      <c r="A4433" t="inlineStr">
        <is>
          <t>eja4hq</t>
        </is>
      </c>
      <c r="B4433" t="inlineStr">
        <is>
          <t>Mood changes from Heartburn meds?</t>
        </is>
      </c>
      <c r="C4433" t="inlineStr">
        <is>
          <t>Anyone have any issues with mood changes when taking heartburn meds? I took zantac for about a year and recently quit taking it because of the recall. I switched to Previcid and experienced major anger issues and crying spells. I am now taking Pepcid and am experiencing anger issues from it. I have taken heartburn meds for about a year now daily. Doc said to try Nexium next. I've read that they mess with the chemicals in your gut and that's why things get weird. Not sure what to try now?</t>
        </is>
      </c>
      <c r="D4433" t="n">
        <v>2</v>
      </c>
      <c r="E4433" t="n">
        <v>18</v>
      </c>
      <c r="F4433">
        <f>HYPERLINK("https://www.reddit.com/r/GERD/comments/eja4hq/mood_changes_from_heartburn_meds/")</f>
        <v/>
      </c>
      <c r="G4433" t="inlineStr">
        <is>
          <t>2020-01-02 20:22:51</t>
        </is>
      </c>
      <c r="H4433" t="inlineStr"/>
    </row>
    <row r="4434">
      <c r="A4434" t="inlineStr">
        <is>
          <t>ejbptg</t>
        </is>
      </c>
      <c r="B4434" t="inlineStr">
        <is>
          <t>How do you deal with nausea?</t>
        </is>
      </c>
      <c r="C4434" t="inlineStr">
        <is>
          <t>I (21m) have had reflux my entire life. Usually it doesn't bother me all that much, but sometimes I have bouts of severe evening and late-night nausea. Does anybody know of any remedies for that symptom?</t>
        </is>
      </c>
      <c r="D4434" t="n">
        <v>7</v>
      </c>
      <c r="E4434" t="n">
        <v>12</v>
      </c>
      <c r="F4434">
        <f>HYPERLINK("https://www.reddit.com/r/GERD/comments/ejbptg/how_do_you_deal_with_nausea/")</f>
        <v/>
      </c>
      <c r="G4434" t="inlineStr">
        <is>
          <t>2020-01-02 22:47:00</t>
        </is>
      </c>
      <c r="H4434" t="inlineStr"/>
    </row>
    <row r="4435">
      <c r="A4435" t="inlineStr">
        <is>
          <t>ejbwa0</t>
        </is>
      </c>
      <c r="B4435" t="inlineStr">
        <is>
          <t>I'm freaked out about potential esophageal cancer and need to be calmed down I think</t>
        </is>
      </c>
      <c r="C4435" t="inlineStr">
        <is>
          <t>Edit: after searching for "cancer" on this sub and reading the posts, I am feeling much better. But please feel free to add anything else to ease my mind :)
Warning: this is a long, scatter-brained post!
Let me start by saying I am TERRIBLE about googling my symptoms online and then freaking out about it. I have bad anxiety about everything and especially my health. 
Well a few days ago (the 28th) I began feeling chest pain after eating a pizza. I hadn't taken any antacid medication for a couple days since I was originally on Ranitidine and ran out, then saw it got recalled. So I figured I would just use Tums until I could meet with my doctor. Assuming my chest pain was acid reflux I took some Tums and waited for hours. The pain didn't go away like it usually did. I went to bed and tried to ignore it. 3 days went by with chest pain and I couldn't take worrying about it any more so I went to the ER and after multiple tests they assured me it was likely just GERD, even though the chest pain is more like a stabbing feeling and less like a burning sensation. They referred me to a GI doctor. 
Well a few more days went by and today the pain got even worse so I went back in. They did the same tests and said my heart is fine and to just wait and talk to the GI doctor.
I got home to begin my wait, even though my appointment is not until February. While waiting I couldn't help but look up complications of the esophagus and see that esophageal cancer was one of them. I noticed symptoms included chest pain and difficulty swallowing (which I definitely struggle with on a regular basis) and now I'm freaked out and don't know how I am going to wait until February for answers. 
I am only 25 and have taken Ranitidine for about 4 years now. I know esophageal cancer is rare but I can't help but worry about it. I also realize difficulty swallowing is a symptom of general GERD. My blood tests came back normal, as did my x-rays. Can someone please help ease my anxiety a bit???
Thank you.</t>
        </is>
      </c>
      <c r="D4435" t="n">
        <v>2</v>
      </c>
      <c r="E4435" t="n">
        <v>18</v>
      </c>
      <c r="F4435">
        <f>HYPERLINK("https://www.reddit.com/r/GERD/comments/ejbwa0/im_freaked_out_about_potential_esophageal_cancer/")</f>
        <v/>
      </c>
      <c r="G4435" t="inlineStr">
        <is>
          <t>2020-01-02 23:05:15</t>
        </is>
      </c>
      <c r="H4435" t="inlineStr"/>
    </row>
    <row r="4436">
      <c r="A4436" t="inlineStr">
        <is>
          <t>ejcxuf</t>
        </is>
      </c>
      <c r="B4436" t="inlineStr">
        <is>
          <t>Surgery vs PPI's + story on what has helped me with GERD.</t>
        </is>
      </c>
      <c r="C4436" t="inlineStr">
        <is>
          <t>Hi everyone,
so a little back story I am 22 and have been diagnosed with GERD since 18 due to a hiatal hernia (I think it is \~4cm but going to a gastro soon for an endoscopy to find out because I am not quite sure I remember correctly). At first the heartburn manifested as a cough in the midday (2-3 hours after breakfast and a sore throat in the morning). Then it got really severe with acid coming up/burning etc.
I had an endoscopy done and was diagnosed with GERD and told to change my diet because I am too young to go on PPIs for life.
So long story short, I have searched the whole internet for the "cure" to reflux. Things that helped the most:
1. Betaine HCL (after a course and using just one with largest meal has been life changing, I think it is because the LES tries to contract harder when stomach is more acidic)
2. Low carb diet (less pressure on LES)
Now I am more or less cured during the day, however I have nighttime reflux and I was convinced that I had SIBO and that was the reason for it. However, now I think it is just because of the hiatal hernia and the LES being weaker and that I am wasting my money for all of these antibacterial/antiparasitic supplements.
What has helped with the nightime hearburn has been (Gastrotuss similar to Gaviscon) tried Apple Cider Vinegar but it just seems to make it worse. I have also bought a wedge pillow but it is just being shipped.
I am actually considering about taking H2 blocker/PPI in the evening for nighttime reflux but am concerned about long term effects on digestion, etc? Your thoughts about this?
Also have been looking into procedures such as the LINX and TIF which seem to be without many side effects and seem like the dream solution of just going under the knife one time and being gerd free for life. I am just thinking that maybe my symptoms are not as severe to warrant surgery? Just want to get this over with and get my life back.
So to summarise what do you guys think about PPI/H2 blocker for life vs surgery considering I have the hiatal hernia.
Regards.
Edit:
Also was convinced of having SIBO due to frequent burping but now i think it is just a sign of a weak LES because my digestion is actually very good also am very regular and have no other symptoms just bloating some times if I eat too much sugary starchy foods which seems normal. thoughts on this?</t>
        </is>
      </c>
      <c r="D4436" t="n">
        <v>4</v>
      </c>
      <c r="E4436" t="n">
        <v>14</v>
      </c>
      <c r="F4436">
        <f>HYPERLINK("https://www.reddit.com/r/GERD/comments/ejcxuf/surgery_vs_ppis_story_on_what_has_helped_me_with/")</f>
        <v/>
      </c>
      <c r="G4436" t="inlineStr">
        <is>
          <t>2020-01-03 01:04:26</t>
        </is>
      </c>
      <c r="H4436" t="inlineStr"/>
    </row>
    <row r="4437">
      <c r="A4437" t="inlineStr">
        <is>
          <t>ejdxjr</t>
        </is>
      </c>
      <c r="B4437" t="inlineStr">
        <is>
          <t>Failed fundoplication.</t>
        </is>
      </c>
      <c r="C4437" t="inlineStr">
        <is>
          <t>I was trying to get the linx, but insurance wouldnt cover it. So i settled for the fundoplication in june of 2018. I didnt read too many good reviews of it but i was pretty desperate. Now here i am in 2020 about just as worse before the surgery. Anybody elses wrap loosened up over time?</t>
        </is>
      </c>
      <c r="D4437" t="n">
        <v>8</v>
      </c>
      <c r="E4437" t="n">
        <v>17</v>
      </c>
      <c r="F4437">
        <f>HYPERLINK("https://www.reddit.com/r/GERD/comments/ejdxjr/failed_fundoplication/")</f>
        <v/>
      </c>
      <c r="G4437" t="inlineStr">
        <is>
          <t>2020-01-03 02:59:09</t>
        </is>
      </c>
      <c r="H4437" t="inlineStr"/>
    </row>
    <row r="4438">
      <c r="A4438" t="inlineStr">
        <is>
          <t>ejey94</t>
        </is>
      </c>
      <c r="B4438" t="inlineStr">
        <is>
          <t>Black Seed Oil and GERD</t>
        </is>
      </c>
      <c r="C4438" t="inlineStr">
        <is>
          <t>Been wanting to take this supplement for other reasons but have found contrary info online on whether this is good or bad for GERD. You figure it’s oil so it’s bad but hard to say. I took it once and felt bad but I always feel bad after noon each day it’s very hard to say what sets it off. It’s pretty much everything anymore. 😢</t>
        </is>
      </c>
      <c r="D4438" t="n">
        <v>2</v>
      </c>
      <c r="E4438" t="n">
        <v>1</v>
      </c>
      <c r="F4438">
        <f>HYPERLINK("https://www.reddit.com/r/GERD/comments/ejey94/black_seed_oil_and_gerd/")</f>
        <v/>
      </c>
      <c r="G4438" t="inlineStr">
        <is>
          <t>2020-01-03 04:45:47</t>
        </is>
      </c>
      <c r="H4438" t="inlineStr"/>
    </row>
    <row r="4439">
      <c r="A4439" t="inlineStr">
        <is>
          <t>ejgd7q</t>
        </is>
      </c>
      <c r="B4439" t="inlineStr">
        <is>
          <t>What do you take instead of advil for pain?</t>
        </is>
      </c>
      <c r="C4439" t="inlineStr">
        <is>
          <t>My go to for period cramps and headaches has always been kids chewable advil (can't swallow pills). What are my alternatives?</t>
        </is>
      </c>
      <c r="D4439" t="n">
        <v>4</v>
      </c>
      <c r="E4439" t="n">
        <v>18</v>
      </c>
      <c r="F4439">
        <f>HYPERLINK("https://www.reddit.com/r/GERD/comments/ejgd7q/what_do_you_take_instead_of_advil_for_pain/")</f>
        <v/>
      </c>
      <c r="G4439" t="inlineStr">
        <is>
          <t>2020-01-03 06:50:12</t>
        </is>
      </c>
      <c r="H4439" t="inlineStr"/>
    </row>
    <row r="4440">
      <c r="A4440" t="inlineStr">
        <is>
          <t>ejh7vs</t>
        </is>
      </c>
      <c r="B4440" t="inlineStr">
        <is>
          <t>I'm too young for this!</t>
        </is>
      </c>
      <c r="C4440" t="inlineStr">
        <is>
          <t>21 F, I went to doctor for my bad morning breath that doesn't go away until eating some food. She sent me to gastroscopy and they told me I have LES and took a biopsy sample for h.pylori. I asked them if antibiotics have any sense if the bacter is positive, they said no. Why did they bother with the biopsy then? I have no more info from the doctors, nobody gave me any solution or advice. Just avoid spicy and fried food and don't eat before bed. Like, for the rest of my life?
I don't what did I do wrong for my health to cause this and more importantly, how to revert it. 
I never feel heartburn. I have acidic afterteste every time after eating sweet, but I'm quitting sugar now. 
My question is very simple: what can cause LES in my age? Is there any chance of healing this thing?</t>
        </is>
      </c>
      <c r="D4440" t="n">
        <v>5</v>
      </c>
      <c r="E4440" t="n">
        <v>23</v>
      </c>
      <c r="F4440">
        <f>HYPERLINK("https://www.reddit.com/r/GERD/comments/ejh7vs/im_too_young_for_this/")</f>
        <v/>
      </c>
      <c r="G4440" t="inlineStr">
        <is>
          <t>2020-01-03 07:52:38</t>
        </is>
      </c>
      <c r="H4440" t="inlineStr"/>
    </row>
    <row r="4441">
      <c r="A4441" t="inlineStr">
        <is>
          <t>ejhpsi</t>
        </is>
      </c>
      <c r="B4441" t="inlineStr">
        <is>
          <t>New(ish) GERD mom</t>
        </is>
      </c>
      <c r="C4441" t="inlineStr">
        <is>
          <t>My 14 year old was recently diagnosed although I think she’s been dealing with reflux for many years. When I try to look for info on the internet (dangerous I know) the articles always imply that obesity is an issue. Quite the opposite. She’s 5’7 and 100lbs. I’m trying hard to understand why she has GERD. She has none of the factors they always cite. She recently had an EGD which showed only one erosion. The rest looked great. We are awaiting biopsy results. Any advice I can give my daughter?  She’s pretty upset that this is something she will have to deal with the rest of her life. And having to take Carafate 3 times a day isn’t helping!</t>
        </is>
      </c>
      <c r="D4441" t="n">
        <v>1</v>
      </c>
      <c r="E4441" t="n">
        <v>12</v>
      </c>
      <c r="F4441">
        <f>HYPERLINK("https://www.reddit.com/r/GERD/comments/ejhpsi/newish_gerd_mom/")</f>
        <v/>
      </c>
      <c r="G4441" t="inlineStr">
        <is>
          <t>2020-01-03 08:27:12</t>
        </is>
      </c>
      <c r="H4441" t="inlineStr"/>
    </row>
    <row r="4442">
      <c r="A4442" t="inlineStr">
        <is>
          <t>ejiad5</t>
        </is>
      </c>
      <c r="B4442" t="inlineStr">
        <is>
          <t>Barium swallow embarrassment (vomit warning)</t>
        </is>
      </c>
      <c r="C4442" t="inlineStr">
        <is>
          <t>God I cannot get over how horrible this test was. 
The doctor performing the test wanted to take photos of me standing and laying down but I couldn't hold back from throwing up the barium during part two. Drinking down the first cup I was gagging, tears running down my face, obviously bloated from the fizzy stuff... But the second cup I couldn't even get a sip down without vomiting. Has anyone else reacted this way? The texture was absolutely terrible. The taste is whatever but God the sludge... So horrid.
I hope he was able to get good enough photos ):</t>
        </is>
      </c>
      <c r="D4442" t="n">
        <v>3</v>
      </c>
      <c r="E4442" t="n">
        <v>11</v>
      </c>
      <c r="F4442">
        <f>HYPERLINK("https://www.reddit.com/r/GERD/comments/ejiad5/barium_swallow_embarrassment_vomit_warning/")</f>
        <v/>
      </c>
      <c r="G4442" t="inlineStr">
        <is>
          <t>2020-01-03 09:07:10</t>
        </is>
      </c>
      <c r="H4442" t="inlineStr"/>
    </row>
    <row r="4443">
      <c r="A4443" t="inlineStr">
        <is>
          <t>ejjz0y</t>
        </is>
      </c>
      <c r="B4443" t="inlineStr">
        <is>
          <t>Bariatric Surgeon Recommendation</t>
        </is>
      </c>
      <c r="C4443" t="inlineStr">
        <is>
          <t>Can anyone recommend a top bariatric surgeon for a lacroscopic hiatial hernia repair in Los Angeles?  I am researching and it's really hard to find someone.  I'd truly appreciate it.</t>
        </is>
      </c>
      <c r="D4443" t="n">
        <v>3</v>
      </c>
      <c r="E4443" t="n">
        <v>2</v>
      </c>
      <c r="F4443">
        <f>HYPERLINK("https://www.reddit.com/r/GERD/comments/ejjz0y/bariatric_surgeon_recommendation/")</f>
        <v/>
      </c>
      <c r="G4443" t="inlineStr">
        <is>
          <t>2020-01-03 11:04:17</t>
        </is>
      </c>
      <c r="H4443" t="inlineStr"/>
    </row>
    <row r="4444">
      <c r="A4444" t="inlineStr">
        <is>
          <t>ejkl4r</t>
        </is>
      </c>
      <c r="B4444" t="inlineStr">
        <is>
          <t>Does this sound like GERD?</t>
        </is>
      </c>
      <c r="C4444" t="inlineStr">
        <is>
          <t>So for about two and a half months on and off I’ve had discomfort in my chest. It feels like tightness, soreness and a little pressure. Also at the top of a big breath I get a pain in the bottom of my left shoulder blade. I feel like I get winded easier although I went on a few bike rides and wasn’t gasping for air. Now in the past two weeks it’s been constant everyday. Pressure on chest, feels like I can’t take a full breath, my throat feels full sometimes, my diaphragm and stomach feels tight, like when I try to take a belly breath it feels too tight to fill. My stomach is soft these days like if I drink too much water I get a stomach ache. Now in the past two days when I lay down to sleep at night it gets bad, there’s pain and pressure in my chest, stomach discomfort and feels like there’s trouble breathing, haven’t been able to string together more then an hour of sleep without waking up to the sensations. I’m scared. It feels like my stomach and intestines are compressed.
I was told this sounds like GERD but I don’t get much or any of the acid in my throat feeling, thoughts?</t>
        </is>
      </c>
      <c r="D4444" t="n">
        <v>4</v>
      </c>
      <c r="E4444" t="n">
        <v>24</v>
      </c>
      <c r="F4444">
        <f>HYPERLINK("https://www.reddit.com/r/GERD/comments/ejkl4r/does_this_sound_like_gerd/")</f>
        <v/>
      </c>
      <c r="G4444" t="inlineStr">
        <is>
          <t>2020-01-03 11:45:51</t>
        </is>
      </c>
      <c r="H4444" t="inlineStr"/>
    </row>
    <row r="4445">
      <c r="A4445" t="inlineStr">
        <is>
          <t>ejl2wb</t>
        </is>
      </c>
      <c r="B4445" t="inlineStr">
        <is>
          <t>Prolonged use of Gaviscon Advance</t>
        </is>
      </c>
      <c r="C4445" t="inlineStr">
        <is>
          <t>Have any of you had to use Gaviscon Advance for more than a month or two? If so, have you noticed any long term effects? Are there any significant dangers to using it for a long time?</t>
        </is>
      </c>
      <c r="D4445" t="n">
        <v>5</v>
      </c>
      <c r="E4445" t="n">
        <v>14</v>
      </c>
      <c r="F4445">
        <f>HYPERLINK("https://www.reddit.com/r/GERD/comments/ejl2wb/prolonged_use_of_gaviscon_advance/")</f>
        <v/>
      </c>
      <c r="G4445" t="inlineStr">
        <is>
          <t>2020-01-03 12:19:30</t>
        </is>
      </c>
      <c r="H4445" t="inlineStr"/>
    </row>
    <row r="4446">
      <c r="A4446" t="inlineStr">
        <is>
          <t>ejl7yy</t>
        </is>
      </c>
      <c r="B4446" t="inlineStr">
        <is>
          <t>Health anxiety sucks</t>
        </is>
      </c>
      <c r="C4446" t="inlineStr">
        <is>
          <t>Hi. I’m a 14 year old male and my life is awful right now because of this anxiety from my symptoms. I’m really worried about esophageal. I should probably add my symptoms started around mid July 
My symptoms are I lost 10 pounds since July (not sure if that is the normal amount for cancer), indigestion, sort of difficulty swallowing (doesn’t really get stuck it’s right at the top of my throat it takes longer to to down), and sometimes globus and constant burping. Also two day ago I noticed a hard lump on my neck that isn’t visible as it’s very small but I can feel it and it’s under my right ear 
I went to a doctor in November and he gave me Omeprazole and said it should get better. The Omeprazole got rid of the burning but I still experience the swallowing and burping. I have another appointment coming up in a few weeks 
What are the chances I could have EC? I really want any type of reassurance here just so I can actually enjoy my life and do good in school because right now it’s all I can think about. Thank you</t>
        </is>
      </c>
      <c r="D4446" t="n">
        <v>1</v>
      </c>
      <c r="E4446" t="n">
        <v>22</v>
      </c>
      <c r="F4446">
        <f>HYPERLINK("https://www.reddit.com/r/GERD/comments/ejl7yy/health_anxiety_sucks/")</f>
        <v/>
      </c>
      <c r="G4446" t="inlineStr">
        <is>
          <t>2020-01-03 12:29:11</t>
        </is>
      </c>
      <c r="H4446" t="inlineStr"/>
    </row>
    <row r="4447">
      <c r="A4447" t="inlineStr">
        <is>
          <t>ejlahu</t>
        </is>
      </c>
      <c r="B4447" t="inlineStr">
        <is>
          <t>Acid reflux is incurable?</t>
        </is>
      </c>
      <c r="C4447" t="inlineStr">
        <is>
          <t>I’m scared. I’ve had acid reflux for about a year and a half now. I read on here that acid reflux is technically incurable because in order to fix a malfunctioning LES, you need surgery. I’ve been taking pantoprazole, but I’m trying to come off of it because it hasn’t been helping me. But the acid rebound is making me feel more nauseous and causing me to gag. I’m just so tired of having reflux all the time. I’m going to see a specialist and see what they say. I just wish I could be cured.</t>
        </is>
      </c>
      <c r="D4447" t="n">
        <v>1</v>
      </c>
      <c r="E4447" t="n">
        <v>4</v>
      </c>
      <c r="F4447">
        <f>HYPERLINK("https://www.reddit.com/r/GERD/comments/ejlahu/acid_reflux_is_incurable/")</f>
        <v/>
      </c>
      <c r="G4447" t="inlineStr">
        <is>
          <t>2020-01-03 12:34:06</t>
        </is>
      </c>
      <c r="H4447" t="inlineStr"/>
    </row>
    <row r="4448">
      <c r="A4448" t="inlineStr">
        <is>
          <t>ejlaqv</t>
        </is>
      </c>
      <c r="B4448" t="inlineStr">
        <is>
          <t>Month-long Reflux Cleanse Best Practices?</t>
        </is>
      </c>
      <c r="C4448" t="inlineStr">
        <is>
          <t>Do you have recommendations or best practices for a reflux cleanse?
I've had (mostly silent) reflux for the past three years (diagnosed by gastroenterologist after scope). I'm not overweight, and am in good shape. My plan is a 31 day cleanse:  
28 days of PPI (Omenprazole)  
31 days with no known or suspected triggers (caffeine, alcohol, tomatoes, citrus, chocolate, mint, etc.)  
No calories after 4:30pm  
Use inclined pillow, avoid overeating, etc. as usual
I did not see a guide for a cleanse like this, but if there is one, please send it my way. Also, are there best practices around cleanses like this? When to follow up with a doctor for a scope? Foods to avoid (protein?) while on a PPI? General advice (have a reward for finishing, keep a journal, record weight/burps/something else)?
If you have experience with a cleanse like this, I would love to hear what worked, what you wish you'd done, or what to avoid.
Thank you!</t>
        </is>
      </c>
      <c r="D4448" t="n">
        <v>1</v>
      </c>
      <c r="E4448" t="n">
        <v>6</v>
      </c>
      <c r="F4448">
        <f>HYPERLINK("https://www.reddit.com/r/GERD/comments/ejlaqv/monthlong_reflux_cleanse_best_practices/")</f>
        <v/>
      </c>
      <c r="G4448" t="inlineStr">
        <is>
          <t>2020-01-03 12:34:33</t>
        </is>
      </c>
      <c r="H4448" t="inlineStr"/>
    </row>
    <row r="4449">
      <c r="A4449" t="inlineStr">
        <is>
          <t>ejlz0i</t>
        </is>
      </c>
      <c r="B4449" t="inlineStr">
        <is>
          <t>What do you eat during a flare up?</t>
        </is>
      </c>
      <c r="C4449" t="inlineStr">
        <is>
          <t>What do you eat when your symptoms are at their worst?</t>
        </is>
      </c>
      <c r="D4449" t="n">
        <v>1</v>
      </c>
      <c r="E4449" t="n">
        <v>11</v>
      </c>
      <c r="F4449">
        <f>HYPERLINK("https://www.reddit.com/r/GERD/comments/ejlz0i/what_do_you_eat_during_a_flare_up/")</f>
        <v/>
      </c>
      <c r="G4449" t="inlineStr">
        <is>
          <t>2020-01-03 13:21:20</t>
        </is>
      </c>
      <c r="H4449" t="inlineStr"/>
    </row>
    <row r="4450">
      <c r="A4450" t="inlineStr">
        <is>
          <t>ejm25g</t>
        </is>
      </c>
      <c r="B4450" t="inlineStr">
        <is>
          <t>Swallowing question</t>
        </is>
      </c>
      <c r="C4450" t="inlineStr">
        <is>
          <t>Hello! I have a question for y'all.
So, for context, I'm 21/M and I suffered from chronic acid reflux for nearly 7 years before realizing what it was, and how *not* normal it is.
So, I went to the doctor. I was put on 20 mg of prilosec (daily), and was soon after tested positive for H. Pylori. I started and completed the triple-threat treatment of amoxicillin-clarithromycin-lansoprazole. 
I then got an appointment with a GI who inquired as to whether I was having difficulty swallowing. I explained that I don't....think so? As I told to him, food doesn't feel stuck, nor does it hurt ever, but I am 100% able to feel food and liquids as they move down my throat, through my esophagus, and then into my stomach. I told him I've been able to feel it this way ever since I first researched GERD. 
Aside from this, I also told him that I still have some degree of non-acid reflux after most meals and it almost feels like my food and liquids are moving through this layer of non-acid reflux sometimes. 
He said that this *is* difficulty swallowing and recommended me for an endoscopy, which ended up being scheduled for 7:30 am on Monday. (2 days from now). 
So, r/GERD, where do you stand on this assessment? Do any of y'all know what I'm talking about with regards to swallowing, or is this worrisome?</t>
        </is>
      </c>
      <c r="D4450" t="n">
        <v>1</v>
      </c>
      <c r="E4450" t="n">
        <v>1</v>
      </c>
      <c r="F4450">
        <f>HYPERLINK("https://www.reddit.com/r/GERD/comments/ejm25g/swallowing_question/")</f>
        <v/>
      </c>
      <c r="G4450" t="inlineStr">
        <is>
          <t>2020-01-03 13:27:35</t>
        </is>
      </c>
      <c r="H4450" t="inlineStr"/>
    </row>
    <row r="4451">
      <c r="A4451" t="inlineStr">
        <is>
          <t>ejm64b</t>
        </is>
      </c>
      <c r="B4451" t="inlineStr">
        <is>
          <t>Probiotics as an aid w GERD symptoms??</t>
        </is>
      </c>
      <c r="C4451" t="inlineStr">
        <is>
          <t>Has anyone here tried probiotics to help w GERD symptom discomfort? I know they aren’t regulated by the US FDA yet and can vary by manufacturer, so that’s somewhat of a concern. But the “Pros” list seems almost too good to be true w the aid in digestion that they provide. 
Thoughts? Comments? Ideas? Let me know what you all think.</t>
        </is>
      </c>
      <c r="D4451" t="n">
        <v>3</v>
      </c>
      <c r="E4451" t="n">
        <v>19</v>
      </c>
      <c r="F4451">
        <f>HYPERLINK("https://www.reddit.com/r/GERD/comments/ejm64b/probiotics_as_an_aid_w_gerd_symptoms/")</f>
        <v/>
      </c>
      <c r="G4451" t="inlineStr">
        <is>
          <t>2020-01-03 13:35:28</t>
        </is>
      </c>
      <c r="H4451" t="inlineStr"/>
    </row>
    <row r="4452">
      <c r="A4452" t="inlineStr">
        <is>
          <t>ejm73v</t>
        </is>
      </c>
      <c r="B4452" t="inlineStr">
        <is>
          <t>Was this GERD related?</t>
        </is>
      </c>
      <c r="C4452" t="inlineStr">
        <is>
          <t>Last night me and the fam went to have some Brazilian bbq. They keep bringing meats out and ask if you want some. So I had a lot of meat last night, of which plenty was beef. I normally don’t eat beef, but I also didn’t consider it something that gave me problems. Also, my GERD is generally limited to discomfort, and the only times I have really thrown up from it is after drinking, which I have stopped. Anyway, was falling asleep last night, and I knew I didn’t feel great, but I told myself to just fall asleep and I’d hopefully feel a little better when I wake up. I sort of fell asleep for like a half hour, but then I woke up again, and at a certain point, I hit the point of no return. In an instant I knew, and I leaned over and spewed out all of my very expensive dinner. I managed to get lost if it in a trash can, but it was a lot. I could tell I basically threw up all my dinner. I certainly felt better after, but then my mom made me take some pepto. After a few minutes I felt it coming again, and I threw up just the pepto this time. After this I felt nearly fine, and fell asleep without problems. Today I feel almost completely fine, besides the empty feeling you might get in your stomach after evacuating all it’s contents. So I’m wondering if this is a GERD thing, or perhaps something else. I feel like it must be GERD, since I don’t have any symptoms of a virus, I feel fine today, and I only threw up the food once, so it probably wasn’t food poisoning.</t>
        </is>
      </c>
      <c r="D4452" t="n">
        <v>2</v>
      </c>
      <c r="E4452" t="n">
        <v>2</v>
      </c>
      <c r="F4452">
        <f>HYPERLINK("https://www.reddit.com/r/GERD/comments/ejm73v/was_this_gerd_related/")</f>
        <v/>
      </c>
      <c r="G4452" t="inlineStr">
        <is>
          <t>2020-01-03 13:37:22</t>
        </is>
      </c>
      <c r="H4452" t="inlineStr"/>
    </row>
    <row r="4453">
      <c r="A4453" t="inlineStr">
        <is>
          <t>ejne5x</t>
        </is>
      </c>
      <c r="B4453" t="inlineStr">
        <is>
          <t>Anxiety, PPIs, and GERD/LPR: a word of caution about the nocebo effect</t>
        </is>
      </c>
      <c r="C4453" t="inlineStr">
        <is>
          <t>First off, this sub and similar online forums can be important places to share information about this condition, and can offer helpful ideas for treatment and a sense of community for those suffering from what can be a really debilitating condition in isolation. That said, I want to write about my experience for people who might find themselves in similar conditions.
**Backstory**: I am pretty confident by GERD/LPR was caused by anxiety. It’s been years since I’ve had physical manifestations of anxiety, but they cropped up again this summer during a stressful period during which I also was not looking after my body properly. This was the first time I’ve ever experienced acid reflux or GI issues. I’m a male in my late 20s with no other major health problems and work out regularly. No allergies, negative SIBO, negative H-pylori, no hiatal hernia after endoscopy.
**Symptoms**: at first, loss of appetite, feeling of something caught in chest, excessive burping. No heartburn itself. As the most intense stomach issues subsided, LPR took their place (hoarseness, sore throat, globus, burning tongue, mouth sores, nasal congestion).  also developed related IBS symptoms (alternating D and C, abdominal pain).
**Treatments**: I tried nearly everything. Supplements (D-limonene, vitamin D3, probiotics, DGL, digestive enzymes), alginates (Gaviscon Advance, Gaviscon chewables, and Reflux Gourmet), special diets (low FODMAPs, Norm Robillard’s FastTract diet), Manuka honey drops, ACV, alkaline water, baking soda. I started using an iQoro and slept with the Reflux  (Reza) Band. I first saw an NP, who prescribed ranitidine, which gave temporary relief and then stopped working. I then got a referral to a GI, who prescribed esomeprazole, which gave me abdominal pains after a few days and stopped it. I tried Prevacid, which seemed to have the same effect and so I stopped.
Nothing was working and my life became a living hell. I was barely eating, not exercising, and spending hours researching this condition and reading mostly horror stories on forums and Facebook groups. My anxiety was almost at all-times high and I was considering going on medication. I started seeing a therapist, which provided some psychological relief. My therapist also helped me think through the situation rationally and plan a way of dealing with it, and, if worst came to worst, learning to live with it.
**What worked**: After a few months of suffering, I scheduled an endoscopy. It was an extremely easy procedure. The endoscopy showed gastritis and distal erosive esophagitis. The doctor prescribed pantoprazole (20mg/daily), which I’ve been taking now for 6 weeks. I've had no side effects, and my symptoms – including recalcitrant LPR symptoms like the sore throat and dysphonia – have subsided. I’m around 85% healed now: no stomach issues, just a few lingering throat/airway issues that are slowly resolving (saw an ENT today and he said my throat looks fine!). I'm now eating pretty much anything I want.
I had been scared off PPIs by this subreddit and by others, which insisted that they were harmful and particularly unhelpful  for LPR. First off, there are as many studies that show the effectiveness of PPIs in the treatment of LPR as there are that show their ineffectiveness (happy to send citations if anyone's interested). I'm now convinced that the initial abdominal pain I experienced as a side effect when I first tried a PPI was the nocebo effect from reading horror stories online. **Taking a PPI and avoiding online forums like the plague** along with other to anxiety-reducing behaviors (returning to the gym, seeing a therapist, deep breathing) **have been the only things that have helped me get to this level of healing.** 
I want to stress that there are many causes of this condition, and for some a PPI will simply not help. But those of us with anxiety – and it seems that are lots of us in this forum – are particularly susceptible to thought patterns and behaviors that can be harmful to our physical and psychological health, like incessantly checking forums or obsessing about symptoms (at one point I was keeping daily track of food and symptoms). Get the anxiety under control, and you can do this. I wasted a shit ton of money on treatments, products, and doctor's visits when the most important thing I could have done was basically free.
**TLDR:** researching GERD/LPR can induce the nocebo effect, PPIs along with anxiety-reducing measures can be helpful for the resolution of GERD/LPR.</t>
        </is>
      </c>
      <c r="D4453" t="n">
        <v>15</v>
      </c>
      <c r="E4453" t="n">
        <v>17</v>
      </c>
      <c r="F4453">
        <f>HYPERLINK("https://www.reddit.com/r/GERD/comments/ejne5x/anxiety_ppis_and_gerdlpr_a_word_of_caution_about/")</f>
        <v/>
      </c>
      <c r="G4453" t="inlineStr">
        <is>
          <t>2020-01-03 15:02:59</t>
        </is>
      </c>
      <c r="H4453" t="inlineStr"/>
    </row>
    <row r="4454">
      <c r="A4454" t="inlineStr">
        <is>
          <t>ejnsff</t>
        </is>
      </c>
      <c r="B4454" t="inlineStr">
        <is>
          <t>Nervous about a Nissen</t>
        </is>
      </c>
      <c r="C4454" t="inlineStr">
        <is>
          <t>I have a significant history of GERD- literally since birth. I have been on PPIs since I was ~7. I also have a connective tissue disorder that causes inflammation throughout my GI system, leading to upper stomach pain, and frequent diarrhea. I do not have a hernia. My esophagus is (thank goodness) in pretty good shape.
In 2008, after a ph-probe showed I was refluxing more than 200/day, I had a Nissen. The recovery was pretty easy and I had next to no reflux for about 8 years. At that point I had some bad problems with nausea and vomiting, and at some point my Nissen slipped. 
I’ve been just dealing with a combo of omeprozole and Pepcid. I have pretty constant reflux, and recently have been dealing with a few times where vomit slipped out while I was talking or I inhaled it by accident. It doesn’t tend to be painful/acidic because of the ppi, but it is near-constant. I am vomiting ~1/week, and have what seems to be a bug (extreme vomiting and diarrhea) or something every 4 months or so. I also have near-constant mild nausea. 
I saw my GI today (good guy) and when I explained all the above he strongly suggested I talk to a surgeon about re-doing the nissen. It’s my new normal, but my doctor says that my symptoms are not at an acceptable level and something needs to change. Writing this all out makes me see that. 
I don’t know exactly what I’m looking for, is anyone like me? Anyone have luck with a second nissen?</t>
        </is>
      </c>
      <c r="D4454" t="n">
        <v>4</v>
      </c>
      <c r="E4454" t="n">
        <v>11</v>
      </c>
      <c r="F4454">
        <f>HYPERLINK("https://www.reddit.com/r/GERD/comments/ejnsff/nervous_about_a_nissen/")</f>
        <v/>
      </c>
      <c r="G4454" t="inlineStr">
        <is>
          <t>2020-01-03 15:32:09</t>
        </is>
      </c>
      <c r="H4454" t="inlineStr"/>
    </row>
    <row r="4455">
      <c r="A4455" t="inlineStr">
        <is>
          <t>ejo726</t>
        </is>
      </c>
      <c r="B4455" t="inlineStr">
        <is>
          <t>Possible GERD?</t>
        </is>
      </c>
      <c r="C4455" t="inlineStr">
        <is>
          <t>Before I start, I just wanna say I have seen a doctor for this and I will be going back! I’m getting married in a few weeks so just waiting until after. 
So basically, starting nov 2018 I started throwing up clear acid every morning. Sometimes it would have yellow butter stomach acid as well but not always. After that, I started throwing up almost every time I ate. I chalked it up to anxiety over starting a new job and being maid of honor in a wedding. It kept up until probably March of 2019. 
I saw my dr and got put on anxiety meds. It didn’t stop the vomiting. I went back to the dr and we tried omeprazole, I believe. That was still leaving me nauseous every morning but without vomiting. I pretty much gave up on it and it continued on and off ever since.
Now, since about thanksgiving time, it’s back. I thought it was anxiety again about the holidays and my upcoming wedding. Then my stepmom sent me a link with info about GERD and it kinda sounded like what I deal with. Ive dealt with heartburn for a long time as well. Thoughts?</t>
        </is>
      </c>
      <c r="D4455" t="n">
        <v>1</v>
      </c>
      <c r="E4455" t="n">
        <v>6</v>
      </c>
      <c r="F4455">
        <f>HYPERLINK("https://www.reddit.com/r/GERD/comments/ejo726/possible_gerd/")</f>
        <v/>
      </c>
      <c r="G4455" t="inlineStr">
        <is>
          <t>2020-01-03 16:00:59</t>
        </is>
      </c>
      <c r="H4455" t="inlineStr"/>
    </row>
    <row r="4456">
      <c r="A4456" t="inlineStr">
        <is>
          <t>ejp367</t>
        </is>
      </c>
      <c r="B4456" t="inlineStr">
        <is>
          <t>Sinus Infection and GERD Connection</t>
        </is>
      </c>
      <c r="C4456" t="inlineStr">
        <is>
          <t>Hey All,
I have had GERD for about 7 years, generally managed  well through diet, liquid intake monitoring, eating and not going to bed or sleep right after etc.  Fast forward and I just finished having a really bad sinus infection and immediately (within hours) GERD Flared up to the point of not being able to be managed through my methods (going in to see GP and get script) .  I had thought I was still recovering from sinus infection with a post nasal drip, but realized that the feeling and then need to cough wasn't coming from the top to the bottom but rather from the bottom.
1.) Has anyone else experienced an increase/flare up in symptoms after a sinus infection?
2.) I am new to the OTCs and until I can get in to see my GP, I am seeking recommendations on what I should pick up at the store?
&amp;amp;#x200B;
Thanks!</t>
        </is>
      </c>
      <c r="D4456" t="n">
        <v>1</v>
      </c>
      <c r="E4456" t="n">
        <v>3</v>
      </c>
      <c r="F4456">
        <f>HYPERLINK("https://www.reddit.com/r/GERD/comments/ejp367/sinus_infection_and_gerd_connection/")</f>
        <v/>
      </c>
      <c r="G4456" t="inlineStr">
        <is>
          <t>2020-01-03 17:07:06</t>
        </is>
      </c>
      <c r="H4456" t="inlineStr"/>
    </row>
    <row r="4457">
      <c r="A4457" t="inlineStr">
        <is>
          <t>ejpb1o</t>
        </is>
      </c>
      <c r="B4457" t="inlineStr">
        <is>
          <t>Does anybody experience retching or dry heaving every time after eating?</t>
        </is>
      </c>
      <c r="C4457" t="inlineStr">
        <is>
          <t>Is it acid reflux? Before retching, I'd feel nauseated and get a sour taste in my mouth ( the same taste before you usually throw up).
But I dont actually throw up. It's quite a nuisance. My doctor just chucks it off as anxiety. What could be wrong with me?</t>
        </is>
      </c>
      <c r="D4457" t="n">
        <v>5</v>
      </c>
      <c r="E4457" t="n">
        <v>4</v>
      </c>
      <c r="F4457">
        <f>HYPERLINK("https://www.reddit.com/r/GERD/comments/ejpb1o/does_anybody_experience_retching_or_dry_heaving/")</f>
        <v/>
      </c>
      <c r="G4457" t="inlineStr">
        <is>
          <t>2020-01-03 17:23:38</t>
        </is>
      </c>
      <c r="H4457" t="inlineStr"/>
    </row>
    <row r="4458">
      <c r="A4458" t="inlineStr">
        <is>
          <t>ejr4i8</t>
        </is>
      </c>
      <c r="B4458" t="inlineStr">
        <is>
          <t>What exercise do you recommend?</t>
        </is>
      </c>
      <c r="C4458" t="inlineStr">
        <is>
          <t>I have gained 20 lbs since I started having reflux issues three years ago. Mainly because ice cream is one of the only foods that doesn't leave me feeling terrible. 
I'm trying to get the weight off but exercise is hard. Before all of this I was lifting weights six days a week. I was biking and hiking a couple times a week and I was always active. Now it seems that taking my dog for a leisurely walk aggravates my reflux. 
What do you guys do for exercise that's easy on the tummy?</t>
        </is>
      </c>
      <c r="D4458" t="n">
        <v>2</v>
      </c>
      <c r="E4458" t="n">
        <v>10</v>
      </c>
      <c r="F4458">
        <f>HYPERLINK("https://www.reddit.com/r/GERD/comments/ejr4i8/what_exercise_do_you_recommend/")</f>
        <v/>
      </c>
      <c r="G4458" t="inlineStr">
        <is>
          <t>2020-01-03 19:44:32</t>
        </is>
      </c>
      <c r="H4458" t="inlineStr"/>
    </row>
    <row r="4459">
      <c r="A4459" t="inlineStr">
        <is>
          <t>ejrnzy</t>
        </is>
      </c>
      <c r="B4459" t="inlineStr">
        <is>
          <t>Collagen supplement making my heartburn worse.. anyone else have this experience</t>
        </is>
      </c>
      <c r="C4459" t="inlineStr">
        <is>
          <t>I started taking the Vital Proteins collagen supplement and I have had heartburn for 2 days. My heartburn isn’t as bad as a lot of people on here but I do have functional dyspepsia and I get occasionally. I eat a diet free of gluten, dairy, mostly plant-based ( I eat meat once a day, small portion). The only thing that’s changed for me these past couple of days is this new supplement. Has anyone experienced anything like this? 
I’ve tried baking soda, gaviscon, and ACV and it helps for a short time. I didn’t take the supplement  today and it was slightly better. Is this something that goes away or should I just stop? 
Helpppp</t>
        </is>
      </c>
      <c r="D4459" t="n">
        <v>1</v>
      </c>
      <c r="E4459" t="n">
        <v>6</v>
      </c>
      <c r="F4459">
        <f>HYPERLINK("https://www.reddit.com/r/GERD/comments/ejrnzy/collagen_supplement_making_my_heartburn_worse/")</f>
        <v/>
      </c>
      <c r="G4459" t="inlineStr">
        <is>
          <t>2020-01-03 20:28:22</t>
        </is>
      </c>
      <c r="H4459" t="inlineStr"/>
    </row>
    <row r="4460">
      <c r="A4460" t="inlineStr">
        <is>
          <t>ejs2em</t>
        </is>
      </c>
      <c r="B4460" t="inlineStr">
        <is>
          <t>Waking up choking and coughing?</t>
        </is>
      </c>
      <c r="C4460" t="inlineStr">
        <is>
          <t>I have acid reflux and take zantac 75mg for it. Last night I stupidly had a pizza which makes the acid reflux worse. Well in the middle of the night I woke up choking and coughing with acid in my throat. This lasted a couple of seconds and I was fine. 
This has happened before but very infrequently. I'm very scared this is something that could kill me, like choke to death. Is that unreasonable? Has this happened to anyone else?
I am out of country at the moment and will see my doctor when I get back stateside.</t>
        </is>
      </c>
      <c r="D4460" t="n">
        <v>3</v>
      </c>
      <c r="E4460" t="n">
        <v>15</v>
      </c>
      <c r="F4460">
        <f>HYPERLINK("https://www.reddit.com/r/GERD/comments/ejs2em/waking_up_choking_and_coughing/")</f>
        <v/>
      </c>
      <c r="G4460" t="inlineStr">
        <is>
          <t>2020-01-03 21:01:56</t>
        </is>
      </c>
      <c r="H4460" t="inlineStr"/>
    </row>
    <row r="4461">
      <c r="A4461" t="inlineStr">
        <is>
          <t>ejupd8</t>
        </is>
      </c>
      <c r="B4461" t="inlineStr">
        <is>
          <t>swollen stomach for 1 week</t>
        </is>
      </c>
      <c r="C4461" t="inlineStr">
        <is>
          <t>Hello, im 23 years old guy, i feel  pain and swollen stomach for 1 week now  ,the pain is located at the begining of the stomach
i also got a lot of burping
i was diagnosed with erosive esophagitis 2 years ago 
i started ppi  2 days ago 
im afraid of cancer  , is it possible to get cancer at my age ?  i dont want to do an endoscopy, the first time i  did it i was afraid of barret esophagus , luckily it was not present 
i prefer to not know if i have it</t>
        </is>
      </c>
      <c r="D4461" t="n">
        <v>2</v>
      </c>
      <c r="E4461" t="n">
        <v>0</v>
      </c>
      <c r="F4461">
        <f>HYPERLINK("https://www.reddit.com/r/GERD/comments/ejupd8/swollen_stomach_for_1_week/")</f>
        <v/>
      </c>
      <c r="G4461" t="inlineStr">
        <is>
          <t>2020-01-04 01:41:38</t>
        </is>
      </c>
      <c r="H4461" t="inlineStr"/>
    </row>
    <row r="4462">
      <c r="A4462" t="inlineStr">
        <is>
          <t>ejw6h9</t>
        </is>
      </c>
      <c r="B4462" t="inlineStr">
        <is>
          <t>Paronoid and health Anxiety after watching YouTube videos related to acid reflux</t>
        </is>
      </c>
      <c r="C4462" t="inlineStr">
        <is>
          <t>Over Christmas everything was well for me but after watching a few acid reflex videos and Ensouphus related cancer videos my anxiety and paronoia went into overdrive.
December 25th and 26th i watched theses 3 videos December 27th i got up known the Systoms and lots of online knowledge about the illness i had one unexplained hiccup and i started to panic, i started wonder if i had swallowing problems, i started trying to swallow different foods to test my throat, i was so paronoid i went to the doctor the next day, he gived me acid relix medication but my anxiety still won't go away so I'm scheduling a appointment with the gastrointestogist next week to get my Ensouphus checked to help lessen my anxiety.
This just goes to show you anxiety and panic and health is never a good mix. I was absolutely fine leading up to Christmas but after watching those youtube videos I've been paronoid of every lil thing that i feel in my throat my chest and while eating food. So paronoid I'm going to the doctor to get my Ensohogus checked next week.</t>
        </is>
      </c>
      <c r="D4462" t="n">
        <v>5</v>
      </c>
      <c r="E4462" t="n">
        <v>6</v>
      </c>
      <c r="F4462">
        <f>HYPERLINK("https://www.reddit.com/r/GERD/comments/ejw6h9/paronoid_and_health_anxiety_after_watching/")</f>
        <v/>
      </c>
      <c r="G4462" t="inlineStr">
        <is>
          <t>2020-01-04 04:38:38</t>
        </is>
      </c>
      <c r="H4462" t="inlineStr"/>
    </row>
    <row r="4463">
      <c r="A4463" t="inlineStr">
        <is>
          <t>ejx23i</t>
        </is>
      </c>
      <c r="B4463" t="inlineStr">
        <is>
          <t>Chest pain from reflux?</t>
        </is>
      </c>
      <c r="C4463" t="inlineStr">
        <is>
          <t>Does anyone get pain in upper chest on left side.  Almost link a quick pinch due to reflux or esophagus issues?  Doctor keeps telling me it’s not my heart but been getting them a lot lately. Also can’t stop feeling like I have to burp. Could too much burping cause this?  Feels like it’s in one spot left of sternum. Almost bipolar height. Just want some opinions ?</t>
        </is>
      </c>
      <c r="D4463" t="n">
        <v>10</v>
      </c>
      <c r="E4463" t="n">
        <v>51</v>
      </c>
      <c r="F4463">
        <f>HYPERLINK("https://www.reddit.com/r/GERD/comments/ejx23i/chest_pain_from_reflux/")</f>
        <v/>
      </c>
      <c r="G4463" t="inlineStr">
        <is>
          <t>2020-01-04 06:11:17</t>
        </is>
      </c>
      <c r="H4463" t="inlineStr"/>
    </row>
    <row r="4464">
      <c r="A4464" t="inlineStr">
        <is>
          <t>ejxfhr</t>
        </is>
      </c>
      <c r="B4464" t="inlineStr">
        <is>
          <t>Pain and tightness left and right side of stomach?</t>
        </is>
      </c>
      <c r="C4464" t="inlineStr">
        <is>
          <t>Have had it since endoscopy convinced it was liver or bile duct issue but CT scan showed OK. But does anyone have that kind of pain after eating? It’s not in stomach but in liver area and the opposite side, both under rib cage. Doctor is ignoring it but I can’t.</t>
        </is>
      </c>
      <c r="D4464" t="n">
        <v>2</v>
      </c>
      <c r="E4464" t="n">
        <v>6</v>
      </c>
      <c r="F4464">
        <f>HYPERLINK("https://www.reddit.com/r/GERD/comments/ejxfhr/pain_and_tightness_left_and_right_side_of_stomach/")</f>
        <v/>
      </c>
      <c r="G4464" t="inlineStr">
        <is>
          <t>2020-01-04 06:45:27</t>
        </is>
      </c>
      <c r="H4464" t="inlineStr"/>
    </row>
    <row r="4465">
      <c r="A4465" t="inlineStr">
        <is>
          <t>ejxwt7</t>
        </is>
      </c>
      <c r="B4465" t="inlineStr">
        <is>
          <t>Bloody nose from reflux?</t>
        </is>
      </c>
      <c r="C4465" t="inlineStr">
        <is>
          <t>Sorry if this is TMI or just a silly question all together, but I’ve been waking up with a stuffy nose/sorta bloody nose for the past month and a half or so. My reflux has been pretty bad, as well. Was wondering if it’s related? Anyone experience this before? Could be a totally non-related issue.</t>
        </is>
      </c>
      <c r="D4465" t="n">
        <v>3</v>
      </c>
      <c r="E4465" t="n">
        <v>9</v>
      </c>
      <c r="F4465">
        <f>HYPERLINK("https://www.reddit.com/r/GERD/comments/ejxwt7/bloody_nose_from_reflux/")</f>
        <v/>
      </c>
      <c r="G4465" t="inlineStr">
        <is>
          <t>2020-01-04 07:26:34</t>
        </is>
      </c>
      <c r="H4465" t="inlineStr"/>
    </row>
    <row r="4466">
      <c r="A4466" t="inlineStr">
        <is>
          <t>ejxza5</t>
        </is>
      </c>
      <c r="B4466" t="inlineStr">
        <is>
          <t>Just had an endoscopy... Need help with results</t>
        </is>
      </c>
      <c r="C4466" t="inlineStr">
        <is>
          <t>Hello there,
Short history, couple of years with what I thought was LPR and reflux.  Throat tightness, hoarseness, post nasal drip, occasional reflux into mouth and generally burpy. Previous nasal scope to larynx by ENT showed no inflammation or anything. Got booked in for endoscopy.  I'd tried omeprazole and gaviscon advance UK version on advise from my doctor but it never helped much. 
Had an endoscopy today under conscious sedation.  Report was as follows... 
'report - the scope was retroflexed in the stomach.  The procedure was completed successfully to D2. Apparent mucosal junction at 39cm from the incisors.  The whole upper gastro intestinal tract was normal. 
Advice/comments - lower esophageal spchinter appeared lax with proximal 'z' line migration.  No evidence of reflux on endoscopy. '
So, to me it clearly says there are no issues with reflux or at least damaging reflux?  No biopsies were taken because it was' normal'.  My main question is about the z line comment.  Is z line migration not typical of barrets or not in the context it is explained in the report and surely he'd have then taken biopsies?  I was out of it when they told me my results but I will follow up.  I just wondered if folks here had any insight?
Unsure what the next step now is.  No idea what's causing my symptoms.</t>
        </is>
      </c>
      <c r="D4466" t="n">
        <v>3</v>
      </c>
      <c r="E4466" t="n">
        <v>7</v>
      </c>
      <c r="F4466">
        <f>HYPERLINK("https://www.reddit.com/r/GERD/comments/ejxza5/just_had_an_endoscopy_need_help_with_results/")</f>
        <v/>
      </c>
      <c r="G4466" t="inlineStr">
        <is>
          <t>2020-01-04 07:32:25</t>
        </is>
      </c>
      <c r="H4466" t="inlineStr"/>
    </row>
    <row r="4467">
      <c r="A4467" t="inlineStr">
        <is>
          <t>ejyq9h</t>
        </is>
      </c>
      <c r="B4467" t="inlineStr">
        <is>
          <t>Acid Watchers Diet / PPIs</t>
        </is>
      </c>
      <c r="C4467" t="inlineStr">
        <is>
          <t>Im planing on starting the Acid Watcher Diet in the coming week so im wondering if i should already slowly reduce my PPIs (i take 40 mg a day) to really know if the Diet has an effect on me or should i wait until after the first 28 days until i reduce my PPI intake?</t>
        </is>
      </c>
      <c r="D4467" t="n">
        <v>3</v>
      </c>
      <c r="E4467" t="n">
        <v>4</v>
      </c>
      <c r="F4467">
        <f>HYPERLINK("https://www.reddit.com/r/GERD/comments/ejyq9h/acid_watchers_diet_ppis/")</f>
        <v/>
      </c>
      <c r="G4467" t="inlineStr">
        <is>
          <t>2020-01-04 08:32:15</t>
        </is>
      </c>
      <c r="H4467" t="inlineStr"/>
    </row>
    <row r="4468">
      <c r="A4468" t="inlineStr">
        <is>
          <t>ejyt66</t>
        </is>
      </c>
      <c r="B4468" t="inlineStr">
        <is>
          <t>Small hiatal hernia is root cause of pain?</t>
        </is>
      </c>
      <c r="C4468" t="inlineStr">
        <is>
          <t>Would a small hiatal hernia cause me pain every time I eat? On 40mg Nexium eating good only foul is a single cup of coffee with food each morning. Doctor called it small follow up in 2 weeks but I ache right where this thing would be, just below bones dead center of chest. Small is 3cm right? So tiny to be in so much pain every fricking day.  Guess the coffee is out I need to see why I’m dying.</t>
        </is>
      </c>
      <c r="D4468" t="n">
        <v>2</v>
      </c>
      <c r="E4468" t="n">
        <v>8</v>
      </c>
      <c r="F4468">
        <f>HYPERLINK("https://www.reddit.com/r/GERD/comments/ejyt66/small_hiatal_hernia_is_root_cause_of_pain/")</f>
        <v/>
      </c>
      <c r="G4468" t="inlineStr">
        <is>
          <t>2020-01-04 08:38:29</t>
        </is>
      </c>
      <c r="H4468" t="inlineStr"/>
    </row>
    <row r="4469">
      <c r="A4469" t="inlineStr">
        <is>
          <t>ejywb3</t>
        </is>
      </c>
      <c r="B4469" t="inlineStr">
        <is>
          <t>How long before an other endoscopy</t>
        </is>
      </c>
      <c r="C4469" t="inlineStr">
        <is>
          <t>This year I had an esophagitis and I couldn’t eat now I’m better because medication but I have still acid the night but not so much because I sleep inclined now I can’t eat normally but I’m always afraid to have an barret esophagus.I know people with it should do an endoscopy every 2 years, how long people without barret esophagus but with chronic reflux should do an other endoscopy ?  Sorry for my bad English. Also I have a little hernia but my doctor say it’s useless to operate</t>
        </is>
      </c>
      <c r="D4469" t="n">
        <v>5</v>
      </c>
      <c r="E4469" t="n">
        <v>11</v>
      </c>
      <c r="F4469">
        <f>HYPERLINK("https://www.reddit.com/r/GERD/comments/ejywb3/how_long_before_an_other_endoscopy/")</f>
        <v/>
      </c>
      <c r="G4469" t="inlineStr">
        <is>
          <t>2020-01-04 08:45:03</t>
        </is>
      </c>
      <c r="H4469" t="inlineStr"/>
    </row>
    <row r="4470">
      <c r="A4470" t="inlineStr">
        <is>
          <t>ejyyxt</t>
        </is>
      </c>
      <c r="B4470" t="inlineStr">
        <is>
          <t>Persistent LPR</t>
        </is>
      </c>
      <c r="C4470" t="inlineStr">
        <is>
          <t>I have suffered from really bad LPR for over three years, which started after having too many antibiotics and steroids in a local hospital when I was admitted to the casualty department with a bad case of Strep throat.
After months of not being able to eat and struggling with oesophageal candida as a result of the antibiotics and PPI's I was taking, I had the Nissen Fundlopication surgery, I thought for the first three weeks post surgery that the symptoms were milder and that the surgery had helped, by week 4, I was just as bad, the surgery swelling had subsided and my symptoms were just as bad as they had ever been, I had clogged painful ears, severe rhinitis and sinus infection and a throat that felt like I was swallowing razor blades even when I attempted to drink water. Fast forward a few months and I asked the surgeon to please take down the Fundlopication because I felt so ill, I had numerous sinus infections and even had pneumonia at one point. The takedown was sceduled for November 2019, when the surgeon began the surgery he found the original surgery had come apart and that I had a large hiatus hernia, he fixed the hernia and modified the ''wrap'' to an anterior ''wrap'', why I don't know, I really didn't want any kind of fundlopication at all after the horrendous experience I had with the first one, apart from continious  throat/ears and sinus complications I was suffering from awful bloating and stomach pains, I couldn't burp etc. Having a nissen fundlopication is truly life altering, but I could have lived with that if it had helped the LPR, but unfortunately it did not.
What is really upsetting me now is the fact that  I'm again a few weeks post op and the horrible LPR is as bad as ever, having gone through surgery two times for the condition I really feel there is no hope for me, the second surgery was a lot harder to get over than the first one, I feel I've basically butchered myself for nothing and have no where to turn, at this point I'm quite desperate.......</t>
        </is>
      </c>
      <c r="D4470" t="n">
        <v>10</v>
      </c>
      <c r="E4470" t="n">
        <v>23</v>
      </c>
      <c r="F4470">
        <f>HYPERLINK("https://www.reddit.com/r/GERD/comments/ejyyxt/persistent_lpr/")</f>
        <v/>
      </c>
      <c r="G4470" t="inlineStr">
        <is>
          <t>2020-01-04 08:50:31</t>
        </is>
      </c>
      <c r="H4470" t="inlineStr"/>
    </row>
    <row r="4471">
      <c r="A4471" t="inlineStr">
        <is>
          <t>ejzcs4</t>
        </is>
      </c>
      <c r="B4471" t="inlineStr">
        <is>
          <t>Anxiety or pain pills for LPR ?</t>
        </is>
      </c>
      <c r="C4471" t="inlineStr">
        <is>
          <t>I have ocd since childhood, 3 months ago , my LPR started as a normal cold and use of 1 antibiotic, my endoscopy showed no damage to esophagus and no hiatus hernia , but my phmetry came back highly abnormal and I burp a lot too, prior to this event I was living in extreme anxiety , now im in extreme anxiety too due to this illnes, the only thing that bothers me is the post nasal drip and sore throat, I don't have any other LPR/GERD symptom beside that , the only thing I want is to end the throat pain, I visited a lot of doctors and they all said that nissen is not factible for me  because I dont have damage in the esophagus and hiatus hernia, so they said the pain will go away in a few months, the question is, since all benzodiazepines and opioids are related to gerd, what can I take in the mean time ? I can't stand the pain in the throat anymore.</t>
        </is>
      </c>
      <c r="D4471" t="n">
        <v>2</v>
      </c>
      <c r="E4471" t="n">
        <v>7</v>
      </c>
      <c r="F4471">
        <f>HYPERLINK("https://www.reddit.com/r/GERD/comments/ejzcs4/anxiety_or_pain_pills_for_lpr/")</f>
        <v/>
      </c>
      <c r="G4471" t="inlineStr">
        <is>
          <t>2020-01-04 09:19:03</t>
        </is>
      </c>
      <c r="H4471" t="inlineStr"/>
    </row>
    <row r="4472">
      <c r="A4472" t="inlineStr">
        <is>
          <t>ek3gi7</t>
        </is>
      </c>
      <c r="B4472" t="inlineStr">
        <is>
          <t>Cabbage Juice and Histamine Blockers</t>
        </is>
      </c>
      <c r="C4472" t="inlineStr">
        <is>
          <t>I havent officially been diagnosed with GERD  (will see a gastroenterologist next week). 
I’ve been experiencing acid reflux, feeling full really quick when eating, phlegm in throat after eating, and allergic reactions to foods i have always been able to eat.
When my esophagus feels tight after just a bit of food, I have difficulty breathing deeply and then scary episodes of defecation syncope and panic attacks.
My primary care doctor prescribed me Famoditine to take 2x per day for a month. Im on my third day.
I am thinking of juicing cabbage to see if it can also help with these symptoms. 
Has anyone tried juicing cabbage while on medications that reduce stomach acid? Are there any interactions?</t>
        </is>
      </c>
      <c r="D4472" t="n">
        <v>2</v>
      </c>
      <c r="E4472" t="n">
        <v>7</v>
      </c>
      <c r="F4472">
        <f>HYPERLINK("https://www.reddit.com/r/GERD/comments/ek3gi7/cabbage_juice_and_histamine_blockers/")</f>
        <v/>
      </c>
      <c r="G4472" t="inlineStr">
        <is>
          <t>2020-01-04 14:17:07</t>
        </is>
      </c>
      <c r="H4472" t="inlineStr"/>
    </row>
    <row r="4473">
      <c r="A4473" t="inlineStr">
        <is>
          <t>ek5o2r</t>
        </is>
      </c>
      <c r="B4473" t="inlineStr">
        <is>
          <t>Just need to vent: I miss fast food.</t>
        </is>
      </c>
      <c r="C4473" t="inlineStr">
        <is>
          <t>Today, I was super busy and hadn't eaten since breakfast. I was hungry, pangs level hungry, and stupidly thought it wouldn't be "too bad", I could cheat every once in awhile right? Only it's not cheating a diet, it's cheating my body, and I feel like shit now. It just doesn't seem fair.  I couldn't even finish it.</t>
        </is>
      </c>
      <c r="D4473" t="n">
        <v>14</v>
      </c>
      <c r="E4473" t="n">
        <v>16</v>
      </c>
      <c r="F4473">
        <f>HYPERLINK("https://www.reddit.com/r/GERD/comments/ek5o2r/just_need_to_vent_i_miss_fast_food/")</f>
        <v/>
      </c>
      <c r="G4473" t="inlineStr">
        <is>
          <t>2020-01-04 17:08:53</t>
        </is>
      </c>
      <c r="H4473" t="inlineStr"/>
    </row>
    <row r="4474">
      <c r="A4474" t="inlineStr">
        <is>
          <t>ek6177</t>
        </is>
      </c>
      <c r="B4474" t="inlineStr">
        <is>
          <t>Trying to wean off Pantrepezole</t>
        </is>
      </c>
      <c r="C4474" t="inlineStr">
        <is>
          <t>Like the title says ,I would like to get off Pantrepezole. I used to take 40mg per day, but now only take it in the morning, which is 20mg. I'd like to at least switch to H2 blockers this year. I am curious if I can alternate between Zantac and Pantrepezole, as I lower the pantrepezole dose to eventually nothing. My thought is to start cutting my 20mg pantrepezole pills in half, and then 1 zantac in the evening, etc..</t>
        </is>
      </c>
      <c r="D4474" t="n">
        <v>1</v>
      </c>
      <c r="E4474" t="n">
        <v>0</v>
      </c>
      <c r="F4474">
        <f>HYPERLINK("https://www.reddit.com/r/GERD/comments/ek6177/trying_to_wean_off_pantrepezole/")</f>
        <v/>
      </c>
      <c r="G4474" t="inlineStr">
        <is>
          <t>2020-01-04 17:38:43</t>
        </is>
      </c>
      <c r="H4474" t="inlineStr"/>
    </row>
    <row r="4475">
      <c r="A4475" t="inlineStr">
        <is>
          <t>ek65oe</t>
        </is>
      </c>
      <c r="B4475" t="inlineStr">
        <is>
          <t>Need advice. Diagnosed with GERD but not sure it is correct</t>
        </is>
      </c>
      <c r="C4475" t="inlineStr">
        <is>
          <t>Obligatory sorry for the formatting,on mobile etc. 
TL;DR at the bottom
I (33M) went for a doctors checkup recently with symptoms being constantly stuffed nose and sleep apnea. The first otolaryngologist I saw told me I had chronic sinusitis and acute chronic tonsillitis and recommended an immediate surgery. I never had any issues with my tonsils, no frequent sore throats, nothing. Having researched the symptoms and studied my CT scan I called bullshit on this diagnosis and decided to see another specialist to get a second opinion. 
The second otolaryngologist confirmed my suspicions that there is nothing acute going on, but said that my sinus inflammation and mild tonsillitis are caused by an acid reflux which happens at night due to GERD. I was prescribed 20mg PPI once daily, some antacids before bed, elevated bed, strict non acid non fat diet, no smoking/drinking.. you know the drill. Plus some neti pot washes for the sinuses. Went to a GI too, who pretty much confirmed this. 
I actually stuck to the diet, got myself a wedge pillow, took the meds and embraced the routine in general. That was a month ago. My sinuses did clear up, to be fair, but then I found this sub and started reading peoples stories.. 
I have never had anything as severe as people describe here. No chest pains, no vomiting, no spontaneous reflux. Occasionally (5-6 times in the past year) when I ate something ultra spicy or had some shitty acidic orange juice first thing in the morning or drank sparkling water during takeoff on planes I’d get a bit of reflux, but that’s it! I ate like a pig, drank lots of coffee, lots of alcohol and I can’t say I suffered anymore than an average person. In fact, I seemed to have tolerated spicy food and alcohol better than most people. 
Now it is very different though. I had a bit of a relapse on a friend’s Christmas party - got a bit drunk, ate some fatty spicy food, did not take PPIs or antacids. For the next two days I’ve been throwing up bits of undigested food and had one of the worst hangovers in my life. Plus I started to get sharp chest pains. Whatever, might have been food poisoning. 
I went back to my strict diet of plain porridge and unseasoned steamed veggies. Today my dad cooked his signature lamb stew. I warned him that I won’t be able to eat any, still he tried his best to trim all the fat and use very little seasoning. I tried literally just one tablespoon followed by some rice and a gulp of gaviscon, but felt sick almost immediately.. 
It is horrible. Food never made me feel so sick. I am terrified and confused. 
Does it sound like GERD? Is it a coincidence that such  symptoms started to appear after my diagnosis? Did I screw up my digestion with PPIs? I’m going to see my GI next week, but would be very grateful for any advice. 
TL;DR Generally healthy guy; diagnosed with GERD; started getting symptoms after diet and medication. What do?</t>
        </is>
      </c>
      <c r="D4475" t="n">
        <v>2</v>
      </c>
      <c r="E4475" t="n">
        <v>5</v>
      </c>
      <c r="F4475">
        <f>HYPERLINK("https://www.reddit.com/r/GERD/comments/ek65oe/need_advice_diagnosed_with_gerd_but_not_sure_it/")</f>
        <v/>
      </c>
      <c r="G4475" t="inlineStr">
        <is>
          <t>2020-01-04 17:48:44</t>
        </is>
      </c>
      <c r="H4475" t="inlineStr"/>
    </row>
    <row r="4476">
      <c r="A4476" t="inlineStr">
        <is>
          <t>ek6lac</t>
        </is>
      </c>
      <c r="B4476" t="inlineStr">
        <is>
          <t>chest/shoulder/arm pain--not heart, maybe GERD?</t>
        </is>
      </c>
      <c r="C4476" t="inlineStr">
        <is>
          <t>The last few days I have been having pains in my chest/back (Between my shoulder blades), feeling of tightness in my chest/throat, and some pain radiating into my left shoulder and even left upper arm. I finally scared myself into going to the ER last night because i was worried it was something serious. Long story short, they ran all kinds of tests (EKG, CT scan, Chest X-ray, lots of blood testing) and concluded that everything looked normal, it's not my heart or blood clots etc. 
While I'm glad I'm not going to drop dead of a heart attack, I feel a little stressed still because I was discharged without any real answers and still don't know what's causing this pain. I'm gonna try to get an appointment w a primary care doc ASAP to chat more about this but in the meantime, was wondering if these symptoms sound on track with acid reflx/GERD to you all?  I thought maybe this could be a possibility? 
I should mention maybe that it's not been triggered by food as far as I can tell--I haven't eaten anything different from normal recently and it's been sort of a constant discomfort for the last few days (not worse after food and not brought on by eating). I have had some lower digestive issues in the past year or so (which I've managed through diet and digestive enzyme supplements), but haven't really had issues with heartburn or chest pain before the last week or so.  Still, perhaps this is another layer to my digestive issues? Thoughts?</t>
        </is>
      </c>
      <c r="D4476" t="n">
        <v>3</v>
      </c>
      <c r="E4476" t="n">
        <v>1</v>
      </c>
      <c r="F4476">
        <f>HYPERLINK("https://www.reddit.com/r/GERD/comments/ek6lac/chestshoulderarm_painnot_heart_maybe_gerd/")</f>
        <v/>
      </c>
      <c r="G4476" t="inlineStr">
        <is>
          <t>2020-01-04 18:24:19</t>
        </is>
      </c>
      <c r="H4476" t="inlineStr"/>
    </row>
    <row r="4477">
      <c r="A4477" t="inlineStr">
        <is>
          <t>ek7mpp</t>
        </is>
      </c>
      <c r="B4477" t="inlineStr">
        <is>
          <t>LPR is ruining my fricken life</t>
        </is>
      </c>
      <c r="C4477" t="inlineStr">
        <is>
          <t>I went to an ENT and found out my breathing issues and everything g else is related to LPR. I am only 20 and am really wanting to get started on living life and I am signed up for an electrician apprenticeship which will be starting soon, and do all the things I enjoy like racing motocross. I cannot figure this out. I am on Prilosec which does nothing and I have been trying to go dairy free but it is so hard to cut out dairy when people around me are constantly eating it. How can I get rid of this reflux. My breathing is affected by it really bad and it’s super discouraging that nothing is working... not even Prilosec😭</t>
        </is>
      </c>
      <c r="D4477" t="n">
        <v>3</v>
      </c>
      <c r="E4477" t="n">
        <v>11</v>
      </c>
      <c r="F4477">
        <f>HYPERLINK("https://www.reddit.com/r/GERD/comments/ek7mpp/lpr_is_ruining_my_fricken_life/")</f>
        <v/>
      </c>
      <c r="G4477" t="inlineStr">
        <is>
          <t>2020-01-04 19:53:31</t>
        </is>
      </c>
      <c r="H4477" t="inlineStr"/>
    </row>
    <row r="4478">
      <c r="A4478" t="inlineStr">
        <is>
          <t>ek84f3</t>
        </is>
      </c>
      <c r="B4478" t="inlineStr">
        <is>
          <t>Does the acid in apple/orange juice help with indigestion?</t>
        </is>
      </c>
      <c r="C4478" t="inlineStr">
        <is>
          <t>I looked at remedies for indigestion and a lot of them suggest acid such as lemon juice or vinegar.
Is apple or orange juice acidic enough?</t>
        </is>
      </c>
      <c r="D4478" t="n">
        <v>1</v>
      </c>
      <c r="E4478" t="n">
        <v>9</v>
      </c>
      <c r="F4478">
        <f>HYPERLINK("https://www.reddit.com/r/GERD/comments/ek84f3/does_the_acid_in_appleorange_juice_help_with/")</f>
        <v/>
      </c>
      <c r="G4478" t="inlineStr">
        <is>
          <t>2020-01-04 20:37:02</t>
        </is>
      </c>
      <c r="H4478" t="inlineStr"/>
    </row>
    <row r="4479">
      <c r="A4479" t="inlineStr">
        <is>
          <t>ek8yed</t>
        </is>
      </c>
      <c r="B4479" t="inlineStr">
        <is>
          <t>GERD vs LPR vs other</t>
        </is>
      </c>
      <c r="C4479" t="inlineStr">
        <is>
          <t>Hi everyone:
So I’m wondering if anyone could parse out the relationship between GERD and LPR a bit for me.
I’m convinced I have LPR because of symptoms like sore throat in the morning, feeling of needing to clear the throat, dysphagia, wheezing, congested lungs, etc. 
I don’t have chest pain like most do with GERD. The worst I have is an “off” feeling in the abdomen, very rare spasms (esophagus? diaphragm? stomach?—exacerbated by bending over) and a tense feeling in the low back like the colon might be involved.
I’ve been on omeprazole for a couple years but don’t feel its doing anything for me, and am wondering if weaning off is a possibility since I’ve heard it doesn’t work for LPR. But I also don’t know if LPR only occurs if you already have GERD, so maybe it’s doing more for me than I thought.
I also wanted to ask if there’s a possibility that the lower digestive tract could be responsible for LPR somehow. The problem is the worst symptom of lower digestive tract I experience is discomfort in my low back. Everything else that troubles me is upper GI. 
I have long struggled with anxiety and it has always manifested in very physical ways, but I’m also feeling that this is just amplifying the anxiety issue so it’s hard for me to blame that on everything since it seems so self defeating.
Any advice? Doctors have been supremely unhelpful. “Go for a walk, think happy thoughts, take this PPI.” They treat it like a minor issue then say, “Don’t get cancer now!” Well I’m trying but you’re not giving me much hope for treating this.</t>
        </is>
      </c>
      <c r="D4479" t="n">
        <v>1</v>
      </c>
      <c r="E4479" t="n">
        <v>0</v>
      </c>
      <c r="F4479">
        <f>HYPERLINK("https://www.reddit.com/r/GERD/comments/ek8yed/gerd_vs_lpr_vs_other/")</f>
        <v/>
      </c>
      <c r="G4479" t="inlineStr">
        <is>
          <t>2020-01-04 21:53:18</t>
        </is>
      </c>
      <c r="H4479" t="inlineStr"/>
    </row>
    <row r="4480">
      <c r="A4480" t="inlineStr">
        <is>
          <t>ek92g8</t>
        </is>
      </c>
      <c r="B4480" t="inlineStr">
        <is>
          <t>Is my gerd causing shortness of breath</t>
        </is>
      </c>
      <c r="C4480" t="inlineStr">
        <is>
          <t>So ive had gerd for like 4 years it was really bad 2 years ago and i took prilosec and pretty much got rid of it, here i am 2 years later and its back. My problem is the past 5 days ive been dealing with weird breathing. It feels like shortness of breathe like im not breathing fully, but my lungs feel fine and i have no pain anywhere. I never experienced this symptom before. Its just very uncomfortable and anxiety inducing. I was wondering if anyone knows if this is caused by gerd?  Or is it sometging else wrong with me. Ps im 21 and pretty healthy</t>
        </is>
      </c>
      <c r="D4480" t="n">
        <v>2</v>
      </c>
      <c r="E4480" t="n">
        <v>34</v>
      </c>
      <c r="F4480">
        <f>HYPERLINK("https://www.reddit.com/r/GERD/comments/ek92g8/is_my_gerd_causing_shortness_of_breath/")</f>
        <v/>
      </c>
      <c r="G4480" t="inlineStr">
        <is>
          <t>2020-01-04 22:04:11</t>
        </is>
      </c>
      <c r="H4480" t="inlineStr"/>
    </row>
    <row r="4481">
      <c r="A4481" t="inlineStr">
        <is>
          <t>ekc1xb</t>
        </is>
      </c>
      <c r="B4481" t="inlineStr">
        <is>
          <t>Anyone else gets wet cough while sleeping? It recently started and I cannot sleep at all.</t>
        </is>
      </c>
      <c r="C4481" t="inlineStr">
        <is>
          <t>I'm going to the doctors soon to see what's up but I'm guessing it's something GERD related but in the meaning, anyone else had similar symptoms? 
I cannot sleep without taking an allergy pill each night. I know I'm not allergic to my room or bed because as long as I sit up I'm fine. But the moment I live down, I start coughing up phlegm. The pill helps clear out the lungs.</t>
        </is>
      </c>
      <c r="D4481" t="n">
        <v>1</v>
      </c>
      <c r="E4481" t="n">
        <v>5</v>
      </c>
      <c r="F4481">
        <f>HYPERLINK("https://www.reddit.com/r/GERD/comments/ekc1xb/anyone_else_gets_wet_cough_while_sleeping_it/")</f>
        <v/>
      </c>
      <c r="G4481" t="inlineStr">
        <is>
          <t>2020-01-05 03:47:33</t>
        </is>
      </c>
      <c r="H4481" t="inlineStr"/>
    </row>
    <row r="4482">
      <c r="A4482" t="inlineStr">
        <is>
          <t>eke797</t>
        </is>
      </c>
      <c r="B4482" t="inlineStr">
        <is>
          <t>doctor told me that the LES muscle won't get stronger with a diet alone, is that true?</t>
        </is>
      </c>
      <c r="C4482" t="inlineStr">
        <is>
          <t>I have had GERDS since I was 20, I'm 32 now. 
I visited a doctor yesterday to set a plan to get off of PPI meds, since I have a medium opening in the esophagus based on an endoscopy I did earlier last year. 
 My doctor told me that the LES muscle won't get stronger with a diet alone, but needs a surgery.
Is that true or is my doc hustling me?</t>
        </is>
      </c>
      <c r="D4482" t="n">
        <v>1</v>
      </c>
      <c r="E4482" t="n">
        <v>11</v>
      </c>
      <c r="F4482">
        <f>HYPERLINK("https://www.reddit.com/r/GERD/comments/eke797/doctor_told_me_that_the_les_muscle_wont_get/")</f>
        <v/>
      </c>
      <c r="G4482" t="inlineStr">
        <is>
          <t>2020-01-05 07:15:52</t>
        </is>
      </c>
      <c r="H4482" t="inlineStr"/>
    </row>
    <row r="4483">
      <c r="A4483" t="inlineStr">
        <is>
          <t>eki5oe</t>
        </is>
      </c>
      <c r="B4483" t="inlineStr">
        <is>
          <t>Symptom of esophageal cancer : really afraid</t>
        </is>
      </c>
      <c r="C4483" t="inlineStr">
        <is>
          <t>Hello,im 23 years old  for 2  week now I have the following symptom :
- regurgitation
- chest pain sometimes
- pain at the end of my esophagus with certain food
- Swollen stomach or intestine, don't now, probably the stomach
The symptom that bother me the most is the swelling
I saw my doctor 4 days ago, he gave me ppi but it doesn't seem to get better, he also schedule an endoscopy at hospital 
I Google my symptom and found esophageal cancer
My anxiety state is extrem now I'm extremly afraid
I don't want to die I didn't even start my life</t>
        </is>
      </c>
      <c r="D4483" t="n">
        <v>1</v>
      </c>
      <c r="E4483" t="n">
        <v>8</v>
      </c>
      <c r="F4483">
        <f>HYPERLINK("https://www.reddit.com/r/GERD/comments/eki5oe/symptom_of_esophageal_cancer_really_afraid/")</f>
        <v/>
      </c>
      <c r="G4483" t="inlineStr">
        <is>
          <t>2020-01-05 11:59:41</t>
        </is>
      </c>
      <c r="H4483" t="inlineStr"/>
    </row>
    <row r="4484">
      <c r="A4484" t="inlineStr">
        <is>
          <t>ekiqd2</t>
        </is>
      </c>
      <c r="B4484" t="inlineStr">
        <is>
          <t>Anyone ever get nausea along with post-nasal drip and stuffy sinuses?</t>
        </is>
      </c>
      <c r="C4484" t="inlineStr">
        <is>
          <t>I feel like the acid reflux irritates my sinuses too and causes chronic inflammation and post-nasal drip/nausea. The symptoms went away when I took Rabeprazole for 30 days. Incidentally, I also have really bad brain fog during my GERD flareups. It also went away when I was on meds. Anyway else have these symptoms?</t>
        </is>
      </c>
      <c r="D4484" t="n">
        <v>1</v>
      </c>
      <c r="E4484" t="n">
        <v>21</v>
      </c>
      <c r="F4484">
        <f>HYPERLINK("https://www.reddit.com/r/GERD/comments/ekiqd2/anyone_ever_get_nausea_along_with_postnasal_drip/")</f>
        <v/>
      </c>
      <c r="G4484" t="inlineStr">
        <is>
          <t>2020-01-05 12:39:12</t>
        </is>
      </c>
      <c r="H4484" t="inlineStr"/>
    </row>
    <row r="4485">
      <c r="A4485" t="inlineStr">
        <is>
          <t>ekisnx</t>
        </is>
      </c>
      <c r="B4485" t="inlineStr">
        <is>
          <t>Can i eat apples?</t>
        </is>
      </c>
      <c r="C4485" t="inlineStr">
        <is>
          <t>I've been eating apples about 1-4 a day while drinking water for the last 6 Days while taking omeprazole 20oce while excersing and my GERD Symptoms have clam down. The only thing I've notice is when i eat sodium biscuit my symptoms seem to flair back up. Or I've been lying down not upside and when i get up my Symptoms are evident.
So far the last 6 Days I've had GERD Symptoms while sleeping (Not sleeping correctly) and when i ate biscuits. But for everything the apples don't give me any real symptoms. I'm planning on adding carrots to my diet to see how my stomach reacts</t>
        </is>
      </c>
      <c r="D4485" t="n">
        <v>1</v>
      </c>
      <c r="E4485" t="n">
        <v>4</v>
      </c>
      <c r="F4485">
        <f>HYPERLINK("https://www.reddit.com/r/GERD/comments/ekisnx/can_i_eat_apples/")</f>
        <v/>
      </c>
      <c r="G4485" t="inlineStr">
        <is>
          <t>2020-01-05 12:43:28</t>
        </is>
      </c>
      <c r="H4485" t="inlineStr"/>
    </row>
    <row r="4486">
      <c r="A4486" t="inlineStr">
        <is>
          <t>ekkgsy</t>
        </is>
      </c>
      <c r="B4486" t="inlineStr">
        <is>
          <t>Should I ask for an Endoscopy?</t>
        </is>
      </c>
      <c r="C4486" t="inlineStr">
        <is>
          <t>Did you all here had an Endoscopy to know the origin of your heartburn? I’m 25 and my GP put me on Pantoprazole for only 1 months, my HB are not that bad, I have more LPR than HB but should I ask him for one (endoscopy)?
When I press on my stomach while lying down on my back it hurt alot from the center of my belly to the right side.. not all the time but most of the time, it goes when I fart but also not all the time. I have an ecography soon to see if they could find something and have a colonoscopy thr 27th of the month. Someone here have this problem? I had all the blood test done and everything is clear, stool test clear.
Tdlr : Suffer from light HB and LPR Stomach hurt when I press on it while lying down on my back, wonder if I should ask for an endoscopy.</t>
        </is>
      </c>
      <c r="D4486" t="n">
        <v>1</v>
      </c>
      <c r="E4486" t="n">
        <v>5</v>
      </c>
      <c r="F4486">
        <f>HYPERLINK("https://www.reddit.com/r/GERD/comments/ekkgsy/should_i_ask_for_an_endoscopy/")</f>
        <v/>
      </c>
      <c r="G4486" t="inlineStr">
        <is>
          <t>2020-01-05 14:53:59</t>
        </is>
      </c>
      <c r="H4486" t="inlineStr"/>
    </row>
    <row r="4487">
      <c r="A4487" t="inlineStr">
        <is>
          <t>ekkmnv</t>
        </is>
      </c>
      <c r="B4487" t="inlineStr">
        <is>
          <t>Anyone else constantly feel like they have liquid/food in their throat?</t>
        </is>
      </c>
      <c r="C4487" t="inlineStr">
        <is>
          <t>I've had GERD since I was a kid (weird, I know), but for the past few months, I've been vomiting a lot more often because of this really awful sensation of liquid (or something) in my throat—it doesn't burn, it's just super uncomfortable and I usually end up puking. It usually happens in the evening, but it's popped up a handful of times earlier.
I have an endoscopy scheduled in a month, but I was curious if anyone else has experienced this? PPIs don't seem to be doing anything to help. :/</t>
        </is>
      </c>
      <c r="D4487" t="n">
        <v>1</v>
      </c>
      <c r="E4487" t="n">
        <v>7</v>
      </c>
      <c r="F4487">
        <f>HYPERLINK("https://www.reddit.com/r/GERD/comments/ekkmnv/anyone_else_constantly_feel_like_they_have/")</f>
        <v/>
      </c>
      <c r="G4487" t="inlineStr">
        <is>
          <t>2020-01-05 15:05:28</t>
        </is>
      </c>
      <c r="H4487" t="inlineStr"/>
    </row>
    <row r="4488">
      <c r="A4488" t="inlineStr">
        <is>
          <t>eklkuk</t>
        </is>
      </c>
      <c r="B4488" t="inlineStr">
        <is>
          <t>ICE CREAM HELPS.</t>
        </is>
      </c>
      <c r="C4488" t="inlineStr">
        <is>
          <t>So I’m fairly new to this but I’ve felt like complete crap with my nausea lately and a feeling in my chest like something is about to come out from my stomach 🤢🤮 had a bad morning puking but then ate a meal and some ice cream after and I feel like it helped my symptoms 9/10. Just wanted to share incase anyone is feeling like crap as well.</t>
        </is>
      </c>
      <c r="D4488" t="n">
        <v>1</v>
      </c>
      <c r="E4488" t="n">
        <v>9</v>
      </c>
      <c r="F4488">
        <f>HYPERLINK("https://www.reddit.com/r/GERD/comments/eklkuk/ice_cream_helps/")</f>
        <v/>
      </c>
      <c r="G4488" t="inlineStr">
        <is>
          <t>2020-01-05 16:14:12</t>
        </is>
      </c>
      <c r="H4488" t="inlineStr"/>
    </row>
    <row r="4489">
      <c r="A4489" t="inlineStr">
        <is>
          <t>ekmgan</t>
        </is>
      </c>
      <c r="B4489" t="inlineStr">
        <is>
          <t>GERD Symptoms with Heart Palpitations</t>
        </is>
      </c>
      <c r="C4489" t="inlineStr">
        <is>
          <t>About 6 months ago my problems started out of the blue. I received a big new job offer and had little time to accept it. This made me really stressed but also excited. The next day I was having constant heart palpitations. Upwards of 500 a day and went to an urgent care. They diagnosed it as PACs, referred me to a cardiologist, and told me it wasn’t anything ER worthy. I had these palpitations for a couple of weeks and started to have a sore throat and also the feeling of food stuck in my throat. I went to the cardiologist and had two 1 week holter monitors, several ECGs, and an echo done. All of these tests came back normal with the exception of capturing lots of PACs. At its peak I was having 450 palpitations a day. This combo of palpitations and food stuck in throat (with a hint of hot lungs/throat) carried on for roughly 3 months. Then suddenly the palpitations faded away. However the food in throat and feeling of esophagus spasms has stuck around. These problems occur almost immediately after eating and stick around for a couple of hours. I have tried antacids and H2 blockers with no success. I have no trigger foods. Whether it’s a greasy pizza or mellow bowl of oatmeal my throat acts funny.  I am hoping to see a GI specialist soon. 
Summary of symptoms in order of their first occurrence: 
- Tons of heart palpitations (PACs) 
- Feeling of food stuck in throat 
- Sore throat with no cold symptoms
- Burning sensation in lungs (lava lungs) 
- Mild burning in lower esophagus
- Heart palpitations fade away 
- Esophagus spasms persist 
- Food in throat feelings persist 
Tl;dr: During a time of high stress I developed tons of heart palpitations and feelings of food stuck in my throat. The heart palpitations have faded away but the feeling of food stuck in my throat and esophagus spasms have persisted with mild burning in my throat. 
Does this sound like GERD, h. pylori, HH, or something similar? Do you guys experience similar symptoms? Where should I take it from here (GI specialist)?</t>
        </is>
      </c>
      <c r="D4489" t="n">
        <v>1</v>
      </c>
      <c r="E4489" t="n">
        <v>3</v>
      </c>
      <c r="F4489">
        <f>HYPERLINK("https://www.reddit.com/r/GERD/comments/ekmgan/gerd_symptoms_with_heart_palpitations/")</f>
        <v/>
      </c>
      <c r="G4489" t="inlineStr">
        <is>
          <t>2020-01-05 17:20:00</t>
        </is>
      </c>
      <c r="H4489" t="inlineStr"/>
    </row>
    <row r="4490">
      <c r="A4490" t="inlineStr">
        <is>
          <t>ekmgnv</t>
        </is>
      </c>
      <c r="B4490" t="inlineStr">
        <is>
          <t>mozzarella cheese</t>
        </is>
      </c>
      <c r="C4490" t="inlineStr">
        <is>
          <t>Hi just started back on the Acid Watcher diet after falling off for Christmas. Tonight for dinner I made a whole wheat pizza crust and put light serving of mozzarella cheese, a dusting of parmesan, portabella mushrooms, and some shredded Brussel sprouts on it. For the sauce I made a homemade pesto out of a small amount of olive oil, water, salt, and some walnuts in the blender. it turned out pretty good for "pizza". I was wondering if anyone here has problems eating a normal sized serving of mozzarella cheese? It's on the introduction phase but I get the feeling it should be used sparingly.   I've been trying to make healthier versions of the things I usually eat because the recipes in the two acid books I bought just plain suck. Thank you for reading.</t>
        </is>
      </c>
      <c r="D4490" t="n">
        <v>1</v>
      </c>
      <c r="E4490" t="n">
        <v>3</v>
      </c>
      <c r="F4490">
        <f>HYPERLINK("https://www.reddit.com/r/GERD/comments/ekmgnv/mozzarella_cheese/")</f>
        <v/>
      </c>
      <c r="G4490" t="inlineStr">
        <is>
          <t>2020-01-05 17:20:39</t>
        </is>
      </c>
      <c r="H4490" t="inlineStr"/>
    </row>
    <row r="4491">
      <c r="A4491" t="inlineStr">
        <is>
          <t>eknlpi</t>
        </is>
      </c>
      <c r="B4491" t="inlineStr">
        <is>
          <t>Medicine help!!!</t>
        </is>
      </c>
      <c r="C4491" t="inlineStr">
        <is>
          <t>I’m having really bad chest pains because of my Acid reflux/ GERD and from the looks of it my Famotidine 20mg isn’t working no more .Once the chest pains comes in my anxiety goes off the roof So I saw that most of you take Gaviscon Liquid . Can I take both  at the same time ?  I know it’s a question for the doctors but you guys already know how that is and I don’t want to wait till my appointment date...</t>
        </is>
      </c>
      <c r="D4491" t="n">
        <v>1</v>
      </c>
      <c r="E4491" t="n">
        <v>7</v>
      </c>
      <c r="F4491">
        <f>HYPERLINK("https://www.reddit.com/r/GERD/comments/eknlpi/medicine_help/")</f>
        <v/>
      </c>
      <c r="G4491" t="inlineStr">
        <is>
          <t>2020-01-05 18:49:29</t>
        </is>
      </c>
      <c r="H4491" t="inlineStr"/>
    </row>
    <row r="4492">
      <c r="A4492" t="inlineStr">
        <is>
          <t>eknly5</t>
        </is>
      </c>
      <c r="B4492" t="inlineStr">
        <is>
          <t>Sleep inclined left or inclined facing up?</t>
        </is>
      </c>
      <c r="C4492" t="inlineStr">
        <is>
          <t>What position is better sleeping ? My doc suggested sleeping left side. However I have a stomach belly and sleeping left seems to put pressure on it. 
Is it bad to sleep facing up ?</t>
        </is>
      </c>
      <c r="D4492" t="n">
        <v>1</v>
      </c>
      <c r="E4492" t="n">
        <v>3</v>
      </c>
      <c r="F4492">
        <f>HYPERLINK("https://www.reddit.com/r/GERD/comments/eknly5/sleep_inclined_left_or_inclined_facing_up/")</f>
        <v/>
      </c>
      <c r="G4492" t="inlineStr">
        <is>
          <t>2020-01-05 18:50:04</t>
        </is>
      </c>
      <c r="H4492" t="inlineStr"/>
    </row>
    <row r="4493">
      <c r="A4493" t="inlineStr">
        <is>
          <t>eknpja</t>
        </is>
      </c>
      <c r="B4493" t="inlineStr">
        <is>
          <t>Does GERD mean no alcohol for life?</t>
        </is>
      </c>
      <c r="C4493" t="inlineStr">
        <is>
          <t>I’m 21 and have recently been having some GERD symptoms but they are at their worst during/after a night of drinking. I will burp the whole night and then the morning after I will have a sore throat and some hoarseness &amp;amp; throwing up is almost a guarantee. Keep in mind as a college student I will have 8+ drinks when going out. 
Do most people find cutting out alcohol all together is the best solution, or can you have an occasional 2-3 drinks when going out without too many issues?</t>
        </is>
      </c>
      <c r="D4493" t="n">
        <v>1</v>
      </c>
      <c r="E4493" t="n">
        <v>7</v>
      </c>
      <c r="F4493">
        <f>HYPERLINK("https://www.reddit.com/r/GERD/comments/eknpja/does_gerd_mean_no_alcohol_for_life/")</f>
        <v/>
      </c>
      <c r="G4493" t="inlineStr">
        <is>
          <t>2020-01-05 18:58:03</t>
        </is>
      </c>
      <c r="H4493" t="inlineStr"/>
    </row>
    <row r="4494">
      <c r="A4494" t="inlineStr">
        <is>
          <t>ekoe5s</t>
        </is>
      </c>
      <c r="B4494" t="inlineStr">
        <is>
          <t>SYMPTOMS</t>
        </is>
      </c>
      <c r="C4494" t="inlineStr">
        <is>
          <t>I want to hear from people who have either GERD or LPR. 
Below, start by saying GERD or LPR (or both) depending on which you have, followed by a bullet form list of symptoms that you have. I want to hear from real people and get some conversations started within this thread between people who have similar lineups of symptoms to help reach a new level of advice etc. 
Maybe you don't know which or if you have either, but you want to list your symptoms to see if anyone will chime in and comment / give you advice based on their personal (non-medical) experience. 
I'll start below.</t>
        </is>
      </c>
      <c r="D4494" t="n">
        <v>1</v>
      </c>
      <c r="E4494" t="n">
        <v>26</v>
      </c>
      <c r="F4494">
        <f>HYPERLINK("https://www.reddit.com/r/GERD/comments/ekoe5s/symptoms/")</f>
        <v/>
      </c>
      <c r="G4494" t="inlineStr">
        <is>
          <t>2020-01-05 19:53:10</t>
        </is>
      </c>
      <c r="H4494" t="inlineStr"/>
    </row>
    <row r="4495">
      <c r="A4495" t="inlineStr">
        <is>
          <t>ekpnfb</t>
        </is>
      </c>
      <c r="B4495" t="inlineStr">
        <is>
          <t>Anxiety sucks!</t>
        </is>
      </c>
      <c r="C4495" t="inlineStr">
        <is>
          <t>Can’t help but read symptoms online, playing the online diagnosing game for myself. Have had GERD for amount 3 months now. But some of the symptoms just feel like it’s something else, used to always feel like air was coming up from my stomach like a burp I wasn’t ready for? Anyone else experience this before? Was only triggered after eating aswell! When it happened it also felt like my heart skipped a beat! After going to hospital as I thought it was something with my heart. They ran multiple tests, (ecg,ekg,holter monitor and cardiovascular tests my heart was cleared... even though the doctors say it isn’t my heart when ever I get gerd symptoms my mind straight away thinks it’s my heart and I’m going to have a heart attack! Been told multiple time’s its anxiety causing this! Sorry for the rant but mainly wanted to see if anyone else felt this trapped air rushing up your throat and belching so much more then usual.. thanks guys</t>
        </is>
      </c>
      <c r="D4495" t="n">
        <v>1</v>
      </c>
      <c r="E4495" t="n">
        <v>5</v>
      </c>
      <c r="F4495">
        <f>HYPERLINK("https://www.reddit.com/r/GERD/comments/ekpnfb/anxiety_sucks/")</f>
        <v/>
      </c>
      <c r="G4495" t="inlineStr">
        <is>
          <t>2020-01-05 21:45:25</t>
        </is>
      </c>
      <c r="H4495" t="inlineStr"/>
    </row>
    <row r="4496">
      <c r="A4496" t="inlineStr">
        <is>
          <t>ekpzd7</t>
        </is>
      </c>
      <c r="B4496" t="inlineStr">
        <is>
          <t>How long does an H2 blocker like pepcid last?</t>
        </is>
      </c>
      <c r="C4496" t="inlineStr">
        <is>
          <t>I google it and get answers ranging from 2 hours to 12 hours, or the vague "it should last all day and night".
Does it just vary depending on person?</t>
        </is>
      </c>
      <c r="D4496" t="n">
        <v>1</v>
      </c>
      <c r="E4496" t="n">
        <v>2</v>
      </c>
      <c r="F4496">
        <f>HYPERLINK("https://www.reddit.com/r/GERD/comments/ekpzd7/how_long_does_an_h2_blocker_like_pepcid_last/")</f>
        <v/>
      </c>
      <c r="G4496" t="inlineStr">
        <is>
          <t>2020-01-05 22:16:49</t>
        </is>
      </c>
      <c r="H4496" t="inlineStr"/>
    </row>
    <row r="4497">
      <c r="A4497" t="inlineStr">
        <is>
          <t>ekqkhi</t>
        </is>
      </c>
      <c r="B4497" t="inlineStr">
        <is>
          <t>Help ?</t>
        </is>
      </c>
      <c r="C4497" t="inlineStr">
        <is>
          <t>So I have throat cobblestone for a couple a days now I am wondering how long is the throat cobblestone going to take to go away ? Anyone have any experience with this ?</t>
        </is>
      </c>
      <c r="D4497" t="n">
        <v>1</v>
      </c>
      <c r="E4497" t="n">
        <v>2</v>
      </c>
      <c r="F4497">
        <f>HYPERLINK("https://www.reddit.com/r/GERD/comments/ekqkhi/help/")</f>
        <v/>
      </c>
      <c r="G4497" t="inlineStr">
        <is>
          <t>2020-01-05 23:15:02</t>
        </is>
      </c>
      <c r="H4497" t="inlineStr"/>
    </row>
    <row r="4498">
      <c r="A4498" t="inlineStr">
        <is>
          <t>ekqu44</t>
        </is>
      </c>
      <c r="B4498" t="inlineStr">
        <is>
          <t>Coffee alternatives</t>
        </is>
      </c>
      <c r="C4498" t="inlineStr">
        <is>
          <t>I've been experiencing GERD on and off for almost two years now. I've noticed that my triggers are tomatoes itself and any tomato based food, coffee and boba milk tea. I can have those in moderation but I'm trying to refrain from taking those as much as I can. Just last December 31st I had a terrible GERD attack due to abusing my body and taking too much of all of my trigger food/drinks. This year, as my new year's resolution to start take care of myself, I've decided to cut back or better yet refrain from taking my trigger food/drinks as much as I can. Tomatoes I can easily avoid, its coffee and the boba milk I'm having difficulty on cutting back. I haven't drank any coffee yet since my last attack, but I find it difficult to stay awake at work. Any recommendations on coffee alternatives?</t>
        </is>
      </c>
      <c r="D4498" t="n">
        <v>1</v>
      </c>
      <c r="E4498" t="n">
        <v>12</v>
      </c>
      <c r="F4498">
        <f>HYPERLINK("https://www.reddit.com/r/GERD/comments/ekqu44/coffee_alternatives/")</f>
        <v/>
      </c>
      <c r="G4498" t="inlineStr">
        <is>
          <t>2020-01-05 23:44:06</t>
        </is>
      </c>
      <c r="H4498" t="inlineStr"/>
    </row>
    <row r="4499">
      <c r="A4499" t="inlineStr">
        <is>
          <t>eks2p7</t>
        </is>
      </c>
      <c r="B4499" t="inlineStr">
        <is>
          <t>Nightmare Reflux</t>
        </is>
      </c>
      <c r="C4499" t="inlineStr">
        <is>
          <t>Okay so I noticed a few months ago the sensation of having something suck to the sides of my throat. Suddenly this sensation has become really frequent with reflux symptoms. 
Last night I had a few drinks and tried to go to sleep and basically (sorry for the grossness) threw up in my throat. Now I've been awake for 6 hours because I can't lie down without this reflux regurgitation shit happening. I've drank loads of water. Tried to prop my pillows up. Tried sleeping on my left side. Given up on sleep and sat up for an hour. Tried to sleep again and the moment I lay down acid starts rushing into my throat. I've taken antacids and a dose of nexium. I've suffered with heartburn for years but never anything like this. Any tips for this attack?</t>
        </is>
      </c>
      <c r="D4499" t="n">
        <v>1</v>
      </c>
      <c r="E4499" t="n">
        <v>3</v>
      </c>
      <c r="F4499">
        <f>HYPERLINK("https://www.reddit.com/r/GERD/comments/eks2p7/nightmare_reflux/")</f>
        <v/>
      </c>
      <c r="G4499" t="inlineStr">
        <is>
          <t>2020-01-06 01:59:46</t>
        </is>
      </c>
      <c r="H4499" t="inlineStr"/>
    </row>
    <row r="4500">
      <c r="A4500" t="inlineStr">
        <is>
          <t>eksgmd</t>
        </is>
      </c>
      <c r="B4500" t="inlineStr">
        <is>
          <t>Nacho Doritos &amp;amp; a flare up</t>
        </is>
      </c>
      <c r="C4500" t="inlineStr">
        <is>
          <t>I honestly have been pretty free of reflux and just most symptoms in general for a while. But HOLYYYY ish. I just had some nacho Doritos earlier, and boy oh boy am I regretting it. I just would like to vomit my brains out to get this feeling out of my stomach, and it’s so bad I feel like it’s hard to breath. Is anyone else like this, on very specific foods being a trigger ?</t>
        </is>
      </c>
      <c r="D4500" t="n">
        <v>1</v>
      </c>
      <c r="E4500" t="n">
        <v>4</v>
      </c>
      <c r="F4500">
        <f>HYPERLINK("https://www.reddit.com/r/GERD/comments/eksgmd/nacho_doritos_a_flare_up/")</f>
        <v/>
      </c>
      <c r="G4500" t="inlineStr">
        <is>
          <t>2020-01-06 02:41:45</t>
        </is>
      </c>
      <c r="H4500" t="inlineStr"/>
    </row>
    <row r="4501">
      <c r="A4501" t="inlineStr">
        <is>
          <t>ektafj</t>
        </is>
      </c>
      <c r="B4501" t="inlineStr">
        <is>
          <t>Does anyone else experience symptoms like these after eating?</t>
        </is>
      </c>
      <c r="C4501" t="inlineStr">
        <is>
          <t>I have both IBS and GERD which got progressively worse when I started drinking.
Now when I eat I get dry itchy skin (especially my scalp), hot flashes or cold chills, tingling skin, and I feel sensitive to touch. Sometimes these symptoms can be unbearable. Sugar is one of my worst triggers.
I’ve quit drinking a few times but I didn’t notice much improvement, even after months sober.</t>
        </is>
      </c>
      <c r="D4501" t="n">
        <v>1</v>
      </c>
      <c r="E4501" t="n">
        <v>5</v>
      </c>
      <c r="F4501">
        <f>HYPERLINK("https://www.reddit.com/r/GERD/comments/ektafj/does_anyone_else_experience_symptoms_like_these/")</f>
        <v/>
      </c>
      <c r="G4501" t="inlineStr">
        <is>
          <t>2020-01-06 04:06:46</t>
        </is>
      </c>
      <c r="H4501" t="inlineStr"/>
    </row>
    <row r="4502">
      <c r="A4502" t="inlineStr">
        <is>
          <t>ektk4k</t>
        </is>
      </c>
      <c r="B4502" t="inlineStr">
        <is>
          <t>Pepcid and Nexium together?</t>
        </is>
      </c>
      <c r="C4502" t="inlineStr">
        <is>
          <t>Anyone ever take these together like at night in bed when reflux runs rampant? Unsure how long I can safely take Pepto at night. I’m already on 40mg Nexium. Thanks all.</t>
        </is>
      </c>
      <c r="D4502" t="n">
        <v>1</v>
      </c>
      <c r="E4502" t="n">
        <v>9</v>
      </c>
      <c r="F4502">
        <f>HYPERLINK("https://www.reddit.com/r/GERD/comments/ektk4k/pepcid_and_nexium_together/")</f>
        <v/>
      </c>
      <c r="G4502" t="inlineStr">
        <is>
          <t>2020-01-06 04:32:30</t>
        </is>
      </c>
      <c r="H4502" t="inlineStr"/>
    </row>
    <row r="4503">
      <c r="A4503" t="inlineStr">
        <is>
          <t>ekuv17</t>
        </is>
      </c>
      <c r="B4503" t="inlineStr">
        <is>
          <t>Nexium 40 at night or morning?</t>
        </is>
      </c>
      <c r="C4503" t="inlineStr">
        <is>
          <t>Was doing ok then last night brutal reflux. I have been taking the pill each morning but now considering nighttime to be a better option. Checked online and it’s contradictory. Any opinions here?  Would love to call doctor but you know how that goes. Thanks.</t>
        </is>
      </c>
      <c r="D4503" t="n">
        <v>1</v>
      </c>
      <c r="E4503" t="n">
        <v>4</v>
      </c>
      <c r="F4503">
        <f>HYPERLINK("https://www.reddit.com/r/GERD/comments/ekuv17/nexium_40_at_night_or_morning/")</f>
        <v/>
      </c>
      <c r="G4503" t="inlineStr">
        <is>
          <t>2020-01-06 06:31:56</t>
        </is>
      </c>
      <c r="H4503" t="inlineStr"/>
    </row>
    <row r="4504">
      <c r="A4504" t="inlineStr">
        <is>
          <t>ekuynu</t>
        </is>
      </c>
      <c r="B4504" t="inlineStr">
        <is>
          <t>Do I need more time, of a new medicine?</t>
        </is>
      </c>
      <c r="C4504" t="inlineStr">
        <is>
          <t>I’ve been on prescription omeprazol for 3 weeks now but I’m still nauseous a lot and wake up with pain my throat/chest every morning. Do the meds just need more time or should I talk to my doctor about trying a different medication?</t>
        </is>
      </c>
      <c r="D4504" t="n">
        <v>1</v>
      </c>
      <c r="E4504" t="n">
        <v>2</v>
      </c>
      <c r="F4504">
        <f>HYPERLINK("https://www.reddit.com/r/GERD/comments/ekuynu/do_i_need_more_time_of_a_new_medicine/")</f>
        <v/>
      </c>
      <c r="G4504" t="inlineStr">
        <is>
          <t>2020-01-06 06:40:13</t>
        </is>
      </c>
      <c r="H4504" t="inlineStr"/>
    </row>
    <row r="4505">
      <c r="A4505" t="inlineStr">
        <is>
          <t>ekvxdb</t>
        </is>
      </c>
      <c r="B4505" t="inlineStr">
        <is>
          <t>Treating gerd without meds</t>
        </is>
      </c>
      <c r="C4505" t="inlineStr">
        <is>
          <t>Has anyone here had success treating gerd without taking meds? Do lifestyle changes work just as well? I'm curious. I do not want to be on meds long term.</t>
        </is>
      </c>
      <c r="D4505" t="n">
        <v>1</v>
      </c>
      <c r="E4505" t="n">
        <v>24</v>
      </c>
      <c r="F4505">
        <f>HYPERLINK("https://www.reddit.com/r/GERD/comments/ekvxdb/treating_gerd_without_meds/")</f>
        <v/>
      </c>
      <c r="G4505" t="inlineStr">
        <is>
          <t>2020-01-06 07:55:25</t>
        </is>
      </c>
      <c r="H4505" t="inlineStr"/>
    </row>
    <row r="4506">
      <c r="A4506" t="inlineStr">
        <is>
          <t>ekwwf0</t>
        </is>
      </c>
      <c r="B4506" t="inlineStr">
        <is>
          <t>LINX Surgery for Hiatal Hernia &amp;amp; GERD</t>
        </is>
      </c>
      <c r="C4506" t="inlineStr">
        <is>
          <t>I have a consultation for the LINX procedure next week and am wondering if anyone here had success. I am able to manage my GERD with medication but don't want to be on medication for the rest of my life. My chief complaint is my hernia, which like GERD, will never truly go away. 
I am hoping that the LINX will allow me to live a medication free life and correct the hernia (mine is small so it can work with the LINX.) 
Anyone have stories to share?</t>
        </is>
      </c>
      <c r="D4506" t="n">
        <v>1</v>
      </c>
      <c r="E4506" t="n">
        <v>18</v>
      </c>
      <c r="F4506">
        <f>HYPERLINK("https://www.reddit.com/r/GERD/comments/ekwwf0/linx_surgery_for_hiatal_hernia_gerd/")</f>
        <v/>
      </c>
      <c r="G4506" t="inlineStr">
        <is>
          <t>2020-01-06 09:06:08</t>
        </is>
      </c>
      <c r="H4506" t="inlineStr"/>
    </row>
    <row r="4507">
      <c r="A4507" t="inlineStr">
        <is>
          <t>ekxkvv</t>
        </is>
      </c>
      <c r="B4507" t="inlineStr">
        <is>
          <t>How long does your Symptoms last?</t>
        </is>
      </c>
      <c r="C4507" t="inlineStr">
        <is>
          <t>I’m just wondering how long does everyone’s symptoms last ? . Mine usually will last 3 days straight with chest pains and burp and stop for a few days then come back ..
Lately it’s last 2 weeks straight .</t>
        </is>
      </c>
      <c r="D4507" t="n">
        <v>1</v>
      </c>
      <c r="E4507" t="n">
        <v>7</v>
      </c>
      <c r="F4507">
        <f>HYPERLINK("https://www.reddit.com/r/GERD/comments/ekxkvv/how_long_does_your_symptoms_last/")</f>
        <v/>
      </c>
      <c r="G4507" t="inlineStr">
        <is>
          <t>2020-01-06 09:55:07</t>
        </is>
      </c>
      <c r="H4507" t="inlineStr"/>
    </row>
    <row r="4508">
      <c r="A4508" t="inlineStr">
        <is>
          <t>ekxyfe</t>
        </is>
      </c>
      <c r="B4508" t="inlineStr">
        <is>
          <t>LPR &amp;amp; Omeprazole</t>
        </is>
      </c>
      <c r="C4508" t="inlineStr">
        <is>
          <t>Finally had silent reflux diagnosis confirmed. Doctor has prescribed omeprazole.
If you suffer from LPR, not GERD, how have you got on with omeprazole?
I'm going to try all other lifestyle changes as well, and will go on them temporarily if need be, but really don't want to be on them long if I do.</t>
        </is>
      </c>
      <c r="D4508" t="n">
        <v>1</v>
      </c>
      <c r="E4508" t="n">
        <v>4</v>
      </c>
      <c r="F4508">
        <f>HYPERLINK("https://www.reddit.com/r/GERD/comments/ekxyfe/lpr_omeprazole/")</f>
        <v/>
      </c>
      <c r="G4508" t="inlineStr">
        <is>
          <t>2020-01-06 10:21:50</t>
        </is>
      </c>
      <c r="H4508" t="inlineStr"/>
    </row>
    <row r="4509">
      <c r="A4509" t="inlineStr">
        <is>
          <t>el03qe</t>
        </is>
      </c>
      <c r="B4509" t="inlineStr">
        <is>
          <t>Anyones kidneys ache from ppis?</t>
        </is>
      </c>
      <c r="C4509" t="inlineStr">
        <is>
          <t>If I drink alcohol or don't drink lots of water I get achey kidneys and its only since I went up to 40mg omeprozole. I've been trying not to drink alcohol at all but the other night I had a blow out and the next day my kidneys killed.
Even if I don't drink for a long while but forget to drink lots of water I get aches. Its worse about 2 hrs after I take them.</t>
        </is>
      </c>
      <c r="D4509" t="n">
        <v>1</v>
      </c>
      <c r="E4509" t="n">
        <v>4</v>
      </c>
      <c r="F4509">
        <f>HYPERLINK("https://www.reddit.com/r/GERD/comments/el03qe/anyones_kidneys_ache_from_ppis/")</f>
        <v/>
      </c>
      <c r="G4509" t="inlineStr">
        <is>
          <t>2020-01-06 12:51:02</t>
        </is>
      </c>
      <c r="H4509" t="inlineStr"/>
    </row>
    <row r="4510">
      <c r="A4510" t="inlineStr">
        <is>
          <t>el0au8</t>
        </is>
      </c>
      <c r="B4510" t="inlineStr">
        <is>
          <t>Is there a way to stop sinus issues associated with LPR?</t>
        </is>
      </c>
      <c r="C4510" t="inlineStr">
        <is>
          <t>I've been able to reduce my symptoms noticeably through dietary changes and a handful of supplements, but the one issue that remains is constant sinus inflammation. I went through so many tests and treatments thinking I had a stubborn sinus infection, only to learn my sinuses were just really inflamed and not due to allergies.
I'm in constant pain from this and nothing has helped give me relief. I've been on steroids, several antibiotics, I've tried OTC treatments that target sinus pressure, I've used things like Flonase and I've done sinus rinses with Alkolol, and I regularly drain my sinuses manually. I do/did these all consistently and got no relief.
Am I the only one? I just hate having a headache all the time because they get bad sometimes and keep me up at night, not to mention I have no way of knowing when it's just inflammation and when it's an actual infection. In my case, my sinus infections don't go away on their own and require antibiotics, and it just takes me reading one story about one person who dies from an untreated sinus infection to make me concerned.
Doctors haven't been much help, unfortunately. They all just say they don't know why my sinuses are the way they are and blindly suggest surgery, which I know doesn't help with sinus problems caused by LPR.</t>
        </is>
      </c>
      <c r="D4510" t="n">
        <v>1</v>
      </c>
      <c r="E4510" t="n">
        <v>9</v>
      </c>
      <c r="F4510">
        <f>HYPERLINK("https://www.reddit.com/r/GERD/comments/el0au8/is_there_a_way_to_stop_sinus_issues_associated/")</f>
        <v/>
      </c>
      <c r="G4510" t="inlineStr">
        <is>
          <t>2020-01-06 13:04:52</t>
        </is>
      </c>
      <c r="H4510" t="inlineStr"/>
    </row>
    <row r="4511">
      <c r="A4511" t="inlineStr">
        <is>
          <t>el0dvp</t>
        </is>
      </c>
      <c r="B4511" t="inlineStr">
        <is>
          <t>Endoscopy testimonial and results!</t>
        </is>
      </c>
      <c r="C4511" t="inlineStr">
        <is>
          <t>Hey y'all. 
So, I've made (and seen!) a few posts recently about being freaked out about issues I had with my esophagus, troubles swallowing, feeling like I could feel food stuck in my chest, etc. 
I decided to heed the advice of my GI, and everyone here, and suck it up and pay $1000 for an endoscopy (thanks US healthcare). Well, I did it! Initially, the thought of it freaked me out a bit, and I was even scared of it, tbh. I was partially scared by the procedure itself, but also by the "what ifs" of the end results possible. 
But, I resolved on thinking if there was something *was* there, I'd probably rather find it sooner than later. 
So, I scheduled my endoscopy for just a few days after my initial GI consultation. Well, honestly fam? It was a fuckin' breeze.
It took less than a half-hour, and both my direct GI and anesthesiologist couldn't have been better about *not* giving me time to freak out. Things moved very quickly once I got changed, and that was a good thing. 
Within **maybe** 5 minutes of being wheeled into the procedure room, I was OUT. It was genuinely fascinating it felt like I had been teleported. 
Best news of all? Completely normal results! No Barrett's, no rings, no EC, nothing. 
yeah, yeah, I know: a 21 y/o was bound to have normal results, but still! That peace of mind is something, man. Let me tell you. Now i know that this is just a matter of medicating until I can afford surgery.
I just wanted to let y'all know how things had been going! Best!</t>
        </is>
      </c>
      <c r="D4511" t="n">
        <v>1</v>
      </c>
      <c r="E4511" t="n">
        <v>18</v>
      </c>
      <c r="F4511">
        <f>HYPERLINK("https://www.reddit.com/r/GERD/comments/el0dvp/endoscopy_testimonial_and_results/")</f>
        <v/>
      </c>
      <c r="G4511" t="inlineStr">
        <is>
          <t>2020-01-06 13:10:42</t>
        </is>
      </c>
      <c r="H4511" t="inlineStr"/>
    </row>
    <row r="4512">
      <c r="A4512" t="inlineStr">
        <is>
          <t>el1m4w</t>
        </is>
      </c>
      <c r="B4512" t="inlineStr">
        <is>
          <t>Alternatives to endoscopy?</t>
        </is>
      </c>
      <c r="C4512" t="inlineStr">
        <is>
          <t>Really don’t want to have to get put under and pay a large bill (US). Are there any good alternatives?</t>
        </is>
      </c>
      <c r="D4512" t="n">
        <v>1</v>
      </c>
      <c r="E4512" t="n">
        <v>6</v>
      </c>
      <c r="F4512">
        <f>HYPERLINK("https://www.reddit.com/r/GERD/comments/el1m4w/alternatives_to_endoscopy/")</f>
        <v/>
      </c>
      <c r="G4512" t="inlineStr">
        <is>
          <t>2020-01-06 14:35:23</t>
        </is>
      </c>
      <c r="H4512" t="inlineStr"/>
    </row>
    <row r="4513">
      <c r="A4513" t="inlineStr">
        <is>
          <t>el1v8y</t>
        </is>
      </c>
      <c r="B4513" t="inlineStr">
        <is>
          <t>I'm new to GERD and I need some help</t>
        </is>
      </c>
      <c r="C4513" t="inlineStr">
        <is>
          <t>Hey guys, I'd really like some feedback on my current situation if possible 
It all started around early September that I started to feel some heart aches (heart burn) and burping. And just kinda thought it was GERD. I did not get a check up with my doctor until early December and he just diagnosed me with gastritis (which I don't really believe cause I don't feel that much stomach pain) and prescribed me some PPI.
As someone who gets really anxious, I started to get high levels of anxiety after my visit, always thinking "am I gonna die, am I gonna have cancer" which lead to being hypersensitive with my body (such as having tension headaches, giving dull pains, lack of sleep, heart palpitations, tasting blood and spitting blood upon waking up). Now more than ever, I just feel scared and being super aware of what's happening in my body and tend to overthink 
So I have question for people that have GERD because I am fairly new to it and possibly 
- is it possible to get rid of GERD completely and how long would it take 
- how can GERD get worsen or what symptoms can GERD lead too 
- what would happen if you don't take care of your GERD? 
- Is there any negative affects of PPI taking pantoprazole (noticing that my feces are not digesting properly and there's tiny chunks of what I eat such as carrots and corns + having some dull stomach pain)
- would the blood spitting be another sign of something? 
I know these questions are suppose to be for my doctor, but I really want to see other people's experience to help normalize my anxiety. 
I really hope someone here can just give me some helpful insights to really stop myself from being super anxious thinking that it is something worst.</t>
        </is>
      </c>
      <c r="D4513" t="n">
        <v>1</v>
      </c>
      <c r="E4513" t="n">
        <v>10</v>
      </c>
      <c r="F4513">
        <f>HYPERLINK("https://www.reddit.com/r/GERD/comments/el1v8y/im_new_to_gerd_and_i_need_some_help/")</f>
        <v/>
      </c>
      <c r="G4513" t="inlineStr">
        <is>
          <t>2020-01-06 14:53:15</t>
        </is>
      </c>
      <c r="H4513" t="inlineStr"/>
    </row>
    <row r="4514">
      <c r="A4514" t="inlineStr">
        <is>
          <t>el3a5u</t>
        </is>
      </c>
      <c r="B4514" t="inlineStr">
        <is>
          <t>Stool</t>
        </is>
      </c>
      <c r="C4514" t="inlineStr">
        <is>
          <t>I noticed my stools very black the last two days. Not pain other than normal everyday reflux burping. Should I be worried about internal bleeding or no ?  I also have been drinking hibiscus tea and not sure if that has any effect</t>
        </is>
      </c>
      <c r="D4514" t="n">
        <v>1</v>
      </c>
      <c r="E4514" t="n">
        <v>8</v>
      </c>
      <c r="F4514">
        <f>HYPERLINK("https://www.reddit.com/r/GERD/comments/el3a5u/stool/")</f>
        <v/>
      </c>
      <c r="G4514" t="inlineStr">
        <is>
          <t>2020-01-06 16:36:12</t>
        </is>
      </c>
      <c r="H4514" t="inlineStr"/>
    </row>
    <row r="4515">
      <c r="A4515" t="inlineStr">
        <is>
          <t>el3mop</t>
        </is>
      </c>
      <c r="B4515" t="inlineStr">
        <is>
          <t>emetophobia (please help!!)</t>
        </is>
      </c>
      <c r="C4515" t="inlineStr">
        <is>
          <t>I’m probably going to sound whiny, but this is somehow ruining my life (stupid anxiety). I don’t have many symptoms except for a weird kind of nausea in my throat, if that makes any sense? Or it feels like something is pushing on my tongue. Nothing comes up when I have.... episodes..... but it feels really awful, and so I start panicking :c I’m 16 and super desperate because it’s making me afraid to go to school.... and I just can’t get rid of the GERD even though I’m trying to do “healthy” things; since stress is a big trigger for me. Has anyone successfully gotten rid of this?</t>
        </is>
      </c>
      <c r="D4515" t="n">
        <v>1</v>
      </c>
      <c r="E4515" t="n">
        <v>8</v>
      </c>
      <c r="F4515">
        <f>HYPERLINK("https://www.reddit.com/r/GERD/comments/el3mop/emetophobia_please_help/")</f>
        <v/>
      </c>
      <c r="G4515" t="inlineStr">
        <is>
          <t>2020-01-06 17:02:37</t>
        </is>
      </c>
      <c r="H4515" t="inlineStr"/>
    </row>
    <row r="4516">
      <c r="A4516" t="inlineStr">
        <is>
          <t>el799m</t>
        </is>
      </c>
      <c r="B4516" t="inlineStr">
        <is>
          <t>Found a substitute for coffee!</t>
        </is>
      </c>
      <c r="C4516" t="inlineStr">
        <is>
          <t>Because of GERD, I’ve really missed coffee with cream. Went to a vegan cafe this weekend that offered a coffee substitute called Jnantik, and it was surprisingly good. No, it’s not exactly like coffee, but it fills the void pretty well. It’s caffeine free and alkaline so no weird symptoms for me after drinking it. [Jnantik ](https://www.jnantik.com)</t>
        </is>
      </c>
      <c r="D4516" t="n">
        <v>1</v>
      </c>
      <c r="E4516" t="n">
        <v>17</v>
      </c>
      <c r="F4516">
        <f>HYPERLINK("https://www.reddit.com/r/GERD/comments/el799m/found_a_substitute_for_coffee/")</f>
        <v/>
      </c>
      <c r="G4516" t="inlineStr">
        <is>
          <t>2020-01-06 21:51:56</t>
        </is>
      </c>
      <c r="H4516" t="inlineStr"/>
    </row>
    <row r="4517">
      <c r="A4517" t="inlineStr">
        <is>
          <t>el7m8h</t>
        </is>
      </c>
      <c r="B4517" t="inlineStr">
        <is>
          <t>Would surgery effect my ability of working out?</t>
        </is>
      </c>
      <c r="C4517" t="inlineStr">
        <is>
          <t>I’m currently 19 and have dreams of playing division 1 football and also love lifting/running. My symptoms are terrible, they also give me extreme anxiety. My dad also retired from a government job and I have extremely good insurance till the age of 25 or 26. Which would be too late to use the insurance by then. Thanks for the help!</t>
        </is>
      </c>
      <c r="D4517" t="n">
        <v>1</v>
      </c>
      <c r="E4517" t="n">
        <v>8</v>
      </c>
      <c r="F4517">
        <f>HYPERLINK("https://www.reddit.com/r/GERD/comments/el7m8h/would_surgery_effect_my_ability_of_working_out/")</f>
        <v/>
      </c>
      <c r="G4517" t="inlineStr">
        <is>
          <t>2020-01-06 22:24:35</t>
        </is>
      </c>
      <c r="H4517" t="inlineStr"/>
    </row>
    <row r="4518">
      <c r="A4518" t="inlineStr">
        <is>
          <t>el7nn7</t>
        </is>
      </c>
      <c r="B4518" t="inlineStr">
        <is>
          <t>Tips and Tricks for GERD</t>
        </is>
      </c>
      <c r="C4518" t="inlineStr">
        <is>
          <t>Hey Everyone, 
I think it would be a good thread to share each others tips and tricks for having some type of relief from GERD or even anxiety of it. 
Wondering if anyone would share such as things they eat, life style changes they made, foods that they avoid or added on to their diet !!!
Personally, I started drinking more Aloe Vera, even after eating fatty foods like fried chicken, the heartburn isn't as bad and would usually last only a couple of seconds.</t>
        </is>
      </c>
      <c r="D4518" t="n">
        <v>1</v>
      </c>
      <c r="E4518" t="n">
        <v>3</v>
      </c>
      <c r="F4518">
        <f>HYPERLINK("https://www.reddit.com/r/GERD/comments/el7nn7/tips_and_tricks_for_gerd/")</f>
        <v/>
      </c>
      <c r="G4518" t="inlineStr">
        <is>
          <t>2020-01-06 22:28:32</t>
        </is>
      </c>
      <c r="H4518" t="inlineStr"/>
    </row>
    <row r="4519">
      <c r="A4519" t="inlineStr">
        <is>
          <t>el86xj</t>
        </is>
      </c>
      <c r="B4519" t="inlineStr">
        <is>
          <t>Is it safe to at least drink 500 mg daily of Vitamin C?</t>
        </is>
      </c>
      <c r="C4519" t="inlineStr">
        <is>
          <t>The Christmas Holiday just happened and i've been eating more normally during the holiday and i've stopped drinking vitamin c for awhile since it triggers acid reflux, while now i've been feeling a lot better lately (3 days of balanced diet and fixing my lifestyle) is it safe now to drink just at least 500 mg? Cause i'm feeling that i might catch a cold now since the weather is getting cold right now.</t>
        </is>
      </c>
      <c r="D4519" t="n">
        <v>1</v>
      </c>
      <c r="E4519" t="n">
        <v>11</v>
      </c>
      <c r="F4519">
        <f>HYPERLINK("https://www.reddit.com/r/GERD/comments/el86xj/is_it_safe_to_at_least_drink_500_mg_daily_of/")</f>
        <v/>
      </c>
      <c r="G4519" t="inlineStr">
        <is>
          <t>2020-01-06 23:20:08</t>
        </is>
      </c>
      <c r="H4519" t="inlineStr"/>
    </row>
    <row r="4520">
      <c r="A4520" t="inlineStr">
        <is>
          <t>el8zwa</t>
        </is>
      </c>
      <c r="B4520" t="inlineStr">
        <is>
          <t>heartburn drugs and diarrhea</t>
        </is>
      </c>
      <c r="C4520" t="inlineStr">
        <is>
          <t>New to having GERD, anyone have recommendations for OTC medicines? My doctor  had prescribed me two PPIs which caused some of the worst/painful diarrhea ive ever had. On top of that the doctor was dubious at best on the cause of it. To keep things short, Im changing doctors but need a OTC replacement while I search for a new one (which may take months), anyone with any experiences?</t>
        </is>
      </c>
      <c r="D4520" t="n">
        <v>1</v>
      </c>
      <c r="E4520" t="n">
        <v>5</v>
      </c>
      <c r="F4520">
        <f>HYPERLINK("https://www.reddit.com/r/GERD/comments/el8zwa/heartburn_drugs_and_diarrhea/")</f>
        <v/>
      </c>
      <c r="G4520" t="inlineStr">
        <is>
          <t>2020-01-07 00:49:01</t>
        </is>
      </c>
      <c r="H4520" t="inlineStr"/>
    </row>
    <row r="4521">
      <c r="A4521" t="inlineStr">
        <is>
          <t>el9ftn</t>
        </is>
      </c>
      <c r="B4521" t="inlineStr">
        <is>
          <t>Sleeping pills versus GERD</t>
        </is>
      </c>
      <c r="C4521" t="inlineStr">
        <is>
          <t>Hello, all:
Problem.
I’ve noticed a LOT of folks on here struggle with anxiety. I do as well. For me, anxiety means insomnia. I finally found a doctor who’ll prescribe me a pill and—guess what?—it actually works! 5mg of zolpidem every night (generic of Ambien).
However, I also suffer from GERD/LPR, and I’ve noticed my throat is raw when I wake up.
I read somewhere that sleeping pills put you in such a sleep that you don’t immediately swallow acid back down when it washes up the way you do in a normal sleep. 
I don’t want to harm my throat, but sleep is essential to lowering stress which improves GERD/LPR and I struggle and fail to get sleep without the sleeping pill.
Anyone else been here, and can you confirm whether sleeping pills actually do this or am I just reading pseudoscience?</t>
        </is>
      </c>
      <c r="D4521" t="n">
        <v>1</v>
      </c>
      <c r="E4521" t="n">
        <v>1</v>
      </c>
      <c r="F4521">
        <f>HYPERLINK("https://www.reddit.com/r/GERD/comments/el9ftn/sleeping_pills_versus_gerd/")</f>
        <v/>
      </c>
      <c r="G4521" t="inlineStr">
        <is>
          <t>2020-01-07 01:41:09</t>
        </is>
      </c>
      <c r="H4521" t="inlineStr"/>
    </row>
    <row r="4522">
      <c r="A4522" t="inlineStr">
        <is>
          <t>elag87</t>
        </is>
      </c>
      <c r="B4522" t="inlineStr">
        <is>
          <t>Wedge pillow worth it???</t>
        </is>
      </c>
      <c r="C4522" t="inlineStr">
        <is>
          <t>Hey guys as the title states, wondering if people have found a big decrease in symptoms using a wedge pillow? Really trying to get off the ppi’s if possible and do it naturally</t>
        </is>
      </c>
      <c r="D4522" t="n">
        <v>1</v>
      </c>
      <c r="E4522" t="n">
        <v>7</v>
      </c>
      <c r="F4522">
        <f>HYPERLINK("https://www.reddit.com/r/GERD/comments/elag87/wedge_pillow_worth_it/")</f>
        <v/>
      </c>
      <c r="G4522" t="inlineStr">
        <is>
          <t>2020-01-07 03:39:40</t>
        </is>
      </c>
      <c r="H4522" t="inlineStr"/>
    </row>
    <row r="4523">
      <c r="A4523" t="inlineStr">
        <is>
          <t>elcf3q</t>
        </is>
      </c>
      <c r="B4523" t="inlineStr">
        <is>
          <t>Trouble swallowing</t>
        </is>
      </c>
      <c r="C4523" t="inlineStr">
        <is>
          <t>22 male here, does anyone ever get some food stuck in throat and try to wash it down with water, but the water just passes by it while the food still feels like it's there?</t>
        </is>
      </c>
      <c r="D4523" t="n">
        <v>1</v>
      </c>
      <c r="E4523" t="n">
        <v>28</v>
      </c>
      <c r="F4523">
        <f>HYPERLINK("https://www.reddit.com/r/GERD/comments/elcf3q/trouble_swallowing/")</f>
        <v/>
      </c>
      <c r="G4523" t="inlineStr">
        <is>
          <t>2020-01-07 06:44:02</t>
        </is>
      </c>
      <c r="H4523" t="inlineStr"/>
    </row>
    <row r="4524">
      <c r="A4524" t="inlineStr">
        <is>
          <t>eldihh</t>
        </is>
      </c>
      <c r="B4524" t="inlineStr">
        <is>
          <t>Add Beano or Gasx to your life</t>
        </is>
      </c>
      <c r="C4524" t="inlineStr">
        <is>
          <t>Really helps flare ups I take both Nexium in morning and Pepcid at night and still suffer after meals.  Adding these at the right time can really help.</t>
        </is>
      </c>
      <c r="D4524" t="n">
        <v>1</v>
      </c>
      <c r="E4524" t="n">
        <v>1</v>
      </c>
      <c r="F4524">
        <f>HYPERLINK("https://www.reddit.com/r/GERD/comments/eldihh/add_beano_or_gasx_to_your_life/")</f>
        <v/>
      </c>
      <c r="G4524" t="inlineStr">
        <is>
          <t>2020-01-07 08:08:56</t>
        </is>
      </c>
      <c r="H4524" t="inlineStr"/>
    </row>
    <row r="4525">
      <c r="A4525" t="inlineStr">
        <is>
          <t>elefny</t>
        </is>
      </c>
      <c r="B4525" t="inlineStr">
        <is>
          <t>One sided throat/ear pain with hoarseness? LPR maybe?</t>
        </is>
      </c>
      <c r="C4525" t="inlineStr">
        <is>
          <t>I haven an appointment with an ENT Feb 25th for this.
I had an endoscopy in May which showed hiatal hernia, ectopic mucosa/gastric inlet patches and mild gastritis.  I have dull chest pains sometimes and acid reflux sometimes.  Had a clear chest x-ray 6 months ago and clear abdominal CT for unrelated symptoms.
Over the past 2 months my voice has weakened, become a bit hoarse.  The back of my throat felt irritated at first with a burning sensation. Since then, the right side of my throat is a bit sore which worsens throughout the day.  Its also incredibly dry feeling (right side).  I drink water frequently just to try to rid the dry feeling.  Its also somewhat painful while swallowing on the right side.  No severe pain.  I often clear my throat.  I have dealt with post-nasal drip but haven't had much congestion lately.  My jaw joint on this same side is sore when I yawn and my ear also hurts and feels congested, feels like muscle pain in my ear when I open jaw and and try to flex the muscles in that area. a lymph node under the jaw on the same side is swollen but PCP not concerned with the texture of it.  All of these things, including reactive lymph nodes, I have read to be associated with LRP/reflux.
My gastro offered ablation therapy for the gastric inlet patches, which occur just below the upper sphincter.  There's a lot of literature that indicates these patches, although usually not symptomatic, sometimes result in chronic sore throat, throat dryness, hoarseness, difficult swallowing, globus, etc.  He will essentially cauterize the patches which most often results in the resolution of symptoms.  These inlet patches sometimes secret acid, as they are misplaced gastric mucosa, which may explain my hoarseness and ineffective PPI as it relates to my symptoms.
I guess I don't have any specific questions aside from maybe wondering if you guys experience similar things.  I am looking forward to learning more about all of this but the wait is quite long and like most of you I'm really fed up with feeling like crap.</t>
        </is>
      </c>
      <c r="D4525" t="n">
        <v>1</v>
      </c>
      <c r="E4525" t="n">
        <v>6</v>
      </c>
      <c r="F4525">
        <f>HYPERLINK("https://www.reddit.com/r/GERD/comments/elefny/one_sided_throatear_pain_with_hoarseness_lpr_maybe/")</f>
        <v/>
      </c>
      <c r="G4525" t="inlineStr">
        <is>
          <t>2020-01-07 09:16:15</t>
        </is>
      </c>
      <c r="H4525" t="inlineStr"/>
    </row>
    <row r="4526">
      <c r="A4526" t="inlineStr">
        <is>
          <t>elf3ti</t>
        </is>
      </c>
      <c r="B4526" t="inlineStr">
        <is>
          <t>Severe chest pain with mild acid reflux after eating banana</t>
        </is>
      </c>
      <c r="C4526" t="inlineStr">
        <is>
          <t>Hey all. I’m on mobile so this will probably be written poorly, my apologies. 
I’ve had issues with my stomach for years. At least 15 years at this point. Around the time I was high school it got the worst it’s ever been though. I ended up puking all night and had to go to the er to get fluids to make me stop. It turned out I had been puking up my stomach lining, and luckily in about a week I was already scheduled for my first endoscopy. The only thing that came up though was irritated stomach lining. 
Fast forward 5 years to 2018 and my stomach starts to flare up again. In 2019 I had a second endoscopy and it was nothing different. 
I eventually got fed up with taking the medicine and nothing was helping to I just stopped taking it. And what do you know. My stomach got better. Not entirely. But the acid reflux was very minor and not to often compared to what it was. After I saw my doctor in December (and told him I was taking my medicine still because I was scared to admit I wasn’t), like the day after I saw him, I had another really bad flare up, like I jinxed myself. Then the holidays happened and everything started to spiral and get bad again. 
I’ve been eating very poorly. The worst of it being mostly chocolate. Well today I had a banana. And it was bad. It was the first and only thing I ate today and it cause so much acid reflux and severe pain stabbing in my upper right chest all the way through to my shoulder blade. As well as straight down my body. Then I had massive reflux and the pain started to switch to the left side of my body as it slowly subsided. The whole ordeal lasted about 15-20 minutes. 
I’ve had pain like this before but never over a banana. Which isn’t banana supposed to be good for reflux?
Is this just a result of bad eating? I ate the banana on an empty stomach. And while my stomach was empty I was absolutely fine.</t>
        </is>
      </c>
      <c r="D4526" t="n">
        <v>1</v>
      </c>
      <c r="E4526" t="n">
        <v>0</v>
      </c>
      <c r="F4526">
        <f>HYPERLINK("https://www.reddit.com/r/GERD/comments/elf3ti/severe_chest_pain_with_mild_acid_reflux_after/")</f>
        <v/>
      </c>
      <c r="G4526" t="inlineStr">
        <is>
          <t>2020-01-07 10:03:02</t>
        </is>
      </c>
      <c r="H4526" t="inlineStr"/>
    </row>
    <row r="4527">
      <c r="A4527" t="inlineStr">
        <is>
          <t>elf5dd</t>
        </is>
      </c>
      <c r="B4527" t="inlineStr">
        <is>
          <t>Recently got diagnosed with GERD</t>
        </is>
      </c>
      <c r="C4527" t="inlineStr">
        <is>
          <t>So i woke up with a sore throat, and it got worse through out the day. Now it feels like something is stuck in my throat and it feels stiff. Is this normal and what can i do regarding it.??</t>
        </is>
      </c>
      <c r="D4527" t="n">
        <v>1</v>
      </c>
      <c r="E4527" t="n">
        <v>4</v>
      </c>
      <c r="F4527">
        <f>HYPERLINK("https://www.reddit.com/r/GERD/comments/elf5dd/recently_got_diagnosed_with_gerd/")</f>
        <v/>
      </c>
      <c r="G4527" t="inlineStr">
        <is>
          <t>2020-01-07 10:05:58</t>
        </is>
      </c>
      <c r="H4527" t="inlineStr"/>
    </row>
    <row r="4528">
      <c r="A4528" t="inlineStr">
        <is>
          <t>elffy7</t>
        </is>
      </c>
      <c r="B4528" t="inlineStr">
        <is>
          <t>My theory on "atypical" symptoms of GERD</t>
        </is>
      </c>
      <c r="C4528" t="inlineStr">
        <is>
          <t>Just throwing this out there.  First of all, "atypical symptoms" usually means symptoms that traditional medicine considers rare or can't explain.  For all of you who are experiencing GERD plus symptoms such as:
* Burning/prickly heat pain in completely unrelated areas like face, arms and legs
* Cardiac events such as afib
* Joint/muscle pain
* Involuntary swallowing
* anxiety
I believe this is due to irritation of the vagus nerve which can be exacerbated by a hiatal hernia (the vagus nerve passes right through the hiatus). Since the vagus nerve innervates quite a bit of our systems and communicates directly to the brain, all of the above symptoms (and more) make sense.
I am not a medical professional. Just a fellow sufferer who has thought about this a lot.</t>
        </is>
      </c>
      <c r="D4528" t="n">
        <v>1</v>
      </c>
      <c r="E4528" t="n">
        <v>2</v>
      </c>
      <c r="F4528">
        <f>HYPERLINK("https://www.reddit.com/r/GERD/comments/elffy7/my_theory_on_atypical_symptoms_of_gerd/")</f>
        <v/>
      </c>
      <c r="G4528" t="inlineStr">
        <is>
          <t>2020-01-07 10:26:38</t>
        </is>
      </c>
      <c r="H4528" t="inlineStr"/>
    </row>
    <row r="4529">
      <c r="A4529" t="inlineStr">
        <is>
          <t>elfwfw</t>
        </is>
      </c>
      <c r="B4529" t="inlineStr">
        <is>
          <t>Ppi not working</t>
        </is>
      </c>
      <c r="C4529" t="inlineStr">
        <is>
          <t>Hello, for 2 week now I have these symptom :
- stomach/belly  bloating
- heart burn 
- pain in esophagus when I swallow 
- inflammated mouth 
Im taking ppi at 80 mg /day for 5 days now and I didn't see much improvement 
I have Gerd for years but it wasnt so severe 
M in a huge anxiety for 1 month now! Maybe it's anxiety? 
Will ask my doc for an endoscopy tomorrow</t>
        </is>
      </c>
      <c r="D4529" t="n">
        <v>1</v>
      </c>
      <c r="E4529" t="n">
        <v>4</v>
      </c>
      <c r="F4529">
        <f>HYPERLINK("https://www.reddit.com/r/GERD/comments/elfwfw/ppi_not_working/")</f>
        <v/>
      </c>
      <c r="G4529" t="inlineStr">
        <is>
          <t>2020-01-07 10:58:21</t>
        </is>
      </c>
      <c r="H4529" t="inlineStr"/>
    </row>
    <row r="4530">
      <c r="A4530" t="inlineStr">
        <is>
          <t>elgjau</t>
        </is>
      </c>
      <c r="B4530" t="inlineStr">
        <is>
          <t>Does anyone get extreme nausea with their GERD?</t>
        </is>
      </c>
      <c r="C4530" t="inlineStr">
        <is>
          <t>I am pretty sure I have GERD, burning in my stomach and the back of my throat. Definitly gets worse with specific foods but something I am struggling with the most is the severe nausea. Almost every single night I wake up thinking I am going to throw up but never do. This has been going on for MONTHS. 
Is this common with GERD? Any home remedies to subdue the nausea?</t>
        </is>
      </c>
      <c r="D4530" t="n">
        <v>1</v>
      </c>
      <c r="E4530" t="n">
        <v>27</v>
      </c>
      <c r="F4530">
        <f>HYPERLINK("https://www.reddit.com/r/GERD/comments/elgjau/does_anyone_get_extreme_nausea_with_their_gerd/")</f>
        <v/>
      </c>
      <c r="G4530" t="inlineStr">
        <is>
          <t>2020-01-07 11:43:07</t>
        </is>
      </c>
      <c r="H4530" t="inlineStr"/>
    </row>
    <row r="4531">
      <c r="A4531" t="inlineStr">
        <is>
          <t>elhoh0</t>
        </is>
      </c>
      <c r="B4531" t="inlineStr">
        <is>
          <t>What did you take while waiting for your prescription to start working?</t>
        </is>
      </c>
      <c r="C4531" t="inlineStr">
        <is>
          <t>I’m on week 3 of omeprazol so hoping it kicks in but in the mean time I need something. I swear I could go through bottles of pepto or mylanta with little relief. What do you guys use? Also my primary issue is nausea which may or may not be accompanied by a sore/burning throat or sternal area</t>
        </is>
      </c>
      <c r="D4531" t="n">
        <v>1</v>
      </c>
      <c r="E4531" t="n">
        <v>4</v>
      </c>
      <c r="F4531">
        <f>HYPERLINK("https://www.reddit.com/r/GERD/comments/elhoh0/what_did_you_take_while_waiting_for_your/")</f>
        <v/>
      </c>
      <c r="G4531" t="inlineStr">
        <is>
          <t>2020-01-07 13:01:30</t>
        </is>
      </c>
      <c r="H4531" t="inlineStr"/>
    </row>
    <row r="4532">
      <c r="A4532" t="inlineStr">
        <is>
          <t>elizwg</t>
        </is>
      </c>
      <c r="B4532" t="inlineStr">
        <is>
          <t>Doctor Made Nissen Sound Super Scary. Opinions?</t>
        </is>
      </c>
      <c r="C4532" t="inlineStr">
        <is>
          <t>So I finally got in to see a stomach surgeon after a literal year of jumping through hoops having awful tests &amp;amp; trying meds that do. NOT. WORK.  Even a little bit.  He told me I definitely have refractory GERD but also described the risks of the Nissen surgery in a way that really set off my anxiety.  My mom was with me &amp;amp; also came away scared.  
Some of the risks included a 3% risk of esophageal tear which would likely lead to death (that was the worst) but he also mentioned lung collapse requiring a chest tube insertion (!!!) &amp;amp; said the surgery was risky in general because of the proximity of the stomach to the other organs like the liver &amp;amp; spleen.  I'm in my 30's &amp;amp; he said he "wouldn't think it was crazy for a young person like me to not have the surgery" &amp;amp; keep taking meds that don't work.  Umm, what?  
From everything I've read, Nissen is not supposed to be that deadly or dangerous.  Maybe he was just obligated to tell me all the worst-case scenarios of what COULD happen?  I've never had any surgery so I don't know if this is normal.  I feel like all these GI doctors are leaving too much up to me, as if *I'M* the expert.  Which I'm not.  I feel I need to talk to more experts before deciding whether to have the surgery (with this surgeon) or at all.  Ugh.  I have horrid anxiety so this is all too much.  
They're doing a barium x-ray next to confirm whether I have a hiatal hernia because tests have given conflicting results on THAT in the past.  My endoscopy was almost unreadable because my stomach is "j-shaped" so I don't know if they even understand the layout of my insides!  Would rather they know what they're getting into before cutting me open...
The doc was extremely flat &amp;amp; lacking emotion.  I just couldn't get a read on him.  Just wish there was someone I could talk to who has had the procedure or knows firsthand whether I'm likely to walk out worse off.  I have zero quality of life as it is for the past 5 years.  Have lost 34 lbs. in about 5 months &amp;amp; can't eat anything but rice/crackers basically.  I'm way past the point of special diets &amp;amp; such; just need to know whether this surgery is likely to kill/maim me.  Hah.  
Thanks!</t>
        </is>
      </c>
      <c r="D4532" t="n">
        <v>1</v>
      </c>
      <c r="E4532" t="n">
        <v>10</v>
      </c>
      <c r="F4532">
        <f>HYPERLINK("https://www.reddit.com/r/GERD/comments/elizwg/doctor_made_nissen_sound_super_scary_opinions/")</f>
        <v/>
      </c>
      <c r="G4532" t="inlineStr">
        <is>
          <t>2020-01-07 14:32:17</t>
        </is>
      </c>
      <c r="H4532" t="inlineStr"/>
    </row>
    <row r="4533">
      <c r="A4533" t="inlineStr">
        <is>
          <t>elj04q</t>
        </is>
      </c>
      <c r="B4533" t="inlineStr">
        <is>
          <t>Aloe vera juice?</t>
        </is>
      </c>
      <c r="C4533" t="inlineStr">
        <is>
          <t>Anyone else taking aloe vera juice for their GERD? I’m taking it for nausea, regurgitation, burning pain in stomach.
I’m taking it twice a day, once in the morning and at night. Is this the most effective way of taking it? 
Anyone see improvements?</t>
        </is>
      </c>
      <c r="D4533" t="n">
        <v>1</v>
      </c>
      <c r="E4533" t="n">
        <v>4</v>
      </c>
      <c r="F4533">
        <f>HYPERLINK("https://www.reddit.com/r/GERD/comments/elj04q/aloe_vera_juice/")</f>
        <v/>
      </c>
      <c r="G4533" t="inlineStr">
        <is>
          <t>2020-01-07 14:32:48</t>
        </is>
      </c>
      <c r="H4533" t="inlineStr"/>
    </row>
    <row r="4534">
      <c r="A4534" t="inlineStr">
        <is>
          <t>eljrwx</t>
        </is>
      </c>
      <c r="B4534" t="inlineStr">
        <is>
          <t>Cobblestone throat ?</t>
        </is>
      </c>
      <c r="C4534" t="inlineStr">
        <is>
          <t>Has anyone here successfully gotten rid of cobblestone throat? and how long did it take ?</t>
        </is>
      </c>
      <c r="D4534" t="n">
        <v>1</v>
      </c>
      <c r="E4534" t="n">
        <v>1</v>
      </c>
      <c r="F4534">
        <f>HYPERLINK("https://www.reddit.com/r/GERD/comments/eljrwx/cobblestone_throat/")</f>
        <v/>
      </c>
      <c r="G4534" t="inlineStr">
        <is>
          <t>2020-01-07 15:28:23</t>
        </is>
      </c>
      <c r="H4534" t="inlineStr"/>
    </row>
    <row r="4535">
      <c r="A4535" t="inlineStr">
        <is>
          <t>elk29n</t>
        </is>
      </c>
      <c r="B4535" t="inlineStr">
        <is>
          <t>Heads up</t>
        </is>
      </c>
      <c r="C4535" t="inlineStr">
        <is>
          <t>For years I've been suffering from what my doc was told me was GERD. Turns out after emergency surgery the night before last it was my gallbladder the entire time.
So if you haven't talked to your doc about this being a possibility, please do. Everything makes more sense now.
Have a good night all!</t>
        </is>
      </c>
      <c r="D4535" t="n">
        <v>1</v>
      </c>
      <c r="E4535" t="n">
        <v>6</v>
      </c>
      <c r="F4535">
        <f>HYPERLINK("https://www.reddit.com/r/GERD/comments/elk29n/heads_up/")</f>
        <v/>
      </c>
      <c r="G4535" t="inlineStr">
        <is>
          <t>2020-01-07 15:49:06</t>
        </is>
      </c>
      <c r="H4535" t="inlineStr"/>
    </row>
    <row r="4536">
      <c r="A4536" t="inlineStr">
        <is>
          <t>elkmfi</t>
        </is>
      </c>
      <c r="B4536" t="inlineStr">
        <is>
          <t>Omeprozle suddenly making me feel extremely full when eating?</t>
        </is>
      </c>
      <c r="C4536" t="inlineStr">
        <is>
          <t>I’m hoping someone here has had anything relatable since doctors seem to be failing me. Some context 29 year old male, diagnosed with “GERD” 6 years old. Have taken 20 mg omeprozole every day since daily. In the last 2 months I cannot eat even a tiny bit of food without feeling extremely full for upwards of 5-7 hours. I get extremely bloated can’t stop burping and just feel overall bad. So 2 weeks ago I stopped taking omeprozle completely after weaning myself off. Immediately did not feel full, after eating stopped belching etc. However what I assumed was “rebound reflux” was back with a vengeance and I basically have reflux as soon as I eat something now for hours after. I’ve tried brags apple cider vinegar which seemed to help initially which made me think low stomach acid, but now I’m still getting reflux. I took a Pepcid tonight after dinner and IMMEDIATE feeling of the fullness, bleaching etc. 
I’m torn, either take it and feel absolutely horribly full and bleach non stop, or don’t take it and get horrible acid reflux. Anyone have any similar experience? What did you do, what did it turn out to be?
Could use any advice.</t>
        </is>
      </c>
      <c r="D4536" t="n">
        <v>1</v>
      </c>
      <c r="E4536" t="n">
        <v>15</v>
      </c>
      <c r="F4536">
        <f>HYPERLINK("https://www.reddit.com/r/GERD/comments/elkmfi/omeprozle_suddenly_making_me_feel_extremely_full/")</f>
        <v/>
      </c>
      <c r="G4536" t="inlineStr">
        <is>
          <t>2020-01-07 16:30:45</t>
        </is>
      </c>
      <c r="H4536" t="inlineStr"/>
    </row>
    <row r="4537">
      <c r="A4537" t="inlineStr">
        <is>
          <t>elkmmi</t>
        </is>
      </c>
      <c r="B4537" t="inlineStr">
        <is>
          <t>Bad flare up, frustrated and feeling down</t>
        </is>
      </c>
      <c r="C4537" t="inlineStr">
        <is>
          <t>Having a bad flare up, difficulty breathing in and chest pain. Didn’t eat anything adventurous , just drank water. Been eating tums like peanuts at the bar. 
I stopped my carafate per doctor recommendation about a week ago and I think I’m feeling the effects. 
I wouldn’t wish this on my worst enemy, counting down the days to my LINX consultation.</t>
        </is>
      </c>
      <c r="D4537" t="n">
        <v>1</v>
      </c>
      <c r="E4537" t="n">
        <v>8</v>
      </c>
      <c r="F4537">
        <f>HYPERLINK("https://www.reddit.com/r/GERD/comments/elkmmi/bad_flare_up_frustrated_and_feeling_down/")</f>
        <v/>
      </c>
      <c r="G4537" t="inlineStr">
        <is>
          <t>2020-01-07 16:31:13</t>
        </is>
      </c>
      <c r="H4537" t="inlineStr"/>
    </row>
    <row r="4538">
      <c r="A4538" t="inlineStr">
        <is>
          <t>elnznb</t>
        </is>
      </c>
      <c r="B4538" t="inlineStr">
        <is>
          <t>GERD and the Vagus Nerve</t>
        </is>
      </c>
      <c r="C4538" t="inlineStr">
        <is>
          <t>My problems all started one day back in August initially with TONS of heart palpitations. These heart palpitations eventually blended into the feeling of food stuck in my throat and then into GERD. The more reading I do about GERD the more it seems to be tied into the Vagus Nerve. I believe healing this nerve can help with both my heart palpitations and possible GERD. 
Have anyone of you experienced something similar and if so how does one improve the vagus nerve or heal it?</t>
        </is>
      </c>
      <c r="D4538" t="n">
        <v>1</v>
      </c>
      <c r="E4538" t="n">
        <v>21</v>
      </c>
      <c r="F4538">
        <f>HYPERLINK("https://www.reddit.com/r/GERD/comments/elnznb/gerd_and_the_vagus_nerve/")</f>
        <v/>
      </c>
      <c r="G4538" t="inlineStr">
        <is>
          <t>2020-01-07 20:57:53</t>
        </is>
      </c>
      <c r="H4538" t="inlineStr"/>
    </row>
    <row r="4539">
      <c r="A4539" t="inlineStr">
        <is>
          <t>elu8wx</t>
        </is>
      </c>
      <c r="B4539" t="inlineStr">
        <is>
          <t>Is water brash real?</t>
        </is>
      </c>
      <c r="C4539" t="inlineStr">
        <is>
          <t>I think it is. Now I can’t even drink water?  WTF!?!</t>
        </is>
      </c>
      <c r="D4539" t="n">
        <v>1</v>
      </c>
      <c r="E4539" t="n">
        <v>7</v>
      </c>
      <c r="F4539">
        <f>HYPERLINK("https://www.reddit.com/r/GERD/comments/elu8wx/is_water_brash_real/")</f>
        <v/>
      </c>
      <c r="G4539" t="inlineStr">
        <is>
          <t>2020-01-08 07:34:50</t>
        </is>
      </c>
      <c r="H4539" t="inlineStr"/>
    </row>
    <row r="4540">
      <c r="A4540" t="inlineStr">
        <is>
          <t>elunvq</t>
        </is>
      </c>
      <c r="B4540" t="inlineStr">
        <is>
          <t>5 weeks after Linx Surgery and burping or swallowing air</t>
        </is>
      </c>
      <c r="C4540" t="inlineStr">
        <is>
          <t>For those who've had the Linx surgery for GERD. Had Linx surgery five weeks ago. The past 3-4 weeks, I wake up feeling like my stomach is full of air, burping, nausea which only worsens when I sip water in the morning. I can barely eat anything without dry heaving because I'm so nauseated. Is this common, normal, or could the Linx be out of place? Feel like I have constant air in my stomach. Get burping just sipping water. Feel overall lousy</t>
        </is>
      </c>
      <c r="D4540" t="n">
        <v>1</v>
      </c>
      <c r="E4540" t="n">
        <v>12</v>
      </c>
      <c r="F4540">
        <f>HYPERLINK("https://www.reddit.com/r/GERD/comments/elunvq/5_weeks_after_linx_surgery_and_burping_or/")</f>
        <v/>
      </c>
      <c r="G4540" t="inlineStr">
        <is>
          <t>2020-01-08 08:05:03</t>
        </is>
      </c>
      <c r="H4540" t="inlineStr"/>
    </row>
    <row r="4541">
      <c r="A4541" t="inlineStr">
        <is>
          <t>elurda</t>
        </is>
      </c>
      <c r="B4541" t="inlineStr">
        <is>
          <t>PPI &amp;amp; long term use</t>
        </is>
      </c>
      <c r="C4541" t="inlineStr">
        <is>
          <t>Any people here who been taking PPI’s for many years? Have you developed any issues from long term use? What does your doctor say about your long time use?</t>
        </is>
      </c>
      <c r="D4541" t="n">
        <v>1</v>
      </c>
      <c r="E4541" t="n">
        <v>10</v>
      </c>
      <c r="F4541">
        <f>HYPERLINK("https://www.reddit.com/r/GERD/comments/elurda/ppi_long_term_use/")</f>
        <v/>
      </c>
      <c r="G4541" t="inlineStr">
        <is>
          <t>2020-01-08 08:12:10</t>
        </is>
      </c>
      <c r="H4541" t="inlineStr"/>
    </row>
    <row r="4542">
      <c r="A4542" t="inlineStr">
        <is>
          <t>elvj20</t>
        </is>
      </c>
      <c r="B4542" t="inlineStr">
        <is>
          <t>Can young people get barret esophagus</t>
        </is>
      </c>
      <c r="C4542" t="inlineStr">
        <is>
          <t>Hello my endoscopy is in 1 week and I'm really afraid of barret
I'm 23 years old
2 years ago I did an endoscopy and they just found erosive esophagitis
Can I get barret within 2 years?</t>
        </is>
      </c>
      <c r="D4542" t="n">
        <v>1</v>
      </c>
      <c r="E4542" t="n">
        <v>27</v>
      </c>
      <c r="F4542">
        <f>HYPERLINK("https://www.reddit.com/r/GERD/comments/elvj20/can_young_people_get_barret_esophagus/")</f>
        <v/>
      </c>
      <c r="G4542" t="inlineStr">
        <is>
          <t>2020-01-08 09:08:31</t>
        </is>
      </c>
      <c r="H4542" t="inlineStr"/>
    </row>
    <row r="4543">
      <c r="A4543" t="inlineStr">
        <is>
          <t>elw9hu</t>
        </is>
      </c>
      <c r="B4543" t="inlineStr">
        <is>
          <t>Fatigue</t>
        </is>
      </c>
      <c r="C4543" t="inlineStr">
        <is>
          <t>I had lots of acid reflux following a stressful time last year. Ever since then i’ve been on zantac. 
I stopped taking it because my symptoms got under control then i heard about the recall. The past 2-3 weeks have been horrible and so i just started taking pepcid. 
Im nervous about side effects ofc. I cant find anywhere where it says how long after taking a dose do side effects start. 
I also feel fucking tired all the damn time and its really annoying/depressing. If fatigue a symptom of gerd with you guys as well and how do you deal with it? 
TL:DR/ On pepcid now worried about side effects and im tired all the time</t>
        </is>
      </c>
      <c r="D4543" t="n">
        <v>1</v>
      </c>
      <c r="E4543" t="n">
        <v>6</v>
      </c>
      <c r="F4543">
        <f>HYPERLINK("https://www.reddit.com/r/GERD/comments/elw9hu/fatigue/")</f>
        <v/>
      </c>
      <c r="G4543" t="inlineStr">
        <is>
          <t>2020-01-08 10:01:29</t>
        </is>
      </c>
      <c r="H4543" t="inlineStr"/>
    </row>
    <row r="4544">
      <c r="A4544" t="inlineStr">
        <is>
          <t>elx3oj</t>
        </is>
      </c>
      <c r="B4544" t="inlineStr">
        <is>
          <t>What exercises are safe when you have a hiatal hernia</t>
        </is>
      </c>
      <c r="C4544" t="inlineStr">
        <is>
          <t>I know I can't do things like abdominal crunches, but I still feel like I need to exercise to stay healthy.  And some of the exercise needs to be weight bearing (as opposed to aerobic).  What kinds of exercise are folks out there who have hiatal hernias doing?</t>
        </is>
      </c>
      <c r="D4544" t="n">
        <v>1</v>
      </c>
      <c r="E4544" t="n">
        <v>15</v>
      </c>
      <c r="F4544">
        <f>HYPERLINK("https://www.reddit.com/r/GERD/comments/elx3oj/what_exercises_are_safe_when_you_have_a_hiatal/")</f>
        <v/>
      </c>
      <c r="G4544" t="inlineStr">
        <is>
          <t>2020-01-08 11:00:53</t>
        </is>
      </c>
      <c r="H4544" t="inlineStr"/>
    </row>
    <row r="4545">
      <c r="A4545" t="inlineStr">
        <is>
          <t>elxh87</t>
        </is>
      </c>
      <c r="B4545" t="inlineStr">
        <is>
          <t>My experience - fixed?</t>
        </is>
      </c>
      <c r="C4545" t="inlineStr">
        <is>
          <t>Hi guys, I was suffering from nighttime reflux, slow gut motility, bloating, etc for the last few years, I have even made some topics on this subreddit.
Turns out, my issue stemmed from a hypoactive thyroid. A thyroid ultrasound revealed no autoimmune attack evidence, so I seem to be in the small group who have *just* hypothyroidism. I have been eating a brazil nut and 1/2 teaspoon of iodized salt a day and the gut (and energy, and other) issues seem to have subsided.
Just giving anyone else a heads up who might have thyroid induced gut problems.</t>
        </is>
      </c>
      <c r="D4545" t="n">
        <v>1</v>
      </c>
      <c r="E4545" t="n">
        <v>6</v>
      </c>
      <c r="F4545">
        <f>HYPERLINK("https://www.reddit.com/r/GERD/comments/elxh87/my_experience_fixed/")</f>
        <v/>
      </c>
      <c r="G4545" t="inlineStr">
        <is>
          <t>2020-01-08 11:27:11</t>
        </is>
      </c>
      <c r="H4545" t="inlineStr"/>
    </row>
    <row r="4546">
      <c r="A4546" t="inlineStr">
        <is>
          <t>ely9e4</t>
        </is>
      </c>
      <c r="B4546" t="inlineStr">
        <is>
          <t>Any one here vegan?</t>
        </is>
      </c>
      <c r="C4546" t="inlineStr">
        <is>
          <t>So many recipes involve acids and tomato’s! Is there a go to website for you for recipes or ideas?</t>
        </is>
      </c>
      <c r="D4546" t="n">
        <v>1</v>
      </c>
      <c r="E4546" t="n">
        <v>11</v>
      </c>
      <c r="F4546">
        <f>HYPERLINK("https://www.reddit.com/r/GERD/comments/ely9e4/any_one_here_vegan/")</f>
        <v/>
      </c>
      <c r="G4546" t="inlineStr">
        <is>
          <t>2020-01-08 12:22:49</t>
        </is>
      </c>
      <c r="H4546" t="inlineStr"/>
    </row>
    <row r="4547">
      <c r="A4547" t="inlineStr">
        <is>
          <t>elyv4n</t>
        </is>
      </c>
      <c r="B4547" t="inlineStr">
        <is>
          <t>What meats do you struggle to eat?</t>
        </is>
      </c>
      <c r="C4547" t="inlineStr">
        <is>
          <t>More specifically, do some meats make you feel sick, get stuck in your throat, repeat on you or anything else.
For me, I find that minced meat is hard to eat. Every time I have it, it gets stuck in my throat and keeps repeating on me.</t>
        </is>
      </c>
      <c r="D4547" t="n">
        <v>1</v>
      </c>
      <c r="E4547" t="n">
        <v>8</v>
      </c>
      <c r="F4547">
        <f>HYPERLINK("https://www.reddit.com/r/GERD/comments/elyv4n/what_meats_do_you_struggle_to_eat/")</f>
        <v/>
      </c>
      <c r="G4547" t="inlineStr">
        <is>
          <t>2020-01-08 13:04:19</t>
        </is>
      </c>
      <c r="H4547" t="inlineStr"/>
    </row>
    <row r="4548">
      <c r="A4548" t="inlineStr">
        <is>
          <t>em025q</t>
        </is>
      </c>
      <c r="B4548" t="inlineStr">
        <is>
          <t>Dissolvable Omeprazole?</t>
        </is>
      </c>
      <c r="C4548" t="inlineStr">
        <is>
          <t>Anyone used this form of omeprazole today? I seen it at Walmart when I was picking some up. Strawberry flavored dissolvable tablet. Apparently you just let it sit and dissolve in your mouth.
This was a great find for me because I’ve been wanting to ween myself off the omeprazole. I can’t swallow capsules because they get lodged in my throat, and can’t seem with the hard tablets because they are enteric coated and can’t be split. Doing every other day sent me into rebound so I’ve just been stuck taking them. 
But these dissolvable tablets can be split in half’s or quarters. I feel like weening off this way is going to be the way to go for me. 
Just curious if anyone takes these and if thy are just as effective as the capsules and enteric coated tablets.</t>
        </is>
      </c>
      <c r="D4548" t="n">
        <v>1</v>
      </c>
      <c r="E4548" t="n">
        <v>7</v>
      </c>
      <c r="F4548">
        <f>HYPERLINK("https://www.reddit.com/r/GERD/comments/em025q/dissolvable_omeprazole/")</f>
        <v/>
      </c>
      <c r="G4548" t="inlineStr">
        <is>
          <t>2020-01-08 14:27:22</t>
        </is>
      </c>
      <c r="H4548" t="inlineStr"/>
    </row>
    <row r="4549">
      <c r="A4549" t="inlineStr">
        <is>
          <t>em102i</t>
        </is>
      </c>
      <c r="B4549" t="inlineStr">
        <is>
          <t>3 Hour Hernia Attack Today</t>
        </is>
      </c>
      <c r="C4549" t="inlineStr">
        <is>
          <t>Anyone have any tips on what to take or do when the hernia flares up? It really fucking hurts I have an intense job I’m screwing up because I’m in such pain. I don’t know if it’s sliding or whatever doc said it’s small have a followup Jan 16. After scope we talked a bit but I just woke up and knew nothing about a hernia. I do now. I feel it most of the time.  Did some breathing exercises did nothing. I don’t even know what set it off had rice and beans for lunch (rice did have garlic and onion powder but cmon).</t>
        </is>
      </c>
      <c r="D4549" t="n">
        <v>1</v>
      </c>
      <c r="E4549" t="n">
        <v>5</v>
      </c>
      <c r="F4549">
        <f>HYPERLINK("https://www.reddit.com/r/GERD/comments/em102i/3_hour_hernia_attack_today/")</f>
        <v/>
      </c>
      <c r="G4549" t="inlineStr">
        <is>
          <t>2020-01-08 15:38:33</t>
        </is>
      </c>
      <c r="H4549" t="inlineStr"/>
    </row>
    <row r="4550">
      <c r="A4550" t="inlineStr">
        <is>
          <t>em1kb9</t>
        </is>
      </c>
      <c r="B4550" t="inlineStr">
        <is>
          <t>Burping ALL THE TIME</t>
        </is>
      </c>
      <c r="C4550" t="inlineStr">
        <is>
          <t>Ugh, I burp all the time. It’s definitely worse after eating, but it can go on all day. I also feel a weird nausea sensation in my throat for most of the day. I don’t have any burning feelings, though. I’m not overweight, I don’t smoke, I hardly ever drink. The doctor put me on 40mg omeprazole and I’m not sure that it has helped all that much. Is this really GERD? What do I do next?</t>
        </is>
      </c>
      <c r="D4550" t="n">
        <v>1</v>
      </c>
      <c r="E4550" t="n">
        <v>2</v>
      </c>
      <c r="F4550">
        <f>HYPERLINK("https://www.reddit.com/r/GERD/comments/em1kb9/burping_all_the_time/")</f>
        <v/>
      </c>
      <c r="G4550" t="inlineStr">
        <is>
          <t>2020-01-08 16:20:32</t>
        </is>
      </c>
      <c r="H4550" t="inlineStr"/>
    </row>
    <row r="4551">
      <c r="A4551" t="inlineStr">
        <is>
          <t>em1r1n</t>
        </is>
      </c>
      <c r="B4551" t="inlineStr">
        <is>
          <t>Is it typical for GERD symptoms to come and go months at a time?</t>
        </is>
      </c>
      <c r="C4551" t="inlineStr">
        <is>
          <t>I visited a new gastro today and he told me that it's common for GERD to "come and go". He said that he's seen people who have GERD symptoms for several months, then they're ok (meaning mostly symptom free) for a while, and then it comes back again, in a cyclical manner. I've never heard of this before and I can't seem to find any references describing this phenomenon. Has anyone experienced or heard of something like this before?</t>
        </is>
      </c>
      <c r="D4551" t="n">
        <v>1</v>
      </c>
      <c r="E4551" t="n">
        <v>8</v>
      </c>
      <c r="F4551">
        <f>HYPERLINK("https://www.reddit.com/r/GERD/comments/em1r1n/is_it_typical_for_gerd_symptoms_to_come_and_go/")</f>
        <v/>
      </c>
      <c r="G4551" t="inlineStr">
        <is>
          <t>2020-01-08 16:34:17</t>
        </is>
      </c>
      <c r="H4551" t="inlineStr"/>
    </row>
    <row r="4552">
      <c r="A4552" t="inlineStr">
        <is>
          <t>em2xp0</t>
        </is>
      </c>
      <c r="B4552" t="inlineStr">
        <is>
          <t>Mononucleosis</t>
        </is>
      </c>
      <c r="C4552" t="inlineStr">
        <is>
          <t>Has anyone else here been able to pinpoint their symptoms to contracting mono as a teen/young adult? I just realized that I started getting worsening heartburn soon after I was diagnosed with mono. I’m wondering if there might be a correlation for anyone else?</t>
        </is>
      </c>
      <c r="D4552" t="n">
        <v>1</v>
      </c>
      <c r="E4552" t="n">
        <v>1</v>
      </c>
      <c r="F4552">
        <f>HYPERLINK("https://www.reddit.com/r/GERD/comments/em2xp0/mononucleosis/")</f>
        <v/>
      </c>
      <c r="G4552" t="inlineStr">
        <is>
          <t>2020-01-08 18:10:04</t>
        </is>
      </c>
      <c r="H4552" t="inlineStr"/>
    </row>
    <row r="4553">
      <c r="A4553" t="inlineStr">
        <is>
          <t>em3ne8</t>
        </is>
      </c>
      <c r="B4553" t="inlineStr">
        <is>
          <t>GERD and weight loss?</t>
        </is>
      </c>
      <c r="C4553" t="inlineStr">
        <is>
          <t>Hi all! 
About 3 years ago I was diagnosed with GERD. got an endoscopy, and a colonoscopy that we’re fine. It went away for like 3 years and then this summer came back and went away again in the fall and it’s back again with vengeance. In the last month I’ve lost 20 lbs. This may seem great to you, but I am now 93 lbs and only 5’5 (21 f for reference). Could this be something more than gerd? I’m setting up an appointment with a GI but probably won’t get seen for months. I take 40mg of Omeprazole twice a day.</t>
        </is>
      </c>
      <c r="D4553" t="n">
        <v>1</v>
      </c>
      <c r="E4553" t="n">
        <v>8</v>
      </c>
      <c r="F4553">
        <f>HYPERLINK("https://www.reddit.com/r/GERD/comments/em3ne8/gerd_and_weight_loss/")</f>
        <v/>
      </c>
      <c r="G4553" t="inlineStr">
        <is>
          <t>2020-01-08 19:07:42</t>
        </is>
      </c>
      <c r="H4553" t="inlineStr"/>
    </row>
    <row r="4554">
      <c r="A4554" t="inlineStr">
        <is>
          <t>em4fzj</t>
        </is>
      </c>
      <c r="B4554" t="inlineStr">
        <is>
          <t>Why would I be getting worse?</t>
        </is>
      </c>
      <c r="C4554" t="inlineStr">
        <is>
          <t>Hello all, I (21m) have gone through many years of reflux treatment that have been entirely unproductive. I used to feel severe reflux when my stomach was empty, accompanied by nausea. Now, I have reflux when my stomach is empty but also when it's full and often at random times in between – I mean, it's almost constant. PPIs are ineffective for me, bed is elevated, diet is adjusted, etc. I'm in pretty good physical shape and take good care of myself, but it feels like my GERD just gets one notch worse every few months. Could this just be a process of aging? An extremely long flare up stacked on top of another flare up? Does anybody have any idea why I might be getting worse?</t>
        </is>
      </c>
      <c r="D4554" t="n">
        <v>1</v>
      </c>
      <c r="E4554" t="n">
        <v>3</v>
      </c>
      <c r="F4554">
        <f>HYPERLINK("https://www.reddit.com/r/GERD/comments/em4fzj/why_would_i_be_getting_worse/")</f>
        <v/>
      </c>
      <c r="G4554" t="inlineStr">
        <is>
          <t>2020-01-08 20:14:43</t>
        </is>
      </c>
      <c r="H4554" t="inlineStr"/>
    </row>
    <row r="4555">
      <c r="A4555" t="inlineStr">
        <is>
          <t>em4knv</t>
        </is>
      </c>
      <c r="B4555" t="inlineStr">
        <is>
          <t>Stomach Pain?</t>
        </is>
      </c>
      <c r="C4555" t="inlineStr">
        <is>
          <t>Hey everyone, in 19M and I just had GERD (self because of burping and heart burn. But my doctor said it's gastritis). I had it for 4 months now and on the 3rd month I was prescribed pantoprazole. Ever since taking it, I've noticed I'm having more discomfort in my stomach and the heartburn is not disappearing, would this be normal and should I stop taking the pill all together? Or is the stomach discomfort (in various area) just part of GERD or the PPI (pantoprazole)</t>
        </is>
      </c>
      <c r="D4555" t="n">
        <v>1</v>
      </c>
      <c r="E4555" t="n">
        <v>7</v>
      </c>
      <c r="F4555">
        <f>HYPERLINK("https://www.reddit.com/r/GERD/comments/em4knv/stomach_pain/")</f>
        <v/>
      </c>
      <c r="G4555" t="inlineStr">
        <is>
          <t>2020-01-08 20:26:28</t>
        </is>
      </c>
      <c r="H4555" t="inlineStr"/>
    </row>
    <row r="4556">
      <c r="A4556" t="inlineStr">
        <is>
          <t>em4znm</t>
        </is>
      </c>
      <c r="B4556" t="inlineStr">
        <is>
          <t>Vagus Nerve Heart Palpitations</t>
        </is>
      </c>
      <c r="C4556" t="inlineStr">
        <is>
          <t>Is there a way to fix this problem? I have a hiatal hernia and a panic disorder because of it. I can't do anything strenuous or my heart will just beat sporadically without settling down. I need to start working out again but I am scared.</t>
        </is>
      </c>
      <c r="D4556" t="n">
        <v>1</v>
      </c>
      <c r="E4556" t="n">
        <v>12</v>
      </c>
      <c r="F4556">
        <f>HYPERLINK("https://www.reddit.com/r/GERD/comments/em4znm/vagus_nerve_heart_palpitations/")</f>
        <v/>
      </c>
      <c r="G4556" t="inlineStr">
        <is>
          <t>2020-01-08 21:05:18</t>
        </is>
      </c>
      <c r="H4556" t="inlineStr"/>
    </row>
    <row r="4557">
      <c r="A4557" t="inlineStr">
        <is>
          <t>em53pp</t>
        </is>
      </c>
      <c r="B4557" t="inlineStr">
        <is>
          <t>Gall bladder and gerd???</t>
        </is>
      </c>
      <c r="C4557" t="inlineStr">
        <is>
          <t>I had all the test done I thought I was going to get linx but they all came back normal and my doc says it’s my gall bladder has anyone else gone through this</t>
        </is>
      </c>
      <c r="D4557" t="n">
        <v>1</v>
      </c>
      <c r="E4557" t="n">
        <v>7</v>
      </c>
      <c r="F4557">
        <f>HYPERLINK("https://www.reddit.com/r/GERD/comments/em53pp/gall_bladder_and_gerd/")</f>
        <v/>
      </c>
      <c r="G4557" t="inlineStr">
        <is>
          <t>2020-01-08 21:15:53</t>
        </is>
      </c>
      <c r="H4557" t="inlineStr"/>
    </row>
    <row r="4558">
      <c r="A4558" t="inlineStr">
        <is>
          <t>em6r6f</t>
        </is>
      </c>
      <c r="B4558" t="inlineStr">
        <is>
          <t>Scary symptom, need help</t>
        </is>
      </c>
      <c r="C4558" t="inlineStr">
        <is>
          <t>Hello, im 24 years old and I have gerd for years
For the par 2 weeks now it seem something is wrong
My symptom :
- bloating fast when eating or drinking
- bloating even at morning sometimes
- heartburn /chest pain
- started ppi 1 week ago, dont seem to really work
An endidcopy is scheduled but I'm still afraid for the following Condition :
- barret esophagus
- esophageal cancer
- stomach cancer
What are my chance to have these? I'm especially afraid about barret because the other are probably unlikely at my age</t>
        </is>
      </c>
      <c r="D4558" t="n">
        <v>1</v>
      </c>
      <c r="E4558" t="n">
        <v>6</v>
      </c>
      <c r="F4558">
        <f>HYPERLINK("https://www.reddit.com/r/GERD/comments/em6r6f/scary_symptom_need_help/")</f>
        <v/>
      </c>
      <c r="G4558" t="inlineStr">
        <is>
          <t>2020-01-09 00:11:27</t>
        </is>
      </c>
      <c r="H4558" t="inlineStr"/>
    </row>
    <row r="4559">
      <c r="A4559" t="inlineStr">
        <is>
          <t>em78q3</t>
        </is>
      </c>
      <c r="B4559" t="inlineStr">
        <is>
          <t>Acids at night</t>
        </is>
      </c>
      <c r="C4559" t="inlineStr">
        <is>
          <t>Does anyone have really bad flare ups in middle of the night? I was falling asleep but then I woke up and my stomach started hurting as if I had not eaten in days ( I had eaten 2 hours ago.) now I can’t sleep because of the pain :( if I would have not woken up I would not be going through this now ._.</t>
        </is>
      </c>
      <c r="D4559" t="n">
        <v>1</v>
      </c>
      <c r="E4559" t="n">
        <v>4</v>
      </c>
      <c r="F4559">
        <f>HYPERLINK("https://www.reddit.com/r/GERD/comments/em78q3/acids_at_night/")</f>
        <v/>
      </c>
      <c r="G4559" t="inlineStr">
        <is>
          <t>2020-01-09 01:14:53</t>
        </is>
      </c>
      <c r="H4559" t="inlineStr"/>
    </row>
    <row r="4560">
      <c r="A4560" t="inlineStr">
        <is>
          <t>em7960</t>
        </is>
      </c>
      <c r="B4560" t="inlineStr">
        <is>
          <t>Dizziness/blurry vision</t>
        </is>
      </c>
      <c r="C4560" t="inlineStr">
        <is>
          <t>So I get slightly dizzy and blurry vision randomly. I notice that it becomes more frequent when I'm staring at the screen for while (especially reading though all the reddit posts over here). Possibly PPI side effects?</t>
        </is>
      </c>
      <c r="D4560" t="n">
        <v>1</v>
      </c>
      <c r="E4560" t="n">
        <v>9</v>
      </c>
      <c r="F4560">
        <f>HYPERLINK("https://www.reddit.com/r/GERD/comments/em7960/dizzinessblurry_vision/")</f>
        <v/>
      </c>
      <c r="G4560" t="inlineStr">
        <is>
          <t>2020-01-09 01:16:27</t>
        </is>
      </c>
      <c r="H4560" t="inlineStr"/>
    </row>
    <row r="4561">
      <c r="A4561" t="inlineStr">
        <is>
          <t>em7hwx</t>
        </is>
      </c>
      <c r="B4561" t="inlineStr">
        <is>
          <t>Odd Question ...</t>
        </is>
      </c>
      <c r="C4561" t="inlineStr">
        <is>
          <t xml:space="preserve">
Since the capsule size was too big, I opened up the omeprazole and put it into smaller capsules. I noticed they are like little delayed release balls. What if I reflux one of those balls into my throat and aspirate it or something into my lungs? Does this sound crazy?</t>
        </is>
      </c>
      <c r="D4561" t="n">
        <v>1</v>
      </c>
      <c r="E4561" t="n">
        <v>4</v>
      </c>
      <c r="F4561">
        <f>HYPERLINK("https://www.reddit.com/r/GERD/comments/em7hwx/odd_question/")</f>
        <v/>
      </c>
      <c r="G4561" t="inlineStr">
        <is>
          <t>2020-01-09 01:47:24</t>
        </is>
      </c>
      <c r="H4561" t="inlineStr"/>
    </row>
    <row r="4562">
      <c r="A4562" t="inlineStr">
        <is>
          <t>em7zm7</t>
        </is>
      </c>
      <c r="B4562" t="inlineStr">
        <is>
          <t>GERD and crispbread thins?</t>
        </is>
      </c>
      <c r="C4562" t="inlineStr">
        <is>
          <t>Hi everyone, been dealing with awful gerd this week and wondering what happens if i eat some wholegrain crispbread because i only drink chicken broth soup with rice and this is horrible after 5th day :/ Also do u guys think protein whey shakes cause GERd? Thanxxx;)</t>
        </is>
      </c>
      <c r="D4562" t="n">
        <v>1</v>
      </c>
      <c r="E4562" t="n">
        <v>1</v>
      </c>
      <c r="F4562">
        <f>HYPERLINK("https://www.reddit.com/r/GERD/comments/em7zm7/gerd_and_crispbread_thins/")</f>
        <v/>
      </c>
      <c r="G4562" t="inlineStr">
        <is>
          <t>2020-01-09 02:44:48</t>
        </is>
      </c>
      <c r="H4562" t="inlineStr"/>
    </row>
    <row r="4563">
      <c r="A4563" t="inlineStr">
        <is>
          <t>em8ble</t>
        </is>
      </c>
      <c r="B4563" t="inlineStr">
        <is>
          <t>Tomatoes.</t>
        </is>
      </c>
      <c r="C4563" t="inlineStr">
        <is>
          <t>I’ve avoided tomatoes (my favorite fruit) for months now and that includes ketchup and tomato sauce because it always makes my GERD worse but today I had gyros with raw tomatoes and I didn’t have a reaction. Does anyone have the same thing or is raw tomato different that cooked and ketchup, etc.?</t>
        </is>
      </c>
      <c r="D4563" t="n">
        <v>1</v>
      </c>
      <c r="E4563" t="n">
        <v>3</v>
      </c>
      <c r="F4563">
        <f>HYPERLINK("https://www.reddit.com/r/GERD/comments/em8ble/tomatoes/")</f>
        <v/>
      </c>
      <c r="G4563" t="inlineStr">
        <is>
          <t>2020-01-09 03:21:34</t>
        </is>
      </c>
      <c r="H4563" t="inlineStr"/>
    </row>
    <row r="4564">
      <c r="A4564" t="inlineStr">
        <is>
          <t>ema0j4</t>
        </is>
      </c>
      <c r="B4564" t="inlineStr">
        <is>
          <t>Issues With Candy Coated Omeprazole; Specifically Strawberry</t>
        </is>
      </c>
      <c r="C4564" t="inlineStr">
        <is>
          <t>Has anyone else had issues with candy coated Omeprazole?  Wild Berry gives me terrible bowel movements and Strawberry makes it feel like someone took a baseball bat to my kidneys.</t>
        </is>
      </c>
      <c r="D4564" t="n">
        <v>1</v>
      </c>
      <c r="E4564" t="n">
        <v>4</v>
      </c>
      <c r="F4564">
        <f>HYPERLINK("https://www.reddit.com/r/GERD/comments/ema0j4/issues_with_candy_coated_omeprazole_specifically/")</f>
        <v/>
      </c>
      <c r="G4564" t="inlineStr">
        <is>
          <t>2020-01-09 06:00:47</t>
        </is>
      </c>
      <c r="H4564" t="inlineStr"/>
    </row>
    <row r="4565">
      <c r="A4565" t="inlineStr">
        <is>
          <t>ema803</t>
        </is>
      </c>
      <c r="B4565" t="inlineStr">
        <is>
          <t>One thing after another - ringing ears</t>
        </is>
      </c>
      <c r="C4565" t="inlineStr">
        <is>
          <t>Anyone have this from their GERD? Just started today my acid running wild even with Nexium 40 morning and Pepcid at night.</t>
        </is>
      </c>
      <c r="D4565" t="n">
        <v>1</v>
      </c>
      <c r="E4565" t="n">
        <v>5</v>
      </c>
      <c r="F4565">
        <f>HYPERLINK("https://www.reddit.com/r/GERD/comments/ema803/one_thing_after_another_ringing_ears/")</f>
        <v/>
      </c>
      <c r="G4565" t="inlineStr">
        <is>
          <t>2020-01-09 06:18:02</t>
        </is>
      </c>
      <c r="H4565" t="inlineStr"/>
    </row>
    <row r="4566">
      <c r="A4566" t="inlineStr">
        <is>
          <t>emadms</t>
        </is>
      </c>
      <c r="B4566" t="inlineStr">
        <is>
          <t>anyone here use omeprazole?</t>
        </is>
      </c>
      <c r="C4566" t="inlineStr">
        <is>
          <t>basically I was prescribed omeprazole, and its makes me feel AMAZING. so much better. however I was doing research on google and it says if taken every day for about a year or so.... it can drastically increase my chances of bone fractures. another side effect i'm already experiencing is weakness in my body. should I be talking to my doctor about this or wait until my next appointment? regardless, I'm asking for anyone who uses omeprazole to let me know their opinions on taking it, and experiences with it, etc etc. Thanks guys/gals :)</t>
        </is>
      </c>
      <c r="D4566" t="n">
        <v>1</v>
      </c>
      <c r="E4566" t="n">
        <v>6</v>
      </c>
      <c r="F4566">
        <f>HYPERLINK("https://www.reddit.com/r/GERD/comments/emadms/anyone_here_use_omeprazole/")</f>
        <v/>
      </c>
      <c r="G4566" t="inlineStr">
        <is>
          <t>2020-01-09 06:30:29</t>
        </is>
      </c>
      <c r="H4566" t="inlineStr"/>
    </row>
    <row r="4567">
      <c r="A4567" t="inlineStr">
        <is>
          <t>emapzm</t>
        </is>
      </c>
      <c r="B4567" t="inlineStr">
        <is>
          <t>Miserable at best...</t>
        </is>
      </c>
      <c r="C4567" t="inlineStr">
        <is>
          <t>I first started having issues with my stomach in my early twenties. And what started as acid reflux, heartburn, and indigestion, has turned into something I am having a hard time coping with. I am now 36. I have had multiple procedures over the years and all they can say is I have inflammation throughout my whole system. I have tried so many diets, restrictions, medications, and nothing seems to have helped or alleviated my symptoms. I have multiple symptoms of GERD, LPR, H. pylori, etc. but still no diagnosis. I am miserable pretty much always, no matter what I eat or drink or take… New doc currently has me on low FODMAP, FD Guard along with OTC Omeprazole, polyethylene glycol and wants to complete another gastric emptying study. I’m tired of feeling like this and don’t know where to turn…</t>
        </is>
      </c>
      <c r="D4567" t="n">
        <v>1</v>
      </c>
      <c r="E4567" t="n">
        <v>17</v>
      </c>
      <c r="F4567">
        <f>HYPERLINK("https://www.reddit.com/r/GERD/comments/emapzm/miserable_at_best/")</f>
        <v/>
      </c>
      <c r="G4567" t="inlineStr">
        <is>
          <t>2020-01-09 06:57:14</t>
        </is>
      </c>
      <c r="H4567" t="inlineStr"/>
    </row>
    <row r="4568">
      <c r="A4568" t="inlineStr">
        <is>
          <t>embfdy</t>
        </is>
      </c>
      <c r="B4568" t="inlineStr">
        <is>
          <t>PPIs?</t>
        </is>
      </c>
      <c r="C4568" t="inlineStr">
        <is>
          <t>Hello. Recently I had a GI scope done and they diagnosed me w acid reflux. They put me on the PPI but it made me feel WORSE. So i just stopped taking it. I was researching this and there are a lot of negative long-term implications of taking these medicines. What other suggestions do you have? 
I feel as if i am more LPR as i feel it in my throat. I also had a throat scope done (through the nose, how weird) &amp;amp; they said the acid is reaching my voice box basically. 
The GI said take the PPI before breakfast, the throat doctor said take it before dinner. 
I felt better taking it in the morning than at night, but overall have decided this isn’t for me.</t>
        </is>
      </c>
      <c r="D4568" t="n">
        <v>1</v>
      </c>
      <c r="E4568" t="n">
        <v>15</v>
      </c>
      <c r="F4568">
        <f>HYPERLINK("https://www.reddit.com/r/GERD/comments/embfdy/ppis/")</f>
        <v/>
      </c>
      <c r="G4568" t="inlineStr">
        <is>
          <t>2020-01-09 07:49:06</t>
        </is>
      </c>
      <c r="H4568" t="inlineStr"/>
    </row>
    <row r="4569">
      <c r="A4569" t="inlineStr">
        <is>
          <t>emdpf2</t>
        </is>
      </c>
      <c r="B4569" t="inlineStr">
        <is>
          <t>Can barret esophagus develop within 2 years?</t>
        </is>
      </c>
      <c r="C4569" t="inlineStr">
        <is>
          <t>Hello, 2 years ago I was diagnosed with erosive esophagitis, I take ppi for 2 week at 80 mg/ day and then stopped
I didn't know about barret at this time so I keep drinking soda! Eat chocolate...
2 weeks ago I eat a lot of spice food and get horrible Gerd that last until now
Is it possible for barret to develop within 2 years?
I'm afraid because erosive esophagitis is a risk factor but I'm young
This new fibro is really driving me crazy</t>
        </is>
      </c>
      <c r="D4569" t="n">
        <v>1</v>
      </c>
      <c r="E4569" t="n">
        <v>5</v>
      </c>
      <c r="F4569">
        <f>HYPERLINK("https://www.reddit.com/r/GERD/comments/emdpf2/can_barret_esophagus_develop_within_2_years/")</f>
        <v/>
      </c>
      <c r="G4569" t="inlineStr">
        <is>
          <t>2020-01-09 10:27:00</t>
        </is>
      </c>
      <c r="H4569" t="inlineStr"/>
    </row>
    <row r="4570">
      <c r="A4570" t="inlineStr">
        <is>
          <t>emdvfa</t>
        </is>
      </c>
      <c r="B4570" t="inlineStr">
        <is>
          <t>How Likely is It that the ENT Diagnosed Correctly?</t>
        </is>
      </c>
      <c r="C4570" t="inlineStr">
        <is>
          <t>Hello all,
I started having weird chest discomfort back in October that I can best describe as it being uncomfortable to breathe in deeply. It was not related to eating certain foods (as it was constant) nor was it a burning sensation, just a slight tightness. Then I had to keep clearing my throat frequently around November through till the end of December. These were the only two issues I had at this time: no nausea, no bile coming up, nothing of the sort. I had an X-ray and EKG done and those returned normal, so then I figured it had to be a throat issue and booked an ENT.
Once I got to the ENT, he asked me some questions and immediately without testing claimed it was reflux even though the only thing on the no-no list I have is the occasional coffee (girlfriend is a vegan and I hate tomatoes and avoid citrus anyway since it makes my mouth feel odd). After pressing for some test to check out my throat, he gave me a nasal endoscopy and said that my voice box was moderately inflamed and it was likely caused by acid reflux. He then prescribed me PPI’s (pantoprozale) and famotidine.
I went home and ironically enough I started having some odd symptoms like feeling over heated and having some acid come up (this only started happening after the ENT). Then I did some light research and discovered that PPI’s can leave reflux worse off than before and immediately decided that I would not be taking those until I got a second opinion from a Gastro. I made this choice after finding a .gov study that found that ENT diagnosed GERD is often unfounded and misdiagnosed since nasal endoscopies can’t see your intestines.
My question is this: how likely is it that this ENT misdiagnosed me? 
2 follow-ups: can a voice box be inflamed from a cold? And is it normal to feel ill after a nasal endoscopy as I am now?
Thank you in advance.</t>
        </is>
      </c>
      <c r="D4570" t="n">
        <v>1</v>
      </c>
      <c r="E4570" t="n">
        <v>17</v>
      </c>
      <c r="F4570">
        <f>HYPERLINK("https://www.reddit.com/r/GERD/comments/emdvfa/how_likely_is_it_that_the_ent_diagnosed_correctly/")</f>
        <v/>
      </c>
      <c r="G4570" t="inlineStr">
        <is>
          <t>2020-01-09 10:39:07</t>
        </is>
      </c>
      <c r="H4570" t="inlineStr"/>
    </row>
    <row r="4571">
      <c r="A4571" t="inlineStr">
        <is>
          <t>eme89i</t>
        </is>
      </c>
      <c r="B4571" t="inlineStr">
        <is>
          <t>Amazing I Skip My Once a day caffeine cheat and....</t>
        </is>
      </c>
      <c r="C4571" t="inlineStr">
        <is>
          <t>Hernia isn’t hurting. Could be luck it’s off and on but it’s ironic.</t>
        </is>
      </c>
      <c r="D4571" t="n">
        <v>1</v>
      </c>
      <c r="E4571" t="n">
        <v>0</v>
      </c>
      <c r="F4571">
        <f>HYPERLINK("https://www.reddit.com/r/GERD/comments/eme89i/amazing_i_skip_my_once_a_day_caffeine_cheat_and/")</f>
        <v/>
      </c>
      <c r="G4571" t="inlineStr">
        <is>
          <t>2020-01-09 11:04:28</t>
        </is>
      </c>
      <c r="H4571" t="inlineStr"/>
    </row>
    <row r="4572">
      <c r="A4572" t="inlineStr">
        <is>
          <t>eme8t1</t>
        </is>
      </c>
      <c r="B4572" t="inlineStr">
        <is>
          <t>Has anyone tried this pillow?</t>
        </is>
      </c>
      <c r="C4572" t="inlineStr">
        <is>
          <t>I just found out that bile is leaking into my stomach and esophagus.
https://medcline.com/medcline-reflux-relief-system/</t>
        </is>
      </c>
      <c r="D4572" t="n">
        <v>1</v>
      </c>
      <c r="E4572" t="n">
        <v>7</v>
      </c>
      <c r="F4572">
        <f>HYPERLINK("https://www.reddit.com/r/GERD/comments/eme8t1/has_anyone_tried_this_pillow/")</f>
        <v/>
      </c>
      <c r="G4572" t="inlineStr">
        <is>
          <t>2020-01-09 11:05:32</t>
        </is>
      </c>
      <c r="H4572" t="inlineStr"/>
    </row>
    <row r="4573">
      <c r="A4573" t="inlineStr">
        <is>
          <t>emf8k5</t>
        </is>
      </c>
      <c r="B4573" t="inlineStr">
        <is>
          <t>Should I go to the doctor that I have a "mucus" feeling in my throat?</t>
        </is>
      </c>
      <c r="C4573" t="inlineStr">
        <is>
          <t>Ever since last week I've had this mucus feeling in my throat. Its really annoying that no matter what I eat or drink it doesn't fix it. I'm only 22. Healthy and take no medication or smoke. Should I wait or visit a doctor?</t>
        </is>
      </c>
      <c r="D4573" t="n">
        <v>1</v>
      </c>
      <c r="E4573" t="n">
        <v>3</v>
      </c>
      <c r="F4573">
        <f>HYPERLINK("https://www.reddit.com/r/GERD/comments/emf8k5/should_i_go_to_the_doctor_that_i_have_a_mucus/")</f>
        <v/>
      </c>
      <c r="G4573" t="inlineStr">
        <is>
          <t>2020-01-09 12:16:06</t>
        </is>
      </c>
      <c r="H4573" t="inlineStr"/>
    </row>
    <row r="4574">
      <c r="A4574" t="inlineStr">
        <is>
          <t>emffne</t>
        </is>
      </c>
      <c r="B4574" t="inlineStr">
        <is>
          <t>Acid Watchers Diet weight loss</t>
        </is>
      </c>
      <c r="C4574" t="inlineStr">
        <is>
          <t>I’m a 25 year old female, originally diagnosed with GERD but I think it might actually be LPR. I’ve been trying the Acid Watchers Diet for the last 2 weeks, and so far I’ve found it to be helpful. The problem is that prior to starting the diet I was underweight (109lbs) and I’ve now gone down to 105lbs. I’ve found it really difficult to gain weight since being diagnosed, and this diet has been the only thing so far that I’ve found to be helpful. But I can’t continue to lose weight and risk having a host of other new problems develop as a result.
Has anyone else experienced the same thing? Has anyone had success modifying the diet? For example, including other cuts of meat aside from the ones recommended? Any tips on gaining weight with GERD or LPR?</t>
        </is>
      </c>
      <c r="D4574" t="n">
        <v>1</v>
      </c>
      <c r="E4574" t="n">
        <v>13</v>
      </c>
      <c r="F4574">
        <f>HYPERLINK("https://www.reddit.com/r/GERD/comments/emffne/acid_watchers_diet_weight_loss/")</f>
        <v/>
      </c>
      <c r="G4574" t="inlineStr">
        <is>
          <t>2020-01-09 12:30:09</t>
        </is>
      </c>
      <c r="H4574" t="inlineStr"/>
    </row>
    <row r="4575">
      <c r="A4575" t="inlineStr">
        <is>
          <t>emflup</t>
        </is>
      </c>
      <c r="B4575" t="inlineStr">
        <is>
          <t>Good foods that work with GERD to also help gain weight?</t>
        </is>
      </c>
      <c r="C4575" t="inlineStr">
        <is>
          <t>I have an appt this week, but in the mean time I still need to eat. I was wondering if anyone knew of any foods that will help with gerd while also help me gain weight? I’m 21f 5’5 and only 95 lbs 🙃</t>
        </is>
      </c>
      <c r="D4575" t="n">
        <v>1</v>
      </c>
      <c r="E4575" t="n">
        <v>1</v>
      </c>
      <c r="F4575">
        <f>HYPERLINK("https://www.reddit.com/r/GERD/comments/emflup/good_foods_that_work_with_gerd_to_also_help_gain/")</f>
        <v/>
      </c>
      <c r="G4575" t="inlineStr">
        <is>
          <t>2020-01-09 12:42:17</t>
        </is>
      </c>
      <c r="H4575" t="inlineStr"/>
    </row>
    <row r="4576">
      <c r="A4576" t="inlineStr">
        <is>
          <t>emg4ln</t>
        </is>
      </c>
      <c r="B4576" t="inlineStr">
        <is>
          <t>Discussion ? Is there any correlation between the vagus nerve and GERD?</t>
        </is>
      </c>
      <c r="C4576" t="inlineStr">
        <is>
          <t>So like many of you, I've skimmed through sections of this forum trying to find the answer or solution to my gerd or gerd symptoms.  One subject I have noticed some discuss about is the vagus nerve.    I'm still new to this community, I've been dealing with gerd symptoms since October but was only recently diagnosed in November . I'm a bit of a  hypochondriac my self , and have had anxiety almost all my life .  While I haven't been dealing with this very long like some of you, I found the proposition of the vagus nerve having to be related to GERD, very interesting.    I honestly would like to understand this topic more from the perspective of GERD sufferers and not just any website . I never really considered this illness to being anything outside of the gastrointestinal system.    Can someone possibly shed some light or resources on this topic ?</t>
        </is>
      </c>
      <c r="D4576" t="n">
        <v>1</v>
      </c>
      <c r="E4576" t="n">
        <v>11</v>
      </c>
      <c r="F4576">
        <f>HYPERLINK("https://www.reddit.com/r/GERD/comments/emg4ln/discussion_is_there_any_correlation_between_the/")</f>
        <v/>
      </c>
      <c r="G4576" t="inlineStr">
        <is>
          <t>2020-01-09 13:17:58</t>
        </is>
      </c>
      <c r="H4576" t="inlineStr"/>
    </row>
    <row r="4577">
      <c r="A4577" t="inlineStr">
        <is>
          <t>emg9sa</t>
        </is>
      </c>
      <c r="B4577" t="inlineStr">
        <is>
          <t>ARMS?</t>
        </is>
      </c>
      <c r="C4577" t="inlineStr">
        <is>
          <t>Can anyone here who had the ARMS procedure report your experience with it? I'm considering it, but since it's relatively new with no long term data I'm a bit wary.</t>
        </is>
      </c>
      <c r="D4577" t="n">
        <v>1</v>
      </c>
      <c r="E4577" t="n">
        <v>9</v>
      </c>
      <c r="F4577">
        <f>HYPERLINK("https://www.reddit.com/r/GERD/comments/emg9sa/arms/")</f>
        <v/>
      </c>
      <c r="G4577" t="inlineStr">
        <is>
          <t>2020-01-09 13:27:02</t>
        </is>
      </c>
      <c r="H4577" t="inlineStr"/>
    </row>
    <row r="4578">
      <c r="A4578" t="inlineStr">
        <is>
          <t>emghd5</t>
        </is>
      </c>
      <c r="B4578" t="inlineStr">
        <is>
          <t>I know that we hear or read it all the time , that losing weight is important to relief gerd , but how important or what degree of change does it really make ?</t>
        </is>
      </c>
      <c r="C4578" t="inlineStr">
        <is>
          <t>I just wanted to get some people's input on this. I was diagnosed with GERD in november and while I am bit on the heavy side , I always wasnt. I was told that i need to lose weight in order for the treatment to be in full effect but the logic just seems off to me.  I was a full on gym rat and active gym enthusiast until I was about 24 . I took on a job and lifestyle that didn't permit me to workout near as much as I used to and so I put on a couple of pounds.  I went from 210 to about 265 within a year and a half.    I understand that's some substantial weight but then I look at others around me who are way heavier and dont seem to suffer with GERD. It feels like I have been betrayed by own body, since I spent years trying hard to be healthy and be In shape.   Has anyone really experienced any relief after losing weight? I'm talking about actual significant relief with their GERD</t>
        </is>
      </c>
      <c r="D4578" t="n">
        <v>1</v>
      </c>
      <c r="E4578" t="n">
        <v>11</v>
      </c>
      <c r="F4578">
        <f>HYPERLINK("https://www.reddit.com/r/GERD/comments/emghd5/i_know_that_we_hear_or_read_it_all_the_time_that/")</f>
        <v/>
      </c>
      <c r="G4578" t="inlineStr">
        <is>
          <t>2020-01-09 13:41:33</t>
        </is>
      </c>
      <c r="H4578" t="inlineStr"/>
    </row>
    <row r="4579">
      <c r="A4579" t="inlineStr">
        <is>
          <t>emgxtp</t>
        </is>
      </c>
      <c r="B4579" t="inlineStr">
        <is>
          <t>Is it possible to live a healthy life having acid reflux (LPR)?</t>
        </is>
      </c>
      <c r="C4579" t="inlineStr">
        <is>
          <t>I've changed my diet to a healthy one. I don't get the classic burn, just in the discomfort in the throat.
On PPIS for a few months now, already had the endoscopy, took the antibiotics to kill the bacteria, got off of the ppis when that happened symptoms came back with a vengeance and now it feels like this discomfort won't ever go away
I have that feeling that i'm never gonna live a healthy life.</t>
        </is>
      </c>
      <c r="D4579" t="n">
        <v>1</v>
      </c>
      <c r="E4579" t="n">
        <v>10</v>
      </c>
      <c r="F4579">
        <f>HYPERLINK("https://www.reddit.com/r/GERD/comments/emgxtp/is_it_possible_to_live_a_healthy_life_having_acid/")</f>
        <v/>
      </c>
      <c r="G4579" t="inlineStr">
        <is>
          <t>2020-01-09 14:12:37</t>
        </is>
      </c>
      <c r="H4579" t="inlineStr"/>
    </row>
    <row r="4580">
      <c r="A4580" t="inlineStr">
        <is>
          <t>emi463</t>
        </is>
      </c>
      <c r="B4580" t="inlineStr">
        <is>
          <t>Medication overload?</t>
        </is>
      </c>
      <c r="C4580" t="inlineStr">
        <is>
          <t>Hi all, just saw my second gastro after almost six months of low dose PPIs on top of H2 blockers with little to no improvement.  Gastro recommends going full force on PPIs, 40mg dex 2x day and 40mg famotidine twice a day as well.  His reasons were sound and he’s quite reputable, but those numbers scare me, as I’ve never been on medication before I was diagnosed with GERD, and now I feel like I’m taking an inhuman amount of medication.  Does anyone have experience with this much medication, and can you reassure and advise, or maybe give suggestions on how I may have to make lifestyle adjustments with the dosage increase?  Thank you!</t>
        </is>
      </c>
      <c r="D4580" t="n">
        <v>1</v>
      </c>
      <c r="E4580" t="n">
        <v>14</v>
      </c>
      <c r="F4580">
        <f>HYPERLINK("https://www.reddit.com/r/GERD/comments/emi463/medication_overload/")</f>
        <v/>
      </c>
      <c r="G4580" t="inlineStr">
        <is>
          <t>2020-01-09 15:36:03</t>
        </is>
      </c>
      <c r="H4580" t="inlineStr"/>
    </row>
    <row r="4581">
      <c r="A4581" t="inlineStr">
        <is>
          <t>emimvb</t>
        </is>
      </c>
      <c r="B4581" t="inlineStr">
        <is>
          <t>Not sure what's going on.</t>
        </is>
      </c>
      <c r="C4581" t="inlineStr">
        <is>
          <t xml:space="preserve">  
Hello, 
I’m just here to get advice or whatever. I’ll be seeing the Gastro Doctor on Monday to start figuring out what’s going on.
I’m 29 years old and a male.
Here’s what happened to me in the past two months.
One week before Thanksgiving, I woke up one night, hot and sweaty, and all of a sudden my heart pounds hard. It scares me. I think I need to go to the ER but it calms down.
I go to my parents’ house for thanksgiving for one week. I have one small episode of hot, sweaty, and heart pounding. I thought it might have been the spicy food or beers I had before I went to sleep. After that, I have absolutely no problem for the rest of the week.
I fly home after staying with my parents. I live by myself in an apartment. I don’t know but for the first few days back home, everything was fine and then suddenly one night it happens again. I decide to go to the ER to find out what’s going on. They all tell me that I am fine. I calmed down. I went home to relax from that hard experience. It happens again the second night. I decide to go to the ER once again hoping that they will be able to see it. They tell me that my heart is fine. I go home and decide to go over to my work and inform my boss that I just got out of the ER. At that point, I wasn’t feeling good. I felt nauseous. I felt sick in my stomach. I ask her to take me to the ER again. I know stupid but I wasn’t feeling good. I went. They told me that I was fine, and they said everything is fine. Blood work, heart, basically telling me that I am okay.  I started burping and belching that day. 
I set an appointment to see the doctor a week later. She has me go on a heart monitor for two weeks. She gives me famotidine which helped a little. I felt it was hard on my stomach. I’m not sure how to explain it. I have gotten a sore right arm. I still burped and belched right after I ate. I didn’t think it was working but I took it for two weeks, but I already set another appointment with my doctor.  I had a few more episodes of hot and heart-pounding but this time they were during the day. I burped and belched again.
Heart Monitor came back and showed that my heart was perfectly fine and that the episodes were basically normal for somebody my age. That was a relief for me for a short time. I set an appointment with my doctor. She changes my medicine to Omeprazole which I take twice daily now. She refers me to a Gastro Doctor. I set an appointment to see him next week on Monday. 
I have read many people’s experiences on here and I felt like I believe it’s a bug in my stomach maybe H. Pylori or Hilal Hernia or whatever 
My symptoms I have experienced over the time that I remember at the moment.
Cough
Pounding Heart
Hot and Sweaty
Something stuck in my throat
Lost 5 pounds in a week. I remember weighing at 178 and now found myself at 173.
I feel slight shooting pain in the side of my stomach for a few seconds. 
Sometimes a dull pain in the stomach
I feel my stomach rumbling and acting strange. 
There were times where I didn’t want to eat. 
I’m dealing with a sore back that might be from stress.
I belch and burp a lot throughout the day even after I eat or when I wake up and I burp and belch.
Anxiety
This is all I have for now. I would appreciate any help or information. Oh! I recently changed up my diet on Monday to try to reduce the GERD Symptoms. So far I been eating differently and eating smaller and taking my time. I still burp and belch. Last night, I had an episode where I woke up sweaty and heart started pounding. I’m just exhausted from all of this. I'm still trying to figure out how this happened.</t>
        </is>
      </c>
      <c r="D4581" t="n">
        <v>1</v>
      </c>
      <c r="E4581" t="n">
        <v>7</v>
      </c>
      <c r="F4581">
        <f>HYPERLINK("https://www.reddit.com/r/GERD/comments/emimvb/not_sure_whats_going_on/")</f>
        <v/>
      </c>
      <c r="G4581" t="inlineStr">
        <is>
          <t>2020-01-09 16:15:05</t>
        </is>
      </c>
      <c r="H4581" t="inlineStr"/>
    </row>
    <row r="4582">
      <c r="A4582" t="inlineStr">
        <is>
          <t>emjah7</t>
        </is>
      </c>
      <c r="B4582" t="inlineStr">
        <is>
          <t>Raw Juice fast has completely knocked out my Gerd, maybe you can get relief this way as well</t>
        </is>
      </c>
      <c r="C4582" t="inlineStr">
        <is>
          <t>Have been on a raw juice fast for a week now (very similar to Gerson Therapy for cancer and other chronic diseases) and it has nuked my Gerd and I am so relieved. I plan on doing a thirty day cleanse and will report my findings. My gut tells me (no pun intended) that a raw cold pressed diet will clean the slate and recalibrate my system and put an end to this horrible condition. I recommend watching Youtube videos of John Rose talking about juice feasting for inspiration and knowledge. I honestly have not felt this good for a long time in my life. It is an intense lifestyle change but oh my goodness it is worth it, I can't begin to tell you. Not trying to sell you anything here, just trying to share a path that could lead to the end of your suffering. Strength and love to you, I know how horrible GERD is and I will let you know how my experiment continues.</t>
        </is>
      </c>
      <c r="D4582" t="n">
        <v>1</v>
      </c>
      <c r="E4582" t="n">
        <v>5</v>
      </c>
      <c r="F4582">
        <f>HYPERLINK("https://www.reddit.com/r/GERD/comments/emjah7/raw_juice_fast_has_completely_knocked_out_my_gerd/")</f>
        <v/>
      </c>
      <c r="G4582" t="inlineStr">
        <is>
          <t>2020-01-09 17:04:07</t>
        </is>
      </c>
      <c r="H4582" t="inlineStr"/>
    </row>
    <row r="4583">
      <c r="A4583" t="inlineStr">
        <is>
          <t>emjvcb</t>
        </is>
      </c>
      <c r="B4583" t="inlineStr">
        <is>
          <t>anyone experiencing these same symptoms?</t>
        </is>
      </c>
      <c r="C4583" t="inlineStr">
        <is>
          <t>I've had issues with GERD now since April 2019 (after my sinus surgery and taking a shit ton of antibiotics that messed up my stomach) and went to 2 GI Docs, an ENT, nutritionist, and will be seeing a psychiatrist next week.
My biggest symptom is whenever I try to chew food, my back, chest, and throat starts tightening up and my airway feels like its closing so it makes it difficult to chew and breathe normally. because this happens I use up a lot of energy to focus on chewing and eating and it just exhausts the shit outta me.
I used to have symptoms of heartburn, but ever since I was on the PPI's that has went away completely.
My first GI doc got me on omeprazole first, then pantaprozole, then nexium, now after a bravo pH study, i'm on nexium twice a day. Things always get better the first two weeks, then it reverts back to how bad the tightness would get before.
2nd GI doc says its a weird case because the tightness would happen as the food is going down the esophagus, not when im just chewing the food. so she recommended probiotics (which made me more gassy and things worse) and a speech pathologist to do some tests on me
ENT just said they are esophageal spasms and brushed them off
I think its something called laryngeal sensory neuropathy but all 3 specialty docs ive been through just brushed it off saying they dont think its that.
I'm at a loss plz halp</t>
        </is>
      </c>
      <c r="D4583" t="n">
        <v>1</v>
      </c>
      <c r="E4583" t="n">
        <v>7</v>
      </c>
      <c r="F4583">
        <f>HYPERLINK("https://www.reddit.com/r/GERD/comments/emjvcb/anyone_experiencing_these_same_symptoms/")</f>
        <v/>
      </c>
      <c r="G4583" t="inlineStr">
        <is>
          <t>2020-01-09 17:48:15</t>
        </is>
      </c>
      <c r="H4583" t="inlineStr"/>
    </row>
    <row r="4584">
      <c r="A4584" t="inlineStr">
        <is>
          <t>emk9y8</t>
        </is>
      </c>
      <c r="B4584" t="inlineStr">
        <is>
          <t>Swollen lymph nodes</t>
        </is>
      </c>
      <c r="C4584" t="inlineStr">
        <is>
          <t>Hey I’m 14 and have been having a few swollen lymph. 1 on the right side of my neck and one on the left. I have normal gerd and lpr symptoms like globus, sore throat,  regurgitation, burping, and minor dysphagia for the last 8 months and ppis don’t really help but I’m seeing another go doctor soon but just for reference was wondering if anyone else has experienced swollen lymph nodes from gerd/lpr. Thanks for reading</t>
        </is>
      </c>
      <c r="D4584" t="n">
        <v>1</v>
      </c>
      <c r="E4584" t="n">
        <v>5</v>
      </c>
      <c r="F4584">
        <f>HYPERLINK("https://www.reddit.com/r/GERD/comments/emk9y8/swollen_lymph_nodes/")</f>
        <v/>
      </c>
      <c r="G4584" t="inlineStr">
        <is>
          <t>2020-01-09 18:19:02</t>
        </is>
      </c>
      <c r="H4584" t="inlineStr"/>
    </row>
    <row r="4585">
      <c r="A4585" t="inlineStr">
        <is>
          <t>eml4ta</t>
        </is>
      </c>
      <c r="B4585" t="inlineStr">
        <is>
          <t>FDA Alert: Mylan Initiates Voluntary Nationwide Recall of Three Lots of Nizatidine Capsules, USP, Due to the Detection of Trace Amounts of NDMA (N-Nitrosodimethylamine) Impurity Found in the Active Pharmaceutical Ingredient | Link and Lot Numbers in comments | 08JAN20</t>
        </is>
      </c>
      <c r="C4585" t="inlineStr">
        <is>
          <t>[ 08JAN20 | FDA Alert: Mylan Initiates Voluntary Nationwide Recall of Three Lots of Nizatidine Capsules, USP, Due to the Detection of Trace Amounts of NDMA (N-Nitrosodimethylamine) Impurity Found in the Active Pharmaceutical Ingredient.](https://www.drugs.com/fda/mylan-initiates-voluntary-nationwide-recall-three-lots-nizatidine-capsules-usp-due-detection-trace-14340.html?utm_source=ddc&amp;amp;utm_medium=rss&amp;amp;utm_campaign=Mylan+Initiates+Voluntary+Nationwide+Recall+of+Three+Lots+of+Nizatidine+Capsules%2C+USP%2C+Due+to+the+Detection+of+Trace+Amounts+of+NDMA+%28N-Nitrosodimethylamine%29+Impurity+Found+in+the+Active+Pharmaceutical+Ingredient)
&amp;gt; *"The finished products are manufactured by Mylan Pharmaceuticals Inc. These batches were distributed nationwide to wholesalers, mail order pharmacies, retail pharmacies, and a distributor between June 2017 and August 2018.* ***The recalled batches are as follows:"***
|NDC |Product Description |Strength |	Size |Lot Number |Expiry|
|:-:|:-:|:-:|:-:|:-:|:-:|
|0378-5150-91|Nizatidine Capsules, USP |150mg |Bottles of 60|3086746 |May 2020|
|0378-5300-93|Nizatidine Capsules, USP |300mg |Bottles of 30|3082876 |Jan 2020|
|0378-5300-93|	Nizatidine Capsules, USP|300mg|Bottles of 30|3082877|Jan 2020|</t>
        </is>
      </c>
      <c r="D4585" t="n">
        <v>1</v>
      </c>
      <c r="E4585" t="n">
        <v>1</v>
      </c>
      <c r="F4585">
        <f>HYPERLINK("https://www.reddit.com/r/GERD/comments/eml4ta/fda_alert_mylan_initiates_voluntary_nationwide/")</f>
        <v/>
      </c>
      <c r="G4585" t="inlineStr">
        <is>
          <t>2020-01-09 19:28:06</t>
        </is>
      </c>
      <c r="H4585" t="inlineStr"/>
    </row>
    <row r="4586">
      <c r="A4586" t="inlineStr">
        <is>
          <t>emmvyv</t>
        </is>
      </c>
      <c r="B4586" t="inlineStr">
        <is>
          <t>Endoscopy</t>
        </is>
      </c>
      <c r="C4586" t="inlineStr">
        <is>
          <t>So I met the GI doctor today and he told me I have to do an endoscopy. He told me they would put me to sleep so I assumed that I will be put under anesthesia. However, I searched up on the Internet that they usually do conscious sedation for the procedure. Should I call and ask? lol I’m confused because I don’t want to be awake during it.
Also, I’m afraid that even after the endoscopy, they’re just going to give me another PPI and it won’t work. :( I just feel really doubtful.</t>
        </is>
      </c>
      <c r="D4586" t="n">
        <v>1</v>
      </c>
      <c r="E4586" t="n">
        <v>6</v>
      </c>
      <c r="F4586">
        <f>HYPERLINK("https://www.reddit.com/r/GERD/comments/emmvyv/endoscopy/")</f>
        <v/>
      </c>
      <c r="G4586" t="inlineStr">
        <is>
          <t>2020-01-09 22:07:53</t>
        </is>
      </c>
      <c r="H4586" t="inlineStr"/>
    </row>
    <row r="4587">
      <c r="A4587" t="inlineStr">
        <is>
          <t>emno53</t>
        </is>
      </c>
      <c r="B4587" t="inlineStr">
        <is>
          <t>Anyone had a fluoroscopy before?</t>
        </is>
      </c>
      <c r="C4587" t="inlineStr">
        <is>
          <t>I just had an ultrasound today but now I’m due for a fluoroscopy before I can see the specialist. I’m not worried about x-rays, but more about the barium swallow. I’m just worried about having to swallow it because it seems really difficult to do and I already have difficulty with that. Can someone tell me about their experience?</t>
        </is>
      </c>
      <c r="D4587" t="n">
        <v>1</v>
      </c>
      <c r="E4587" t="n">
        <v>2</v>
      </c>
      <c r="F4587">
        <f>HYPERLINK("https://www.reddit.com/r/GERD/comments/emno53/anyone_had_a_fluoroscopy_before/")</f>
        <v/>
      </c>
      <c r="G4587" t="inlineStr">
        <is>
          <t>2020-01-09 23:31:08</t>
        </is>
      </c>
      <c r="H4587" t="inlineStr"/>
    </row>
    <row r="4588">
      <c r="A4588" t="inlineStr">
        <is>
          <t>emnsoa</t>
        </is>
      </c>
      <c r="B4588" t="inlineStr">
        <is>
          <t>Medical medium celery juice cures gerd?</t>
        </is>
      </c>
      <c r="C4588" t="inlineStr">
        <is>
          <t>been reading about him and he basically he says mainstream medicine doesn't really know much and with gerd its actually because your body can't produce good acids and bacteria and viruses produce bad stomach acids and thats why we suffer.
Spirit says that if we drink celery juice there are sodium cluster salts that science hasn't discovered yet that can make our stomach produce good acids that kill the bad bacteria and viruses and cure gerd.</t>
        </is>
      </c>
      <c r="D4588" t="n">
        <v>1</v>
      </c>
      <c r="E4588" t="n">
        <v>1</v>
      </c>
      <c r="F4588">
        <f>HYPERLINK("https://www.reddit.com/r/GERD/comments/emnsoa/medical_medium_celery_juice_cures_gerd/")</f>
        <v/>
      </c>
      <c r="G4588" t="inlineStr">
        <is>
          <t>2020-01-09 23:45:15</t>
        </is>
      </c>
      <c r="H4588" t="inlineStr"/>
    </row>
    <row r="4589">
      <c r="A4589" t="inlineStr">
        <is>
          <t>emolql</t>
        </is>
      </c>
      <c r="B4589" t="inlineStr">
        <is>
          <t>Do lentils screw anyone else up?</t>
        </is>
      </c>
      <c r="C4589" t="inlineStr">
        <is>
          <t>Everyone says beans and legumes are the most healthy food, but they always give me more acid and feel like glass going through my gut.</t>
        </is>
      </c>
      <c r="D4589" t="n">
        <v>1</v>
      </c>
      <c r="E4589" t="n">
        <v>3</v>
      </c>
      <c r="F4589">
        <f>HYPERLINK("https://www.reddit.com/r/GERD/comments/emolql/do_lentils_screw_anyone_else_up/")</f>
        <v/>
      </c>
      <c r="G4589" t="inlineStr">
        <is>
          <t>2020-01-10 01:24:36</t>
        </is>
      </c>
      <c r="H4589" t="inlineStr"/>
    </row>
    <row r="4590">
      <c r="A4590" t="inlineStr">
        <is>
          <t>emozen</t>
        </is>
      </c>
      <c r="B4590" t="inlineStr">
        <is>
          <t>Pain in upper right abdomen. Is it heartburn? Or my gallbladder?</t>
        </is>
      </c>
      <c r="C4590" t="inlineStr">
        <is>
          <t>I have LPR and don't get heartburn often. Today I haven't felt much of an appetite (possibly from acidic stomach), have been bloated, belching, nauseous, and felt an of-and-on pain in my upper right abdomen, right below my ribs... It's felt this way around 12 hours now and eating makes the nausea lots worse but doesn't change the pain much. Should I be concerned about my gallbladder? Or is this just a weird reflux day?</t>
        </is>
      </c>
      <c r="D4590" t="n">
        <v>1</v>
      </c>
      <c r="E4590" t="n">
        <v>5</v>
      </c>
      <c r="F4590">
        <f>HYPERLINK("https://www.reddit.com/r/GERD/comments/emozen/pain_in_upper_right_abdomen_is_it_heartburn_or_my/")</f>
        <v/>
      </c>
      <c r="G4590" t="inlineStr">
        <is>
          <t>2020-01-10 02:08:06</t>
        </is>
      </c>
      <c r="H4590" t="inlineStr"/>
    </row>
    <row r="4591">
      <c r="A4591" t="inlineStr">
        <is>
          <t>emp31m</t>
        </is>
      </c>
      <c r="B4591" t="inlineStr">
        <is>
          <t>My experience with GERD and cocaine</t>
        </is>
      </c>
      <c r="C4591" t="inlineStr">
        <is>
          <t>First things first, I don’t need a talking to about safety. I know it’s dangerous, I know the risks, I know I could die from it, so please please please don’t lecture me. I’m just looking to share my experience for anyone who may care. I think/hope I’m following the sub rules, but I thought this was info someone out there might find useful and I noticed it wasn’t on the sub already. 
I had a bad couple months with horrible GERD in June/July, I barely ate and couldn’t work for over a month. Since then I’ve had anxiety and depression issues that I’ve dealt with, and while my Gerd has gotten mich better, I am extremely anxious about eating something that might make me sick and I’m always thinking about how I’m feeling and worrying about it. 
I smoke weed for appetite, my anxiety, and to control occasional nausea, and I dabble a bit with other drugs. I found in my drug use that cocaine makes my heartburn really bad. It’s common knowledge that cocaine causes stomach aches and can cause nausea, but I’ve noticed the drip I get from snorting numbs my mouth and my LPR, making my heartburn much worse. I know most people on this sub don’t care and probably don’t want to read this, but I thought it would be useful info to someone out there. If you have heartburn issues and/or GERD, tread lightly with cocaine use, it can make it pretty unpleasant.</t>
        </is>
      </c>
      <c r="D4591" t="n">
        <v>1</v>
      </c>
      <c r="E4591" t="n">
        <v>3</v>
      </c>
      <c r="F4591">
        <f>HYPERLINK("https://www.reddit.com/r/GERD/comments/emp31m/my_experience_with_gerd_and_cocaine/")</f>
        <v/>
      </c>
      <c r="G4591" t="inlineStr">
        <is>
          <t>2020-01-10 02:19:31</t>
        </is>
      </c>
      <c r="H4591" t="inlineStr"/>
    </row>
    <row r="4592">
      <c r="A4592" t="inlineStr">
        <is>
          <t>emqhf3</t>
        </is>
      </c>
      <c r="B4592" t="inlineStr">
        <is>
          <t>Severe gerd and risk of barret at 24?</t>
        </is>
      </c>
      <c r="C4592" t="inlineStr">
        <is>
          <t>Hello, I have an endoscopy scheduled in 1 week for severe symptom
The problem is I have really severe reflux, 2 years ago they found an erosive esophagitis but no barret
The problem is I'm treading some studies on ncbi that link erosive esophagus to barret, im extremly afraid now
I really don't want to have it, I would have canceled this endidcopy if it was possible but my symptom are too painful
What are my odd to have this?  Given the fact that I suffered from erosive esophagitis and silent reflux?</t>
        </is>
      </c>
      <c r="D4592" t="n">
        <v>1</v>
      </c>
      <c r="E4592" t="n">
        <v>8</v>
      </c>
      <c r="F4592">
        <f>HYPERLINK("https://www.reddit.com/r/GERD/comments/emqhf3/severe_gerd_and_risk_of_barret_at_24/")</f>
        <v/>
      </c>
      <c r="G4592" t="inlineStr">
        <is>
          <t>2020-01-10 04:47:28</t>
        </is>
      </c>
      <c r="H4592" t="inlineStr"/>
    </row>
    <row r="4593">
      <c r="A4593" t="inlineStr">
        <is>
          <t>emqjot</t>
        </is>
      </c>
      <c r="B4593" t="inlineStr">
        <is>
          <t>Acid reflux in the mornings and before going to bed.</t>
        </is>
      </c>
      <c r="C4593" t="inlineStr">
        <is>
          <t>I have pretty big acid reflux in the mornings when I wake up, I feel very nauseous to the point where I don't even want to think about food let alone eat food. It gets better in the day, but I don't want to feel like this in the mornings. Today when I brushed my tongue I almost throwed up even though I dont go very high when I brush my tongue in the mornings, but when brushing before sleep I can go a lot higher and not feel like I'm about to throw up.
I also have a bad acid reflux before going to bed, but it only happens when I don't eat before bed for about 4 hours. It seems to be fine if I eat 3 hours before going to bed, but I have trouble sleeping so if I cant fall asleep I'll get closer to that 4 hour mark and acid reflux will kick in and I'll have even more problems falling asleep.
My lifestyle &amp;amp; diet habits are pretty bad too. Even though I dont drink soda anymore and coffee which is one of the biggest triggers for my acid reflux, but there's still a lot of bad food in my diet. I'm currently obese too which I know is one of the causes of acid reflux. I lost 10.7 kilos so far. But my diet is still pretty trash, i fast after I wake up for about 6 hours, and I eat 3 times per day, I also have strongest cravings at night so I eat more for dinner rather than for my first meal or my second meal of the day.
&amp;amp;#x200B;
What should I do? Is there anyone with similar experience like mine and could give me some advice?</t>
        </is>
      </c>
      <c r="D4593" t="n">
        <v>1</v>
      </c>
      <c r="E4593" t="n">
        <v>7</v>
      </c>
      <c r="F4593">
        <f>HYPERLINK("https://www.reddit.com/r/GERD/comments/emqjot/acid_reflux_in_the_mornings_and_before_going_to/")</f>
        <v/>
      </c>
      <c r="G4593" t="inlineStr">
        <is>
          <t>2020-01-10 04:53:58</t>
        </is>
      </c>
      <c r="H4593" t="inlineStr"/>
    </row>
    <row r="4594">
      <c r="A4594" t="inlineStr">
        <is>
          <t>emqq37</t>
        </is>
      </c>
      <c r="B4594" t="inlineStr">
        <is>
          <t>What all to be checked out for besides hiatial hernia?</t>
        </is>
      </c>
      <c r="C4594" t="inlineStr">
        <is>
          <t>my diet and everything is 100% on point and im still getting gerd. I know about the hiatal hernias, i will see if i can get checked to see if i have one, what else should i get tested to see if I have that can cause gerd?</t>
        </is>
      </c>
      <c r="D4594" t="n">
        <v>1</v>
      </c>
      <c r="E4594" t="n">
        <v>18</v>
      </c>
      <c r="F4594">
        <f>HYPERLINK("https://www.reddit.com/r/GERD/comments/emqq37/what_all_to_be_checked_out_for_besides_hiatial/")</f>
        <v/>
      </c>
      <c r="G4594" t="inlineStr">
        <is>
          <t>2020-01-10 05:11:10</t>
        </is>
      </c>
      <c r="H4594" t="inlineStr"/>
    </row>
    <row r="4595">
      <c r="A4595" t="inlineStr">
        <is>
          <t>emr648</t>
        </is>
      </c>
      <c r="B4595" t="inlineStr">
        <is>
          <t>PPI rant</t>
        </is>
      </c>
      <c r="C4595" t="inlineStr">
        <is>
          <t>I've been having symptoms of LPR and my doc gave me 1 month of pantoprazole. I'm also trying to follow acid watcher diet. Things are getting better.
However, i stopped using PPI 5 days ago.
I must say that I have never experienced heart burn(maybe 5-10 times in lifetime). And now I have it for few days already... Antacids are helping, and I'm gonna get through this, but fuck me if I'm gonna ever take PPI again. Just month and half ago(before LPR flare up), I had spicy mexican pizza and didn't have heartburn or burning stomach at all. Fucking rebound.
Any experiences with rebound? I must admit it isn't that bad, it's durable, and I hope it won't last long.</t>
        </is>
      </c>
      <c r="D4595" t="n">
        <v>1</v>
      </c>
      <c r="E4595" t="n">
        <v>9</v>
      </c>
      <c r="F4595">
        <f>HYPERLINK("https://www.reddit.com/r/GERD/comments/emr648/ppi_rant/")</f>
        <v/>
      </c>
      <c r="G4595" t="inlineStr">
        <is>
          <t>2020-01-10 05:51:00</t>
        </is>
      </c>
      <c r="H4595" t="inlineStr"/>
    </row>
    <row r="4596">
      <c r="A4596" t="inlineStr">
        <is>
          <t>emsv3x</t>
        </is>
      </c>
      <c r="B4596" t="inlineStr">
        <is>
          <t>PPI long term effects?? Are the new studies legitimate?</t>
        </is>
      </c>
      <c r="C4596" t="inlineStr">
        <is>
          <t>*disclaimer: I don’t know if any of these claims are true so don’t take any of this as fact*
I took PPIs for multiple years and have had no doctors tell me about potential bad long term effects. Started researching all of my meds recently and found a lot of studies that had some scary statistics about drastically increasing chances of stomach cancer and kidney failure. I stopped taking the PPI I was on (pantoprazole) but haven’t been able to get in to see my doc yet. Does anyone know about this? Are h2 blockers a better route or do they have the same effects?</t>
        </is>
      </c>
      <c r="D4596" t="n">
        <v>1</v>
      </c>
      <c r="E4596" t="n">
        <v>7</v>
      </c>
      <c r="F4596">
        <f>HYPERLINK("https://www.reddit.com/r/GERD/comments/emsv3x/ppi_long_term_effects_are_the_new_studies/")</f>
        <v/>
      </c>
      <c r="G4596" t="inlineStr">
        <is>
          <t>2020-01-10 07:58:08</t>
        </is>
      </c>
      <c r="H4596" t="inlineStr"/>
    </row>
    <row r="4597">
      <c r="A4597" t="inlineStr">
        <is>
          <t>emt2zc</t>
        </is>
      </c>
      <c r="B4597" t="inlineStr">
        <is>
          <t>Did your reflux start after a really stressful period, and then never went away?</t>
        </is>
      </c>
      <c r="C4597" t="inlineStr">
        <is>
          <t>One of the most upvoted posts on this sub all-time is the one talking about anxiety. It had the comments full of people describing their anxiety, and that their GERD and anxiety started around the same time.
I had an intensely stressful and anxiety-ridden period of 8 months when I was 16, and I developed GERD in the second month, where almost everything gave me an upset stomach. I also got a chronic sore throat because of the acid coming up all the way to my throat, which made speaking unbearably painful. 
Now 3.5 years later my life is completely different, and I'm much more happier and relaxed than ever before, but the GERD symptoms persist. My lifestyle has been uninentionally 99% anti-GERD even before my GERD began (never smoked, never drank, 20 BMI, avoiding trigger foods, exercise, water only etc), but I still feel acid burning my throat all the time.
I took esomeprazole 40mg for a month, barely did anything, if at all. I'm currently taking OTC 40 mg Famotidine every 12 hours, until I get to speak with a gastroenterologist, as it helps quite a bit.
I'm wondering how many of you are here who developed GERD in a very stressful phase of your life, which then never went away. I'm basically curious if this is a common thing, or if it was just a coincidence for me.</t>
        </is>
      </c>
      <c r="D4597" t="n">
        <v>1</v>
      </c>
      <c r="E4597" t="n">
        <v>34</v>
      </c>
      <c r="F4597">
        <f>HYPERLINK("https://www.reddit.com/r/GERD/comments/emt2zc/did_your_reflux_start_after_a_really_stressful/")</f>
        <v/>
      </c>
      <c r="G4597" t="inlineStr">
        <is>
          <t>2020-01-10 08:13:27</t>
        </is>
      </c>
      <c r="H4597" t="inlineStr"/>
    </row>
    <row r="4598">
      <c r="A4598" t="inlineStr">
        <is>
          <t>emuv9c</t>
        </is>
      </c>
      <c r="B4598" t="inlineStr">
        <is>
          <t>Acid medication and Probiotics?</t>
        </is>
      </c>
      <c r="C4598" t="inlineStr">
        <is>
          <t>Is it okay or even helpful to take probiotics with h2 blockers or ppis? I want to help my stomach heal and thought probiotics would be a good idea. Has anyone else had experience with this combo?</t>
        </is>
      </c>
      <c r="D4598" t="n">
        <v>1</v>
      </c>
      <c r="E4598" t="n">
        <v>6</v>
      </c>
      <c r="F4598">
        <f>HYPERLINK("https://www.reddit.com/r/GERD/comments/emuv9c/acid_medication_and_probiotics/")</f>
        <v/>
      </c>
      <c r="G4598" t="inlineStr">
        <is>
          <t>2020-01-10 10:18:12</t>
        </is>
      </c>
      <c r="H4598" t="inlineStr"/>
    </row>
    <row r="4599">
      <c r="A4599" t="inlineStr">
        <is>
          <t>emv5jg</t>
        </is>
      </c>
      <c r="B4599" t="inlineStr">
        <is>
          <t>Burning like feeling in eyes and skin?</t>
        </is>
      </c>
      <c r="C4599" t="inlineStr">
        <is>
          <t>I’ve had acid reflux since October of last year due to stress. After I eat I notice a burning in my throat which also makes me feel like my eyes especially my right eye is burning along with my throat and heartburn. Does anyone else get this feeling like acid is dropped on their skin or eyes or am I crazy?</t>
        </is>
      </c>
      <c r="D4599" t="n">
        <v>1</v>
      </c>
      <c r="E4599" t="n">
        <v>6</v>
      </c>
      <c r="F4599">
        <f>HYPERLINK("https://www.reddit.com/r/GERD/comments/emv5jg/burning_like_feeling_in_eyes_and_skin/")</f>
        <v/>
      </c>
      <c r="G4599" t="inlineStr">
        <is>
          <t>2020-01-10 10:38:10</t>
        </is>
      </c>
      <c r="H4599" t="inlineStr"/>
    </row>
    <row r="4600">
      <c r="A4600" t="inlineStr">
        <is>
          <t>emvyzq</t>
        </is>
      </c>
      <c r="B4600" t="inlineStr">
        <is>
          <t>Choking on acid in the night followed by 24 hours of feeling unwell</t>
        </is>
      </c>
      <c r="C4600" t="inlineStr">
        <is>
          <t>Hi,
28M, expecting to have a nissen fundoplication in the next month. 
This is the second time this has happened in the last month:
I woke up in the night choking on acid, as i’m sure many of you have experienced before. After some coughing I got back to sleep. This morning I woke up coughing, with shortness of breath and my lungs hurt. I’ve had terrible reflux all day and a sore throat. I have felt like I have the flu and have been lying on my sofa too weak to get up. Earlier I felt like I would vomit acid and sat on my bathroom floor for 10 minutes too weak to get up. 
I feel much better now but just have a sore throat, reflux and a headache. Last time this happened to me I felt fine 24 hours later. 
How worried should I be about aspiration pneumonia? I coughed a lot after it happened but i’m not sure why I have felt so terrible all day. 
I’m hoping to have the hernia repair operation soon and cannot wait to recover from this horrible condition. 
Thank you</t>
        </is>
      </c>
      <c r="D4600" t="n">
        <v>1</v>
      </c>
      <c r="E4600" t="n">
        <v>8</v>
      </c>
      <c r="F4600">
        <f>HYPERLINK("https://www.reddit.com/r/GERD/comments/emvyzq/choking_on_acid_in_the_night_followed_by_24_hours/")</f>
        <v/>
      </c>
      <c r="G4600" t="inlineStr">
        <is>
          <t>2020-01-10 11:37:09</t>
        </is>
      </c>
      <c r="H4600" t="inlineStr"/>
    </row>
    <row r="4601">
      <c r="A4601" t="inlineStr">
        <is>
          <t>emvzpg</t>
        </is>
      </c>
      <c r="B4601" t="inlineStr">
        <is>
          <t>Gaviscon for HH?</t>
        </is>
      </c>
      <c r="C4601" t="inlineStr">
        <is>
          <t>Anyone have success with this product? I’m in US. Been all over the web for relief I didn’t see this anywhere but someone on another app mentioned it. I just got some and do feel a tad better. Anything to take the edge off the every day midday no matter what I eat pain.</t>
        </is>
      </c>
      <c r="D4601" t="n">
        <v>1</v>
      </c>
      <c r="E4601" t="n">
        <v>6</v>
      </c>
      <c r="F4601">
        <f>HYPERLINK("https://www.reddit.com/r/GERD/comments/emvzpg/gaviscon_for_hh/")</f>
        <v/>
      </c>
      <c r="G4601" t="inlineStr">
        <is>
          <t>2020-01-10 11:38:39</t>
        </is>
      </c>
      <c r="H4601" t="inlineStr"/>
    </row>
    <row r="4602">
      <c r="A4602" t="inlineStr">
        <is>
          <t>emw000</t>
        </is>
      </c>
      <c r="B4602" t="inlineStr">
        <is>
          <t>Surgery?</t>
        </is>
      </c>
      <c r="C4602" t="inlineStr">
        <is>
          <t>My gastroenterologist has introduced surgery into the mix and I’m wondering if anyone has personal experience with this and might have similar symptoms/circumstances to me and can give advice... 
I’m a 21-year old woman who has had GERD for around 4-5 years. I’m overweight, but first developed reflux as a 15-year old suffering from Anorexia Nervosa. I’ve suffered from bad reflux at every weight range, from 105 lbs at my lowest to 210 lbs at my highest. Currently, I have a duodenal ulcer and a hiatial hernia. I’ve taken PPIs and H2 blockers and pretty much everything standard with nothing giving me long-term relief. 
Last week, my doctor told me that I might want to consider having surgery for the hiatial hernia as well as the [LINX surgery](https://www.linxforlife.com/about-linx). I’m open to this. He told me he would rather not perform surgery on me since I’m young, and recommended that I try and lose 40-50 pounds and get to a normal weight range and see if that makes my symptoms “disappear”... which makes me question how much he takes me seriously. I’ve lost around 20 pounds in the last few months and plan to lose more, however, he knows I’ve had reflux and GERD at low weights, healthy weights, and while overweight, so I struggle with the idea that being at a healthy weight will get rid of this somehow. He shamed me a lot for being overweight so part of me thinks he just wants me to lose weight for my overall health (which is fair) and not because it’ll do anything for me.
If surgery will get rid of this problem that’s been steadily ruining my life for years now, I want to do it. Has anyone else with long-term GERD had surgery for hiatial hernia or had surgery similar to the LINX procedure? What was your experience?</t>
        </is>
      </c>
      <c r="D4602" t="n">
        <v>1</v>
      </c>
      <c r="E4602" t="n">
        <v>4</v>
      </c>
      <c r="F4602">
        <f>HYPERLINK("https://www.reddit.com/r/GERD/comments/emw000/surgery/")</f>
        <v/>
      </c>
      <c r="G4602" t="inlineStr">
        <is>
          <t>2020-01-10 11:39:19</t>
        </is>
      </c>
      <c r="H4602" t="inlineStr"/>
    </row>
    <row r="4603">
      <c r="A4603" t="inlineStr">
        <is>
          <t>emx5cp</t>
        </is>
      </c>
      <c r="B4603" t="inlineStr">
        <is>
          <t>Bile Reflux</t>
        </is>
      </c>
      <c r="C4603" t="inlineStr">
        <is>
          <t>I have no gallbladder. I got it removed February 8th 2018. I have been on 40mg Pantoprazole since August 2018. I have been to change my diet to help my GERD. I did ans it helped a but until my gallbladder was removed. My doctor is still convinced that if I stay away from Acidic, citruses, alcohol, oily foods, and caffiene that my GERD will greatly improve. How do I get it through their brain that with no gallbladder I now have Bile Reflux on top of my normal Acid Reflux? I have lookes into ox bile and other bile acid supplements, just need to wait until I havw money, any recommended ones that don't break the bank or have a lot of unnessecary added herbs or vitamins/minerals (already on a multivitamin with A,E,D,K etc)</t>
        </is>
      </c>
      <c r="D4603" t="n">
        <v>1</v>
      </c>
      <c r="E4603" t="n">
        <v>14</v>
      </c>
      <c r="F4603">
        <f>HYPERLINK("https://www.reddit.com/r/GERD/comments/emx5cp/bile_reflux/")</f>
        <v/>
      </c>
      <c r="G4603" t="inlineStr">
        <is>
          <t>2020-01-10 13:03:22</t>
        </is>
      </c>
      <c r="H4603" t="inlineStr"/>
    </row>
    <row r="4604">
      <c r="A4604" t="inlineStr">
        <is>
          <t>emxzjp</t>
        </is>
      </c>
      <c r="B4604" t="inlineStr">
        <is>
          <t>Can herpes cause acid reflux?</t>
        </is>
      </c>
      <c r="C4604" t="inlineStr">
        <is>
          <t>Title</t>
        </is>
      </c>
      <c r="D4604" t="n">
        <v>1</v>
      </c>
      <c r="E4604" t="n">
        <v>7</v>
      </c>
      <c r="F4604">
        <f>HYPERLINK("https://www.reddit.com/r/GERD/comments/emxzjp/can_herpes_cause_acid_reflux/")</f>
        <v/>
      </c>
      <c r="G4604" t="inlineStr">
        <is>
          <t>2020-01-10 14:02:57</t>
        </is>
      </c>
      <c r="H4604" t="inlineStr"/>
    </row>
    <row r="4605">
      <c r="A4605" t="inlineStr">
        <is>
          <t>en0jnx</t>
        </is>
      </c>
      <c r="B4605" t="inlineStr">
        <is>
          <t>Gaviscon Advance and advil?</t>
        </is>
      </c>
      <c r="C4605" t="inlineStr">
        <is>
          <t>I have two questions which are unrelated but decided to ask them together.
The first one is about Gaviscon Advance. I’ve seen people attesting to its efficacy in heartburn but the thing is I don’t have heartburn. I have acid regurgitation (saliva coming up throat) and stomach burning. Can someone attest that the medicine will help with my symptoms? Also, are there any risks or side effects I should be aware about? 
The second question is I know that Advil makes acid reflux worse but I wonder if it varies from individual to individual. I have to take it for my stomach cramps (menstrual), but I was wondering if I have to stop taking it for my acid reflux to get better. But then my stomach cramps won’t go away. (See my problem?)</t>
        </is>
      </c>
      <c r="D4605" t="n">
        <v>1</v>
      </c>
      <c r="E4605" t="n">
        <v>4</v>
      </c>
      <c r="F4605">
        <f>HYPERLINK("https://www.reddit.com/r/GERD/comments/en0jnx/gaviscon_advance_and_advil/")</f>
        <v/>
      </c>
      <c r="G4605" t="inlineStr">
        <is>
          <t>2020-01-10 17:18:06</t>
        </is>
      </c>
      <c r="H4605" t="inlineStr"/>
    </row>
    <row r="4606">
      <c r="A4606" t="inlineStr">
        <is>
          <t>en0lc9</t>
        </is>
      </c>
      <c r="B4606" t="inlineStr">
        <is>
          <t>Longest someone’s rebound acid has lasted after coming off PPI?</t>
        </is>
      </c>
      <c r="C4606" t="inlineStr">
        <is>
          <t>I’ve read online 2 weeks is standard but up to 3 months. I stumbled across a GERD support thread on google where people are saying they’ve been to the Mayo Clinic and were told it’s possible to have hyperactive acid for up to 6 months. I’m currently on week 3 no PPI after 7 years on. I only get it after I eat at most for a few hours. Non at night or after a fast. It does seem to be resolving....very slowly. I had no idea the host of side effects that come with long term PPI use and withdrawal. Anyone have any tips for natural remedies? I’m taking apple cider vinegar, “digest” enzymes, throat coat tea, DGL doesn’t work for me makes me feel like I’m going to die.</t>
        </is>
      </c>
      <c r="D4606" t="n">
        <v>1</v>
      </c>
      <c r="E4606" t="n">
        <v>0</v>
      </c>
      <c r="F4606">
        <f>HYPERLINK("https://www.reddit.com/r/GERD/comments/en0lc9/longest_someones_rebound_acid_has_lasted_after/")</f>
        <v/>
      </c>
      <c r="G4606" t="inlineStr">
        <is>
          <t>2020-01-10 17:21:51</t>
        </is>
      </c>
      <c r="H4606" t="inlineStr"/>
    </row>
    <row r="4607">
      <c r="A4607" t="inlineStr">
        <is>
          <t>en0sih</t>
        </is>
      </c>
      <c r="B4607" t="inlineStr">
        <is>
          <t>Finally a diagnosis! Non ulcer dyspepsia</t>
        </is>
      </c>
      <c r="C4607" t="inlineStr">
        <is>
          <t xml:space="preserve">
I'm a male in my mid 30s who has had on and off pain in my upper right quadrant for 3 years along with bloating, belching, and back pain that mainly comes on at night. 
After 4 years and $10,000's of money towards co-pays scans, testing, etc I was diagnoses with non ulcer dyspepsia or functional dyspepsia. 
The doctor I saw today was incredible. He went over everything and was the first to listen and not tell me that  the pain was just anxiety. He then told me what he thought some of my other symptoms may be and he was spot on. 
He prescribed a 25 MG daily dose of zoloft and explained how it would help relax my upper gi and help to decrease / eliminate the episodes of pain. 
Is anyone familiar with this diagnosis or condition? I'd love to hear anyons experience or if anything else has helped them. 
I am excited to start this and am hopeful that it will help?</t>
        </is>
      </c>
      <c r="D4607" t="n">
        <v>1</v>
      </c>
      <c r="E4607" t="n">
        <v>32</v>
      </c>
      <c r="F4607">
        <f>HYPERLINK("https://www.reddit.com/r/GERD/comments/en0sih/finally_a_diagnosis_non_ulcer_dyspepsia/")</f>
        <v/>
      </c>
      <c r="G4607" t="inlineStr">
        <is>
          <t>2020-01-10 17:38:07</t>
        </is>
      </c>
      <c r="H4607" t="inlineStr"/>
    </row>
    <row r="4608">
      <c r="A4608" t="inlineStr">
        <is>
          <t>en0yiz</t>
        </is>
      </c>
      <c r="B4608" t="inlineStr">
        <is>
          <t>After 3 months on PPI, I’m starting to get full super easily. Is this common?</t>
        </is>
      </c>
      <c r="C4608" t="inlineStr">
        <is>
          <t>I want to try and wean off since my throat has been getting better (though the past two weeks of a virus/laryngitis made it feel worse), but until then how should I best navigate getting full super quick? I’ll be very hungry but after a few bites of my food, I really won’t have much motivation to finish.
And then when I force myself, it feels like the food takes forever to digest</t>
        </is>
      </c>
      <c r="D4608" t="n">
        <v>1</v>
      </c>
      <c r="E4608" t="n">
        <v>0</v>
      </c>
      <c r="F4608">
        <f>HYPERLINK("https://www.reddit.com/r/GERD/comments/en0yiz/after_3_months_on_ppi_im_starting_to_get_full/")</f>
        <v/>
      </c>
      <c r="G4608" t="inlineStr">
        <is>
          <t>2020-01-10 17:51:24</t>
        </is>
      </c>
      <c r="H4608" t="inlineStr"/>
    </row>
    <row r="4609">
      <c r="A4609" t="inlineStr">
        <is>
          <t>en33e5</t>
        </is>
      </c>
      <c r="B4609" t="inlineStr">
        <is>
          <t>salad dressing and gerd</t>
        </is>
      </c>
      <c r="C4609" t="inlineStr">
        <is>
          <t>Hi everyone. I am trying to get back into eating healthier not only to help my Gerd symptoms but also my health in general...
What salad dressings do you guys use that don't trigger heartburn? Would appreciate any recipes/ideas, thanks.</t>
        </is>
      </c>
      <c r="D4609" t="n">
        <v>1</v>
      </c>
      <c r="E4609" t="n">
        <v>12</v>
      </c>
      <c r="F4609">
        <f>HYPERLINK("https://www.reddit.com/r/GERD/comments/en33e5/salad_dressing_and_gerd/")</f>
        <v/>
      </c>
      <c r="G4609" t="inlineStr">
        <is>
          <t>2020-01-10 20:59:01</t>
        </is>
      </c>
      <c r="H4609" t="inlineStr"/>
    </row>
    <row r="4610">
      <c r="A4610" t="inlineStr">
        <is>
          <t>en393s</t>
        </is>
      </c>
      <c r="B4610" t="inlineStr">
        <is>
          <t>a small hiatus hernia can be missed in an endoscope?</t>
        </is>
      </c>
      <c r="C4610" t="inlineStr">
        <is>
          <t>I had LPR since 3 months ago, it started like a normal cold, anyway my only symptoms are post nasal drip and sore throat that is bothering me a lot to to the point of depressiion, never in my life experienced any heartburn, chest pain or other GERD/LPR symptoms, im a bodybuilder so I was fearing hernia, anyway my endoscope (not sedated) and a bit traumataizing, didn't show any hernia or esophaghitis and a normal LES, but my phmetry became highly abnormal with nine distal refluxes (throat) , so I was thinking in the possibility that the hernia could be missed ?  Any opinions?</t>
        </is>
      </c>
      <c r="D4610" t="n">
        <v>1</v>
      </c>
      <c r="E4610" t="n">
        <v>6</v>
      </c>
      <c r="F4610">
        <f>HYPERLINK("https://www.reddit.com/r/GERD/comments/en393s/a_small_hiatus_hernia_can_be_missed_in_an/")</f>
        <v/>
      </c>
      <c r="G4610" t="inlineStr">
        <is>
          <t>2020-01-10 21:13:22</t>
        </is>
      </c>
      <c r="H4610" t="inlineStr"/>
    </row>
    <row r="4611">
      <c r="A4611" t="inlineStr">
        <is>
          <t>en3jtq</t>
        </is>
      </c>
      <c r="B4611" t="inlineStr">
        <is>
          <t>Gerd or possible lpr?</t>
        </is>
      </c>
      <c r="C4611" t="inlineStr">
        <is>
          <t>I’ve been having acid reflux symptoms since October 2019. It kind of started as a lump in the throat but progressed to indigestion and feeling like food was “stuck in my chest” as it went down. What bothers me the most now is that I have frequent throat burning after meals and some occasional heartburn. Sometimes I feel like my eyes and nose are burning inside. I found that alkaline water helps a lot. Especially when I drink since I read somewhere it flushes out pepsin. The gastro recommended Buspirone since I had a history of ibs and what he calls nonulcer dyspepsia. Is this lpr or gerd? Anyone had any success using this medication</t>
        </is>
      </c>
      <c r="D4611" t="n">
        <v>1</v>
      </c>
      <c r="E4611" t="n">
        <v>1</v>
      </c>
      <c r="F4611">
        <f>HYPERLINK("https://www.reddit.com/r/GERD/comments/en3jtq/gerd_or_possible_lpr/")</f>
        <v/>
      </c>
      <c r="G4611" t="inlineStr">
        <is>
          <t>2020-01-10 21:42:59</t>
        </is>
      </c>
      <c r="H4611" t="inlineStr"/>
    </row>
    <row r="4612">
      <c r="A4612" t="inlineStr">
        <is>
          <t>en3whw</t>
        </is>
      </c>
      <c r="B4612" t="inlineStr">
        <is>
          <t>GERD symptoms only at night? Not at bed time... just in the evening in general?</t>
        </is>
      </c>
      <c r="C4612" t="inlineStr">
        <is>
          <t>I almost feel like some sort of sundowner. I feel totally fine all day regardless of what I eat or drink 99% of the time... but then the second it’s dark out, I get that horrible feeling in my chest, I get all those bubbles in my chest that make me nauseous... but why? Even when I get home from work, I sit up straight and don’t lay down. But once it gets dark, I feel sick and get GERD symptoms. Is this all in my head? Why can’t I have any peace in the evenings???</t>
        </is>
      </c>
      <c r="D4612" t="n">
        <v>1</v>
      </c>
      <c r="E4612" t="n">
        <v>2</v>
      </c>
      <c r="F4612">
        <f>HYPERLINK("https://www.reddit.com/r/GERD/comments/en3whw/gerd_symptoms_only_at_night_not_at_bed_time_just/")</f>
        <v/>
      </c>
      <c r="G4612" t="inlineStr">
        <is>
          <t>2020-01-10 22:20:47</t>
        </is>
      </c>
      <c r="H4612" t="inlineStr"/>
    </row>
    <row r="4613">
      <c r="A4613" t="inlineStr">
        <is>
          <t>en4h23</t>
        </is>
      </c>
      <c r="B4613" t="inlineStr">
        <is>
          <t>Left side chest pain</t>
        </is>
      </c>
      <c r="C4613" t="inlineStr">
        <is>
          <t>I've dealt with GERD for ~5 years and within the past year or so I've developed this weird pressure/tightness feeling in the left side of my chest which gets noticeably worse when I lay down. Sometimes it's very uncomfortable and I can't stop thinking about it.
Here's the good thing - I did see my doctor last Monday about this and although she thinks it's most likely GERD related, she referred me to a cardiologist who I'll see next month. The even better news is that she gave me a prescription for Prevacid and since taking it, there hasn't been any pain... at all really. It's only been 5 days so I don't want to get too excited but going from having this weird pain anytime I laid down to having no pain at all is just crazy to me. I just hope it lasts because it's awesome.
My question is what the hell could have that pain been? Have any of you experienced something similar? It must be GERD related if Prevacid is working wonders, should I be worried about an ulcer or anything though? Thanks in advance</t>
        </is>
      </c>
      <c r="D4613" t="n">
        <v>1</v>
      </c>
      <c r="E4613" t="n">
        <v>7</v>
      </c>
      <c r="F4613">
        <f>HYPERLINK("https://www.reddit.com/r/GERD/comments/en4h23/left_side_chest_pain/")</f>
        <v/>
      </c>
      <c r="G4613" t="inlineStr">
        <is>
          <t>2020-01-10 23:25:48</t>
        </is>
      </c>
      <c r="H4613" t="inlineStr"/>
    </row>
    <row r="4614">
      <c r="A4614" t="inlineStr">
        <is>
          <t>en5yku</t>
        </is>
      </c>
      <c r="B4614" t="inlineStr">
        <is>
          <t>I'm waking up tired. GERD is worsening everyday.</t>
        </is>
      </c>
      <c r="C4614" t="inlineStr">
        <is>
          <t>At night when I lay down I get shortness of breath and acid reflux and I feel like I'm miliseconds away from having a heart attack... I can't stand the constant fatigue. I'm 30 and yet I have so much work I need to do and can't do more than 20 minutes without wanting to pass out.</t>
        </is>
      </c>
      <c r="D4614" t="n">
        <v>1</v>
      </c>
      <c r="E4614" t="n">
        <v>9</v>
      </c>
      <c r="F4614">
        <f>HYPERLINK("https://www.reddit.com/r/GERD/comments/en5yku/im_waking_up_tired_gerd_is_worsening_everyday/")</f>
        <v/>
      </c>
      <c r="G4614" t="inlineStr">
        <is>
          <t>2020-01-11 02:38:40</t>
        </is>
      </c>
      <c r="H4614" t="inlineStr"/>
    </row>
    <row r="4615">
      <c r="A4615" t="inlineStr">
        <is>
          <t>en6arp</t>
        </is>
      </c>
      <c r="B4615" t="inlineStr">
        <is>
          <t>Happy to have GERD!</t>
        </is>
      </c>
      <c r="C4615" t="inlineStr">
        <is>
          <t>So I’ve had chronic, like all my life sore throats. It’s never strep but I’m always miserable! 
I wake up most days in so much pain, go to the doctors sometimes and they’ll prescribe me with some antibiotic that does not nothing for me and the cycle continues...
However i spoke to a doctor yesterday and he realized I have GERD, and it’s primarily at night while sleeping . it’s the cause of my cough and sore throat.
I can treat this and diet accordingly; sleep at an angle and see how that helps me. 
Happy for the diagnosis</t>
        </is>
      </c>
      <c r="D4615" t="n">
        <v>1</v>
      </c>
      <c r="E4615" t="n">
        <v>19</v>
      </c>
      <c r="F4615">
        <f>HYPERLINK("https://www.reddit.com/r/GERD/comments/en6arp/happy_to_have_gerd/")</f>
        <v/>
      </c>
      <c r="G4615" t="inlineStr">
        <is>
          <t>2020-01-11 03:21:00</t>
        </is>
      </c>
      <c r="H4615" t="inlineStr"/>
    </row>
    <row r="4616">
      <c r="A4616" t="inlineStr">
        <is>
          <t>en7lap</t>
        </is>
      </c>
      <c r="B4616" t="inlineStr">
        <is>
          <t>Sushi (again)</t>
        </is>
      </c>
      <c r="C4616" t="inlineStr">
        <is>
          <t>Hello!  I asked a sushi question last week, but this week I have a new sushi question.  
My doctor has upped my doses to 40 dexilant and 40 famotidine twice a day, and I wondered if that much acid suppression would allow enough acid to break down the bacteria that naturally grows in raw fish. 
Thanks!</t>
        </is>
      </c>
      <c r="D4616" t="n">
        <v>1</v>
      </c>
      <c r="E4616" t="n">
        <v>13</v>
      </c>
      <c r="F4616">
        <f>HYPERLINK("https://www.reddit.com/r/GERD/comments/en7lap/sushi_again/")</f>
        <v/>
      </c>
      <c r="G4616" t="inlineStr">
        <is>
          <t>2020-01-11 05:47:39</t>
        </is>
      </c>
      <c r="H4616" t="inlineStr"/>
    </row>
    <row r="4617">
      <c r="A4617" t="inlineStr">
        <is>
          <t>en8lch</t>
        </is>
      </c>
      <c r="B4617" t="inlineStr">
        <is>
          <t>Is this GERD ?</t>
        </is>
      </c>
      <c r="C4617" t="inlineStr">
        <is>
          <t>I get nausea every morning and feel like vomiting even when my last meal was 2-3 hours before my sleep. Cannot eat when I wake up even when extremely hungry.
Forcing myself to vomit release like 2 spoons of yellowish liquid and i start feeling better immidiately after I vomit. Difficulty speaking (globus sensation) and feels like choking. Bad odour most of the time from mouth not fixed by brushing. 
No heartburn, acidity or pain.
Facing this problem since September 2018 after a very stressful(but positive) event (mentioning this because saw some people also mention they started feeling this way after a triggering event).</t>
        </is>
      </c>
      <c r="D4617" t="n">
        <v>1</v>
      </c>
      <c r="E4617" t="n">
        <v>3</v>
      </c>
      <c r="F4617">
        <f>HYPERLINK("https://www.reddit.com/r/GERD/comments/en8lch/is_this_gerd/")</f>
        <v/>
      </c>
      <c r="G4617" t="inlineStr">
        <is>
          <t>2020-01-11 07:17:21</t>
        </is>
      </c>
      <c r="H4617" t="inlineStr"/>
    </row>
    <row r="4618">
      <c r="A4618" t="inlineStr">
        <is>
          <t>en8n7i</t>
        </is>
      </c>
      <c r="B4618" t="inlineStr">
        <is>
          <t>Roaccutane &amp;amp; GERD</t>
        </is>
      </c>
      <c r="C4618" t="inlineStr">
        <is>
          <t>I randomly came across someone on IG posting about how they experienced chronic GERD etc, AFTER taking a course of roaccutane. Funny enough, I also took the same meds for acne &amp;amp; I can suspect that this might be something that MAY have caused Gerd for me, and others who also took this med.  anyone else on the same boat ? I’m trying to figure out if there’s a reversal to this smh</t>
        </is>
      </c>
      <c r="D4618" t="n">
        <v>1</v>
      </c>
      <c r="E4618" t="n">
        <v>5</v>
      </c>
      <c r="F4618">
        <f>HYPERLINK("https://www.reddit.com/r/GERD/comments/en8n7i/roaccutane_gerd/")</f>
        <v/>
      </c>
      <c r="G4618" t="inlineStr">
        <is>
          <t>2020-01-11 07:21:45</t>
        </is>
      </c>
      <c r="H4618" t="inlineStr"/>
    </row>
    <row r="4619">
      <c r="A4619" t="inlineStr">
        <is>
          <t>en93vi</t>
        </is>
      </c>
      <c r="B4619" t="inlineStr">
        <is>
          <t>Throat burning</t>
        </is>
      </c>
      <c r="C4619" t="inlineStr">
        <is>
          <t>I have had throat burning for the last 3 months. My symptoms initially started with a minty throat and some weird feeling of lump. My doctor asked for a barium swallow that came out normal. Since the last month or so, I've noticed more frequent burping during the day. I have \*no\* night time reflux. Each day, my throat feels normal in the morning and gets progressively worse. I have no other symptoms other than throat burning and some throat irritation (no dyspepsia, indigestion etc.). My digestion and stool is also completely normal. Last month I also had endoscopy that was normal. The biopsy of tissue revealed no precancerous cells/allergic reaction but had "evidence of acid reflux".
Has anyone had experience with just throat burning? And when I say throat burning, it is not the chest or sternum or abdomen that burns. It is literally the part above the voice box to the back of throat just behind the tongue. I am at loss of what to do next to get some relief. Taking antacid medications (tried gaviscon) burns my throat even more. It's like the alkaline medication reacts with the acid in throat to generate heat -- but obviously there is not that much acid in the throat too. I also tried some OTC pepcid but did not get any relief (maybe I need higher dose for a much longer period). 
I am otherwise very healthy and already have an anti-GERD diet -- no smoking, alchohol or coffee, good fluid intake, vegeterian food, lots of fruits. Please help me :-(</t>
        </is>
      </c>
      <c r="D4619" t="n">
        <v>1</v>
      </c>
      <c r="E4619" t="n">
        <v>5</v>
      </c>
      <c r="F4619">
        <f>HYPERLINK("https://www.reddit.com/r/GERD/comments/en93vi/throat_burning/")</f>
        <v/>
      </c>
      <c r="G4619" t="inlineStr">
        <is>
          <t>2020-01-11 07:58:14</t>
        </is>
      </c>
      <c r="H4619" t="inlineStr"/>
    </row>
    <row r="4620">
      <c r="A4620" t="inlineStr">
        <is>
          <t>en9cj0</t>
        </is>
      </c>
      <c r="B4620" t="inlineStr">
        <is>
          <t>Can the symptoms of GERD from hiatal hernia dissapear and life go back to normal(ish)?</t>
        </is>
      </c>
      <c r="C4620" t="inlineStr">
        <is>
          <t>Hi to all, quick backstory and then my question.
31M, got symptoms of GERD 1.5 months ago. Got my endoscopy yesterday and was diagnosed with GERD and (axial? prob sliding) hiatal hernia. The doctor said considering my profile that I was just probably born with it.
Treatment: PPI and diet.
Never had symptoms before this as I've lived a pretty healthy normal life and I've read that most people that have HH live without symptoms. I've read pretty much every experience I could get my hands on and from what I've read it seems that it would be better to get diagnosed with type 1 diabetes than HH.
My question is, if I've never had symptoms before, is it possible to get to a place where I'm 90% free of symptoms and I lead a life similar to how I lived 2+ months ago? Or, is this the beginning of long time of no lying down after meals, 7 meal days, PPIs, no alcohol or coffee, no citrus fruits, no spicy foods, no large meals, sleeping at an angle and all the things I'm doing right now just so I do not have GERD (no guarantee) and eventually do surgery?</t>
        </is>
      </c>
      <c r="D4620" t="n">
        <v>1</v>
      </c>
      <c r="E4620" t="n">
        <v>9</v>
      </c>
      <c r="F4620">
        <f>HYPERLINK("https://www.reddit.com/r/GERD/comments/en9cj0/can_the_symptoms_of_gerd_from_hiatal_hernia/")</f>
        <v/>
      </c>
      <c r="G4620" t="inlineStr">
        <is>
          <t>2020-01-11 08:17:27</t>
        </is>
      </c>
      <c r="H4620" t="inlineStr"/>
    </row>
    <row r="4621">
      <c r="A4621" t="inlineStr">
        <is>
          <t>en9jag</t>
        </is>
      </c>
      <c r="B4621" t="inlineStr">
        <is>
          <t>Esophagitis erosive and barrets esophagus</t>
        </is>
      </c>
      <c r="C4621" t="inlineStr">
        <is>
          <t>Hello,I did this thread several times but I'm still scarry and I dont know what are my odd to have it 
 im 23 years old male
2 years ago I was diagnosed with erosive esophagitis (was spitting blood)
Today I have really bad Gerd and was referred for an endoscopy
I read 2 studies that said barrett's esophagus is 5 times more common in individual just  after erosive esophagitis
8 out of 90 patient had barrett's esophagus after their esophagitis
Given the fact that I didn't treat my Gerd (just the esophagitis) I'm really start to freak out
If barret is found then I'm sentenced to a life of anxiety
If barret is not found it would be a relief
If I cancel the endoscopy, then I won't know anything but barret have a very low chance to become cancerous
I really don't know what to do and I'm lost
This endidcopy can really change my life
It's a huge dilemma for me
Again sorry for posting it again but I cannot even sleep at night because of it</t>
        </is>
      </c>
      <c r="D4621" t="n">
        <v>1</v>
      </c>
      <c r="E4621" t="n">
        <v>12</v>
      </c>
      <c r="F4621">
        <f>HYPERLINK("https://www.reddit.com/r/GERD/comments/en9jag/esophagitis_erosive_and_barrets_esophagus/")</f>
        <v/>
      </c>
      <c r="G4621" t="inlineStr">
        <is>
          <t>2020-01-11 08:32:12</t>
        </is>
      </c>
      <c r="H4621" t="inlineStr"/>
    </row>
    <row r="4622">
      <c r="A4622" t="inlineStr">
        <is>
          <t>ena1ry</t>
        </is>
      </c>
      <c r="B4622" t="inlineStr">
        <is>
          <t>Last post</t>
        </is>
      </c>
      <c r="C4622" t="inlineStr">
        <is>
          <t>Ok this is the last time I’m posting anything like this but I want answers because I feel like my doctor doesn’t have an idea what’s wrong and I want to see if anyone relates at all. I’ll start by saying I’m a 14 year old male and my symptoms started about 7 to 8 months ago. They are constant burping, full feeling in upper abdomen from drinking anything (even water), burping up a sour taste into my mouth, minor dysphagia (things occasionally get stuck for a few seconds), and also in the past few weeks I’ve noticed like 3 or 4 swollen lymph nodes nodes on the sides of my neck. They are firm and I can’t really tell if I can move them because I’ve never really had swollen glands on my neck, but they haven’t gotten bigger at all, and they aren’t visible (I have to press on my neck to feel them) thanks for reading, and please let me know any ideas or possibilities if you have them and if you can relate to this.</t>
        </is>
      </c>
      <c r="D4622" t="n">
        <v>1</v>
      </c>
      <c r="E4622" t="n">
        <v>10</v>
      </c>
      <c r="F4622">
        <f>HYPERLINK("https://www.reddit.com/r/GERD/comments/ena1ry/last_post/")</f>
        <v/>
      </c>
      <c r="G4622" t="inlineStr">
        <is>
          <t>2020-01-11 09:10:44</t>
        </is>
      </c>
      <c r="H4622" t="inlineStr"/>
    </row>
    <row r="4623">
      <c r="A4623" t="inlineStr">
        <is>
          <t>enc3jd</t>
        </is>
      </c>
      <c r="B4623" t="inlineStr">
        <is>
          <t>I have LPR but rarely experience heartburn?</t>
        </is>
      </c>
      <c r="C4623" t="inlineStr">
        <is>
          <t>Can someone explain to me how with LPR that I almost never get heartburn? I don’t get how the acid manages to make its way up to my throat, but I don’t have discomfort anywhere other than my throat. Wouldn’t you think other parts of my esophagus would be feeling the stomach acid?</t>
        </is>
      </c>
      <c r="D4623" t="n">
        <v>1</v>
      </c>
      <c r="E4623" t="n">
        <v>2</v>
      </c>
      <c r="F4623">
        <f>HYPERLINK("https://www.reddit.com/r/GERD/comments/enc3jd/i_have_lpr_but_rarely_experience_heartburn/")</f>
        <v/>
      </c>
      <c r="G4623" t="inlineStr">
        <is>
          <t>2020-01-11 11:41:03</t>
        </is>
      </c>
      <c r="H4623" t="inlineStr"/>
    </row>
    <row r="4624">
      <c r="A4624" t="inlineStr">
        <is>
          <t>encyfi</t>
        </is>
      </c>
      <c r="B4624" t="inlineStr">
        <is>
          <t>Has anyone had successful treatment of LPR without PPIs or h2 blockers?</t>
        </is>
      </c>
      <c r="C4624" t="inlineStr">
        <is>
          <t>I have severe LPR and am allergic to PPIs and H2 blockers. I've had surgery which helped my GERD but still have really really severe LPR. At a loss for what to do since I can't take the meds...</t>
        </is>
      </c>
      <c r="D4624" t="n">
        <v>1</v>
      </c>
      <c r="E4624" t="n">
        <v>15</v>
      </c>
      <c r="F4624">
        <f>HYPERLINK("https://www.reddit.com/r/GERD/comments/encyfi/has_anyone_had_successful_treatment_of_lpr/")</f>
        <v/>
      </c>
      <c r="G4624" t="inlineStr">
        <is>
          <t>2020-01-11 12:43:01</t>
        </is>
      </c>
      <c r="H4624" t="inlineStr"/>
    </row>
    <row r="4625">
      <c r="A4625" t="inlineStr">
        <is>
          <t>end4cu</t>
        </is>
      </c>
      <c r="B4625" t="inlineStr">
        <is>
          <t>I think My Nissen Toupet failed</t>
        </is>
      </c>
      <c r="C4625" t="inlineStr">
        <is>
          <t>After 3 years of having gerd problems ( also had HH and LPR) i decided to get surgery.
My surgeon recommended a toupet 270°.
Recovery was better than expected could eat solid food 3-4 days after surgery. Just had to eat slowly.
Also my gerd symptoms were gone and this felt amazing.
Now since a few weeks backs the gerd symptoms are back.
Heartburn,acid in throat and on my tongue?
Has anyone else had this happend to them ?</t>
        </is>
      </c>
      <c r="D4625" t="n">
        <v>1</v>
      </c>
      <c r="E4625" t="n">
        <v>2</v>
      </c>
      <c r="F4625">
        <f>HYPERLINK("https://www.reddit.com/r/GERD/comments/end4cu/i_think_my_nissen_toupet_failed/")</f>
        <v/>
      </c>
      <c r="G4625" t="inlineStr">
        <is>
          <t>2020-01-11 12:54:56</t>
        </is>
      </c>
      <c r="H4625" t="inlineStr"/>
    </row>
    <row r="4626">
      <c r="A4626" t="inlineStr">
        <is>
          <t>endgva</t>
        </is>
      </c>
      <c r="B4626" t="inlineStr">
        <is>
          <t>Surgery options?</t>
        </is>
      </c>
      <c r="C4626" t="inlineStr">
        <is>
          <t>Hi all,
I'll try to keep this short - I've basically been diagnosed with a 2cm sliding hiatal hernia and grade 2 oesophagitis. I'm on 40mg of esomeprazole (Nexium) and I'm not feeling the burning sensation I sometimes had anymore.
The worst part of my 'reflux' is that my stomach makes constant noises (only when I'm sat down, not when I'm flat in bed) that I can sometimes feel vibrate up to my throat but I don't feel anything come up (I've had mucus in my throat constantly for a year but no burning sensations or any other symptoms).
I've heard I can get my hernia repaired with a mesh but I don't like the idea of having a fundoplication. If I were just to get the hernia fixed, would that potentially stop my other issues? I'm in the UK so I'm not sure what other NHS options I'd have or what would work with a hernia (i.e. Stretta?)
Any information would be very much appreciated. Thanks! :)</t>
        </is>
      </c>
      <c r="D4626" t="n">
        <v>1</v>
      </c>
      <c r="E4626" t="n">
        <v>1</v>
      </c>
      <c r="F4626">
        <f>HYPERLINK("https://www.reddit.com/r/GERD/comments/endgva/surgery_options/")</f>
        <v/>
      </c>
      <c r="G4626" t="inlineStr">
        <is>
          <t>2020-01-11 13:19:50</t>
        </is>
      </c>
      <c r="H4626" t="inlineStr"/>
    </row>
    <row r="4627">
      <c r="A4627" t="inlineStr">
        <is>
          <t>endnyw</t>
        </is>
      </c>
      <c r="B4627" t="inlineStr">
        <is>
          <t>What do you think about RefluxBand?</t>
        </is>
      </c>
      <c r="C4627" t="inlineStr">
        <is>
          <t>Hello. Has anyone tried [RefluxBand](https://refluxband.co.uk/)?
It's a device that supposedly helps persons with LPR.
Since may 2017, I have a sliding hiatal hernia, with LPR symptoms (almost constant feeling of lump in the throat, dysphagia).. Never got a heatburn. 
I tried everything, changed my lifestyle, eating habits, PPIs, Iqoro.
I saw that RefluxBand is available only in US and UK. I'm interesting in buying a device, but it won't ship to my contry. Is anyone here from UK to buy this product for me, and then ship it via cargo service? I live in EU.</t>
        </is>
      </c>
      <c r="D4627" t="n">
        <v>1</v>
      </c>
      <c r="E4627" t="n">
        <v>0</v>
      </c>
      <c r="F4627">
        <f>HYPERLINK("https://www.reddit.com/r/GERD/comments/endnyw/what_do_you_think_about_refluxband/")</f>
        <v/>
      </c>
      <c r="G4627" t="inlineStr">
        <is>
          <t>2020-01-11 13:34:04</t>
        </is>
      </c>
      <c r="H4627" t="inlineStr"/>
    </row>
    <row r="4628">
      <c r="A4628" t="inlineStr">
        <is>
          <t>enebw1</t>
        </is>
      </c>
      <c r="B4628" t="inlineStr">
        <is>
          <t>Xanax and PPI together?</t>
        </is>
      </c>
      <c r="C4628" t="inlineStr">
        <is>
          <t xml:space="preserve"> Hello, recently I had anxiety and insomnia problems, so my doctor prescribed me between 0.5 - 1 g of xanax (Alprazolam), but before this I was already having a treatment with Pantoprazole. Have you taken any PPI and Benzodiazepine at the same time? My doctor told me that there is no interaction, but, I have not consulted with my gastroenterologist, until next Friday, so I have suspended the treatment with the PPI until I know it is safe, any suggestions?  
TLDR:
 Have you had experiences taking benzodiazepines with PPI at the same time?</t>
        </is>
      </c>
      <c r="D4628" t="n">
        <v>1</v>
      </c>
      <c r="E4628" t="n">
        <v>11</v>
      </c>
      <c r="F4628">
        <f>HYPERLINK("https://www.reddit.com/r/GERD/comments/enebw1/xanax_and_ppi_together/")</f>
        <v/>
      </c>
      <c r="G4628" t="inlineStr">
        <is>
          <t>2020-01-11 14:21:52</t>
        </is>
      </c>
      <c r="H4628" t="inlineStr"/>
    </row>
    <row r="4629">
      <c r="A4629" t="inlineStr">
        <is>
          <t>enf384</t>
        </is>
      </c>
      <c r="B4629" t="inlineStr">
        <is>
          <t>Guys I figured something out</t>
        </is>
      </c>
      <c r="C4629" t="inlineStr">
        <is>
          <t>If we all just stop eating there will be nothing to reflux.</t>
        </is>
      </c>
      <c r="D4629" t="n">
        <v>1</v>
      </c>
      <c r="E4629" t="n">
        <v>2</v>
      </c>
      <c r="F4629">
        <f>HYPERLINK("https://www.reddit.com/r/GERD/comments/enf384/guys_i_figured_something_out/")</f>
        <v/>
      </c>
      <c r="G4629" t="inlineStr">
        <is>
          <t>2020-01-11 15:17:33</t>
        </is>
      </c>
      <c r="H4629" t="inlineStr"/>
    </row>
    <row r="4630">
      <c r="A4630" t="inlineStr">
        <is>
          <t>enfjee</t>
        </is>
      </c>
      <c r="B4630" t="inlineStr">
        <is>
          <t>Does anybody experience dry heaving with GERD?</t>
        </is>
      </c>
      <c r="C4630" t="inlineStr">
        <is>
          <t>Before retching, I'd feel nauseated and get a sour taste in my mouth ( the same taste before you usually throw up). Sometimes I get it on an empty stomach or right after a meal.
But I dont actually throw up. It's quite a nuisance. My doctor just chucks it off as anxiety. But my gastroenterologist thinks it could be GERD and prescribed me omeprazole. Does this sound like GERD symptoms to you?</t>
        </is>
      </c>
      <c r="D4630" t="n">
        <v>1</v>
      </c>
      <c r="E4630" t="n">
        <v>5</v>
      </c>
      <c r="F4630">
        <f>HYPERLINK("https://www.reddit.com/r/GERD/comments/enfjee/does_anybody_experience_dry_heaving_with_gerd/")</f>
        <v/>
      </c>
      <c r="G4630" t="inlineStr">
        <is>
          <t>2020-01-11 15:51:19</t>
        </is>
      </c>
      <c r="H4630" t="inlineStr"/>
    </row>
    <row r="4631">
      <c r="A4631" t="inlineStr">
        <is>
          <t>eng0pg</t>
        </is>
      </c>
      <c r="B4631" t="inlineStr">
        <is>
          <t>Those who take PPIs or H2 Blockers, do you take multivitamins and/or probiotics? If so, does it help?</t>
        </is>
      </c>
      <c r="C4631" t="inlineStr">
        <is>
          <t>I read that both can help since PPIs and H2 blockers affect nutrient absorption, especially calcium, iron, magnesium, vitamin B12, D, and C, and can affect the good bacteria in the stomach. I have to switch to a PPI again from an H2 blocker and was wondering if taking a probiotic and multivitamin are noticeably helpful in replacing those nutrients and improving gut health?</t>
        </is>
      </c>
      <c r="D4631" t="n">
        <v>1</v>
      </c>
      <c r="E4631" t="n">
        <v>2</v>
      </c>
      <c r="F4631">
        <f>HYPERLINK("https://www.reddit.com/r/GERD/comments/eng0pg/those_who_take_ppis_or_h2_blockers_do_you_take/")</f>
        <v/>
      </c>
      <c r="G4631" t="inlineStr">
        <is>
          <t>2020-01-11 16:28:35</t>
        </is>
      </c>
      <c r="H4631" t="inlineStr"/>
    </row>
    <row r="4632">
      <c r="A4632" t="inlineStr">
        <is>
          <t>enghw5</t>
        </is>
      </c>
      <c r="B4632" t="inlineStr">
        <is>
          <t>Have I left anything out?</t>
        </is>
      </c>
      <c r="C4632" t="inlineStr">
        <is>
          <t>I'm dealing with a particularly rough LPR attack tonight and I'd love to eventually, you know, lay down and go to sleep. 🙄 Here's what I've tried in the past 6-8 hours:
-digestive enzymes after every meal
-75mg Ranitidine (don't @ me, at that dosage the pharmaceutical distributor has not issued a recall)
-coconut water
-water with baking soda
-Tums
-30mL Pepto Bismol
I've self-diagnosed LPR because my doctor has been trying to get to the root of my stomach issues for 1.5 years and we get nowhere. Every test comes back within normal ranges and I'm starting to get the feeling she thinks I'm just a hypochondriac 🤷🏻‍♀️ but I have the classic lump in the throat, stomach pain, tenderness, bloating, constantly feeling hungry even when I've eaten symptoms. I'm REALLY trying to make the dietary changes stick but this morning I had a cup of coffee and 3 orange slices without thinking. 
Have I missed a remedy that could help? I'm thinking about trying a Tagamet but they don't seem to work much. I have no melatonin. I do have ACV but since I went the Tums/Pepto Bismol route that seems counter productive and I reeeeally don't want to throw up. TIA! 
TL;DR: did I miss a home remedy that could help tonight's LPR symptoms?</t>
        </is>
      </c>
      <c r="D4632" t="n">
        <v>1</v>
      </c>
      <c r="E4632" t="n">
        <v>6</v>
      </c>
      <c r="F4632">
        <f>HYPERLINK("https://www.reddit.com/r/GERD/comments/enghw5/have_i_left_anything_out/")</f>
        <v/>
      </c>
      <c r="G4632" t="inlineStr">
        <is>
          <t>2020-01-11 17:05:54</t>
        </is>
      </c>
      <c r="H4632" t="inlineStr"/>
    </row>
    <row r="4633">
      <c r="A4633" t="inlineStr">
        <is>
          <t>enhg0o</t>
        </is>
      </c>
      <c r="B4633" t="inlineStr">
        <is>
          <t>Anyone has resolved his LPR issues(burning throat) with ssris?</t>
        </is>
      </c>
      <c r="C4633" t="inlineStr">
        <is>
          <t>Amitryptiline ,gabapentin, etc.? I read about a theory that says that LPR is generally caused post virus , and in some gropus of fb seems  like it manage the symptoms , anyone experienced with those? Sorry for the english.</t>
        </is>
      </c>
      <c r="D4633" t="n">
        <v>1</v>
      </c>
      <c r="E4633" t="n">
        <v>11</v>
      </c>
      <c r="F4633">
        <f>HYPERLINK("https://www.reddit.com/r/GERD/comments/enhg0o/anyone_has_resolved_his_lpr_issuesburning_throat/")</f>
        <v/>
      </c>
      <c r="G4633" t="inlineStr">
        <is>
          <t>2020-01-11 18:23:10</t>
        </is>
      </c>
      <c r="H4633" t="inlineStr"/>
    </row>
    <row r="4634">
      <c r="A4634" t="inlineStr">
        <is>
          <t>eni9k9</t>
        </is>
      </c>
      <c r="B4634" t="inlineStr">
        <is>
          <t>Try Probiotics. Seriously.</t>
        </is>
      </c>
      <c r="C4634" t="inlineStr">
        <is>
          <t>Just wanted to pop in here and say that I've been dealing with Acid Reflux for almost a year now and it's been rough, but probiotics have seriously improved my quality of life. 
Everyone with Acid Reflux has different symptoms. Mine are frequent burping and passing gas, waking up with acid in the back of my throat, etc. Frankly I consider myself lucky when I read some other people's symptoms on here. After the first month with the symptoms I went to my doctor, he chocked it up as GERD/Acid Reflux and prescribed me a PPI - Omneprazole. I took it for 3 months. In that time I didn't feel better what so ever, in fact I got worse as I experienced depression and anxiety as a side effect of the medication. Then I went back to my doctor and he told me to see a GI. I went to a GI and the GI told me to try Ranitide and come back in 4-5 months to see if we thought I needed an endoscopy. 
Well I did Ranitide for a month and at first it helped, but then I again experienced depression/anxiety as a side effect of the medication. So I dropped it. I went back to my doctor and he insisted on me going back to PPI's or Ranitide. I essentially walked out of his office at this point fully accepting the fact that I would just live with my physical symptoms as I considered it better to have my own mind. 
Then a friend suggested Probiotics to me. Now, prior to this experience I had never really done any OTC/Home remedies and I was very skeptical. But I decided to give it a shot seeing as I had nothing to lose. Within 48 hours of my first dose virtually 75% of my symptoms vanished. I've been doing Probiotics off and on for about 3 months now and it's seriously changed my life. I go through most days mostly acid reflux free. Now, as I said, my initial baseline symptoms are mild compared to most people and I imagine mileage will vary. But I don't really see many posts on here encouraging people to do probiotics, so I figured I would. They on average cost $30-45 for two months servings. 
I plan to go see my GI again this Spring, and I'm hopeful that an endoscopy will show no significant damage to my esophagus. If I'm healthy, I'll be thanking probiotics.</t>
        </is>
      </c>
      <c r="D4634" t="n">
        <v>1</v>
      </c>
      <c r="E4634" t="n">
        <v>39</v>
      </c>
      <c r="F4634">
        <f>HYPERLINK("https://www.reddit.com/r/GERD/comments/eni9k9/try_probiotics_seriously/")</f>
        <v/>
      </c>
      <c r="G4634" t="inlineStr">
        <is>
          <t>2020-01-11 19:33:28</t>
        </is>
      </c>
      <c r="H4634" t="inlineStr"/>
    </row>
    <row r="4635">
      <c r="A4635" t="inlineStr">
        <is>
          <t>enjfzx</t>
        </is>
      </c>
      <c r="B4635" t="inlineStr">
        <is>
          <t>How did you develop hiatal hernia ?</t>
        </is>
      </c>
      <c r="C4635" t="inlineStr">
        <is>
          <t>Now it doesn’t matter. But do anyone who has hiatal hernia know what caused it ?</t>
        </is>
      </c>
      <c r="D4635" t="n">
        <v>1</v>
      </c>
      <c r="E4635" t="n">
        <v>4</v>
      </c>
      <c r="F4635">
        <f>HYPERLINK("https://www.reddit.com/r/GERD/comments/enjfzx/how_did_you_develop_hiatal_hernia/")</f>
        <v/>
      </c>
      <c r="G4635" t="inlineStr">
        <is>
          <t>2020-01-11 21:23:38</t>
        </is>
      </c>
      <c r="H4635" t="inlineStr"/>
    </row>
    <row r="4636">
      <c r="A4636" t="inlineStr">
        <is>
          <t>enjssp</t>
        </is>
      </c>
      <c r="B4636" t="inlineStr">
        <is>
          <t>For my LPR and GERD sufferers , what has been your experience with coffee ?</t>
        </is>
      </c>
      <c r="C4636" t="inlineStr">
        <is>
          <t>I was recently diagnosed with GERD back in November after an endoscopy( although now I suspect it might be LPR , being that most of my symptoms occur in my throat with no heartburn ) and one of my favorite things to do before was drink coffee. I love coffee and me and my girlfriend were big into visiting coffee shops.  Honestly,  coffee is probably one of the reasons I have GERD now being that  my previous semesters in college I spent doing late nights and banging out a cup of coffee every night or so to stay awake.  Anyways,  I'd really like to believe that I have some hope To one day be able to enjoy coffee again without the anxiety of having a flare up .  The last cup of coffee I had before i was diagnosed really aggravated my symptoms and caused me to feel heart palpitations,  a scary feeling no less that I dont want to experience.  I know this might sound like a very minute or self absorbed post , because  you might say it's not the end of the world, but it's just something i enjoyed  before GERD.  Does anyone had any effects or no effects to coffee ? Have any of you been able to drink it again ?</t>
        </is>
      </c>
      <c r="D4636" t="n">
        <v>1</v>
      </c>
      <c r="E4636" t="n">
        <v>16</v>
      </c>
      <c r="F4636">
        <f>HYPERLINK("https://www.reddit.com/r/GERD/comments/enjssp/for_my_lpr_and_gerd_sufferers_what_has_been_your/")</f>
        <v/>
      </c>
      <c r="G4636" t="inlineStr">
        <is>
          <t>2020-01-11 21:59:58</t>
        </is>
      </c>
      <c r="H4636" t="inlineStr"/>
    </row>
    <row r="4637">
      <c r="A4637" t="inlineStr">
        <is>
          <t>enk03g</t>
        </is>
      </c>
      <c r="B4637" t="inlineStr">
        <is>
          <t>Wheat thins, chocolate, orange juice</t>
        </is>
      </c>
      <c r="C4637" t="inlineStr">
        <is>
          <t>Been dealing with gerd for a while. These three items cause me problems.  Trying to keep learnibg my trigger foods.  Anyone else have problem with wheat thin crackers?</t>
        </is>
      </c>
      <c r="D4637" t="n">
        <v>1</v>
      </c>
      <c r="E4637" t="n">
        <v>3</v>
      </c>
      <c r="F4637">
        <f>HYPERLINK("https://www.reddit.com/r/GERD/comments/enk03g/wheat_thins_chocolate_orange_juice/")</f>
        <v/>
      </c>
      <c r="G4637" t="inlineStr">
        <is>
          <t>2020-01-11 22:21:27</t>
        </is>
      </c>
      <c r="H4637" t="inlineStr"/>
    </row>
    <row r="4638">
      <c r="A4638" t="inlineStr">
        <is>
          <t>enkl5h</t>
        </is>
      </c>
      <c r="B4638" t="inlineStr">
        <is>
          <t>I hate this</t>
        </is>
      </c>
      <c r="C4638" t="inlineStr">
        <is>
          <t>I just want to sleep but my throat is burning and my stomach is nauseous idk what else to do but cry</t>
        </is>
      </c>
      <c r="D4638" t="n">
        <v>1</v>
      </c>
      <c r="E4638" t="n">
        <v>0</v>
      </c>
      <c r="F4638">
        <f>HYPERLINK("https://www.reddit.com/r/GERD/comments/enkl5h/i_hate_this/")</f>
        <v/>
      </c>
      <c r="G4638" t="inlineStr">
        <is>
          <t>2020-01-11 23:28:18</t>
        </is>
      </c>
      <c r="H4638" t="inlineStr"/>
    </row>
    <row r="4639">
      <c r="A4639" t="inlineStr">
        <is>
          <t>enkny3</t>
        </is>
      </c>
      <c r="B4639" t="inlineStr">
        <is>
          <t>GERD and hormones?</t>
        </is>
      </c>
      <c r="C4639" t="inlineStr">
        <is>
          <t>I'm a 30yo female who has had chronic acid reflux for about 9 years (heartburn every day, pepcid needed every day). But it has been even worse the last few months, when I started adjusting my hormonal birth controls to try different methods and levels to manage side effects. One of the pills I tried had higher levels of hormones, and then my heartburn was way worse; no medicine relieved the symptoms. Then I read that higher levels of these hormones can actually make GERD worse. That wasn't a side effect I was aware of.
"Previous studies suggest elevated levels of estrogen and progesterone increase gastroesophageal reflux. Support for this theory includes observations that lower esophageal sphincter pressures decrease during pregnancy and with the use of sequential oral contraceptives."
Three weeks ago, I went back to a lower dose that I had used for years without this problem. However, I'm still struggling with bad heartburn, reflux, and nausea... Even with taking Omeprazole and Pepcid. Has anyone had experience with side effects of hormones and how to adjust hormone levels with GERD in mind? Any insight to share with me?
Thanks!
TLDR: How do hormones affect your GERD symptoms?</t>
        </is>
      </c>
      <c r="D4639" t="n">
        <v>1</v>
      </c>
      <c r="E4639" t="n">
        <v>0</v>
      </c>
      <c r="F4639">
        <f>HYPERLINK("https://www.reddit.com/r/GERD/comments/enkny3/gerd_and_hormones/")</f>
        <v/>
      </c>
      <c r="G4639" t="inlineStr">
        <is>
          <t>2020-01-11 23:37:48</t>
        </is>
      </c>
      <c r="H4639" t="inlineStr"/>
    </row>
    <row r="4640">
      <c r="A4640" t="inlineStr">
        <is>
          <t>enko5n</t>
        </is>
      </c>
      <c r="B4640" t="inlineStr">
        <is>
          <t>I hate this</t>
        </is>
      </c>
      <c r="C4640" t="inlineStr">
        <is>
          <t>I just want to fall asleep but my throat is burning, my stomach is nauseous and I'm not sure what else to do but cry. 
I have a very bad fear of vomiting too so this just makes everything 10x worse. 2 years dealing with this constant reflux and nausea that never goes away 😭😭😭😭
I'm getting surgery but honestly if it doesn't work idk what I'm gonna do</t>
        </is>
      </c>
      <c r="D4640" t="n">
        <v>1</v>
      </c>
      <c r="E4640" t="n">
        <v>6</v>
      </c>
      <c r="F4640">
        <f>HYPERLINK("https://www.reddit.com/r/GERD/comments/enko5n/i_hate_this/")</f>
        <v/>
      </c>
      <c r="G4640" t="inlineStr">
        <is>
          <t>2020-01-11 23:38:35</t>
        </is>
      </c>
      <c r="H4640" t="inlineStr"/>
    </row>
    <row r="4641">
      <c r="A4641" t="inlineStr">
        <is>
          <t>enkrdn</t>
        </is>
      </c>
      <c r="B4641" t="inlineStr">
        <is>
          <t>Tingling feeling in mouth, tongue, and lips</t>
        </is>
      </c>
      <c r="C4641" t="inlineStr">
        <is>
          <t>Does anyone else get a tingling feeling in their mouth, tongue, and lips? I just started getting this sensation today. It feels kinda electric and more like a chemical feeling than a burn. Slightly acidic I would say but doesn’t actually taste like stomach acid. I started an H2 blocker around a week ago and now debating if I should stop as this could be an adverse reaction.</t>
        </is>
      </c>
      <c r="D4641" t="n">
        <v>1</v>
      </c>
      <c r="E4641" t="n">
        <v>2</v>
      </c>
      <c r="F4641">
        <f>HYPERLINK("https://www.reddit.com/r/GERD/comments/enkrdn/tingling_feeling_in_mouth_tongue_and_lips/")</f>
        <v/>
      </c>
      <c r="G4641" t="inlineStr">
        <is>
          <t>2020-01-11 23:49:59</t>
        </is>
      </c>
      <c r="H4641" t="inlineStr"/>
    </row>
    <row r="4642">
      <c r="A4642" t="inlineStr">
        <is>
          <t>enl5ib</t>
        </is>
      </c>
      <c r="B4642" t="inlineStr">
        <is>
          <t>When did your GERD/reflux symptoms start?</t>
        </is>
      </c>
      <c r="C4642" t="inlineStr">
        <is>
          <t>How old are you now and when did your GERD/acid reflux symptoms start? Please share if you have linked yours to any causes and/or what you currently do to manage symptoms.</t>
        </is>
      </c>
      <c r="D4642" t="n">
        <v>1</v>
      </c>
      <c r="E4642" t="n">
        <v>20</v>
      </c>
      <c r="F4642">
        <f>HYPERLINK("https://www.reddit.com/r/GERD/comments/enl5ib/when_did_your_gerdreflux_symptoms_start/")</f>
        <v/>
      </c>
      <c r="G4642" t="inlineStr">
        <is>
          <t>2020-01-12 00:39:22</t>
        </is>
      </c>
      <c r="H4642" t="inlineStr"/>
    </row>
    <row r="4643">
      <c r="A4643" t="inlineStr">
        <is>
          <t>enm0ni</t>
        </is>
      </c>
      <c r="B4643" t="inlineStr">
        <is>
          <t>Histamine intolerance or mechanical issue?</t>
        </is>
      </c>
      <c r="C4643" t="inlineStr">
        <is>
          <t>So I got results from the scope I got about a month ago. According to that, I have 40% DAO, which is basically histamine intolerance. During the scope, doctor also wrote "cardia does not close completely, hiatus hernia". 
I'm a bit puzzled now. I never had any histamine issues before and the GERD came basically overnight. Looking at histamine intolerance, heartburn is one of the issues. Unfortunately, doctor kicked me out after about 5 minutes so I could not ask him what the hell is the issue then. 
Does anyone here had something similar? I am trying to find out if histamine could be the only issue I have or if I should push for surgery (PPI do not work for me).</t>
        </is>
      </c>
      <c r="D4643" t="n">
        <v>1</v>
      </c>
      <c r="E4643" t="n">
        <v>8</v>
      </c>
      <c r="F4643">
        <f>HYPERLINK("https://www.reddit.com/r/GERD/comments/enm0ni/histamine_intolerance_or_mechanical_issue/")</f>
        <v/>
      </c>
      <c r="G4643" t="inlineStr">
        <is>
          <t>2020-01-12 02:34:27</t>
        </is>
      </c>
      <c r="H4643" t="inlineStr"/>
    </row>
    <row r="4644">
      <c r="A4644" t="inlineStr">
        <is>
          <t>enm3cq</t>
        </is>
      </c>
      <c r="B4644" t="inlineStr">
        <is>
          <t>Is name brand Zantac still available anywhere?</t>
        </is>
      </c>
      <c r="C4644" t="inlineStr">
        <is>
          <t>I called my GI a couple of weeks ago because Pepcid hardly helps at all (neither does Tagamet) and she said name brand Zantac was not part of the recall and is still available some places. 
First, I’m confused- did name brand Zantac get added to the recall later or not?
If not, has anyone found it anywhere?</t>
        </is>
      </c>
      <c r="D4644" t="n">
        <v>1</v>
      </c>
      <c r="E4644" t="n">
        <v>11</v>
      </c>
      <c r="F4644">
        <f>HYPERLINK("https://www.reddit.com/r/GERD/comments/enm3cq/is_name_brand_zantac_still_available_anywhere/")</f>
        <v/>
      </c>
      <c r="G4644" t="inlineStr">
        <is>
          <t>2020-01-12 02:44:55</t>
        </is>
      </c>
      <c r="H4644" t="inlineStr"/>
    </row>
    <row r="4645">
      <c r="A4645" t="inlineStr">
        <is>
          <t>enrnch</t>
        </is>
      </c>
      <c r="B4645" t="inlineStr">
        <is>
          <t>Stress causing heartburn/acid reflux?</t>
        </is>
      </c>
      <c r="C4645" t="inlineStr">
        <is>
          <t>hello,
i’ve noticed that recently, any time i eat food, it causes heartburn and acid reflux. i’m going to start keeping a food diary, but it happens with pretty much everything i eat.
i’ve noticed i don’t get it nearly as bad when i eat at home, by myself — it gets worst at restaurants, in the car, and at parties.
i have a fear of throwing up and i’m super stressed w college apps rn so that kind of makes sense but it’s really debilitating &amp;amp; i don’t want to go on an elimination diet if i don’t have to.
i have zero experience with this (i only started getting heartburn last month) and i don’t know what’s wrong with me, i thought this would be a good place to ask.
also, i had an upper endoscopy last week and everything was normal, as well as my biopsies. &amp;amp; i don’t get any heartburn when i’m hungry, it’s only for a few hours directly after i eat.
thanks for any help :)</t>
        </is>
      </c>
      <c r="D4645" t="n">
        <v>1</v>
      </c>
      <c r="E4645" t="n">
        <v>28</v>
      </c>
      <c r="F4645">
        <f>HYPERLINK("https://www.reddit.com/r/GERD/comments/enrnch/stress_causing_heartburnacid_reflux/")</f>
        <v/>
      </c>
      <c r="G4645" t="inlineStr">
        <is>
          <t>2020-01-12 11:01:29</t>
        </is>
      </c>
      <c r="H4645" t="inlineStr"/>
    </row>
    <row r="4646">
      <c r="A4646" t="inlineStr">
        <is>
          <t>enx97f</t>
        </is>
      </c>
      <c r="B4646" t="inlineStr">
        <is>
          <t>What helped you to stop eating your trigger foods?</t>
        </is>
      </c>
      <c r="C4646" t="inlineStr">
        <is>
          <t>I've cut out all sodas, spicy foods and saucy food but I still cheat every now and again. What encouraged you to eat better and stick with it?</t>
        </is>
      </c>
      <c r="D4646" t="n">
        <v>1</v>
      </c>
      <c r="E4646" t="n">
        <v>3</v>
      </c>
      <c r="F4646">
        <f>HYPERLINK("https://www.reddit.com/r/GERD/comments/enx97f/what_helped_you_to_stop_eating_your_trigger_foods/")</f>
        <v/>
      </c>
      <c r="G4646" t="inlineStr">
        <is>
          <t>2020-01-12 17:48:40</t>
        </is>
      </c>
      <c r="H4646" t="inlineStr"/>
    </row>
    <row r="4647">
      <c r="A4647" t="inlineStr">
        <is>
          <t>enxk25</t>
        </is>
      </c>
      <c r="B4647" t="inlineStr">
        <is>
          <t>Worse when standing</t>
        </is>
      </c>
      <c r="C4647" t="inlineStr">
        <is>
          <t>Does anyone have worse symptoms when upright?  I feel like it’s counter all advice but my reflux is worse when up during the day. Doesn’t really bother me at night and in the morning until I actually get up and drink a sip of water. I feel like mine is gas based and being upright causes the air to rise up and reflux into my esophagus.</t>
        </is>
      </c>
      <c r="D4647" t="n">
        <v>1</v>
      </c>
      <c r="E4647" t="n">
        <v>1</v>
      </c>
      <c r="F4647">
        <f>HYPERLINK("https://www.reddit.com/r/GERD/comments/enxk25/worse_when_standing/")</f>
        <v/>
      </c>
      <c r="G4647" t="inlineStr">
        <is>
          <t>2020-01-12 18:12:59</t>
        </is>
      </c>
      <c r="H4647" t="inlineStr"/>
    </row>
    <row r="4648">
      <c r="A4648" t="inlineStr">
        <is>
          <t>enxxl0</t>
        </is>
      </c>
      <c r="B4648" t="inlineStr">
        <is>
          <t>LPR?</t>
        </is>
      </c>
      <c r="C4648" t="inlineStr">
        <is>
          <t>Anyone here struggle with LPR? I’m pretty sure that’s what I have. If so, have you found relief?</t>
        </is>
      </c>
      <c r="D4648" t="n">
        <v>1</v>
      </c>
      <c r="E4648" t="n">
        <v>5</v>
      </c>
      <c r="F4648">
        <f>HYPERLINK("https://www.reddit.com/r/GERD/comments/enxxl0/lpr/")</f>
        <v/>
      </c>
      <c r="G4648" t="inlineStr">
        <is>
          <t>2020-01-12 18:43:47</t>
        </is>
      </c>
      <c r="H4648" t="inlineStr"/>
    </row>
    <row r="4649">
      <c r="A4649" t="inlineStr">
        <is>
          <t>eny3xv</t>
        </is>
      </c>
      <c r="B4649" t="inlineStr">
        <is>
          <t>Gerd started exactly after ppi use</t>
        </is>
      </c>
      <c r="C4649" t="inlineStr">
        <is>
          <t>Its it not supposed to do the opposite? Don't get it, exactly 3 months ago I got a cold,sore throat didn't dissappear, soon after I got on ppis no reflux at that time , to do the phmetry I  stoped ppis, in that time developed stomach pain , I can hear all the reflux coming all up to my throat even on ppis, my endoscopy showed nothing no hernia, no esophagitis, but even on ppis I can hear all the reflux  or gas all up to my throat , my doctor tell me that surgery is not recomended since my symptoms are only in the throat area and dont have any hernia , now I have gastritis and reflux, fucking sucks I cant even go to the school now because of the damn pain in the stomach and the pain in the throat area .</t>
        </is>
      </c>
      <c r="D4649" t="n">
        <v>1</v>
      </c>
      <c r="E4649" t="n">
        <v>16</v>
      </c>
      <c r="F4649">
        <f>HYPERLINK("https://www.reddit.com/r/GERD/comments/eny3xv/gerd_started_exactly_after_ppi_use/")</f>
        <v/>
      </c>
      <c r="G4649" t="inlineStr">
        <is>
          <t>2020-01-12 18:57:53</t>
        </is>
      </c>
      <c r="H4649" t="inlineStr"/>
    </row>
    <row r="4650">
      <c r="A4650" t="inlineStr">
        <is>
          <t>enyzcm</t>
        </is>
      </c>
      <c r="B4650" t="inlineStr">
        <is>
          <t>Best H. Pylori test in your opinion/experience.</t>
        </is>
      </c>
      <c r="C4650" t="inlineStr">
        <is>
          <t>Hello, I want to ask you what has been your experience with the H. Pylori test? My doctor (first line) recommended the test with antigens, however I am not sure that this is the best to detect it, what experiences have you had and what could you advise me to do? I know that the method with endoscopy is 100% accurate in most cases, but, I have had 2 endoscopies and I would not like a third in such a short time, thanks.</t>
        </is>
      </c>
      <c r="D4650" t="n">
        <v>1</v>
      </c>
      <c r="E4650" t="n">
        <v>3</v>
      </c>
      <c r="F4650">
        <f>HYPERLINK("https://www.reddit.com/r/GERD/comments/enyzcm/best_h_pylori_test_in_your_opinionexperience/")</f>
        <v/>
      </c>
      <c r="G4650" t="inlineStr">
        <is>
          <t>2020-01-12 20:12:24</t>
        </is>
      </c>
      <c r="H4650" t="inlineStr"/>
    </row>
    <row r="4651">
      <c r="A4651" t="inlineStr">
        <is>
          <t>enz5sc</t>
        </is>
      </c>
      <c r="B4651" t="inlineStr">
        <is>
          <t>Gigerale for Nausea</t>
        </is>
      </c>
      <c r="C4651" t="inlineStr">
        <is>
          <t>For anyone suffering with nausea, I just tried ginger ale and it has made a world a difference for me. Worth a try, I can definitely say It’s better if it’s decarbonated though. I had a problem throwing up every morning and now I drink a small glass before bed and I’m fine. Brand: Schweppes(I don’t know if that matters)</t>
        </is>
      </c>
      <c r="D4651" t="n">
        <v>1</v>
      </c>
      <c r="E4651" t="n">
        <v>2</v>
      </c>
      <c r="F4651">
        <f>HYPERLINK("https://www.reddit.com/r/GERD/comments/enz5sc/gigerale_for_nausea/")</f>
        <v/>
      </c>
      <c r="G4651" t="inlineStr">
        <is>
          <t>2020-01-12 20:28:41</t>
        </is>
      </c>
      <c r="H4651" t="inlineStr"/>
    </row>
    <row r="4652">
      <c r="A4652" t="inlineStr">
        <is>
          <t>enzu8k</t>
        </is>
      </c>
      <c r="B4652" t="inlineStr">
        <is>
          <t>Doctor Upped dose of omeprazole to 40mg twice daily</t>
        </is>
      </c>
      <c r="C4652" t="inlineStr">
        <is>
          <t>Was on 20mg twice daily. Anyone have luck getting gerd under control doing this?  Side effects of increase?</t>
        </is>
      </c>
      <c r="D4652" t="n">
        <v>1</v>
      </c>
      <c r="E4652" t="n">
        <v>5</v>
      </c>
      <c r="F4652">
        <f>HYPERLINK("https://www.reddit.com/r/GERD/comments/enzu8k/doctor_upped_dose_of_omeprazole_to_40mg_twice/")</f>
        <v/>
      </c>
      <c r="G4652" t="inlineStr">
        <is>
          <t>2020-01-12 21:32:58</t>
        </is>
      </c>
      <c r="H4652" t="inlineStr"/>
    </row>
    <row r="4653">
      <c r="A4653" t="inlineStr">
        <is>
          <t>eo0ewl</t>
        </is>
      </c>
      <c r="B4653" t="inlineStr">
        <is>
          <t>Anyone else feel worse when eating carbs?</t>
        </is>
      </c>
      <c r="C4653" t="inlineStr">
        <is>
          <t>When I eat protein or veggies the reflux or heartburn isn’t as bad but with carbs especially whole grain man the fire is burning</t>
        </is>
      </c>
      <c r="D4653" t="n">
        <v>1</v>
      </c>
      <c r="E4653" t="n">
        <v>21</v>
      </c>
      <c r="F4653">
        <f>HYPERLINK("https://www.reddit.com/r/GERD/comments/eo0ewl/anyone_else_feel_worse_when_eating_carbs/")</f>
        <v/>
      </c>
      <c r="G4653" t="inlineStr">
        <is>
          <t>2020-01-12 22:30:01</t>
        </is>
      </c>
      <c r="H4653" t="inlineStr"/>
    </row>
    <row r="4654">
      <c r="A4654" t="inlineStr">
        <is>
          <t>eo1rzn</t>
        </is>
      </c>
      <c r="B4654" t="inlineStr">
        <is>
          <t>Gerd is the suicide disease</t>
        </is>
      </c>
      <c r="C4654" t="inlineStr">
        <is>
          <t>I have been able to count the exact number of times I have slept like a person since November 20th 2019. That number is 4. I currently sleep with my back up against the wall and a pillow in my lap and my face sinking down into my knees/pillow and I can only fall asleep at 5:30 a.m. or so. I am going to be unable to attend school due to this problem, and I am unable to treat it due to being 18 and without the time for a job, nor the ability to hold a job. My parents do not believe me no matter how much I tell them, they think I'm just congested but even when I show them the buldge in my chest, they do not care.
This is no way to live, and I am going to put an end to this now. I found out that GERD is chronic and can be lifelong. That is no existance that I wish to experience. I was born to die young I guess, I've always felt that way, and this condition confirms that.</t>
        </is>
      </c>
      <c r="D4654" t="n">
        <v>1</v>
      </c>
      <c r="E4654" t="n">
        <v>43</v>
      </c>
      <c r="F4654">
        <f>HYPERLINK("https://www.reddit.com/r/GERD/comments/eo1rzn/gerd_is_the_suicide_disease/")</f>
        <v/>
      </c>
      <c r="G4654" t="inlineStr">
        <is>
          <t>2020-01-13 01:10:41</t>
        </is>
      </c>
      <c r="H4654" t="inlineStr"/>
    </row>
    <row r="4655">
      <c r="A4655" t="inlineStr">
        <is>
          <t>eo2aci</t>
        </is>
      </c>
      <c r="B4655" t="inlineStr">
        <is>
          <t>Calorie Dense Foods?</t>
        </is>
      </c>
      <c r="C4655" t="inlineStr">
        <is>
          <t>I've noticed my gerd's been worse recently, I've woken up with sore throats, hoarse voice, dry cough. Have started taking medication for it which helps, but am also changing my diet. But now I'm having trouble figuring out what's safe to eat and is high in calories as I'd prefer smaller meals but want to meet daily requirements. Right now I'm on bread, egg whites, oatmeal, bananas, apples, sometimes goat/chicken, rice. But usually that isn't enough I need about 2100-2300 cals and even when tracking I lack by 300-600. 
I had it for a bit since a month ago but after antibiotics its worsened. Really is bugging me, not seeing improvements despite my efforts this week and am worried about throat damage. How long does it take to improve things, realistically?</t>
        </is>
      </c>
      <c r="D4655" t="n">
        <v>1</v>
      </c>
      <c r="E4655" t="n">
        <v>1</v>
      </c>
      <c r="F4655">
        <f>HYPERLINK("https://www.reddit.com/r/GERD/comments/eo2aci/calorie_dense_foods/")</f>
        <v/>
      </c>
      <c r="G4655" t="inlineStr">
        <is>
          <t>2020-01-13 02:14:40</t>
        </is>
      </c>
      <c r="H4655" t="inlineStr"/>
    </row>
    <row r="4656">
      <c r="A4656" t="inlineStr">
        <is>
          <t>eo2cbl</t>
        </is>
      </c>
      <c r="B4656" t="inlineStr">
        <is>
          <t>Is this GERD/LPR? Constant mucus in throat</t>
        </is>
      </c>
      <c r="C4656" t="inlineStr">
        <is>
          <t>Hello everyone, 
I'm 25 years old, male. I have constant mucus in my throat and I have to constantly clear my throat and spit out the mucus. It is discolored and thick. It gets worse after eating, drinking coffee and drinking alcoholic beverages. When I drink alcohol I gag and feel like puking and have to spit out a lot of mucus after every sip/shot almost. Can it be explained in any other way than GERD/LPR? 
If it is GERD/LPR how should I become clear of mucus in my throat?</t>
        </is>
      </c>
      <c r="D4656" t="n">
        <v>1</v>
      </c>
      <c r="E4656" t="n">
        <v>9</v>
      </c>
      <c r="F4656">
        <f>HYPERLINK("https://www.reddit.com/r/GERD/comments/eo2cbl/is_this_gerdlpr_constant_mucus_in_throat/")</f>
        <v/>
      </c>
      <c r="G4656" t="inlineStr">
        <is>
          <t>2020-01-13 02:21:23</t>
        </is>
      </c>
      <c r="H4656" t="inlineStr"/>
    </row>
    <row r="4657">
      <c r="A4657" t="inlineStr">
        <is>
          <t>eo2yrx</t>
        </is>
      </c>
      <c r="B4657" t="inlineStr">
        <is>
          <t>Manometry test</t>
        </is>
      </c>
      <c r="C4657" t="inlineStr">
        <is>
          <t>I have my Manometry test a week today. I was told by the lady who booked it over the phone that i need to stop medication a week prior. Do i really need to stop my PPI for this test? I dont want the rebound to end up inflaming my throat and giving me a worse score..
If anyone has had the test before please let me know!</t>
        </is>
      </c>
      <c r="D4657" t="n">
        <v>1</v>
      </c>
      <c r="E4657" t="n">
        <v>19</v>
      </c>
      <c r="F4657">
        <f>HYPERLINK("https://www.reddit.com/r/GERD/comments/eo2yrx/manometry_test/")</f>
        <v/>
      </c>
      <c r="G4657" t="inlineStr">
        <is>
          <t>2020-01-13 03:35:34</t>
        </is>
      </c>
      <c r="H4657" t="inlineStr"/>
    </row>
    <row r="4658">
      <c r="A4658" t="inlineStr">
        <is>
          <t>eo35tp</t>
        </is>
      </c>
      <c r="B4658" t="inlineStr">
        <is>
          <t>Fibroscopy tomorrow,terrified about barret"s esophagus</t>
        </is>
      </c>
      <c r="C4658" t="inlineStr">
        <is>
          <t>Hello, i will have an endoscopy tomorrow because of  bloating and dysphagia 
what make me afraid is barret esophagus, im young ( 25 years old) but my esophagus was bleeding a bit some years ago and its a risk factor for barret ? 
&amp;amp;#x200B;
im afraid ,really afraid</t>
        </is>
      </c>
      <c r="D4658" t="n">
        <v>1</v>
      </c>
      <c r="E4658" t="n">
        <v>11</v>
      </c>
      <c r="F4658">
        <f>HYPERLINK("https://www.reddit.com/r/GERD/comments/eo35tp/fibroscopy_tomorrowterrified_about_barrets/")</f>
        <v/>
      </c>
      <c r="G4658" t="inlineStr">
        <is>
          <t>2020-01-13 03:56:43</t>
        </is>
      </c>
      <c r="H4658" t="inlineStr"/>
    </row>
    <row r="4659">
      <c r="A4659" t="inlineStr">
        <is>
          <t>eo3mrp</t>
        </is>
      </c>
      <c r="B4659" t="inlineStr">
        <is>
          <t>Gerd friendly recipes</t>
        </is>
      </c>
      <c r="C4659" t="inlineStr">
        <is>
          <t>Hello
Since I rarely find recipes so i’m going to write some of mine and please if you have any write it in the comments 
*sorry if there is any mistakes english is my second language 
Shrimp wrap
- shrimp medium size
-avocado 
- tortilla wrap
- any spices that doesn’t cause any symptoms  I usually use basil ,salt , Cilantro or parsley 
-spinach lettuce or kale 
First cook the shrimp in the air fryer or a pan I don’t add anything with it but you can add some basil and salt .
Then I make the avocado sauce just mash some avocado with parsley and cilantro if mayonise doesn’t bother you add a teaspoon or two 
Then put the shrimp and sauce on the tortilla you can add spinach lettuce any veggies 
Burrito bowl
-black or red beans 
-rice 
-spinach 
-lettuce 
- sweet or regular potato
Cook whatever need to be cooked add it all to a bowl and thats it 
Oatmeal 
I think everyone knows how to make it but I will write how I make mine
3 tablespoon of oats 
Boil water and I will add almost 1/4 cup 
And sometimes I add peanut butter and banana but bananas for some reason sometimes causes me to have heartburn or I will add peanut butter and honey , nuts and raisins 
spinach smoothie 
-1/2 scoop of MRM whey protein vanilla with probiotic this brand didn’t cause any symptoms they say its all natural and with added probiotics 
-1 cup spinach 
-1/2 cup almond milk and in a blender 
If I’m feeling good I will add half or 1 banana
Chicken and vegetables 
Bring oven safe pan put any veggies I would suggest cutting them in circles like potato pumpkin carrot Then add green beans and 1 chicken breast then add just little bit of olive oil mix it and add spices off course it is the usual ones that I can tolerate basil salt dried parsley and cilantro I use fresh and cut them small Put it in the oven in 350 f for 20 minutes i’m not sure just keep checking if its done .
If you have any suggestions or recipes please write it down so we can all benefit from this</t>
        </is>
      </c>
      <c r="D4659" t="n">
        <v>1</v>
      </c>
      <c r="E4659" t="n">
        <v>6</v>
      </c>
      <c r="F4659">
        <f>HYPERLINK("https://www.reddit.com/r/GERD/comments/eo3mrp/gerd_friendly_recipes/")</f>
        <v/>
      </c>
      <c r="G4659" t="inlineStr">
        <is>
          <t>2020-01-13 04:44:09</t>
        </is>
      </c>
      <c r="H4659" t="inlineStr"/>
    </row>
    <row r="4660">
      <c r="A4660" t="inlineStr">
        <is>
          <t>eo4bwt</t>
        </is>
      </c>
      <c r="B4660" t="inlineStr">
        <is>
          <t>DAE loss of appetite with omeprazole or just GERD in general?</t>
        </is>
      </c>
      <c r="C4660" t="inlineStr">
        <is>
          <t>Been dry heaving almost every day in the mornings and after meals for about half a year now. Saw a gastroenterologist and told me to take omeprazole. 
Two days on omeprazole and I have been experiencing a loss in appetite. Is that normal for GERD sufferers? Or those who take omeprazole?</t>
        </is>
      </c>
      <c r="D4660" t="n">
        <v>1</v>
      </c>
      <c r="E4660" t="n">
        <v>3</v>
      </c>
      <c r="F4660">
        <f>HYPERLINK("https://www.reddit.com/r/GERD/comments/eo4bwt/dae_loss_of_appetite_with_omeprazole_or_just_gerd/")</f>
        <v/>
      </c>
      <c r="G4660" t="inlineStr">
        <is>
          <t>2020-01-13 05:48:46</t>
        </is>
      </c>
      <c r="H4660" t="inlineStr"/>
    </row>
    <row r="4661">
      <c r="A4661" t="inlineStr">
        <is>
          <t>eo52dq</t>
        </is>
      </c>
      <c r="B4661" t="inlineStr">
        <is>
          <t>Esomeprazole for a week now.</t>
        </is>
      </c>
      <c r="C4661" t="inlineStr">
        <is>
          <t>Been on Esomeprazole for a whole week now and it seems like its making my symptoms worse, more burbs, throat is more frequently sore. Is this a side effect? Will it get better! Tnx</t>
        </is>
      </c>
      <c r="D4661" t="n">
        <v>1</v>
      </c>
      <c r="E4661" t="n">
        <v>4</v>
      </c>
      <c r="F4661">
        <f>HYPERLINK("https://www.reddit.com/r/GERD/comments/eo52dq/esomeprazole_for_a_week_now/")</f>
        <v/>
      </c>
      <c r="G4661" t="inlineStr">
        <is>
          <t>2020-01-13 06:49:55</t>
        </is>
      </c>
      <c r="H4661" t="inlineStr"/>
    </row>
    <row r="4662">
      <c r="A4662" t="inlineStr">
        <is>
          <t>eo6k2c</t>
        </is>
      </c>
      <c r="B4662" t="inlineStr">
        <is>
          <t>Can you hear the reflux coming up ?</t>
        </is>
      </c>
      <c r="C4662" t="inlineStr">
        <is>
          <t>I can hear all the reflux coming up to my esophagus,It sound loud , like its propulsed with force , I suspected that I had a hiatus hernia but my endoscopy came back clear no erosion or anything</t>
        </is>
      </c>
      <c r="D4662" t="n">
        <v>1</v>
      </c>
      <c r="E4662" t="n">
        <v>6</v>
      </c>
      <c r="F4662">
        <f>HYPERLINK("https://www.reddit.com/r/GERD/comments/eo6k2c/can_you_hear_the_reflux_coming_up/")</f>
        <v/>
      </c>
      <c r="G4662" t="inlineStr">
        <is>
          <t>2020-01-13 08:41:30</t>
        </is>
      </c>
      <c r="H4662" t="inlineStr"/>
    </row>
    <row r="4663">
      <c r="A4663" t="inlineStr">
        <is>
          <t>eo6ka3</t>
        </is>
      </c>
      <c r="B4663" t="inlineStr">
        <is>
          <t>Dead end road with a HOLE in my throat</t>
        </is>
      </c>
      <c r="C4663" t="inlineStr">
        <is>
          <t>It feels like a lump or hole in my throat leaking saliva down it 24/7. Causes me to have to swallow every 5-10 seconds It’s been going on for 3 months. Doctors prescribed me pantrazole twice which didn’t do anything. Said to get an endoscopy which would cost $600. I can’t afford this because it’s been going on so long it caused me to quit my job and live out of my car at Walmart which I have been for 2 months now and I’ll be on the street soon because I have no income. Only thing that helps is taking Xanax and falling asleep but my bottle is running dry early and I can’t afford to go back to the doctor for the copay to renew any prescription. I will not be working at all again. The hole in my throat completely depletes any quality of life and living in a homeless shelter would be the same as a 5 star hotel I’d still be in hell</t>
        </is>
      </c>
      <c r="D4663" t="n">
        <v>1</v>
      </c>
      <c r="E4663" t="n">
        <v>6</v>
      </c>
      <c r="F4663">
        <f>HYPERLINK("https://www.reddit.com/r/GERD/comments/eo6ka3/dead_end_road_with_a_hole_in_my_throat/")</f>
        <v/>
      </c>
      <c r="G4663" t="inlineStr">
        <is>
          <t>2020-01-13 08:41:56</t>
        </is>
      </c>
      <c r="H4663" t="inlineStr"/>
    </row>
    <row r="4664">
      <c r="A4664" t="inlineStr">
        <is>
          <t>eoais0</t>
        </is>
      </c>
      <c r="B4664" t="inlineStr">
        <is>
          <t>Low acid cause of reflux?</t>
        </is>
      </c>
      <c r="C4664" t="inlineStr">
        <is>
          <t>I got a sore throat 3 months ago, after anitbiotics and not recceding , doctor put me on ppis suspecting LPR, now I got worse I have gastritis and ppis instead of working seems like doing the opposite , never had stomach issues before the ppis now I have LPR and gastritis</t>
        </is>
      </c>
      <c r="D4664" t="n">
        <v>1</v>
      </c>
      <c r="E4664" t="n">
        <v>28</v>
      </c>
      <c r="F4664">
        <f>HYPERLINK("https://www.reddit.com/r/GERD/comments/eoais0/low_acid_cause_of_reflux/")</f>
        <v/>
      </c>
      <c r="G4664" t="inlineStr">
        <is>
          <t>2020-01-13 13:18:18</t>
        </is>
      </c>
      <c r="H4664" t="inlineStr"/>
    </row>
    <row r="4665">
      <c r="A4665" t="inlineStr">
        <is>
          <t>eoam9u</t>
        </is>
      </c>
      <c r="B4665" t="inlineStr">
        <is>
          <t>Help from digestive enzymes and alkaline water?</t>
        </is>
      </c>
      <c r="C4665" t="inlineStr">
        <is>
          <t>I’ve been on omeprozole for about 7 years with an original diagnosis or GERD. About 4 weeks ago my digestion virtually just stopped working whenever I took it, so I’ve been off since. I’ve tried everything since going off dealing with the rebound reflux. From Apple cider vinegar, probiotics, completely clean diet, don’t drink smoke or have coffee, and supplementing with TUMS and Pepcid to counteract the rebound. Yesterday and today I’ve taken digestive enzymes and drank nothing but alkaline water and my acid reflux has went away nearly 85%. Worried it could be bile reflux from my gallbladder or possibly pancreas issues. Has anyone had something similar happen?</t>
        </is>
      </c>
      <c r="D4665" t="n">
        <v>1</v>
      </c>
      <c r="E4665" t="n">
        <v>7</v>
      </c>
      <c r="F4665">
        <f>HYPERLINK("https://www.reddit.com/r/GERD/comments/eoam9u/help_from_digestive_enzymes_and_alkaline_water/")</f>
        <v/>
      </c>
      <c r="G4665" t="inlineStr">
        <is>
          <t>2020-01-13 13:24:41</t>
        </is>
      </c>
      <c r="H4665" t="inlineStr"/>
    </row>
    <row r="4666">
      <c r="A4666" t="inlineStr">
        <is>
          <t>eobdus</t>
        </is>
      </c>
      <c r="B4666" t="inlineStr">
        <is>
          <t>Reflux , white tongue and burning in anal area?</t>
        </is>
      </c>
      <c r="C4666" t="inlineStr">
        <is>
          <t>Anyone else have these symptoms? Carbs make the reflux worse. I have a white tongue which gets worse when I eat them and I also have burning in my anal area when the reflux gets worse. Does anyone think this could be Candida? Carbs make everything worse and I don’t bloat as much when I don’t eat them. It’s just hard being low carb but I’m willing to do anything to get myself back. My appt with the gi doc is next week but this has me rlly bummed out as I’m currently dealing with a uti and taking meds for it</t>
        </is>
      </c>
      <c r="D4666" t="n">
        <v>1</v>
      </c>
      <c r="E4666" t="n">
        <v>4</v>
      </c>
      <c r="F4666">
        <f>HYPERLINK("https://www.reddit.com/r/GERD/comments/eobdus/reflux_white_tongue_and_burning_in_anal_area/")</f>
        <v/>
      </c>
      <c r="G4666" t="inlineStr">
        <is>
          <t>2020-01-13 14:16:00</t>
        </is>
      </c>
      <c r="H4666" t="inlineStr"/>
    </row>
    <row r="4667">
      <c r="A4667" t="inlineStr">
        <is>
          <t>eociw9</t>
        </is>
      </c>
      <c r="B4667" t="inlineStr">
        <is>
          <t>Anybody here experience anxiety after stopping pantoprazole cold turkey?</t>
        </is>
      </c>
      <c r="C4667" t="inlineStr">
        <is>
          <t>I was prescribed pantoprazole 2mg twice a day  for gastritis until my endoscopy which came back normal, i was taking it for approximately 6 weeks now i decided to quit cold turkey and have been experiencing anxiety which is not letting me sleep. Has this happened to anyone else?</t>
        </is>
      </c>
      <c r="D4667" t="n">
        <v>1</v>
      </c>
      <c r="E4667" t="n">
        <v>16</v>
      </c>
      <c r="F4667">
        <f>HYPERLINK("https://www.reddit.com/r/GERD/comments/eociw9/anybody_here_experience_anxiety_after_stopping/")</f>
        <v/>
      </c>
      <c r="G4667" t="inlineStr">
        <is>
          <t>2020-01-13 15:37:49</t>
        </is>
      </c>
      <c r="H4667" t="inlineStr"/>
    </row>
    <row r="4668">
      <c r="A4668" t="inlineStr">
        <is>
          <t>eoctcs</t>
        </is>
      </c>
      <c r="B4668" t="inlineStr">
        <is>
          <t>Anyone else have acid reflux, especially the burping when working out?</t>
        </is>
      </c>
      <c r="C4668" t="inlineStr">
        <is>
          <t>I got it like 6 months ago and was prescribed a proton pump inhibitor for like 2 months and it almost got rid of it for me. I was also busy with school, so did not get a chance to workout regularly. Recently, I have started working out again, but the burping is back and now it's just constant. I don't really have any problems such as heartburn or anything else, it's mainly the burping for me and plus for the last few weeks my diet has gone down the hill due to the holidays. Does working out somehow increase it? I do some cardio but mostly weights. Also any recommendations on good food to eat/cutting back on any?</t>
        </is>
      </c>
      <c r="D4668" t="n">
        <v>1</v>
      </c>
      <c r="E4668" t="n">
        <v>10</v>
      </c>
      <c r="F4668">
        <f>HYPERLINK("https://www.reddit.com/r/GERD/comments/eoctcs/anyone_else_have_acid_reflux_especially_the/")</f>
        <v/>
      </c>
      <c r="G4668" t="inlineStr">
        <is>
          <t>2020-01-13 15:58:42</t>
        </is>
      </c>
      <c r="H4668" t="inlineStr"/>
    </row>
    <row r="4669">
      <c r="A4669" t="inlineStr">
        <is>
          <t>eodes7</t>
        </is>
      </c>
      <c r="B4669" t="inlineStr">
        <is>
          <t>Constipation on ppis</t>
        </is>
      </c>
      <c r="C4669" t="inlineStr">
        <is>
          <t>Anybody else have issues going to the bathroom on ppis? Its harder for me to go to the bathroom after taking them, and my stool is alot softer. Anybody else notice this?</t>
        </is>
      </c>
      <c r="D4669" t="n">
        <v>1</v>
      </c>
      <c r="E4669" t="n">
        <v>4</v>
      </c>
      <c r="F4669">
        <f>HYPERLINK("https://www.reddit.com/r/GERD/comments/eodes7/constipation_on_ppis/")</f>
        <v/>
      </c>
      <c r="G4669" t="inlineStr">
        <is>
          <t>2020-01-13 16:44:33</t>
        </is>
      </c>
      <c r="H4669" t="inlineStr"/>
    </row>
    <row r="4670">
      <c r="A4670" t="inlineStr">
        <is>
          <t>eodx0h</t>
        </is>
      </c>
      <c r="B4670" t="inlineStr">
        <is>
          <t>Burping many hours after eating</t>
        </is>
      </c>
      <c r="C4670" t="inlineStr">
        <is>
          <t>For the past 2 weeks like clockwork I've starting having acidic burps 4-5 hours after every meal. No issue with heartburn during or in the couple hours after eating. Anyone have experience with dealing with this?</t>
        </is>
      </c>
      <c r="D4670" t="n">
        <v>1</v>
      </c>
      <c r="E4670" t="n">
        <v>11</v>
      </c>
      <c r="F4670">
        <f>HYPERLINK("https://www.reddit.com/r/GERD/comments/eodx0h/burping_many_hours_after_eating/")</f>
        <v/>
      </c>
      <c r="G4670" t="inlineStr">
        <is>
          <t>2020-01-13 17:23:42</t>
        </is>
      </c>
      <c r="H4670" t="inlineStr"/>
    </row>
    <row r="4671">
      <c r="A4671" t="inlineStr">
        <is>
          <t>eoene3</t>
        </is>
      </c>
      <c r="B4671" t="inlineStr">
        <is>
          <t>Heart palpitations from GERD and IBS</t>
        </is>
      </c>
      <c r="C4671" t="inlineStr">
        <is>
          <t>So about beginning of July I had tremendous chest pains, back pain, heart palpitations, constipation, diarrhea, loss of appetite, the list goes on forever. I’ve been to the doctors many times since then and they’ve concluded I have GERD and IBS. Since than I have switched up my diet and stopped taking omeprozale. The last 2 months have been much better for me. The last 4 days I’ve had very often heart palpitations. Sometimes my heart even feels like it’s racing. Sometimes it takes my breath away. Anyone else have this issue with GERD? I did go out drinking the other night so that may have something to do with it. It worry’s me but I just keep telling myself it’s not going to kill me so my anxiety doesn’t skyrocket. Thanks!</t>
        </is>
      </c>
      <c r="D4671" t="n">
        <v>1</v>
      </c>
      <c r="E4671" t="n">
        <v>19</v>
      </c>
      <c r="F4671">
        <f>HYPERLINK("https://www.reddit.com/r/GERD/comments/eoene3/heart_palpitations_from_gerd_and_ibs/")</f>
        <v/>
      </c>
      <c r="G4671" t="inlineStr">
        <is>
          <t>2020-01-13 18:19:25</t>
        </is>
      </c>
      <c r="H4671" t="inlineStr"/>
    </row>
    <row r="4672">
      <c r="A4672" t="inlineStr">
        <is>
          <t>eoextv</t>
        </is>
      </c>
      <c r="B4672" t="inlineStr">
        <is>
          <t>"Atypical" GERD</t>
        </is>
      </c>
      <c r="C4672" t="inlineStr">
        <is>
          <t>I have been diagnosed with high anxiety and GERD. I had a 3 month stint with very bad Gastritis and had to be put on Carafate. My question is that I have back, and neck problems almost daily as well as this weird heart stopping palpitation. Everytime I ask my doctor about it I just get the "that isn't a typical symptom of GERD" 
I usually do a round of Nexium to get rid of it and I'm fine. How do you guys manage your symptoms or have you had any doctors that just kind of blow off what you're saying?</t>
        </is>
      </c>
      <c r="D4672" t="n">
        <v>1</v>
      </c>
      <c r="E4672" t="n">
        <v>4</v>
      </c>
      <c r="F4672">
        <f>HYPERLINK("https://www.reddit.com/r/GERD/comments/eoextv/atypical_gerd/")</f>
        <v/>
      </c>
      <c r="G4672" t="inlineStr">
        <is>
          <t>2020-01-13 18:41:30</t>
        </is>
      </c>
      <c r="H4672" t="inlineStr"/>
    </row>
    <row r="4673">
      <c r="A4673" t="inlineStr">
        <is>
          <t>eofst1</t>
        </is>
      </c>
      <c r="B4673" t="inlineStr">
        <is>
          <t>Shortness of breath, acid reflux, cough with a bit of phlegm, fatigue.</t>
        </is>
      </c>
      <c r="C4673" t="inlineStr">
        <is>
          <t>I have some questions about some conditions that have been going on for a couple of weeks. I have constipation, acid reflux, a bit of fatigue (not horrible), shortness of breath (it’s hard to take in deep breaths), chest congestion and a slight cough with phlegm. I drink a lot of water, I try to eat regularly. Also I’ve been taking tums, mucinex , and milk of magnesia, and It helps a little. If you could get back with me, I would appreciate it. I’ve been too the emergency room at least 3 times and they told me that the EKG was normal and the x-rays were fine. I’ve been stressing over this for the past 2-3 weeks and I just need someone to talk to so I don’t over think shit. I just been diagnosed with an anxiety disorder and I am supposed to start Zoloft by the end of this week, and I just don’t want anything bad to happen while I’m still dealing with this. If anyone could give me some form of reassurance I would greatly appreciate, bc it seems like I’ve been stressing my family out with this control for too long and they’re getting tired of it. So if you have any response, please feel free to share. Thank You.</t>
        </is>
      </c>
      <c r="D4673" t="n">
        <v>1</v>
      </c>
      <c r="E4673" t="n">
        <v>23</v>
      </c>
      <c r="F4673">
        <f>HYPERLINK("https://www.reddit.com/r/GERD/comments/eofst1/shortness_of_breath_acid_reflux_cough_with_a_bit/")</f>
        <v/>
      </c>
      <c r="G4673" t="inlineStr">
        <is>
          <t>2020-01-13 19:49:13</t>
        </is>
      </c>
      <c r="H4673" t="inlineStr"/>
    </row>
    <row r="4674">
      <c r="A4674" t="inlineStr">
        <is>
          <t>eog2lc</t>
        </is>
      </c>
      <c r="B4674" t="inlineStr">
        <is>
          <t>Insurance - TIF surgery</t>
        </is>
      </c>
      <c r="C4674" t="inlineStr">
        <is>
          <t>Did anyone successfully get their insurance to cover TIF? I have Aetna wondering if they would consider it.</t>
        </is>
      </c>
      <c r="D4674" t="n">
        <v>1</v>
      </c>
      <c r="E4674" t="n">
        <v>3</v>
      </c>
      <c r="F4674">
        <f>HYPERLINK("https://www.reddit.com/r/GERD/comments/eog2lc/insurance_tif_surgery/")</f>
        <v/>
      </c>
      <c r="G4674" t="inlineStr">
        <is>
          <t>2020-01-13 20:11:52</t>
        </is>
      </c>
      <c r="H4674" t="inlineStr"/>
    </row>
    <row r="4675">
      <c r="A4675" t="inlineStr">
        <is>
          <t>eogged</t>
        </is>
      </c>
      <c r="B4675" t="inlineStr">
        <is>
          <t>Does anyone else live in fear of developing Barrett's esophagus?</t>
        </is>
      </c>
      <c r="C4675" t="inlineStr">
        <is>
          <t>Are there any steps I can take to prevent it?</t>
        </is>
      </c>
      <c r="D4675" t="n">
        <v>1</v>
      </c>
      <c r="E4675" t="n">
        <v>20</v>
      </c>
      <c r="F4675">
        <f>HYPERLINK("https://www.reddit.com/r/GERD/comments/eogged/does_anyone_else_live_in_fear_of_developing/")</f>
        <v/>
      </c>
      <c r="G4675" t="inlineStr">
        <is>
          <t>2020-01-13 20:45:13</t>
        </is>
      </c>
      <c r="H4675" t="inlineStr"/>
    </row>
    <row r="4676">
      <c r="A4676" t="inlineStr">
        <is>
          <t>eohbqd</t>
        </is>
      </c>
      <c r="B4676" t="inlineStr">
        <is>
          <t>What is the best way to come off pantoprazole?</t>
        </is>
      </c>
      <c r="C4676" t="inlineStr">
        <is>
          <t>Was prescribed pantoprazole for 6 weeks 20mg twice a day but recently had my endoscopy done and it came back normal, what would be the best way to come off of taking them? Because i tried quitting cold turkey and i havent been able to sleep since because i got anxiety after stopping them</t>
        </is>
      </c>
      <c r="D4676" t="n">
        <v>1</v>
      </c>
      <c r="E4676" t="n">
        <v>32</v>
      </c>
      <c r="F4676">
        <f>HYPERLINK("https://www.reddit.com/r/GERD/comments/eohbqd/what_is_the_best_way_to_come_off_pantoprazole/")</f>
        <v/>
      </c>
      <c r="G4676" t="inlineStr">
        <is>
          <t>2020-01-13 22:07:08</t>
        </is>
      </c>
      <c r="H4676" t="inlineStr"/>
    </row>
    <row r="4677">
      <c r="A4677" t="inlineStr">
        <is>
          <t>eoi5e9</t>
        </is>
      </c>
      <c r="B4677" t="inlineStr">
        <is>
          <t>Thinking I may have GERD</t>
        </is>
      </c>
      <c r="C4677" t="inlineStr">
        <is>
          <t>I've always got a lil bit of heartburn after eating certain things, but only severe a few times. Last week however (after upping my calories) I found I had heartburn by mid afternoon everyday. By Friday, by throat felt like I needed to clear it every few minutes.
Saturday, I woke up with a sore throat which hurt when swallowing, like I'd burnt it. I thought I was getting ill as my glands in my neck were slightly swollen and I had nasty green mucus from my nose. By Sunday, the mucus cleared up. 
I went to bed on Monday night, and about 20 mins after I lay down, my throat started burning and hurting to swallow again. Now Tuesday morning and it's still sore, no bad cough but a slight tickle. 
What do you think?</t>
        </is>
      </c>
      <c r="D4677" t="n">
        <v>1</v>
      </c>
      <c r="E4677" t="n">
        <v>3</v>
      </c>
      <c r="F4677">
        <f>HYPERLINK("https://www.reddit.com/r/GERD/comments/eoi5e9/thinking_i_may_have_gerd/")</f>
        <v/>
      </c>
      <c r="G4677" t="inlineStr">
        <is>
          <t>2020-01-13 23:36:14</t>
        </is>
      </c>
      <c r="H4677" t="inlineStr"/>
    </row>
    <row r="4678">
      <c r="A4678" t="inlineStr">
        <is>
          <t>eoiqex</t>
        </is>
      </c>
      <c r="B4678" t="inlineStr">
        <is>
          <t>Is barret esophagus really reversible?</t>
        </is>
      </c>
      <c r="C4678" t="inlineStr">
        <is>
          <t>Is this condition really reversible without medical intervention (without use any invasive device)</t>
        </is>
      </c>
      <c r="D4678" t="n">
        <v>1</v>
      </c>
      <c r="E4678" t="n">
        <v>5</v>
      </c>
      <c r="F4678">
        <f>HYPERLINK("https://www.reddit.com/r/GERD/comments/eoiqex/is_barret_esophagus_really_reversible/")</f>
        <v/>
      </c>
      <c r="G4678" t="inlineStr">
        <is>
          <t>2020-01-14 00:46:26</t>
        </is>
      </c>
      <c r="H4678" t="inlineStr"/>
    </row>
    <row r="4679">
      <c r="A4679" t="inlineStr">
        <is>
          <t>eoixjl</t>
        </is>
      </c>
      <c r="B4679" t="inlineStr">
        <is>
          <t>Leg pain</t>
        </is>
      </c>
      <c r="C4679" t="inlineStr">
        <is>
          <t>Anyone get weird muscular pain? Mine happens to be primarily in my left leg behind my knee and into my calf. 
My first thought is that it's some kind of side effect (I'm on pantroprosal 40mg and sucrulfate tabs 1-2 times a day (used to be 4x) as well as the birth control pill. My second thought was blood clots from the BCP but I had vein ultrasounds twice and they didnt see anything. Also if been living with this for over a year have gotten deep tissue massages on it and had heavy workouts and haven't suffered anything more severe indicating DVT either. 
Another thing I can think of is potentially nerve pain. I am a lifelong right side sleeper but actively changd it up over the past 2 years to convert to left side to help with my GERD. Wondering if I am doing some damage to my low back/ hip and just need to get a different mattress to accommodate. Only issue here is that my calf is actually tender to the touch sometimes and even my pedicurist has made comments that my leg seems swollen. 
Last potential option is maybe a vitamin deficiency potentially from the PPIs. I have been working to try and take a multivitamin every but I'm not perfect about it. 
Thoughts?</t>
        </is>
      </c>
      <c r="D4679" t="n">
        <v>1</v>
      </c>
      <c r="E4679" t="n">
        <v>5</v>
      </c>
      <c r="F4679">
        <f>HYPERLINK("https://www.reddit.com/r/GERD/comments/eoixjl/leg_pain/")</f>
        <v/>
      </c>
      <c r="G4679" t="inlineStr">
        <is>
          <t>2020-01-14 01:11:13</t>
        </is>
      </c>
      <c r="H4679" t="inlineStr"/>
    </row>
    <row r="4680">
      <c r="A4680" t="inlineStr">
        <is>
          <t>eoj0ey</t>
        </is>
      </c>
      <c r="B4680" t="inlineStr">
        <is>
          <t>Candida + reflux?</t>
        </is>
      </c>
      <c r="C4680" t="inlineStr">
        <is>
          <t>Ever since a few months ago I’ve started having reflux and heartburn. It started out as a lump in the throat which has progressed to reflux. I’ve noticed carbs bring hell and worsen the reflux. I also have a white tongue and burning in my anal area which comes and goes esp when my reflux acts up. Has anyone with Candida been able to cure their reflux and how did you find out you had Candida?</t>
        </is>
      </c>
      <c r="D4680" t="n">
        <v>1</v>
      </c>
      <c r="E4680" t="n">
        <v>3</v>
      </c>
      <c r="F4680">
        <f>HYPERLINK("https://www.reddit.com/r/GERD/comments/eoj0ey/candida_reflux/")</f>
        <v/>
      </c>
      <c r="G4680" t="inlineStr">
        <is>
          <t>2020-01-14 01:21:12</t>
        </is>
      </c>
      <c r="H4680" t="inlineStr"/>
    </row>
    <row r="4681">
      <c r="A4681" t="inlineStr">
        <is>
          <t>eoj1k6</t>
        </is>
      </c>
      <c r="B4681" t="inlineStr">
        <is>
          <t>Feeling my food coming up ?</t>
        </is>
      </c>
      <c r="C4681" t="inlineStr">
        <is>
          <t>I was wondering if that feeling (of food coming up my throat after I ate dinner) goes away after a certain time or if it will just stay ? Today I’ve been burping a lot recently ,been feeling heartburn and my food slowly coming up my throat. I don’t think I can sleep tonight like this, where I feel food in my throat. It is only today that I just started feeling this experience of burping more + food in my throat, not heartburn.</t>
        </is>
      </c>
      <c r="D4681" t="n">
        <v>1</v>
      </c>
      <c r="E4681" t="n">
        <v>5</v>
      </c>
      <c r="F4681">
        <f>HYPERLINK("https://www.reddit.com/r/GERD/comments/eoj1k6/feeling_my_food_coming_up/")</f>
        <v/>
      </c>
      <c r="G4681" t="inlineStr">
        <is>
          <t>2020-01-14 01:24:49</t>
        </is>
      </c>
      <c r="H4681" t="inlineStr"/>
    </row>
    <row r="4682">
      <c r="A4682" t="inlineStr">
        <is>
          <t>eol3el</t>
        </is>
      </c>
      <c r="B4682" t="inlineStr">
        <is>
          <t>Nexium for 1.5 weeks. 40mg for a week, then 20mg... feels like my symptoms suddenly got worse</t>
        </is>
      </c>
      <c r="C4682" t="inlineStr">
        <is>
          <t>I've been on Nexium for 1.5 weeks. My worst symptom before starting was that I'd wake up at night with horrible nausea and feel like I was going to throw up. It happened 3 nights in a row just before starting Nexium. Since starting, I hadn't woken up once... But then tonight I woke up to probably the worst bout of it I've ever had. It was absolutely horrible.
I was started on 20mg once in the morning and once at night and told to cut back to 20mg morning only after a week, which I did. Could that be the cause?</t>
        </is>
      </c>
      <c r="D4682" t="n">
        <v>1</v>
      </c>
      <c r="E4682" t="n">
        <v>9</v>
      </c>
      <c r="F4682">
        <f>HYPERLINK("https://www.reddit.com/r/GERD/comments/eol3el/nexium_for_15_weeks_40mg_for_a_week_then_20mg/")</f>
        <v/>
      </c>
      <c r="G4682" t="inlineStr">
        <is>
          <t>2020-01-14 05:12:38</t>
        </is>
      </c>
      <c r="H4682" t="inlineStr"/>
    </row>
    <row r="4683">
      <c r="A4683" t="inlineStr">
        <is>
          <t>eola0r</t>
        </is>
      </c>
      <c r="B4683" t="inlineStr">
        <is>
          <t>Hyperacidity Causes and Herbal Remedies</t>
        </is>
      </c>
      <c r="C4683" t="inlineStr">
        <is>
          <t>Hyperacidity Causes and Herbal Remedies
It is important that we learn how to deal with this naturally.
https://italisvital.info/hyperacidity-causes-herbal-remedies/</t>
        </is>
      </c>
      <c r="D4683" t="n">
        <v>1</v>
      </c>
      <c r="E4683" t="n">
        <v>1</v>
      </c>
      <c r="F4683">
        <f>HYPERLINK("https://www.reddit.com/r/GERD/comments/eola0r/hyperacidity_causes_and_herbal_remedies/")</f>
        <v/>
      </c>
      <c r="G4683" t="inlineStr">
        <is>
          <t>2020-01-14 05:29:41</t>
        </is>
      </c>
      <c r="H4683" t="inlineStr"/>
    </row>
    <row r="4684">
      <c r="A4684" t="inlineStr">
        <is>
          <t>eoo1ar</t>
        </is>
      </c>
      <c r="B4684" t="inlineStr">
        <is>
          <t>Learn beef and pork</t>
        </is>
      </c>
      <c r="C4684" t="inlineStr">
        <is>
          <t>I know that fatty meats and such can be bad for GERD but if I get leaner cuts of beef or super lean ground meat would that be better? I am a carnivore for sure and can't see going to a plant-based diet and would have a problem with just chicken, turkey and fish.</t>
        </is>
      </c>
      <c r="D4684" t="n">
        <v>1</v>
      </c>
      <c r="E4684" t="n">
        <v>9</v>
      </c>
      <c r="F4684">
        <f>HYPERLINK("https://www.reddit.com/r/GERD/comments/eoo1ar/learn_beef_and_pork/")</f>
        <v/>
      </c>
      <c r="G4684" t="inlineStr">
        <is>
          <t>2020-01-14 09:05:06</t>
        </is>
      </c>
      <c r="H4684" t="inlineStr"/>
    </row>
    <row r="4685">
      <c r="A4685" t="inlineStr">
        <is>
          <t>eoowwm</t>
        </is>
      </c>
      <c r="B4685" t="inlineStr">
        <is>
          <t>Surgery or PPIs for life?</t>
        </is>
      </c>
      <c r="C4685" t="inlineStr">
        <is>
          <t>I am on the route to surgery at the moment, having tests etc to see whether i would be a good candidate for it.
There are so many conflicting opinions and 'facts' that its hard to make a decision. I know it is usually down to preference and personal situation but i still want to hear others opinions. Some say PPIs are poison and cause lots of issues, some say you should never get surgery unless you absolutely have to.
I do not absolutely have to, as the PPIs do work fine. Without them i am a mess. The only way to be off them forever is to get the surgery. 
I'd have no issue taking PPIs for life should they be safe, but many state they are not. Any opinion would be great.</t>
        </is>
      </c>
      <c r="D4685" t="n">
        <v>1</v>
      </c>
      <c r="E4685" t="n">
        <v>20</v>
      </c>
      <c r="F4685">
        <f>HYPERLINK("https://www.reddit.com/r/GERD/comments/eoowwm/surgery_or_ppis_for_life/")</f>
        <v/>
      </c>
      <c r="G4685" t="inlineStr">
        <is>
          <t>2020-01-14 10:09:25</t>
        </is>
      </c>
      <c r="H4685" t="inlineStr"/>
    </row>
    <row r="4686">
      <c r="A4686" t="inlineStr">
        <is>
          <t>eoq8up</t>
        </is>
      </c>
      <c r="B4686" t="inlineStr">
        <is>
          <t>Got gerd after a minor stomach bug is it going to go away ?</t>
        </is>
      </c>
      <c r="C4686" t="inlineStr">
        <is>
          <t>So i ate some bad sushi and had 2 days of weakness and 5/10 nausea. After the 2 days i started getting gerd like symptoms like a Lump in throat chest pain. 
My normal doctor prescribed omphenzole to me but it did not help. in fact the symptoms just got worse. My throat was getting burned every day and i was getting  a lot of air in my stomach. I stooped taking omphenzole after 8 days and the symptoms seemed to calm down after it left my system. 
Now 5 days after getting of the medicine i started getting a lot of bloating burping and burning of the throat.
Its been 15 days now with gerd and it has been extremely mentally exhausting.
I have scheduled a appointment with a Gastroenterologist , but it is 3 weeks away.  
Right now im very scared and stressed that it wont ever go away. Any one have experience specifically with getting gerd from a stomach bug /virus.</t>
        </is>
      </c>
      <c r="D4686" t="n">
        <v>1</v>
      </c>
      <c r="E4686" t="n">
        <v>2</v>
      </c>
      <c r="F4686">
        <f>HYPERLINK("https://www.reddit.com/r/GERD/comments/eoq8up/got_gerd_after_a_minor_stomach_bug_is_it_going_to/")</f>
        <v/>
      </c>
      <c r="G4686" t="inlineStr">
        <is>
          <t>2020-01-14 11:42:05</t>
        </is>
      </c>
      <c r="H4686" t="inlineStr"/>
    </row>
    <row r="4687">
      <c r="A4687" t="inlineStr">
        <is>
          <t>eos5tl</t>
        </is>
      </c>
      <c r="B4687" t="inlineStr">
        <is>
          <t>Starting keto can i use ingredients like tomatoes and onions./ recipes Suggestions ?</t>
        </is>
      </c>
      <c r="C4687" t="inlineStr">
        <is>
          <t>So I got gerd only a week ago from a stomach virus and as such i'm not really sure what my trigger food is other then carbs.
I've been reading online and it suggested to not eat things like tomatoes , onions, bell peppers and spicy things because they make your stomach more acidic. The problem is that a lot of the recipes online for keto seem to have a bunch of these ingredients.
Another thing I noticed is the keto diet still has 5-10% of the diet as carbs. So should i still include the carbs in my diet or completely cut them out ? 
If anyone has some recipes or websites for keto i would be extremely grateful.</t>
        </is>
      </c>
      <c r="D4687" t="n">
        <v>1</v>
      </c>
      <c r="E4687" t="n">
        <v>3</v>
      </c>
      <c r="F4687">
        <f>HYPERLINK("https://www.reddit.com/r/GERD/comments/eos5tl/starting_keto_can_i_use_ingredients_like_tomatoes/")</f>
        <v/>
      </c>
      <c r="G4687" t="inlineStr">
        <is>
          <t>2020-01-14 13:51:14</t>
        </is>
      </c>
      <c r="H4687" t="inlineStr"/>
    </row>
    <row r="4688">
      <c r="A4688" t="inlineStr">
        <is>
          <t>eotzi2</t>
        </is>
      </c>
      <c r="B4688" t="inlineStr">
        <is>
          <t>Dealing with the excessive need to swallow. Is this caused by the GERD?</t>
        </is>
      </c>
      <c r="C4688" t="inlineStr">
        <is>
          <t>I wa diagnosed with GERD in November after an endoscopy.  Ever since , symptoms are different almost every day. Just yesterday I have been feeling something new , where I feel the need to swallow . Almost without control  and it's been really bothering me . I'm used to the chronic cough and clearing of my throat , but this one feels like a dry sensation that causes me to swallow. I started noticing a funny sound when I was swallowing and that's when I believe it started because I started paying attention to it to much and now I can't stop doing it .  Am I going crazy or could this be caused my GERD?</t>
        </is>
      </c>
      <c r="D4688" t="n">
        <v>1</v>
      </c>
      <c r="E4688" t="n">
        <v>11</v>
      </c>
      <c r="F4688">
        <f>HYPERLINK("https://www.reddit.com/r/GERD/comments/eotzi2/dealing_with_the_excessive_need_to_swallow_is/")</f>
        <v/>
      </c>
      <c r="G4688" t="inlineStr">
        <is>
          <t>2020-01-14 15:58:46</t>
        </is>
      </c>
      <c r="H4688" t="inlineStr"/>
    </row>
    <row r="4689">
      <c r="A4689" t="inlineStr">
        <is>
          <t>eovl4a</t>
        </is>
      </c>
      <c r="B4689" t="inlineStr">
        <is>
          <t>Worst Flare Yet...How Long to Heal?</t>
        </is>
      </c>
      <c r="C4689" t="inlineStr">
        <is>
          <t>The nausea has definitely been the toughest with this bout. Comes on after eating. Also back chills. Anyone else get bad nausea? How long before symptoms ease if you don't use prescriptions? And how?</t>
        </is>
      </c>
      <c r="D4689" t="n">
        <v>1</v>
      </c>
      <c r="E4689" t="n">
        <v>8</v>
      </c>
      <c r="F4689">
        <f>HYPERLINK("https://www.reddit.com/r/GERD/comments/eovl4a/worst_flare_yethow_long_to_heal/")</f>
        <v/>
      </c>
      <c r="G4689" t="inlineStr">
        <is>
          <t>2020-01-14 18:02:12</t>
        </is>
      </c>
      <c r="H4689" t="inlineStr"/>
    </row>
    <row r="4690">
      <c r="A4690" t="inlineStr">
        <is>
          <t>eovpkb</t>
        </is>
      </c>
      <c r="B4690" t="inlineStr">
        <is>
          <t>Sensation of gagging?</t>
        </is>
      </c>
      <c r="C4690" t="inlineStr">
        <is>
          <t>Does anyone else feel like they gag a lot? I think it’s from the saliva in my throat/water brash. It seems to be exacerbated from caffeine or soda (makes sense since it triggers the LES) I often gag a lot but nothing ever comes out except saliva. Hopefully my endoscopy will resolve things...</t>
        </is>
      </c>
      <c r="D4690" t="n">
        <v>1</v>
      </c>
      <c r="E4690" t="n">
        <v>17</v>
      </c>
      <c r="F4690">
        <f>HYPERLINK("https://www.reddit.com/r/GERD/comments/eovpkb/sensation_of_gagging/")</f>
        <v/>
      </c>
      <c r="G4690" t="inlineStr">
        <is>
          <t>2020-01-14 18:12:02</t>
        </is>
      </c>
      <c r="H4690" t="inlineStr"/>
    </row>
    <row r="4691">
      <c r="A4691" t="inlineStr">
        <is>
          <t>eow2al</t>
        </is>
      </c>
      <c r="B4691" t="inlineStr">
        <is>
          <t>I have woken up choking/coughing twice now. New to this community and need advice.</t>
        </is>
      </c>
      <c r="C4691" t="inlineStr">
        <is>
          <t>Symptoms: 
Waking up choking/coughing/gasping.
Constantly feels like there's something stuck in my throat.
Dry/irritated throat.
Often I feel short of breath when I'm awake and my anxiety/heart rate spike.
Chest pain(s).
I went to the ER, and they said it may be heartburn. I guess I just don't understand why? Can anyone break it down for me, so I can understand it better? I do have plans to see a GI, but is there anything I can do now? I do take Prilosec OTC currently.</t>
        </is>
      </c>
      <c r="D4691" t="n">
        <v>1</v>
      </c>
      <c r="E4691" t="n">
        <v>3</v>
      </c>
      <c r="F4691">
        <f>HYPERLINK("https://www.reddit.com/r/GERD/comments/eow2al/i_have_woken_up_chokingcoughing_twice_now_new_to/")</f>
        <v/>
      </c>
      <c r="G4691" t="inlineStr">
        <is>
          <t>2020-01-14 18:39:52</t>
        </is>
      </c>
      <c r="H4691" t="inlineStr"/>
    </row>
    <row r="4692">
      <c r="A4692" t="inlineStr">
        <is>
          <t>eow2n1</t>
        </is>
      </c>
      <c r="B4692" t="inlineStr">
        <is>
          <t>Left chest pain while breathing during a workout?</t>
        </is>
      </c>
      <c r="C4692" t="inlineStr">
        <is>
          <t>Recently have been experiencing left chest pains when I'm doing a workout. I just started working out again after weeks of begin too anxious. My anxiety feels like it's practically gone. I've been feeling these pains the last 3 times I've worked out and it usually isn't until my workout get more intense to where I start feeling it, but after I take a rest for a little it goes away. I had a cardiologist check my heart about 2 months ago, so I don't think it's heart related as he said everything is fine. But still, my anxiety has shot through the roof right now that it's a heart problem.</t>
        </is>
      </c>
      <c r="D4692" t="n">
        <v>1</v>
      </c>
      <c r="E4692" t="n">
        <v>8</v>
      </c>
      <c r="F4692">
        <f>HYPERLINK("https://www.reddit.com/r/GERD/comments/eow2n1/left_chest_pain_while_breathing_during_a_workout/")</f>
        <v/>
      </c>
      <c r="G4692" t="inlineStr">
        <is>
          <t>2020-01-14 18:40:39</t>
        </is>
      </c>
      <c r="H4692" t="inlineStr"/>
    </row>
    <row r="4693">
      <c r="A4693" t="inlineStr">
        <is>
          <t>eoxdni</t>
        </is>
      </c>
      <c r="B4693" t="inlineStr">
        <is>
          <t>Flying without checked baggage. Can't take my Gaviscon Advance with me</t>
        </is>
      </c>
      <c r="C4693" t="inlineStr">
        <is>
          <t>I'm flying out tomorrow from FL to NC. I only have a carry on backpack. I totally forgot that i cant bring my Gaviscon Advance with me unless I put it in little 3.4 ounce bottles. Where do i find bottles that size?</t>
        </is>
      </c>
      <c r="D4693" t="n">
        <v>1</v>
      </c>
      <c r="E4693" t="n">
        <v>13</v>
      </c>
      <c r="F4693">
        <f>HYPERLINK("https://www.reddit.com/r/GERD/comments/eoxdni/flying_without_checked_baggage_cant_take_my/")</f>
        <v/>
      </c>
      <c r="G4693" t="inlineStr">
        <is>
          <t>2020-01-14 20:26:36</t>
        </is>
      </c>
      <c r="H4693" t="inlineStr"/>
    </row>
    <row r="4694">
      <c r="A4694" t="inlineStr">
        <is>
          <t>eoxppz</t>
        </is>
      </c>
      <c r="B4694" t="inlineStr">
        <is>
          <t>Gaviscon vs PPi for silent reflux ?</t>
        </is>
      </c>
      <c r="C4694" t="inlineStr">
        <is>
          <t>I still have not got my hands on gaviscon advanced, the UK version everyone talks about. I’ve only been taking Nexium for a few months, and to be honest I never had heartburn to begin with, just HORRIBLE throat symptoms, mainly my upper throat being irritated 24/7.   Has anyone had better success with Gaviscon advanced ?</t>
        </is>
      </c>
      <c r="D4694" t="n">
        <v>1</v>
      </c>
      <c r="E4694" t="n">
        <v>9</v>
      </c>
      <c r="F4694">
        <f>HYPERLINK("https://www.reddit.com/r/GERD/comments/eoxppz/gaviscon_vs_ppi_for_silent_reflux/")</f>
        <v/>
      </c>
      <c r="G4694" t="inlineStr">
        <is>
          <t>2020-01-14 20:56:43</t>
        </is>
      </c>
      <c r="H4694" t="inlineStr"/>
    </row>
    <row r="4695">
      <c r="A4695" t="inlineStr">
        <is>
          <t>ep11ol</t>
        </is>
      </c>
      <c r="B4695" t="inlineStr">
        <is>
          <t>Need information about takecab</t>
        </is>
      </c>
      <c r="C4695" t="inlineStr">
        <is>
          <t>I used to get omeoprazol for eosophagitis but doctor in Japan prescribed to me a few days ago and for a month takecab 20mg, it was quite expensive but a new and supposably powerful drug, seems to have work on my main issue, not being able to burp anymore... BUT it started to give me a sour feeling in the back of my mouth  during a few days after taking it for the first time, after a litte more than a week now I start to feel constant pain going up during the day under my adam's apple.
Any idea? should i go back to the good old omeoprazol ? need to go back to see the doctor as well i guess...
More info about the med... [http://www.rad-ar.or.jp/siori/english/kekka\_plain.cgi?n=35521](http://www.rad-ar.or.jp/siori/english/kekka_plain.cgi?n=35521) 
Thx</t>
        </is>
      </c>
      <c r="D4695" t="n">
        <v>1</v>
      </c>
      <c r="E4695" t="n">
        <v>0</v>
      </c>
      <c r="F4695">
        <f>HYPERLINK("https://www.reddit.com/r/GERD/comments/ep11ol/need_information_about_takecab/")</f>
        <v/>
      </c>
      <c r="G4695" t="inlineStr">
        <is>
          <t>2020-01-15 03:17:53</t>
        </is>
      </c>
      <c r="H4695" t="inlineStr"/>
    </row>
    <row r="4696">
      <c r="A4696" t="inlineStr">
        <is>
          <t>ep3jtv</t>
        </is>
      </c>
      <c r="B4696" t="inlineStr">
        <is>
          <t>Does anyone else get the sensation their tongue is being “pulled” back into your throat?</t>
        </is>
      </c>
      <c r="C4696" t="inlineStr">
        <is>
          <t>Its tough to explain, mine sometimes feels like its being pulled back into my throat. Sometimes out of habit I’ll bite onto it with my teeth when I swallow to have it not slide down</t>
        </is>
      </c>
      <c r="D4696" t="n">
        <v>1</v>
      </c>
      <c r="E4696" t="n">
        <v>1</v>
      </c>
      <c r="F4696">
        <f>HYPERLINK("https://www.reddit.com/r/GERD/comments/ep3jtv/does_anyone_else_get_the_sensation_their_tongue/")</f>
        <v/>
      </c>
      <c r="G4696" t="inlineStr">
        <is>
          <t>2020-01-15 07:16:25</t>
        </is>
      </c>
      <c r="H4696" t="inlineStr"/>
    </row>
    <row r="4697">
      <c r="A4697" t="inlineStr">
        <is>
          <t>ep3zvk</t>
        </is>
      </c>
      <c r="B4697" t="inlineStr">
        <is>
          <t>Getting the manometry test and Bravo EGD on the same day....looking for advice</t>
        </is>
      </c>
      <c r="C4697" t="inlineStr">
        <is>
          <t>I met with a GI surgeon and I am a candidate for the LINX but before I can undergo the procedure I have to do the two above tests, the manometry test is very important because we need to check if my esophagus is strong enough to work with the LINX.
I am not at all worried about the EGD but have never had a manometry test. I have heard the horror stories, but I am not particularly afraid of it (to me 30 minutes of discomfort is worth the potential lifetime of pain free days). Does anyone have any tips for the test to make it a breeze?</t>
        </is>
      </c>
      <c r="D4697" t="n">
        <v>1</v>
      </c>
      <c r="E4697" t="n">
        <v>19</v>
      </c>
      <c r="F4697">
        <f>HYPERLINK("https://www.reddit.com/r/GERD/comments/ep3zvk/getting_the_manometry_test_and_bravo_egd_on_the/")</f>
        <v/>
      </c>
      <c r="G4697" t="inlineStr">
        <is>
          <t>2020-01-15 07:52:15</t>
        </is>
      </c>
      <c r="H4697" t="inlineStr"/>
    </row>
    <row r="4698">
      <c r="A4698" t="inlineStr">
        <is>
          <t>ep4dpe</t>
        </is>
      </c>
      <c r="B4698" t="inlineStr">
        <is>
          <t>Afraid of stomach /esophageal cancer</t>
        </is>
      </c>
      <c r="C4698" t="inlineStr">
        <is>
          <t>Hello, im 25 years old man, I have really bad symptom that start 2 weeks ago approximately
: 
-bloating all the time, it get really bad after eating
- dysphagia : when I eat, the food get stuck sometimes or return to my mouth
- some back pain or stomach pain after eating
I'm on ppi at 40 mg for 2 weeks,i just see small improvement
 I write my symptom on Google and found stomach or esophageal cancer
I also saw an article about stomach cancer in young!!!!! ,it drive me so  crazy that I  saw a doctor yesterday and scheduled an endoscopy next morning
I'm extremly afraid,my endoscopy is in 5 days but I cannot normally live, I didn't go to my job today and spend the whole day in my bed
This waiting is extremly horrible
If it's a cancer I don't know what to do... Stomach or esophageal  cancer are  one of the  most deadly cancer,, you are almost 100% to die... 
Need help me please</t>
        </is>
      </c>
      <c r="D4698" t="n">
        <v>1</v>
      </c>
      <c r="E4698" t="n">
        <v>15</v>
      </c>
      <c r="F4698">
        <f>HYPERLINK("https://www.reddit.com/r/GERD/comments/ep4dpe/afraid_of_stomach_esophageal_cancer/")</f>
        <v/>
      </c>
      <c r="G4698" t="inlineStr">
        <is>
          <t>2020-01-15 08:22:27</t>
        </is>
      </c>
      <c r="H4698" t="inlineStr"/>
    </row>
    <row r="4699">
      <c r="A4699" t="inlineStr">
        <is>
          <t>ep8sd8</t>
        </is>
      </c>
      <c r="B4699" t="inlineStr">
        <is>
          <t>How to know I have it?</t>
        </is>
      </c>
      <c r="C4699" t="inlineStr">
        <is>
          <t>I’ve been having acid reflux problems for a while now ( 5 days). And it’s like continuous heartburn and after I eat, I get a real bad pain in my chest. It’s caused me to have panic attacks cause I’m thinking it’s my heart. I went to my local hospital and they did EKGs and chest X-rays and said everything was fine, and that it was just acid reflux. Can anyone help me figure out if this is what I have or if it’s something else?
P.S: I have been taking Mylanta, Pepcid, and Zantac and they help only for a little bit.</t>
        </is>
      </c>
      <c r="D4699" t="n">
        <v>1</v>
      </c>
      <c r="E4699" t="n">
        <v>2</v>
      </c>
      <c r="F4699">
        <f>HYPERLINK("https://www.reddit.com/r/GERD/comments/ep8sd8/how_to_know_i_have_it/")</f>
        <v/>
      </c>
      <c r="G4699" t="inlineStr">
        <is>
          <t>2020-01-15 13:29:56</t>
        </is>
      </c>
      <c r="H4699" t="inlineStr"/>
    </row>
    <row r="4700">
      <c r="A4700" t="inlineStr">
        <is>
          <t>ep9959</t>
        </is>
      </c>
      <c r="B4700" t="inlineStr">
        <is>
          <t>Are there any home remedies or tips to deal or alleviate water brash?</t>
        </is>
      </c>
      <c r="C4700" t="inlineStr">
        <is>
          <t>So it seems like with GERD / LPR symptoms are always changing . Recently I've been dealing with a lot of water brash , which makes me feel like I'm hyper salivating or just feel the sensation to swallow every other moment . I'm on PPIs and sucralfate but this water brash symptom is something new I'm experiencing   for the past 2 days. It sucks , it's like I have to swallow every other 10/20 seconds. Can someone please recommend something to at least help me alleviate this , i would appreciate any and all suggestions .</t>
        </is>
      </c>
      <c r="D4700" t="n">
        <v>1</v>
      </c>
      <c r="E4700" t="n">
        <v>5</v>
      </c>
      <c r="F4700">
        <f>HYPERLINK("https://www.reddit.com/r/GERD/comments/ep9959/are_there_any_home_remedies_or_tips_to_deal_or/")</f>
        <v/>
      </c>
      <c r="G4700" t="inlineStr">
        <is>
          <t>2020-01-15 14:02:13</t>
        </is>
      </c>
      <c r="H4700" t="inlineStr"/>
    </row>
    <row r="4701">
      <c r="A4701" t="inlineStr">
        <is>
          <t>ep9dwn</t>
        </is>
      </c>
      <c r="B4701" t="inlineStr">
        <is>
          <t>Have any of you had silent reflux?</t>
        </is>
      </c>
      <c r="C4701" t="inlineStr">
        <is>
          <t>Like lump in throat, mucus in throat and bad breath , loss of breath and rapid heartbeat.</t>
        </is>
      </c>
      <c r="D4701" t="n">
        <v>1</v>
      </c>
      <c r="E4701" t="n">
        <v>30</v>
      </c>
      <c r="F4701">
        <f>HYPERLINK("https://www.reddit.com/r/GERD/comments/ep9dwn/have_any_of_you_had_silent_reflux/")</f>
        <v/>
      </c>
      <c r="G4701" t="inlineStr">
        <is>
          <t>2020-01-15 14:11:23</t>
        </is>
      </c>
      <c r="H4701" t="inlineStr"/>
    </row>
    <row r="4702">
      <c r="A4702" t="inlineStr">
        <is>
          <t>ep9q88</t>
        </is>
      </c>
      <c r="B4702" t="inlineStr">
        <is>
          <t>What are the go to relief/lifestyle tips that works for you to make GERD abit more tolerable?</t>
        </is>
      </c>
      <c r="C4702" t="inlineStr">
        <is>
          <t>Hello! I got diagnosed with hiatal hernia at age 23 finally after years of suffering from it and ive been trying to find relief for my acid reflux i suffer really bad at night. I would really love to hear everyones tips/tricks they do to make it abit tolerable!
So far ive discovered this that works for me:
I discovered sleeping on my left side makes it abit better!
Avoid bending down after eating.
I also dont lay down 4 hours after eating and take walk before sleep.
Soda makes it worse. 
Onion and garlix makes it also really bad but i love those so much 😭..
Its better when i excersise.
I think i felt difference when i took probiotics too.
I take PPI and have for the past 5 years it helps i have managed to cut down the pills from 40mg daily to taking 20mg 4 times a week depending how bad it is.
These things work for me so far and make it abit more tolerable but i suffer still from it daily. But what might work for me might not work for others but i really want to know what everyone does to make it better!</t>
        </is>
      </c>
      <c r="D4702" t="n">
        <v>1</v>
      </c>
      <c r="E4702" t="n">
        <v>2</v>
      </c>
      <c r="F4702">
        <f>HYPERLINK("https://www.reddit.com/r/GERD/comments/ep9q88/what_are_the_go_to_relieflifestyle_tips_that/")</f>
        <v/>
      </c>
      <c r="G4702" t="inlineStr">
        <is>
          <t>2020-01-15 14:35:44</t>
        </is>
      </c>
      <c r="H4702" t="inlineStr"/>
    </row>
    <row r="4703">
      <c r="A4703" t="inlineStr">
        <is>
          <t>ep9uwh</t>
        </is>
      </c>
      <c r="B4703" t="inlineStr">
        <is>
          <t>Gastric emptying questions</t>
        </is>
      </c>
      <c r="C4703" t="inlineStr">
        <is>
          <t>Had anyone had a 4 hour gastric emptying test? I have had no feeling of hunger since October 2016 (when my GERD problems started) and often feel naceous when I eat or after I eat. I often feel like vomiting when I eat because I feel so full and I burp a lot after I eat or drink, sometimes tastes like sulfur. I have had GERD since October 2016. The gastroentrologist thinks it's either a ulcer causing my pain or referred pain when it feels like my liver, it might really be my stomach because I get very sharp pains that take my breath away at times after I eat and vomit neon yellow bile with too many foods or have vomiting of bile into my mouth after eating which he said isn't normal. I am happy to step in the right direction because I've been force feeding myself since October 2016. I got told they will use a dye that they can track in the scrambled eggs they will give me (I can't handle scrambled eggs, make me burp a lot and vomit in my mouth). Just wondering what dye they use, how to be not bored for 4 hours, and generally what it is like. If I can't handle eggs could they give me a different food?</t>
        </is>
      </c>
      <c r="D4703" t="n">
        <v>1</v>
      </c>
      <c r="E4703" t="n">
        <v>3</v>
      </c>
      <c r="F4703">
        <f>HYPERLINK("https://www.reddit.com/r/GERD/comments/ep9uwh/gastric_emptying_questions/")</f>
        <v/>
      </c>
      <c r="G4703" t="inlineStr">
        <is>
          <t>2020-01-15 14:45:01</t>
        </is>
      </c>
      <c r="H4703" t="inlineStr"/>
    </row>
    <row r="4704">
      <c r="A4704" t="inlineStr">
        <is>
          <t>ep9z2t</t>
        </is>
      </c>
      <c r="B4704" t="inlineStr">
        <is>
          <t>Anybody know of any psychiatrists with a focus on digestive health? (NYC)</t>
        </is>
      </c>
      <c r="C4704" t="inlineStr">
        <is>
          <t>I have supragastric belching, and I’m having trouble finding a psychiatrist/psychologist in the NYC area that specializes in behavioral medicine for digestive issues. It seems like Michigan and Los Angeles are covered in this area, but can’t find anything around me. Anyone know of one?</t>
        </is>
      </c>
      <c r="D4704" t="n">
        <v>1</v>
      </c>
      <c r="E4704" t="n">
        <v>0</v>
      </c>
      <c r="F4704">
        <f>HYPERLINK("https://www.reddit.com/r/GERD/comments/ep9z2t/anybody_know_of_any_psychiatrists_with_a_focus_on/")</f>
        <v/>
      </c>
      <c r="G4704" t="inlineStr">
        <is>
          <t>2020-01-15 14:53:24</t>
        </is>
      </c>
      <c r="H4704" t="inlineStr"/>
    </row>
    <row r="4705">
      <c r="A4705" t="inlineStr">
        <is>
          <t>epa1w9</t>
        </is>
      </c>
      <c r="B4705" t="inlineStr">
        <is>
          <t>Con you have excesive burps even without hiatal hernia?</t>
        </is>
      </c>
      <c r="C4705" t="inlineStr">
        <is>
          <t>I had LPR and burp a lot but my endoscopy didn't show no hernia, I know that teflux can happen without hernia, but didn't know that excesive beclhing (more than  50 a day ) is possible without having one too</t>
        </is>
      </c>
      <c r="D4705" t="n">
        <v>1</v>
      </c>
      <c r="E4705" t="n">
        <v>3</v>
      </c>
      <c r="F4705">
        <f>HYPERLINK("https://www.reddit.com/r/GERD/comments/epa1w9/con_you_have_excesive_burps_even_without_hiatal/")</f>
        <v/>
      </c>
      <c r="G4705" t="inlineStr">
        <is>
          <t>2020-01-15 14:58:51</t>
        </is>
      </c>
      <c r="H4705" t="inlineStr"/>
    </row>
    <row r="4706">
      <c r="A4706" t="inlineStr">
        <is>
          <t>epay3h</t>
        </is>
      </c>
      <c r="B4706" t="inlineStr">
        <is>
          <t>Very tight pressure in chest comes and goes</t>
        </is>
      </c>
      <c r="C4706" t="inlineStr">
        <is>
          <t>Has anybody ever experienced the phenomenon of having a very tight pressure almost feeling like you're being stabbed in your chest and it would be super painful for one second and then it disappears but comes back in seconds it almost goes all the way up to my throat I just want to make sure that I'm normal I have been diagnosed with GERD but sometimes I really worry about these chest pains it happens only if I have a pretty bad day with my diet such as eating fast food and or a lot of meat</t>
        </is>
      </c>
      <c r="D4706" t="n">
        <v>1</v>
      </c>
      <c r="E4706" t="n">
        <v>2</v>
      </c>
      <c r="F4706">
        <f>HYPERLINK("https://www.reddit.com/r/GERD/comments/epay3h/very_tight_pressure_in_chest_comes_and_goes/")</f>
        <v/>
      </c>
      <c r="G4706" t="inlineStr">
        <is>
          <t>2020-01-15 16:04:31</t>
        </is>
      </c>
      <c r="H4706" t="inlineStr"/>
    </row>
    <row r="4707">
      <c r="A4707" t="inlineStr">
        <is>
          <t>epcl6o</t>
        </is>
      </c>
      <c r="B4707" t="inlineStr">
        <is>
          <t>Does anybody smoke?</t>
        </is>
      </c>
      <c r="C4707" t="inlineStr">
        <is>
          <t>I used to smoke before but after gerd I am too afraid .I even got ulcer with gerd . Advice will be helpful</t>
        </is>
      </c>
      <c r="D4707" t="n">
        <v>1</v>
      </c>
      <c r="E4707" t="n">
        <v>5</v>
      </c>
      <c r="F4707">
        <f>HYPERLINK("https://www.reddit.com/r/GERD/comments/epcl6o/does_anybody_smoke/")</f>
        <v/>
      </c>
      <c r="G4707" t="inlineStr">
        <is>
          <t>2020-01-15 18:13:39</t>
        </is>
      </c>
      <c r="H4707" t="inlineStr"/>
    </row>
    <row r="4708">
      <c r="A4708" t="inlineStr">
        <is>
          <t>epee0v</t>
        </is>
      </c>
      <c r="B4708" t="inlineStr">
        <is>
          <t>Anyone else frustrated when your family still expects you to eat everything like curry?</t>
        </is>
      </c>
      <c r="C4708" t="inlineStr">
        <is>
          <t>I just feel sad and frustrated that even I told my Mom I can’t eat curry she still made it and asked me to eat it. I just hope she would understand that I’m not being picky and I’m avoiding foods that would trigger my reflux.</t>
        </is>
      </c>
      <c r="D4708" t="n">
        <v>1</v>
      </c>
      <c r="E4708" t="n">
        <v>9</v>
      </c>
      <c r="F4708">
        <f>HYPERLINK("https://www.reddit.com/r/GERD/comments/epee0v/anyone_else_frustrated_when_your_family_still/")</f>
        <v/>
      </c>
      <c r="G4708" t="inlineStr">
        <is>
          <t>2020-01-15 20:40:26</t>
        </is>
      </c>
      <c r="H4708" t="inlineStr"/>
    </row>
    <row r="4709">
      <c r="A4709" t="inlineStr">
        <is>
          <t>epfa5t</t>
        </is>
      </c>
      <c r="B4709" t="inlineStr">
        <is>
          <t>Does anyone else get heart palpitations after eating certain foods???</t>
        </is>
      </c>
      <c r="C4709" t="inlineStr">
        <is>
          <t>I get it when i only eat the snack goldfish and meals such as burger and fries.</t>
        </is>
      </c>
      <c r="D4709" t="n">
        <v>1</v>
      </c>
      <c r="E4709" t="n">
        <v>1</v>
      </c>
      <c r="F4709">
        <f>HYPERLINK("https://www.reddit.com/r/GERD/comments/epfa5t/does_anyone_else_get_heart_palpitations_after/")</f>
        <v/>
      </c>
      <c r="G4709" t="inlineStr">
        <is>
          <t>2020-01-15 22:04:52</t>
        </is>
      </c>
      <c r="H4709" t="inlineStr"/>
    </row>
    <row r="4710">
      <c r="A4710" t="inlineStr">
        <is>
          <t>epfdn1</t>
        </is>
      </c>
      <c r="B4710" t="inlineStr">
        <is>
          <t>Is acid reflux a chronic disease?</t>
        </is>
      </c>
      <c r="C4710" t="inlineStr">
        <is>
          <t>Hi everyone,
I’ve had acid reflux since March 2019 and it’s been on-going since then (on and off). I don’t really experience any kinds of pain anywhere. It’s only annoying to deal with the constant bloating but besides the bloating, no pain elsewhere. My diet is ok. Moderate amounts of everything and I also do some type of strength training at the gym.
I have chronic acid reflux, right? Should I get an endoscopy? How do I fix this for good?</t>
        </is>
      </c>
      <c r="D4710" t="n">
        <v>1</v>
      </c>
      <c r="E4710" t="n">
        <v>6</v>
      </c>
      <c r="F4710">
        <f>HYPERLINK("https://www.reddit.com/r/GERD/comments/epfdn1/is_acid_reflux_a_chronic_disease/")</f>
        <v/>
      </c>
      <c r="G4710" t="inlineStr">
        <is>
          <t>2020-01-15 22:14:23</t>
        </is>
      </c>
      <c r="H4710" t="inlineStr"/>
    </row>
    <row r="4711">
      <c r="A4711" t="inlineStr">
        <is>
          <t>epg8x9</t>
        </is>
      </c>
      <c r="B4711" t="inlineStr">
        <is>
          <t>Severe chest, rib, and back pain every week?</t>
        </is>
      </c>
      <c r="C4711" t="inlineStr">
        <is>
          <t>Hi guys,
I’ve had GERD for several years now but over the past year, it’s gotten a lot worse. I won’t deny that my diet was pretty bad but I’ve been improving it little by little. I cut out carbonated drinks, alcohol, and high fat meals which seem to be my biggest triggers.
Lately (over the last few weeks) I’ve been having near constant nausea, diarrhea/soft stool, bloating, and gas. If I don’t drink at least 8+ cups of water per day and portion my meals, I’m now guaranteed to get severe chest and back pain only at night. It lasts for 5 hours usually. Feels like a stabbing burning pain in my chest with burning pain behind my ribs and through my back. I don’t even cry anymore because I’m so used to the pain, it’s awful. It’s also accompanied by diarrhea and vomiting usually, but I hold myself back from throwing up if I can. There was one time (a few months back) where I got so sick that I was projectile vomiting and gagging until nothing else would come out, I couldn’t even hold down water. I was also constantly using the bathroom. Had burning ribs, chest, and back. This lasted about an hour. No blood has ever come out and my vomit/stools look relatively normal.
My doctor prescribed me PPIs a few months ago which I’ve been taking, but I booked another appointment with her because my symptoms have gotten worse. I’m hoping she’ll refer me to a stomach specialist. I’m really worried because my dad has gallbladder issues and it feels like I have something serious going on too.
Do my symptoms sound like they could be something very severe? I don’t know if this could be related but I have a small cyst right below my chest along where my ribs are. My doctor brushed it off and thinks it’s normal.
Thanks for reading.. sorry for writing so much.</t>
        </is>
      </c>
      <c r="D4711" t="n">
        <v>1</v>
      </c>
      <c r="E4711" t="n">
        <v>8</v>
      </c>
      <c r="F4711">
        <f>HYPERLINK("https://www.reddit.com/r/GERD/comments/epg8x9/severe_chest_rib_and_back_pain_every_week/")</f>
        <v/>
      </c>
      <c r="G4711" t="inlineStr">
        <is>
          <t>2020-01-15 23:48:30</t>
        </is>
      </c>
      <c r="H4711" t="inlineStr"/>
    </row>
    <row r="4712">
      <c r="A4712" t="inlineStr">
        <is>
          <t>epip71</t>
        </is>
      </c>
      <c r="B4712" t="inlineStr">
        <is>
          <t>For the first time in months my GERD vanished</t>
        </is>
      </c>
      <c r="C4712" t="inlineStr">
        <is>
          <t>I tried a posts' suggestion and blended a broccoli sprout package in a lit u Le bit of water and drank it (yuck) and also I have a digestive enzyme pill with every meal. The enzyme I've been doing for 2 days now and the sprouts I started last night and last night was the first night I didn't feel like I was having a heart attack from acid in my esophagus or have trouble swallowing or had trouble sleeping by needed in to sit up -nor did I need to take a pepcid. 
I don't know what did it for sure but in the next few days I'll know if it was the sprouts, enzymes or both.</t>
        </is>
      </c>
      <c r="D4712" t="n">
        <v>1</v>
      </c>
      <c r="E4712" t="n">
        <v>10</v>
      </c>
      <c r="F4712">
        <f>HYPERLINK("https://www.reddit.com/r/GERD/comments/epip71/for_the_first_time_in_months_my_gerd_vanished/")</f>
        <v/>
      </c>
      <c r="G4712" t="inlineStr">
        <is>
          <t>2020-01-16 04:30:35</t>
        </is>
      </c>
      <c r="H4712" t="inlineStr"/>
    </row>
    <row r="4713">
      <c r="A4713" t="inlineStr">
        <is>
          <t>epiulx</t>
        </is>
      </c>
      <c r="B4713" t="inlineStr">
        <is>
          <t>LTP: Drink on empty stomach</t>
        </is>
      </c>
      <c r="C4713" t="inlineStr">
        <is>
          <t>Now that I am having a flare up due to bad handling of drinking I felt like sharing this, if this is common knowledge please forgive me.
Over the years I developed a scheme to keep myself hydrated without burning myself, the trick is simple: 1 hour before eating, and definitely several hours after the last meal, pump up with clear water. The water is absorbed faster than with food and you are less likely to get burnt.
You do this because you don't want to 
\- drink and eat, that's a crime. Food pushes the fluid up and water would top the stomach with acid
\- drink before sleeping, don't do that for obvious reasons</t>
        </is>
      </c>
      <c r="D4713" t="n">
        <v>1</v>
      </c>
      <c r="E4713" t="n">
        <v>6</v>
      </c>
      <c r="F4713">
        <f>HYPERLINK("https://www.reddit.com/r/GERD/comments/epiulx/ltp_drink_on_empty_stomach/")</f>
        <v/>
      </c>
      <c r="G4713" t="inlineStr">
        <is>
          <t>2020-01-16 04:44:33</t>
        </is>
      </c>
      <c r="H4713" t="inlineStr"/>
    </row>
    <row r="4714">
      <c r="A4714" t="inlineStr">
        <is>
          <t>epjxqm</t>
        </is>
      </c>
      <c r="B4714" t="inlineStr">
        <is>
          <t>Thick mucus packed spit</t>
        </is>
      </c>
      <c r="C4714" t="inlineStr">
        <is>
          <t>Hello,
I get these episodes about once a month now. Basically happens right after eating. My main symptom is a sudden need to burp or swallow. Its almost like they are battling one another in the sense that I will swallow and then burp, or the opposite. This can happen from anywhere from 1-8 hours long. Just last night (during an episode) I decided not to either and only focus on breathing through my nose, fighting the urge to burp or swallow. I noticed every-time I do this, 1) its very painful (almost like air expanding in my sternum/throat) and 2) I have a thick coat of mucus move its way up my esophagus and into my mouth. At which point I need to spit it out. I know this is really weird but im wondering if anyone has ever dealt with something of this nature.</t>
        </is>
      </c>
      <c r="D4714" t="n">
        <v>1</v>
      </c>
      <c r="E4714" t="n">
        <v>1</v>
      </c>
      <c r="F4714">
        <f>HYPERLINK("https://www.reddit.com/r/GERD/comments/epjxqm/thick_mucus_packed_spit/")</f>
        <v/>
      </c>
      <c r="G4714" t="inlineStr">
        <is>
          <t>2020-01-16 06:20:58</t>
        </is>
      </c>
      <c r="H4714" t="inlineStr"/>
    </row>
    <row r="4715">
      <c r="A4715" t="inlineStr">
        <is>
          <t>epljb4</t>
        </is>
      </c>
      <c r="B4715" t="inlineStr">
        <is>
          <t>First insurance decline for dexilant.</t>
        </is>
      </c>
      <c r="C4715" t="inlineStr">
        <is>
          <t>I had read of another poster getting declined for dexilant a few weeks ago. I thought, im glad i have good insurance. It was declined a few days ago from aetna ppo. Looks like its back to protonix.</t>
        </is>
      </c>
      <c r="D4715" t="n">
        <v>1</v>
      </c>
      <c r="E4715" t="n">
        <v>2</v>
      </c>
      <c r="F4715">
        <f>HYPERLINK("https://www.reddit.com/r/GERD/comments/epljb4/first_insurance_decline_for_dexilant/")</f>
        <v/>
      </c>
      <c r="G4715" t="inlineStr">
        <is>
          <t>2020-01-16 08:22:30</t>
        </is>
      </c>
      <c r="H4715" t="inlineStr"/>
    </row>
    <row r="4716">
      <c r="A4716" t="inlineStr">
        <is>
          <t>epm37h</t>
        </is>
      </c>
      <c r="B4716" t="inlineStr">
        <is>
          <t>Protonix - 80 mg a day for LPR</t>
        </is>
      </c>
      <c r="C4716" t="inlineStr">
        <is>
          <t>So I tried Protonix (Pantoprazole) 40 mg once a day for a month and had no results. I read a study here  [https://scitemed.com/article/2594/Laryngopharyngeal-Reflux-An-Update](https://scitemed.com/article/2594/Laryngopharyngeal-Reflux-An-Update) that states LPR treatment generally requires an aggressive approach, including high doses of PPIs over long periods (twice daily for 3-4 months). I talked my doctor in to prescribing me 40 mg 2x a day and I think it's helping. I've been doing this for 5 days and my post nasal drip feels like it's FINALLY subsiding after months of no relief. I have good days and bad days usually so I'm waiting it out to see if it's actually getting better or if I'm just having some good days, but I really think it's helping. I am a bit nervous as I've not heard much about taking higher doses of PPIs, except maybe it the case of Zollinger Ellison Syndrome. Is it possible to reduce stomach acid so much that food won't digest?</t>
        </is>
      </c>
      <c r="D4716" t="n">
        <v>1</v>
      </c>
      <c r="E4716" t="n">
        <v>13</v>
      </c>
      <c r="F4716">
        <f>HYPERLINK("https://www.reddit.com/r/GERD/comments/epm37h/protonix_80_mg_a_day_for_lpr/")</f>
        <v/>
      </c>
      <c r="G4716" t="inlineStr">
        <is>
          <t>2020-01-16 09:01:58</t>
        </is>
      </c>
      <c r="H4716" t="inlineStr"/>
    </row>
    <row r="4717">
      <c r="A4717" t="inlineStr">
        <is>
          <t>epmv0d</t>
        </is>
      </c>
      <c r="B4717" t="inlineStr">
        <is>
          <t>Chronic bloating : cancer?</t>
        </is>
      </c>
      <c r="C4717" t="inlineStr">
        <is>
          <t>Hello, im 26 years old man and have been diagnosed with h pylori 1 year ago, no dysplasia, no metaplasia of stomach
I take the treatment but not regulary and I dont know if the bacteria got eradicated 
Im bloated every time, even when I don't eat, the bloating get really worse after eating
I also developed diareha
Is this stomach cancer? 
My endoscopy is Monday and really afraid about it</t>
        </is>
      </c>
      <c r="D4717" t="n">
        <v>1</v>
      </c>
      <c r="E4717" t="n">
        <v>8</v>
      </c>
      <c r="F4717">
        <f>HYPERLINK("https://www.reddit.com/r/GERD/comments/epmv0d/chronic_bloating_cancer/")</f>
        <v/>
      </c>
      <c r="G4717" t="inlineStr">
        <is>
          <t>2020-01-16 09:54:53</t>
        </is>
      </c>
      <c r="H4717" t="inlineStr"/>
    </row>
    <row r="4718">
      <c r="A4718" t="inlineStr">
        <is>
          <t>epn0uk</t>
        </is>
      </c>
      <c r="B4718" t="inlineStr">
        <is>
          <t>Chest Pain after Nissen</t>
        </is>
      </c>
      <c r="C4718" t="inlineStr">
        <is>
          <t>Recently had a Nissen done in November and have been having lots of chest pain. Have been researching and not finding a lot of information on this issue. Anyone else had issues with this? 
To give more information, I had the Nissen done and seemed to be healing fine, but at the 2 week mark some food got stuck a little on the way down and since then I’ve been having lots of chest pain. It’s there most of the time but it’s also worse when in different positions. Like laying down can make the pain real bad, and the pain often goes through to the middle of my back. 
My doctor tried putting me on Baclofen, but that didn’t seem to do very much. Then he tried amitriptiline, but that made me feel exhausted all the time. I’m not just on gabapentin which helps but doesn’t make it completely go away. He has done an X-ray, a chest CT, and a barium swallow and none of those showed any problems. He says that he thinks it’s just hypersensitivity that will eventually go away on its own but I’m tired of being in pain and losing faith in that diagnosis.
Any thoughts or insights would be greatly appreciated!!</t>
        </is>
      </c>
      <c r="D4718" t="n">
        <v>1</v>
      </c>
      <c r="E4718" t="n">
        <v>2</v>
      </c>
      <c r="F4718">
        <f>HYPERLINK("https://www.reddit.com/r/GERD/comments/epn0uk/chest_pain_after_nissen/")</f>
        <v/>
      </c>
      <c r="G4718" t="inlineStr">
        <is>
          <t>2020-01-16 10:06:04</t>
        </is>
      </c>
      <c r="H4718" t="inlineStr"/>
    </row>
    <row r="4719">
      <c r="A4719" t="inlineStr">
        <is>
          <t>epnliu</t>
        </is>
      </c>
      <c r="B4719" t="inlineStr">
        <is>
          <t>Has anyone been prescribed to take ranitidine 3x/day?</t>
        </is>
      </c>
      <c r="C4719" t="inlineStr">
        <is>
          <t>I’m going to ask my GI. If I take it around 6 or 7 am I need it again between 1-3 pm. But then it doesn’t last until the morning and I have a sore throat and stuffy nose when I wake up. I feel like I need a 3rd dose at bedtime. Dr. Google says it is sometimes prescribed more than twice a day...</t>
        </is>
      </c>
      <c r="D4719" t="n">
        <v>1</v>
      </c>
      <c r="E4719" t="n">
        <v>3</v>
      </c>
      <c r="F4719">
        <f>HYPERLINK("https://www.reddit.com/r/GERD/comments/epnliu/has_anyone_been_prescribed_to_take_ranitidine/")</f>
        <v/>
      </c>
      <c r="G4719" t="inlineStr">
        <is>
          <t>2020-01-16 10:46:44</t>
        </is>
      </c>
      <c r="H4719" t="inlineStr"/>
    </row>
    <row r="4720">
      <c r="A4720" t="inlineStr">
        <is>
          <t>epnuz8</t>
        </is>
      </c>
      <c r="B4720" t="inlineStr">
        <is>
          <t>Tif procedure</t>
        </is>
      </c>
      <c r="C4720" t="inlineStr">
        <is>
          <t>Anybody have the tif procedure done?</t>
        </is>
      </c>
      <c r="D4720" t="n">
        <v>1</v>
      </c>
      <c r="E4720" t="n">
        <v>12</v>
      </c>
      <c r="F4720">
        <f>HYPERLINK("https://www.reddit.com/r/GERD/comments/epnuz8/tif_procedure/")</f>
        <v/>
      </c>
      <c r="G4720" t="inlineStr">
        <is>
          <t>2020-01-16 11:04:50</t>
        </is>
      </c>
      <c r="H4720" t="inlineStr"/>
    </row>
    <row r="4721">
      <c r="A4721" t="inlineStr">
        <is>
          <t>epnvuz</t>
        </is>
      </c>
      <c r="B4721" t="inlineStr">
        <is>
          <t>Length of flare ups?</t>
        </is>
      </c>
      <c r="C4721" t="inlineStr">
        <is>
          <t>So years ago (5 or more) I was diagnosed with gerd. It basically went away when I changed my entire lifestyle (healthy food&amp;amp; drink, daily exercise, no drugs-otc or perscribed, no alcohol). About a year ago it started to come back even though i haven't changed anything,  honestly I'm better about what I eat and drink and exercise more. So it comes back on and off... but lately it has been coming back more frequently and for longer periods of time. I have an endoscopy scheduled in March (I have to save $ because i am poor and uninsured). But what i want to know from everyone here is how long can these flare ups last? Weeks, months? The flare up I'm currently living through started almost 3 weeks ago. I'm losing hope, I'm losing my mind. I dont understand this and see so many other people on here that are also suffering. Bless us all. This is no way to live.</t>
        </is>
      </c>
      <c r="D4721" t="n">
        <v>1</v>
      </c>
      <c r="E4721" t="n">
        <v>3</v>
      </c>
      <c r="F4721">
        <f>HYPERLINK("https://www.reddit.com/r/GERD/comments/epnvuz/length_of_flare_ups/")</f>
        <v/>
      </c>
      <c r="G4721" t="inlineStr">
        <is>
          <t>2020-01-16 11:06:31</t>
        </is>
      </c>
      <c r="H4721" t="inlineStr"/>
    </row>
    <row r="4722">
      <c r="A4722" t="inlineStr">
        <is>
          <t>epnyjr</t>
        </is>
      </c>
      <c r="B4722" t="inlineStr">
        <is>
          <t>Waking up with sudden onset esophagus pain?</t>
        </is>
      </c>
      <c r="C4722" t="inlineStr">
        <is>
          <t>Does this sound familiar to anyone with gerd or acid reflux issues? I'm 28 yo male and have never had any reflux issues in my life (that I know of), but a few days ago, I woke up, and had a glass of water as my usual routine goes. But this time, each swallow of water caused pain in my lower chest as it went down. Food is worse. I had a sub sandwich for lunch that first day the pain appeared and each bite caused a sharp pain in the same lower chest area. 
It is now day 3 and the pain is still there when eating and drinking, though duller than it was that first day. Now I'll admit that I'm known to smoke a pinch of cannabis around bedtime most nights, which often leads to poor, late-night snacking habits, and a few days out of each week I'll have 2-3 alcoholic beverages, often having a whiskey as a nightcap. So I'm not totally innocent here, though have never had issues with any of that before related to digestion, however I know that may be changing as I get older. 
I already have an appt scheduled with my doctor for next week, so not looking for a diagnosis, just some more perspective going forward.</t>
        </is>
      </c>
      <c r="D4722" t="n">
        <v>1</v>
      </c>
      <c r="E4722" t="n">
        <v>3</v>
      </c>
      <c r="F4722">
        <f>HYPERLINK("https://www.reddit.com/r/GERD/comments/epnyjr/waking_up_with_sudden_onset_esophagus_pain/")</f>
        <v/>
      </c>
      <c r="G4722" t="inlineStr">
        <is>
          <t>2020-01-16 11:11:32</t>
        </is>
      </c>
      <c r="H4722" t="inlineStr"/>
    </row>
    <row r="4723">
      <c r="A4723" t="inlineStr">
        <is>
          <t>eppvxu</t>
        </is>
      </c>
      <c r="B4723" t="inlineStr">
        <is>
          <t>LPR folks, this might be helpful for you. May not be related to stomach acid traveling up the esophagus. Have you heard of gastric inlet patches?</t>
        </is>
      </c>
      <c r="C4723" t="inlineStr">
        <is>
          <t>During my endoscopy my GI doc noticed gastric ectopic mucosa (gastric inlet patches) in the upper 1/3 of my esophagus.  At the time he said they are of no clinical significance and that they can sometimes cause symptoms.  Fast-forward a few months I'm having really bad LPR symptoms so I asked him about the gastric inlet patches after scouring my EDG report... he mentioned he can do something called radiofrequency ablation to them.  This is a technique also used for some Barrett's patients.  Apparently in many cases gastric inlet patches will secrete acid since they are patches of skin that are identical to the lining of your stomach.  Due to their close proximity to the upper esophageal sphincter the acid can easily work its way into the are of the vocal chords.  This is why PPIs don't actually work in many cases when LPR is concerned. The ablation therapy is often successful in reverting these patches back to normal which prevents acid secretion in the future.  
I'm getting this done on February 7th, I will try to remember to update this post with results.  Here is an informative link about all of this if its helpful:  [https://link.springer.com/article/10.1007/s00405-009-1137-y](https://link.springer.com/article/10.1007/s00405-009-1137-y) 
I hope this helps some of you folks to feel better.</t>
        </is>
      </c>
      <c r="D4723" t="n">
        <v>1</v>
      </c>
      <c r="E4723" t="n">
        <v>21</v>
      </c>
      <c r="F4723">
        <f>HYPERLINK("https://www.reddit.com/r/GERD/comments/eppvxu/lpr_folks_this_might_be_helpful_for_you_may_not/")</f>
        <v/>
      </c>
      <c r="G4723" t="inlineStr">
        <is>
          <t>2020-01-16 13:25:35</t>
        </is>
      </c>
      <c r="H4723" t="inlineStr"/>
    </row>
    <row r="4724">
      <c r="A4724" t="inlineStr">
        <is>
          <t>epqosv</t>
        </is>
      </c>
      <c r="B4724" t="inlineStr">
        <is>
          <t>Doctors thinks acid is actually bile put me on Carafate</t>
        </is>
      </c>
      <c r="C4724" t="inlineStr">
        <is>
          <t>Scope showed lots of bile in stomach. Why we didn’t do this in December is another story but from what I’ve read online I’m not excited about it. Here’s more drugs, see you in 6 weeks.</t>
        </is>
      </c>
      <c r="D4724" t="n">
        <v>1</v>
      </c>
      <c r="E4724" t="n">
        <v>4</v>
      </c>
      <c r="F4724">
        <f>HYPERLINK("https://www.reddit.com/r/GERD/comments/epqosv/doctors_thinks_acid_is_actually_bile_put_me_on/")</f>
        <v/>
      </c>
      <c r="G4724" t="inlineStr">
        <is>
          <t>2020-01-16 14:21:07</t>
        </is>
      </c>
      <c r="H4724" t="inlineStr"/>
    </row>
    <row r="4725">
      <c r="A4725" t="inlineStr">
        <is>
          <t>epscab</t>
        </is>
      </c>
      <c r="B4725" t="inlineStr">
        <is>
          <t>EoE or Silent Reflux... or both?</t>
        </is>
      </c>
      <c r="C4725" t="inlineStr">
        <is>
          <t>I've been dealing with what I've been told is "heartburn" for a couple years now, and haven't found much in the way of help so far (PPI's haven't worked so far) and what help I did get was... not very good (it took a trip to an ENT doc to tell me I should take PPI's on an empty stomach, when I'd been taking them WITH my morning coffee!). My primary doc diagnosed me as having EoE, after an endoscopy last year, with a biopsy that confirmed it.
Anyway, I've been trying to figure out what the root food cause of my issues is, and it seems like it's fibrous veggies, notably raw spinach &amp;amp; lettuce. I began to look into whether or not it was a FODMAP issue, and I stumbled across some stories that led me to this forum (I've never used reddit before today). I'd never heard of Silent Reflux until earlier today!
The similar stories from about having LOTS of phlegm to cough up, like it's stuck behind my Adam's apple, have been a breath of fresh air. I thought maybe I was going crazy for constantly clearing my throat, and having to swallow every few seconds (often having difficulty doing so). Everything I've been reading so far seems to point to Silent Reflux as what might be the cause, and EoE as a symptom.
Are there any common foods/things that should be avoided or encouraged with these symptoms? Things that are on the list of "to avoid" don't seem to be very problematic, so it might be something else that's causing me problems. I've been taking notes and measuring my foods to figure out what the pattern is.</t>
        </is>
      </c>
      <c r="D4725" t="n">
        <v>1</v>
      </c>
      <c r="E4725" t="n">
        <v>3</v>
      </c>
      <c r="F4725">
        <f>HYPERLINK("https://www.reddit.com/r/GERD/comments/epscab/eoe_or_silent_reflux_or_both/")</f>
        <v/>
      </c>
      <c r="G4725" t="inlineStr">
        <is>
          <t>2020-01-16 16:21:47</t>
        </is>
      </c>
      <c r="H4725" t="inlineStr"/>
    </row>
    <row r="4726">
      <c r="A4726" t="inlineStr">
        <is>
          <t>ept64b</t>
        </is>
      </c>
      <c r="B4726" t="inlineStr">
        <is>
          <t>I am so tired of my symptoms that always come back after feeling good.</t>
        </is>
      </c>
      <c r="C4726" t="inlineStr">
        <is>
          <t>I had a really good feeling for over a week once again. I could eat ANYTHING I wanted and only had slight burning and burping here n there but I felt so good. I again thought I'd be out of this because I have never been diagnosed with GERD properly, doc only diagnosed it based on my symptoms. I had a gastroscopy in October of 2016 and it was all clear and they say I dont need a new one. My stomach burning was again gone but it came back last night and has been on and off here. I feel burning when I burp and sometimes I feel almost constant burning under my left rib in upper stomach. I hate this bullshit, I am only 20 and if this is the way I am going to feel for the rest of my life I'd honestly rather die. I already have mostly bad experiences in my life and I sure as hell dont want to live if it will always be like this.
I am drinking one cup of coffee a day and weirdly enough I sometimes feel better after I drink it. I don't even know what the hell is wrong with me because docs don't take me seriously enough. Yesterday I took a chocolate cake slice with coffee and started having heartburn 5-6 hours later. Is that the culprit? I actually could eat chocolate just last month with no problems and now I again got something. Its amazing. I am on Pantoprazole 20 mg every night before bed too since May and not sure if it helps.</t>
        </is>
      </c>
      <c r="D4726" t="n">
        <v>1</v>
      </c>
      <c r="E4726" t="n">
        <v>6</v>
      </c>
      <c r="F4726">
        <f>HYPERLINK("https://www.reddit.com/r/GERD/comments/ept64b/i_am_so_tired_of_my_symptoms_that_always_come/")</f>
        <v/>
      </c>
      <c r="G4726" t="inlineStr">
        <is>
          <t>2020-01-16 17:25:34</t>
        </is>
      </c>
      <c r="H4726" t="inlineStr"/>
    </row>
    <row r="4727">
      <c r="A4727" t="inlineStr">
        <is>
          <t>eptviq</t>
        </is>
      </c>
      <c r="B4727" t="inlineStr">
        <is>
          <t>I don’t think I’m going to get better</t>
        </is>
      </c>
      <c r="C4727" t="inlineStr">
        <is>
          <t>Like title says, I’ve been having GERD for a year and a half. I’ve tried to be positive and eat healthy and take my meds, but I don’t think I’m going to get better. What sucks is that stress makes GERD worse and I’m applying to transfer to a school with a competitive major which will lead to stress in studying. Plus, my mental health is also being affected. I hate how my health is affecting all the opportunities I have in front of me. I don’t know what to do, I’m at a loss.</t>
        </is>
      </c>
      <c r="D4727" t="n">
        <v>1</v>
      </c>
      <c r="E4727" t="n">
        <v>0</v>
      </c>
      <c r="F4727">
        <f>HYPERLINK("https://www.reddit.com/r/GERD/comments/eptviq/i_dont_think_im_going_to_get_better/")</f>
        <v/>
      </c>
      <c r="G4727" t="inlineStr">
        <is>
          <t>2020-01-16 18:22:10</t>
        </is>
      </c>
      <c r="H4727" t="inlineStr"/>
    </row>
    <row r="4728">
      <c r="A4728" t="inlineStr">
        <is>
          <t>epurl6</t>
        </is>
      </c>
      <c r="B4728" t="inlineStr">
        <is>
          <t>Recently started pantoprazole and trying to make diet changes. Still having issues?</t>
        </is>
      </c>
      <c r="C4728" t="inlineStr">
        <is>
          <t>I started pantoprazole about 5 days ago. Prior to that I was taking rabeprazole which did nothing for me. So far the pantoprazole is working pretty well, I haven’t had heartburn and my left sided chest pain has eased up about 90%. I have found that when I eat ground beef or roast, any red sauce, something super greasy/fried, or pasta, it triggers my acid reflux. I never used to experience heart burn, it was always pain in the upper stomach, chest, gagging, regurgitation, feeling of something stuck in my throat, hoarse voice, and sometimes you could actually hear the acid in my throat, I even had my mom listen closely once lol. But lately it was those symptoms alternating with full on heart burn that felt like I was on fire inside. Anyway I may be naive but is it normal to still have episodes even while on medication? Should I still be avoiding my triggers? My doctor wasn’t very helpful and I wasn’t even sure what questions to ask at the time so I’ve come here to see if I can get some advice. I’m really struggling to figure out what’s a good healthy diet for everyday life when I feel limited.</t>
        </is>
      </c>
      <c r="D4728" t="n">
        <v>1</v>
      </c>
      <c r="E4728" t="n">
        <v>1</v>
      </c>
      <c r="F4728">
        <f>HYPERLINK("https://www.reddit.com/r/GERD/comments/epurl6/recently_started_pantoprazole_and_trying_to_make/")</f>
        <v/>
      </c>
      <c r="G4728" t="inlineStr">
        <is>
          <t>2020-01-16 19:33:46</t>
        </is>
      </c>
      <c r="H4728" t="inlineStr"/>
    </row>
    <row r="4729">
      <c r="A4729" t="inlineStr">
        <is>
          <t>epw5mv</t>
        </is>
      </c>
      <c r="B4729" t="inlineStr">
        <is>
          <t>Is it normal that HB last several hours?</t>
        </is>
      </c>
      <c r="C4729" t="inlineStr">
        <is>
          <t>I’ve ate some spicy food, 1 hour after, I’ve started to have those HB.. 4 hours later and they’re still here and I can’t sleep. Should I go to the ER to see if it’s not something heart-related?</t>
        </is>
      </c>
      <c r="D4729" t="n">
        <v>1</v>
      </c>
      <c r="E4729" t="n">
        <v>1</v>
      </c>
      <c r="F4729">
        <f>HYPERLINK("https://www.reddit.com/r/GERD/comments/epw5mv/is_it_normal_that_hb_last_several_hours/")</f>
        <v/>
      </c>
      <c r="G4729" t="inlineStr">
        <is>
          <t>2020-01-16 21:39:26</t>
        </is>
      </c>
      <c r="H4729" t="inlineStr"/>
    </row>
    <row r="4730">
      <c r="A4730" t="inlineStr">
        <is>
          <t>epwshx</t>
        </is>
      </c>
      <c r="B4730" t="inlineStr">
        <is>
          <t>Antidesparasitant, good while having reflux?</t>
        </is>
      </c>
      <c r="C4730" t="inlineStr">
        <is>
          <t>I remember when I was a kid, all my gastritis and gas bloating dissappeared when I take one dose of an antidesparasitant,now I having gas bloatint and gastritis too, but now I experience it along with LPR, Im afraid that I can worse my symptoms, since all of my lpr issues started after a bad cold and antibiotic use, any advise? I saw 2 GI , and one told me that It can be beneficial and the other one told me that no because I can affect the flora even more, so im confused , any advice?</t>
        </is>
      </c>
      <c r="D4730" t="n">
        <v>1</v>
      </c>
      <c r="E4730" t="n">
        <v>0</v>
      </c>
      <c r="F4730">
        <f>HYPERLINK("https://www.reddit.com/r/GERD/comments/epwshx/antidesparasitant_good_while_having_reflux/")</f>
        <v/>
      </c>
      <c r="G4730" t="inlineStr">
        <is>
          <t>2020-01-16 22:43:56</t>
        </is>
      </c>
      <c r="H4730" t="inlineStr"/>
    </row>
    <row r="4731">
      <c r="A4731" t="inlineStr">
        <is>
          <t>epxvef</t>
        </is>
      </c>
      <c r="B4731" t="inlineStr">
        <is>
          <t>Any success eating the same bland thing over and over again for a period of time?</t>
        </is>
      </c>
      <c r="C4731" t="inlineStr">
        <is>
          <t>I’ve tried unsuccessfully for a couple years to alleviate my LPR with a moderate approach. That hasn’t worked, so I wanted to ask if anyone’s attempted repeating the same meal for long enough that it left. I’ve also tried gauging food intolerances and all I’ve come up with is reactions to acidic foods like tomato sauce, fatty foods and caffeine.
I’m thinking well balanced, low carb, low acid, non dairy, low gluten, etc. Spread throughout the day. Every day.
Part of me is hoping if my stomach has time to heal itself and I can maybe shed some weight I’ve gained (I’m still well within recommended weight, which is frustrating because losing weight means I’ll be scrawny), I’ll be back to normal.
GERD I found manageable but LPR is hell. Hence my readiness to try a more severe plan.
Anyone attempt this, and were the effects lasting?</t>
        </is>
      </c>
      <c r="D4731" t="n">
        <v>1</v>
      </c>
      <c r="E4731" t="n">
        <v>8</v>
      </c>
      <c r="F4731">
        <f>HYPERLINK("https://www.reddit.com/r/GERD/comments/epxvef/any_success_eating_the_same_bland_thing_over_and/")</f>
        <v/>
      </c>
      <c r="G4731" t="inlineStr">
        <is>
          <t>2020-01-17 00:48:14</t>
        </is>
      </c>
      <c r="H4731" t="inlineStr"/>
    </row>
    <row r="4732">
      <c r="A4732" t="inlineStr">
        <is>
          <t>epz01w</t>
        </is>
      </c>
      <c r="B4732" t="inlineStr">
        <is>
          <t>LINX in europe?</t>
        </is>
      </c>
      <c r="C4732" t="inlineStr">
        <is>
          <t>Hi, so the title says it all, I have been investigating surgical options and the linx procedure seems like it is very noninvasive and the results are quite good from it. I was looking for surgeons that do it in my country or in europe overall and could not find any information at all. Anybody from Europe who got the linx procedure done and can share their experience? Would be very appreciated. The only downside which I saw from the Linx is that it is hard to swallow for some time but it seems like a good tradeoff considering that I am already having swallowing issues due to GERD at 23... Also odds of making it to 60+ on PPI without kidney issues/osteoporosis/dementia also do not seem that good so the LINX seems like the logical solution?
P.S also have around 3 cm hiatal hernia and have gastro appointment on 28th and will ask about the surgical options.
Do not want to do fundoplication because it is irreversible. Thoughts?</t>
        </is>
      </c>
      <c r="D4732" t="n">
        <v>1</v>
      </c>
      <c r="E4732" t="n">
        <v>23</v>
      </c>
      <c r="F4732">
        <f>HYPERLINK("https://www.reddit.com/r/GERD/comments/epz01w/linx_in_europe/")</f>
        <v/>
      </c>
      <c r="G4732" t="inlineStr">
        <is>
          <t>2020-01-17 03:08:47</t>
        </is>
      </c>
      <c r="H4732" t="inlineStr"/>
    </row>
    <row r="4733">
      <c r="A4733" t="inlineStr">
        <is>
          <t>epzxlz</t>
        </is>
      </c>
      <c r="B4733" t="inlineStr">
        <is>
          <t>Do I have GERD ?</t>
        </is>
      </c>
      <c r="C4733" t="inlineStr">
        <is>
          <t>I have been dealing with stomach problems for over 4 years. I am now 16 years old. The symptoms usually last for maybe a month or two and then stop for usually for a couple months. My symptoms are : Stomach pain,Bloating,A lot of gas, sometimes liquid bowels, not always but some times an acid taste on my mouth, and burning on my stomach and only rarely does it reach my chest. Also some foods trigger these symptoms and make it worse, additionally sitting down also makes it worse. I haven’t gone to a gastretelogist but I might go soon.
Can someone confirm if this is GERD or not ?
Thanks.</t>
        </is>
      </c>
      <c r="D4733" t="n">
        <v>1</v>
      </c>
      <c r="E4733" t="n">
        <v>2</v>
      </c>
      <c r="F4733">
        <f>HYPERLINK("https://www.reddit.com/r/GERD/comments/epzxlz/do_i_have_gerd/")</f>
        <v/>
      </c>
      <c r="G4733" t="inlineStr">
        <is>
          <t>2020-01-17 04:47:53</t>
        </is>
      </c>
      <c r="H4733" t="inlineStr"/>
    </row>
    <row r="4734">
      <c r="A4734" t="inlineStr">
        <is>
          <t>eq0ccn</t>
        </is>
      </c>
      <c r="B4734" t="inlineStr">
        <is>
          <t>Blood in saliva?</t>
        </is>
      </c>
      <c r="C4734" t="inlineStr">
        <is>
          <t>Hello, this morning I eat a piece of breed and it get stuck in my esophagus
Instead of drinking water I left it
After 2 hours I regurgitate it and see some blood in my saliva
It happened only one  time, I spit 50 times to see if there's any more blood but nothing
I even forced myself to regurgitate to see if there's blood : nothing
I have an endoscopy tomorrow so it will be useless to go to emergency
Should I be concerned about any cancer?
I'm 30  years old</t>
        </is>
      </c>
      <c r="D4734" t="n">
        <v>1</v>
      </c>
      <c r="E4734" t="n">
        <v>12</v>
      </c>
      <c r="F4734">
        <f>HYPERLINK("https://www.reddit.com/r/GERD/comments/eq0ccn/blood_in_saliva/")</f>
        <v/>
      </c>
      <c r="G4734" t="inlineStr">
        <is>
          <t>2020-01-17 05:26:15</t>
        </is>
      </c>
      <c r="H4734" t="inlineStr"/>
    </row>
    <row r="4735">
      <c r="A4735" t="inlineStr">
        <is>
          <t>eq0jk9</t>
        </is>
      </c>
      <c r="B4735" t="inlineStr">
        <is>
          <t>Belt for Gerd</t>
        </is>
      </c>
      <c r="C4735" t="inlineStr">
        <is>
          <t>I recently got a new belt that I thought was great for my LPR. The belt is a ratcheting kind with a little trigger to release the ratchet and be able to loosen it, or tighten, easily and quickly and discreetly.
So it’s great for sitting down and immediately loosening it so as to not create abdominal pressure. Then easily and discreetly tighten it againBefore standing up or after.
Here’s a link as FYI- I don’t think it’s wrong to post links to product but if it is I’ll gladly take it down   I have no vested interests in it:
https://www.jcpenney.com/p/exact-fit-feathered-edge-mens-belt/ppr5007834089?pTmplType=regular</t>
        </is>
      </c>
      <c r="D4735" t="n">
        <v>1</v>
      </c>
      <c r="E4735" t="n">
        <v>10</v>
      </c>
      <c r="F4735">
        <f>HYPERLINK("https://www.reddit.com/r/GERD/comments/eq0jk9/belt_for_gerd/")</f>
        <v/>
      </c>
      <c r="G4735" t="inlineStr">
        <is>
          <t>2020-01-17 05:44:22</t>
        </is>
      </c>
      <c r="H4735" t="inlineStr"/>
    </row>
    <row r="4736">
      <c r="A4736" t="inlineStr">
        <is>
          <t>eq4cbb</t>
        </is>
      </c>
      <c r="B4736" t="inlineStr">
        <is>
          <t>I miss Chipotle</t>
        </is>
      </c>
      <c r="C4736" t="inlineStr">
        <is>
          <t>I miss salsa, tomatoes, chilies, lemon &amp;amp; lime.
So glad I am a candidate for LINX, counting down the days.</t>
        </is>
      </c>
      <c r="D4736" t="n">
        <v>1</v>
      </c>
      <c r="E4736" t="n">
        <v>18</v>
      </c>
      <c r="F4736">
        <f>HYPERLINK("https://www.reddit.com/r/GERD/comments/eq4cbb/i_miss_chipotle/")</f>
        <v/>
      </c>
      <c r="G4736" t="inlineStr">
        <is>
          <t>2020-01-17 10:33:02</t>
        </is>
      </c>
      <c r="H4736" t="inlineStr"/>
    </row>
    <row r="4737">
      <c r="A4737" t="inlineStr">
        <is>
          <t>eq4wvq</t>
        </is>
      </c>
      <c r="B4737" t="inlineStr">
        <is>
          <t>Tried the AIP elimination diet and have found some relief</t>
        </is>
      </c>
      <c r="C4737" t="inlineStr">
        <is>
          <t>I know that I will always have acid reflux and nothing out there can change that. I have been struggling with it for over a decade. The first thing I found that was insightful and helpful, about 7 years ago, was Dr. Kaufman’s Dropping Acid book, because I mainly struggle with LPR.
Recently, because of bad diet choices, I have been struggling with nausea. I don’t know if I would call GERD/LPR an autoimmune issue (🤷🏻‍♀️🤷🏻‍♀️🤷🏻‍♀️), but have had friends with other issues have great success with the Autoimmune Protocol elimination diet. So, I’m giving it a go. I’m about 3 weeks in and feeling better than I have in a long time. I, of course, am keeping to Dr. Kaufman’s diet recommendations, too.
I just wanted to share, in case anyone out there is struggling and hasn’t tried this. Some resources:
This is by Sarah Ballantyne, the doctor who developed the diet. I recommend checking out her site and listening to any podcasts where they interview her:
[What is the Autoimmune Protocol?](https://www.thepaleomom.com/start-here/the-autoimmune-protocol/)
Another great AIP resource (they also have their own podcast, and interview Sarah Ballantyne!):
[Autoimmune Wellness](https://autoimmunewellness.com)
Recipes!:
[Unbound Wellness](https://unboundwellness.com)</t>
        </is>
      </c>
      <c r="D4737" t="n">
        <v>1</v>
      </c>
      <c r="E4737" t="n">
        <v>2</v>
      </c>
      <c r="F4737">
        <f>HYPERLINK("https://www.reddit.com/r/GERD/comments/eq4wvq/tried_the_aip_elimination_diet_and_have_found/")</f>
        <v/>
      </c>
      <c r="G4737" t="inlineStr">
        <is>
          <t>2020-01-17 11:14:21</t>
        </is>
      </c>
      <c r="H4737" t="inlineStr"/>
    </row>
    <row r="4738">
      <c r="A4738" t="inlineStr">
        <is>
          <t>eq5qhd</t>
        </is>
      </c>
      <c r="B4738" t="inlineStr">
        <is>
          <t>Quitting soda/pop causes acrid reflux/gerd to get worse?</t>
        </is>
      </c>
      <c r="C4738" t="inlineStr">
        <is>
          <t>I have not been diagnosed with GERD or anything else related to it, but I have began to realize that I may have GERD or LPR because for a while now, I am constantly clearing my throat and coughing, and from time to time I get some mild acid reflux symptoms.  
For most of my life I've drank tons of soda/pop. However, when I stop drinking pop, it seems I get more severe acid reflux symptoms. Has this happened to anyone else? Since I stopped drinking pop for a week or so now, even drinking lots of water seems to cause reflux. And eating foods I would eat before with no issues, like pizza, now seems to cause acid reflux symptoms too.  
I am a bit a worried now that I may have Barrett's Esophagus or cancer or something because it seems pretty bad, and I am thinking that drinkings soda was masking the effects with all the acidity or something?  
Any input would be appreciated.</t>
        </is>
      </c>
      <c r="D4738" t="n">
        <v>1</v>
      </c>
      <c r="E4738" t="n">
        <v>1</v>
      </c>
      <c r="F4738">
        <f>HYPERLINK("https://www.reddit.com/r/GERD/comments/eq5qhd/quitting_sodapop_causes_acrid_refluxgerd_to_get/")</f>
        <v/>
      </c>
      <c r="G4738" t="inlineStr">
        <is>
          <t>2020-01-17 12:13:08</t>
        </is>
      </c>
      <c r="H4738" t="inlineStr"/>
    </row>
    <row r="4739">
      <c r="A4739" t="inlineStr">
        <is>
          <t>eq6kge</t>
        </is>
      </c>
      <c r="B4739" t="inlineStr">
        <is>
          <t>Anxiety &amp;gt; GERD &amp;gt; anxiety &amp;gt; GERD</t>
        </is>
      </c>
      <c r="C4739" t="inlineStr">
        <is>
          <t>I don’t know where to post this really, as it could be in several different subs. I’ll start at the beginning. I’ve struggled really badly with a mix of social anxiety disorder since I was in college (35 now). I went through cognitive behavioral behavioral therapy last year with little success because I can’t tolerate psych meds (I think they affect my LES and I get globus). I drank a lot when I was younger, from about 15 on. I think I didn’t realize it for a really long time but I used alcohol to self medicate and I think it fucked my stomach up. At 17 I went to a doctor and was diagnosed with GERD. Took PPIs for a while and somehow my symptoms went away until this past November. I got some kind of cold virus and I started getting terrible post nasal drip and globus. It’s still bothering me now and I’m on Protonix twice a day, been eating acid watcher since before Christmas. 
I don’t drink anymore and I am struggling so hard with my anxiety. I can’t take meds for it because I get really bad globus from the ones I’ve tried. I am stuck in a vicious, vicious cycle of anxiety and LPR. I don’t know what caused what but it’s awful. Everything I read says I have to get my anxiety under control but I CAN’T DO ANYTHING ABOUT IT. It’s debilitating. I have been eating acid watcher and exercising at the gym for 45 minutes every other day. My quality of life is shit. My job is stressing me out but it shouldn’t be (it wouldn’t be this way if I didn’t have anxiety). I have zero friends. I have an appointment with an ENT in a month and I feel so helpless, I feel like I’m never going to get of this horrible place. I don’t know why I’m posting here other than maybe someone can offer me a glimmer of hope that things can get better.</t>
        </is>
      </c>
      <c r="D4739" t="n">
        <v>1</v>
      </c>
      <c r="E4739" t="n">
        <v>7</v>
      </c>
      <c r="F4739">
        <f>HYPERLINK("https://www.reddit.com/r/GERD/comments/eq6kge/anxiety_gerd_anxiety_gerd/")</f>
        <v/>
      </c>
      <c r="G4739" t="inlineStr">
        <is>
          <t>2020-01-17 13:11:34</t>
        </is>
      </c>
      <c r="H4739" t="inlineStr"/>
    </row>
    <row r="4740">
      <c r="A4740" t="inlineStr">
        <is>
          <t>eq7r2n</t>
        </is>
      </c>
      <c r="B4740" t="inlineStr">
        <is>
          <t>Gerd and ear pressure/ fullness</t>
        </is>
      </c>
      <c r="C4740" t="inlineStr">
        <is>
          <t>Hello all ..does anyone experience this? Dr says it is not from reflux but I have read that it does cause ear problems. Please tell me I'm not alone.</t>
        </is>
      </c>
      <c r="D4740" t="n">
        <v>1</v>
      </c>
      <c r="E4740" t="n">
        <v>29</v>
      </c>
      <c r="F4740">
        <f>HYPERLINK("https://www.reddit.com/r/GERD/comments/eq7r2n/gerd_and_ear_pressure_fullness/")</f>
        <v/>
      </c>
      <c r="G4740" t="inlineStr">
        <is>
          <t>2020-01-17 14:38:38</t>
        </is>
      </c>
      <c r="H4740" t="inlineStr"/>
    </row>
    <row r="4741">
      <c r="A4741" t="inlineStr">
        <is>
          <t>eq81qj</t>
        </is>
      </c>
      <c r="B4741" t="inlineStr">
        <is>
          <t>Is this true about GERD???</t>
        </is>
      </c>
      <c r="C4741" t="inlineStr">
        <is>
          <t>17 years old.
I'm healthy.
Never had any acid reflux problems since a week ago.
Last week, I had dinner and was eating really fast and had a sharp stomach pain which lasted for about 6 seconds, then I took a nap and woke up with acid reflux. 
For seven days straight, I've had that acidic feeling for 24/7, and at times sharp stomach pains, and when my throat gets really acidic, it's hard to breathe. 
I went to the Gastro today, and they gave some medications for 30 days in order to treat GERD.
Will I really be treated from acid reflux? Will I be able to go back to my normal diet?  What will happen? Will I have problems the rest of my life??
I'm really scared that this can turn into cancer... I'm only 17.</t>
        </is>
      </c>
      <c r="D4741" t="n">
        <v>1</v>
      </c>
      <c r="E4741" t="n">
        <v>5</v>
      </c>
      <c r="F4741">
        <f>HYPERLINK("https://www.reddit.com/r/GERD/comments/eq81qj/is_this_true_about_gerd/")</f>
        <v/>
      </c>
      <c r="G4741" t="inlineStr">
        <is>
          <t>2020-01-17 15:01:09</t>
        </is>
      </c>
      <c r="H4741" t="inlineStr"/>
    </row>
    <row r="4742">
      <c r="A4742" t="inlineStr">
        <is>
          <t>eq8plh</t>
        </is>
      </c>
      <c r="B4742" t="inlineStr">
        <is>
          <t>Low stomach acid vs high stomach acid ? anyway to test ?</t>
        </is>
      </c>
      <c r="C4742" t="inlineStr">
        <is>
          <t>I have only recently in the last 3 weeks started getting major acid reflux problems after getting a very minor stomach bug.
My normal doctor prescribed me omeprazole 20 mg daily and i took it for 8 days. I did not feel any better. infact i was getting alot of stomach burbling so i got of it.  Ive been of it for 8 days now and pretty sure its the worst its ever been
Ive been avoiding anything with high acidity, alcohol, coffee, carbs thinking i have high stomach acid. In the last week i had a little diarrhea and now have had Constipation for the last 4 days.  
MY main symptoms include getting acid in my thoat  a few hours after eating and then again after like 4 hours ( happens everyday). stomach gurgling randomly alot.  Also i don't get much chest pain.
Im scared that me trying to treat it as high acidity has been making it worse. 
I have a gastrologist appointment, but its 3 weeks away.
Any general advice on what to do</t>
        </is>
      </c>
      <c r="D4742" t="n">
        <v>1</v>
      </c>
      <c r="E4742" t="n">
        <v>8</v>
      </c>
      <c r="F4742">
        <f>HYPERLINK("https://www.reddit.com/r/GERD/comments/eq8plh/low_stomach_acid_vs_high_stomach_acid_anyway_to/")</f>
        <v/>
      </c>
      <c r="G4742" t="inlineStr">
        <is>
          <t>2020-01-17 15:52:55</t>
        </is>
      </c>
      <c r="H4742" t="inlineStr"/>
    </row>
    <row r="4743">
      <c r="A4743" t="inlineStr">
        <is>
          <t>eq90zv</t>
        </is>
      </c>
      <c r="B4743" t="inlineStr">
        <is>
          <t>80mg esomeprazole/day and post nasal drip</t>
        </is>
      </c>
      <c r="C4743" t="inlineStr">
        <is>
          <t>My ENT prescribed 40mg twice a day to hopefully kick my constant post nasal drip. Well, it’s day 28 and literally nothing has changed except my acid reducing diet I’ve implemented. I was told I should at least see SOME improvement. 
What do you guys think? Trying to arm myself with some talking points before I have my follow up this Wednesday. What can be causing this? Now I’m afraid I’ll have rebound reflux trying to get my stomach acid back to normal.</t>
        </is>
      </c>
      <c r="D4743" t="n">
        <v>1</v>
      </c>
      <c r="E4743" t="n">
        <v>3</v>
      </c>
      <c r="F4743">
        <f>HYPERLINK("https://www.reddit.com/r/GERD/comments/eq90zv/80mg_esomeprazoleday_and_post_nasal_drip/")</f>
        <v/>
      </c>
      <c r="G4743" t="inlineStr">
        <is>
          <t>2020-01-17 16:18:33</t>
        </is>
      </c>
      <c r="H4743" t="inlineStr"/>
    </row>
    <row r="4744">
      <c r="A4744" t="inlineStr">
        <is>
          <t>eqayii</t>
        </is>
      </c>
      <c r="B4744" t="inlineStr">
        <is>
          <t>I’m not digesting my food?</t>
        </is>
      </c>
      <c r="C4744" t="inlineStr">
        <is>
          <t>Hey I’m back with more questions. My Doctor told me to take omeprazole for my avid reflux as well as Zoloft for my anxiety disorder. Long story short I just got done pooping and I saw the salad I ate earlier in diarrhea form. It looked like it didn’t get digested. So I was wondering if I should stop taking the omeprazole, or do you guys think it’s just the side affect of the Zoloft? (I just started the Zoloft a few days ago). Also I think I’m on my also on my 7th day of omeprazole.</t>
        </is>
      </c>
      <c r="D4744" t="n">
        <v>1</v>
      </c>
      <c r="E4744" t="n">
        <v>1</v>
      </c>
      <c r="F4744">
        <f>HYPERLINK("https://www.reddit.com/r/GERD/comments/eqayii/im_not_digesting_my_food/")</f>
        <v/>
      </c>
      <c r="G4744" t="inlineStr">
        <is>
          <t>2020-01-17 19:06:10</t>
        </is>
      </c>
      <c r="H4744" t="inlineStr"/>
    </row>
    <row r="4745">
      <c r="A4745" t="inlineStr">
        <is>
          <t>eqb312</t>
        </is>
      </c>
      <c r="B4745" t="inlineStr">
        <is>
          <t>Not digesting my food</t>
        </is>
      </c>
      <c r="C4745" t="inlineStr">
        <is>
          <t>21M, 5’11 140lbs. Hey I’m back with more questions. My Doctor told me to take omeprazole for my avid reflux as well as Zoloft for my anxiety disorder. Long story short I just got done pooping and I saw the salad I ate earlier in diarrhea form. It looked like it didn’t get digested. So I was wondering if I should stop taking the omeprazole, or do you guys think it’s just the side affect of the Zoloft? (I just started the Zoloft a few days ago). Also I think I’m on my also on my 7th day of omeprazole.</t>
        </is>
      </c>
      <c r="D4745" t="n">
        <v>1</v>
      </c>
      <c r="E4745" t="n">
        <v>5</v>
      </c>
      <c r="F4745">
        <f>HYPERLINK("https://www.reddit.com/r/GERD/comments/eqb312/not_digesting_my_food/")</f>
        <v/>
      </c>
      <c r="G4745" t="inlineStr">
        <is>
          <t>2020-01-17 19:17:51</t>
        </is>
      </c>
      <c r="H4745" t="inlineStr"/>
    </row>
    <row r="4746">
      <c r="A4746" t="inlineStr">
        <is>
          <t>eqbja7</t>
        </is>
      </c>
      <c r="B4746" t="inlineStr">
        <is>
          <t>Anyone else have reflux along with Candida?</t>
        </is>
      </c>
      <c r="C4746" t="inlineStr">
        <is>
          <t>Going to start taking flucanozole but at my wits end with this reflux.</t>
        </is>
      </c>
      <c r="D4746" t="n">
        <v>1</v>
      </c>
      <c r="E4746" t="n">
        <v>9</v>
      </c>
      <c r="F4746">
        <f>HYPERLINK("https://www.reddit.com/r/GERD/comments/eqbja7/anyone_else_have_reflux_along_with_candida/")</f>
        <v/>
      </c>
      <c r="G4746" t="inlineStr">
        <is>
          <t>2020-01-17 20:00:16</t>
        </is>
      </c>
      <c r="H4746" t="inlineStr"/>
    </row>
    <row r="4747">
      <c r="A4747" t="inlineStr">
        <is>
          <t>eqbtqg</t>
        </is>
      </c>
      <c r="B4747" t="inlineStr">
        <is>
          <t>LPR, Congestion, and Diet</t>
        </is>
      </c>
      <c r="C4747" t="inlineStr">
        <is>
          <t>Hey all. Recently got the results of my 24 hour pH probe back and was diagnosed with GERD. I think my symptoms are more in line with LPR (I’m a bit annoyed my doctor didn’t order a test with impedance) but realizing a lot of the underlying conditions overlap and it has to do with stuff like pepsin being in the esophagus that shouldn’t. 
My major symptom is congestion. I hardly notice the typical heartburn that people get unless I’m thinking about it. Has anybody else had this symptom be their main problem with GERD/LPR? Mine is particularly worse in the mornings.
I’m going to start a double dose of esomeprazole next week and well as following Dr. Kaufman’s LPR protocol.  Any diet tips? I’m thinking chicken, rice, beans, but will need some snacks and some breakfast foods. 
This disease is not fun. Keep fighting the good fight everyone.</t>
        </is>
      </c>
      <c r="D4747" t="n">
        <v>1</v>
      </c>
      <c r="E4747" t="n">
        <v>1</v>
      </c>
      <c r="F4747">
        <f>HYPERLINK("https://www.reddit.com/r/GERD/comments/eqbtqg/lpr_congestion_and_diet/")</f>
        <v/>
      </c>
      <c r="G4747" t="inlineStr">
        <is>
          <t>2020-01-17 20:28:44</t>
        </is>
      </c>
      <c r="H4747" t="inlineStr"/>
    </row>
    <row r="4748">
      <c r="A4748" t="inlineStr">
        <is>
          <t>eqdzw8</t>
        </is>
      </c>
      <c r="B4748" t="inlineStr">
        <is>
          <t>I cannot digest anything anymore, can anybody help?</t>
        </is>
      </c>
      <c r="C4748" t="inlineStr">
        <is>
          <t>I’m not sure what has happened. When I first started taking PPIs 5 years ago, I felt like it was a magic pill that allowed me to eat pretty much what I wanted to. I’ve always struggled with being a bit gassy but it was a minor issue. Fast forward to today and I have constant tight feeling in my entire abdominal area, always very gassy and bloated and I feel like everything I eat just wants to leave the other end. I’ve also developed fecal incontinence to some degree. I eliminate food after food but I’m still bothered. I cannot eat anything without being bothered, though I’m still trying to eliminate foods. Everything is a trouble for my stomach. What happened? Is it the PPIs causing this? If so, what do I do? I cannot live like this anymore. I’ve tried to wean of them both immediately and gradually but my acid reflux is so severe that it just isn’t possible. I also risk getting these infection-like episodes if the reflux isn’t sufficiently controlled. So I need the medication to prevent getting ill from reflux but I am ill in other ways when I’m on them I think. Because when I forget to take the medication and I eat something, I get a short window of time before the reflux kicks in where my stomach feels more relaxed and much of the tightness is gone. What should I do / tell doctor? Do I have to just live like this?</t>
        </is>
      </c>
      <c r="D4748" t="n">
        <v>1</v>
      </c>
      <c r="E4748" t="n">
        <v>4</v>
      </c>
      <c r="F4748">
        <f>HYPERLINK("https://www.reddit.com/r/GERD/comments/eqdzw8/i_cannot_digest_anything_anymore_can_anybody_help/")</f>
        <v/>
      </c>
      <c r="G4748" t="inlineStr">
        <is>
          <t>2020-01-18 00:38:22</t>
        </is>
      </c>
      <c r="H4748" t="inlineStr"/>
    </row>
    <row r="4749">
      <c r="A4749" t="inlineStr">
        <is>
          <t>eqel0r</t>
        </is>
      </c>
      <c r="B4749" t="inlineStr">
        <is>
          <t>Constant heartburn and idk what to do</t>
        </is>
      </c>
      <c r="C4749" t="inlineStr">
        <is>
          <t>I've been taking 20mg of Omeprazole daily for years. Some doctors tell me I can't take it for over a couple of weeks, others tell me I could take it for my whole life and be ok.
Lately my stomach is burning despite taking omeprazole. I know I should go to the doctor, but they all tell me to get an endoscopy done and I'm too scared for that.
To make it worse, the one time I worked up the courage for an endoscopy, this incident where they killed a journalist during an endoscopy by puncturing her stomach made it to national news.
I don't know if I'm asking for ideas, advice, or just sharing. I'm desperate and want to cry.</t>
        </is>
      </c>
      <c r="D4749" t="n">
        <v>1</v>
      </c>
      <c r="E4749" t="n">
        <v>4</v>
      </c>
      <c r="F4749">
        <f>HYPERLINK("https://www.reddit.com/r/GERD/comments/eqel0r/constant_heartburn_and_idk_what_to_do/")</f>
        <v/>
      </c>
      <c r="G4749" t="inlineStr">
        <is>
          <t>2020-01-18 01:54:26</t>
        </is>
      </c>
      <c r="H4749" t="inlineStr"/>
    </row>
    <row r="4750">
      <c r="A4750" t="inlineStr">
        <is>
          <t>eqeu0n</t>
        </is>
      </c>
      <c r="B4750" t="inlineStr">
        <is>
          <t>Microbiome is allegedly Key to ridding GERD</t>
        </is>
      </c>
      <c r="C4750" t="inlineStr">
        <is>
          <t>I’ve been doing research on the microbiome &amp;amp; the human gut flora, and it’s inevitable that people who suffer from gerd, or pretty much any type of gastro disorder have an issue in the gut. In order to fix this, it’s not so simple &amp;amp; will take pretty much all you’ve got in you to get rid of the sickening disorder. I’m currently 3 days off of PPI’s, and hopefully I’ll never in my life have to touch these pills ever again in my life. I don’t encourage anyone to stop taking their meds, but all the research and information for the Gut is on the web, and free for you to attain information (carefully), not sure if I can post sources on here might be against TOS. I believe the reason why many people DON’T have gerd or any gastrointestinal issues while eating inflammatory foods like pizza, pasta, or super carby foods that will cause problems for people that have gerd, is because simply they’re gut is in tact &amp;amp; for the most part, don’t have any serious issues. While the rest of us who clearly have a chronic disorder that’s caused by bacteria 🦠, needs to be addressed. The answer definitely isn’t ‘increasing’ stomach acid by taking dangerous pills or drinking ACV, definitely goes much deeper than that. 
There’s been too many days I’ve been lost &amp;amp; literally wanted to DIE because of symptoms, I have hope. With the correct plan to fix my gut, I know I’ll be good as new. Still reading more about the gut flora &amp;amp; microbiome, Lot to learn but I recommend people who are trying to get better to do your research, no matter how long this takes.  Taking these PPI’s and antacid is probably the most unnatural thing on the planet, literally getting rid of stomach acid (one of our first lines of defense) and something humans are built to have since.... forever. Hope this doesn’t get deleted, again not encouraging people to stop taking their meds as that can be dangerous, but just at the very least inform your self, one day the ‘cure’ will come out when big pharma learns how to profit off of it, and who knows how long that will take. I care about my health , and this effecting my mental health and I’m sure A LOT of gerd sufferers, I’ll be battling this like it’s my job. 
If anyone is more informed than me (as I’m just learning about this) feel free to post info</t>
        </is>
      </c>
      <c r="D4750" t="n">
        <v>1</v>
      </c>
      <c r="E4750" t="n">
        <v>20</v>
      </c>
      <c r="F4750">
        <f>HYPERLINK("https://www.reddit.com/r/GERD/comments/eqeu0n/microbiome_is_allegedly_key_to_ridding_gerd/")</f>
        <v/>
      </c>
      <c r="G4750" t="inlineStr">
        <is>
          <t>2020-01-18 02:26:55</t>
        </is>
      </c>
      <c r="H4750" t="inlineStr"/>
    </row>
    <row r="4751">
      <c r="A4751" t="inlineStr">
        <is>
          <t>eqfsjt</t>
        </is>
      </c>
      <c r="B4751" t="inlineStr">
        <is>
          <t>Thought I had acid reflux might be bile reflux</t>
        </is>
      </c>
      <c r="C4751" t="inlineStr">
        <is>
          <t>Hiya,
Have had the classic reflux symptoms for the last 3 or so years. I thought it was due to my hitial hernia which is 2.5cm. Did the manomtoery test which came back as normal motiltiy and function and ph monitoring test came back with low amount of acid readings. 
Specialist said it might be bike reflux and gastritis so has put me of sucfrlate for three months. 
Anybody out there had a similar experience/diagnosis and if so what was their results/outcome? 
Thanks for your time</t>
        </is>
      </c>
      <c r="D4751" t="n">
        <v>1</v>
      </c>
      <c r="E4751" t="n">
        <v>21</v>
      </c>
      <c r="F4751">
        <f>HYPERLINK("https://www.reddit.com/r/GERD/comments/eqfsjt/thought_i_had_acid_reflux_might_be_bile_reflux/")</f>
        <v/>
      </c>
      <c r="G4751" t="inlineStr">
        <is>
          <t>2020-01-18 04:24:11</t>
        </is>
      </c>
      <c r="H4751" t="inlineStr"/>
    </row>
    <row r="4752">
      <c r="A4752" t="inlineStr">
        <is>
          <t>eqhtx2</t>
        </is>
      </c>
      <c r="B4752" t="inlineStr">
        <is>
          <t>Endoscopy in 3 days, absolutely terrified</t>
        </is>
      </c>
      <c r="C4752" t="inlineStr">
        <is>
          <t>Hello, my endoscopy is in 3 days, I have chronic bloating, dysphagia, chest pressure and heartburn, these symptom get way better if I chew more my food but are still present
I did an horrible nightmare yesterday :after the endoscopy I woke  up from the sedation, instantly a doctor came and said "well we did biopsies because we saw something abnormal, you'll get result within 2 weeks" after 2 weeks of waiting he phoned me to tell me it's an esophageal cancer and that I would die within some weeks
It was an horrible nightmare, waking up from it make me extremly anxious
Do you think they will find cancer?</t>
        </is>
      </c>
      <c r="D4752" t="n">
        <v>1</v>
      </c>
      <c r="E4752" t="n">
        <v>29</v>
      </c>
      <c r="F4752">
        <f>HYPERLINK("https://www.reddit.com/r/GERD/comments/eqhtx2/endoscopy_in_3_days_absolutely_terrified/")</f>
        <v/>
      </c>
      <c r="G4752" t="inlineStr">
        <is>
          <t>2020-01-18 07:40:46</t>
        </is>
      </c>
      <c r="H4752" t="inlineStr"/>
    </row>
    <row r="4753">
      <c r="A4753" t="inlineStr">
        <is>
          <t>eqiz3r</t>
        </is>
      </c>
      <c r="B4753" t="inlineStr">
        <is>
          <t>Long problems</t>
        </is>
      </c>
      <c r="C4753" t="inlineStr">
        <is>
          <t>Does anyone who has GERD experience any breathing/lung issues? I get a wheezing, sharp pain when I breathe in when I first wake up. Could acid be getting into my lungs/airways?</t>
        </is>
      </c>
      <c r="D4753" t="n">
        <v>1</v>
      </c>
      <c r="E4753" t="n">
        <v>5</v>
      </c>
      <c r="F4753">
        <f>HYPERLINK("https://www.reddit.com/r/GERD/comments/eqiz3r/long_problems/")</f>
        <v/>
      </c>
      <c r="G4753" t="inlineStr">
        <is>
          <t>2020-01-18 09:03:35</t>
        </is>
      </c>
      <c r="H4753" t="inlineStr"/>
    </row>
    <row r="4754">
      <c r="A4754" t="inlineStr">
        <is>
          <t>eqj5jw</t>
        </is>
      </c>
      <c r="B4754" t="inlineStr">
        <is>
          <t>Any suggestions?</t>
        </is>
      </c>
      <c r="C4754" t="inlineStr">
        <is>
          <t>I'm a 23 year old female, PhD student. Stress is my constant companion. I am undergoing therapy and it seems to work very well for me. I have an abusive part and we are yet to deal with it in our sessions. My therapist believes that once I deal with my past, my physical symptoms will get better. Meanwhile, my GERD symptoms are taking a turn for the worse. I have been on and off medication(PPI) for 3 years. I have severe heart burn after heavy meals. Other symptoms include sore throat at times, difficulty swallowing, nausea, and erosive duodenitis. Antacids and PPIs give some temporary relief but only as long as I take them. I'm so fed up with this condition. I am planning on making major lifestyle changes to give a long term relief for this condition. In the past I've taken antidepressants and they really helped with my symptoms. However, it came along with several side effects. I gained weight, suffered from a weird vibrations in my brain and so on. So, I feel that it's not an option for me anymore. I'm writing this to ask you people for some much needed emotional support and suggestions. What worked for you? Did loosing weight help? Is it better to go on a plant based diet? At this point, I'm ready to do anything. I just want some relief from this incessant worry and suffering.</t>
        </is>
      </c>
      <c r="D4754" t="n">
        <v>1</v>
      </c>
      <c r="E4754" t="n">
        <v>4</v>
      </c>
      <c r="F4754">
        <f>HYPERLINK("https://www.reddit.com/r/GERD/comments/eqj5jw/any_suggestions/")</f>
        <v/>
      </c>
      <c r="G4754" t="inlineStr">
        <is>
          <t>2020-01-18 09:15:14</t>
        </is>
      </c>
      <c r="H4754" t="inlineStr"/>
    </row>
    <row r="4755">
      <c r="A4755" t="inlineStr">
        <is>
          <t>eqjllz</t>
        </is>
      </c>
      <c r="B4755" t="inlineStr">
        <is>
          <t>Extremely heavy feeling in chest in back</t>
        </is>
      </c>
      <c r="C4755" t="inlineStr">
        <is>
          <t>I am diagnosed GERD and if it wasn’t for ranitidine I’d have reflux all damn day. Now that I’m taking ranitidine and a ppi my chest feels super tight. I haven’t got an endoscopy done but I am almost certain that I also have a hernia. Does anyone else experience deep chest pain, I always end up cracking my back multiple times to help ease the pain. It also gives me an immense amount of anxiety. When I smoke weed it makes it feel even worse. Any input would be great, thank you!</t>
        </is>
      </c>
      <c r="D4755" t="n">
        <v>1</v>
      </c>
      <c r="E4755" t="n">
        <v>1</v>
      </c>
      <c r="F4755">
        <f>HYPERLINK("https://www.reddit.com/r/GERD/comments/eqjllz/extremely_heavy_feeling_in_chest_in_back/")</f>
        <v/>
      </c>
      <c r="G4755" t="inlineStr">
        <is>
          <t>2020-01-18 09:48:18</t>
        </is>
      </c>
      <c r="H4755" t="inlineStr"/>
    </row>
    <row r="4756">
      <c r="A4756" t="inlineStr">
        <is>
          <t>eqmj65</t>
        </is>
      </c>
      <c r="B4756" t="inlineStr">
        <is>
          <t>Fasting helping GERD?</t>
        </is>
      </c>
      <c r="C4756" t="inlineStr">
        <is>
          <t>I did a water fast for 36 hours, and was symptom free for 4 days that followed it. No vomiting after meals, no nausea, no post-nasal drip. Symptoms resumed on the 5th day though. Keep in mind, before the fast, I had symptoms every single day, so there's definitely some causal relationship here.
What mechanism could explain why the fasting helped beyond the 36 hours? Any ideas? My BMI is 30, I need to lose a good 50 lbs. So I am hoping that the fasting is an indication that weight loss could resolve my GERD permanently.</t>
        </is>
      </c>
      <c r="D4756" t="n">
        <v>1</v>
      </c>
      <c r="E4756" t="n">
        <v>5</v>
      </c>
      <c r="F4756">
        <f>HYPERLINK("https://www.reddit.com/r/GERD/comments/eqmj65/fasting_helping_gerd/")</f>
        <v/>
      </c>
      <c r="G4756" t="inlineStr">
        <is>
          <t>2020-01-18 13:20:22</t>
        </is>
      </c>
      <c r="H4756" t="inlineStr"/>
    </row>
    <row r="4757">
      <c r="A4757" t="inlineStr">
        <is>
          <t>eqmtex</t>
        </is>
      </c>
      <c r="B4757" t="inlineStr">
        <is>
          <t>Dizziness</t>
        </is>
      </c>
      <c r="C4757" t="inlineStr">
        <is>
          <t>Hey, I’m only 14 and trying to figure out the cause of my symptoms than include minor dysphagia, bloating, burping, regurgitation, a sore throat and a sour taste in my mouth. I’ve also noticed a rubbery painless swollen lymph node but I recently felt kind of sick for a few days so that would explain it but I also noticed I get really dizzy when I stand up. Happens a lot, maybe once a day and I can’t really see and lose my balance when I get up. Can anyone relate to this? Thanks</t>
        </is>
      </c>
      <c r="D4757" t="n">
        <v>1</v>
      </c>
      <c r="E4757" t="n">
        <v>6</v>
      </c>
      <c r="F4757">
        <f>HYPERLINK("https://www.reddit.com/r/GERD/comments/eqmtex/dizziness/")</f>
        <v/>
      </c>
      <c r="G4757" t="inlineStr">
        <is>
          <t>2020-01-18 13:41:44</t>
        </is>
      </c>
      <c r="H4757" t="inlineStr"/>
    </row>
    <row r="4758">
      <c r="A4758" t="inlineStr">
        <is>
          <t>eqnqb3</t>
        </is>
      </c>
      <c r="B4758" t="inlineStr">
        <is>
          <t>Anyone get morning nausea before eating anything?</t>
        </is>
      </c>
      <c r="C4758" t="inlineStr">
        <is>
          <t>I just woke up and felt a bit nauseous. Took my nexium dose with some water and now I feel horrible. Haven't eaten anything.</t>
        </is>
      </c>
      <c r="D4758" t="n">
        <v>1</v>
      </c>
      <c r="E4758" t="n">
        <v>24</v>
      </c>
      <c r="F4758">
        <f>HYPERLINK("https://www.reddit.com/r/GERD/comments/eqnqb3/anyone_get_morning_nausea_before_eating_anything/")</f>
        <v/>
      </c>
      <c r="G4758" t="inlineStr">
        <is>
          <t>2020-01-18 14:48:11</t>
        </is>
      </c>
      <c r="H4758" t="inlineStr"/>
    </row>
    <row r="4759">
      <c r="A4759" t="inlineStr">
        <is>
          <t>eqnr3i</t>
        </is>
      </c>
      <c r="B4759" t="inlineStr">
        <is>
          <t>Dorm Food Recommendations?</t>
        </is>
      </c>
      <c r="C4759" t="inlineStr">
        <is>
          <t>I go to a residential high school where I live in donated college dorms and can take a bus or walk to Walmart whenever I want. After a really severe case of what might have been gastritis at Disney a few weeks ago, my GERD has gotten a lot worse. I've been trying to eat well, but one day I thought I could cheat a bit with some cocoa puffs and ended up with the same painful intermittent vomiting and stomach cramps that I had at Disney.
Now I'm too scared to push my food intake, so I was wondering if there were some basic microwave meals/prepackaged snacks I could buy at Walmart that are both flavorful and require little to no meal prep. Keep in mind, I only have access to a fridge/freezer, microwave, and keurig. Any help is much appreciated!</t>
        </is>
      </c>
      <c r="D4759" t="n">
        <v>1</v>
      </c>
      <c r="E4759" t="n">
        <v>2</v>
      </c>
      <c r="F4759">
        <f>HYPERLINK("https://www.reddit.com/r/GERD/comments/eqnr3i/dorm_food_recommendations/")</f>
        <v/>
      </c>
      <c r="G4759" t="inlineStr">
        <is>
          <t>2020-01-18 14:49:56</t>
        </is>
      </c>
      <c r="H4759" t="inlineStr"/>
    </row>
    <row r="4760">
      <c r="A4760" t="inlineStr">
        <is>
          <t>eqnupf</t>
        </is>
      </c>
      <c r="B4760" t="inlineStr">
        <is>
          <t>H-Pylori treatment side effects!</t>
        </is>
      </c>
      <c r="C4760" t="inlineStr">
        <is>
          <t>All,
I’m on day 1 of my treatment. So far, so good, but it’s just day one. Do you have any suggestions, warnings, tips for me to have a smoother treatment?
Also Dr. gave me omeprazole 40 mg twice a day. I feel like it’s too much. Prior to this treatment I was taking Pepcid 20 mg only once a day and feeling mostly fine. 
Thanks!</t>
        </is>
      </c>
      <c r="D4760" t="n">
        <v>1</v>
      </c>
      <c r="E4760" t="n">
        <v>3</v>
      </c>
      <c r="F4760">
        <f>HYPERLINK("https://www.reddit.com/r/GERD/comments/eqnupf/hpylori_treatment_side_effects/")</f>
        <v/>
      </c>
      <c r="G4760" t="inlineStr">
        <is>
          <t>2020-01-18 14:56:58</t>
        </is>
      </c>
      <c r="H4760" t="inlineStr"/>
    </row>
    <row r="4761">
      <c r="A4761" t="inlineStr">
        <is>
          <t>eqppwf</t>
        </is>
      </c>
      <c r="B4761" t="inlineStr">
        <is>
          <t>Chewing more</t>
        </is>
      </c>
      <c r="C4761" t="inlineStr">
        <is>
          <t>So I've realized that I don't chew my food enough and the past three days I've been focusing on my chewing, which is crazy annoying because it's pretty automatic for me to just swallow after a couple bites. But it has lessened my heartburn so much! Makes me less burpy too.</t>
        </is>
      </c>
      <c r="D4761" t="n">
        <v>1</v>
      </c>
      <c r="E4761" t="n">
        <v>2</v>
      </c>
      <c r="F4761">
        <f>HYPERLINK("https://www.reddit.com/r/GERD/comments/eqppwf/chewing_more/")</f>
        <v/>
      </c>
      <c r="G4761" t="inlineStr">
        <is>
          <t>2020-01-18 17:22:04</t>
        </is>
      </c>
      <c r="H4761" t="inlineStr"/>
    </row>
    <row r="4762">
      <c r="A4762" t="inlineStr">
        <is>
          <t>eqqhk2</t>
        </is>
      </c>
      <c r="B4762" t="inlineStr">
        <is>
          <t>Solutions for neck and shoulder pain?</t>
        </is>
      </c>
      <c r="C4762" t="inlineStr">
        <is>
          <t>Hey guys. We all know we need to sleep elevated to help with the acid, but it's really starting to get to me. There's always some kind of tension in my neck and shoulders, which i think is why i've developed these tension headaches. 
What do y'all do to alleviate the pain? I sleep propped up on pillows, but i really miss sleeping on my back. And the GERD is definitely not going anywhere.</t>
        </is>
      </c>
      <c r="D4762" t="n">
        <v>1</v>
      </c>
      <c r="E4762" t="n">
        <v>7</v>
      </c>
      <c r="F4762">
        <f>HYPERLINK("https://www.reddit.com/r/GERD/comments/eqqhk2/solutions_for_neck_and_shoulder_pain/")</f>
        <v/>
      </c>
      <c r="G4762" t="inlineStr">
        <is>
          <t>2020-01-18 18:28:36</t>
        </is>
      </c>
      <c r="H4762" t="inlineStr"/>
    </row>
    <row r="4763">
      <c r="A4763" t="inlineStr">
        <is>
          <t>eqrgya</t>
        </is>
      </c>
      <c r="B4763" t="inlineStr">
        <is>
          <t>Does anyone know when ranitidine will be safe to take again?</t>
        </is>
      </c>
      <c r="C4763" t="inlineStr">
        <is>
          <t>I tried taking famotidine as a substitute and it worked for a while but then I started having side effects from it (severe stomach pain after eating and triggered my IBS) so I had to switch back to a PPI since there were no other H2 blockers available in stores near me. Well, lucky me, that's causing side effects too and I hate it. 
Ranitidine was working very well for me with pretty much no side effects. I haven't seen or heard anything about it being back on the market -- does anyone know when/if it will be back?</t>
        </is>
      </c>
      <c r="D4763" t="n">
        <v>1</v>
      </c>
      <c r="E4763" t="n">
        <v>6</v>
      </c>
      <c r="F4763">
        <f>HYPERLINK("https://www.reddit.com/r/GERD/comments/eqrgya/does_anyone_know_when_ranitidine_will_be_safe_to/")</f>
        <v/>
      </c>
      <c r="G4763" t="inlineStr">
        <is>
          <t>2020-01-18 19:58:41</t>
        </is>
      </c>
      <c r="H4763" t="inlineStr"/>
    </row>
    <row r="4764">
      <c r="A4764" t="inlineStr">
        <is>
          <t>eqs3bk</t>
        </is>
      </c>
      <c r="B4764" t="inlineStr">
        <is>
          <t>Is constant food regurgitation normal for GERD?</t>
        </is>
      </c>
      <c r="C4764" t="inlineStr">
        <is>
          <t>Obviously it’s probably not normal but I mean i’ve been regurgitating everything I eat and drink since I was 8 years old. I’m very used to it by now but I have a feeling my trouble swallowing and shortness of breath is due to my terrible diet and regurgitation.</t>
        </is>
      </c>
      <c r="D4764" t="n">
        <v>1</v>
      </c>
      <c r="E4764" t="n">
        <v>9</v>
      </c>
      <c r="F4764">
        <f>HYPERLINK("https://www.reddit.com/r/GERD/comments/eqs3bk/is_constant_food_regurgitation_normal_for_gerd/")</f>
        <v/>
      </c>
      <c r="G4764" t="inlineStr">
        <is>
          <t>2020-01-18 20:59:48</t>
        </is>
      </c>
      <c r="H4764" t="inlineStr"/>
    </row>
    <row r="4765">
      <c r="A4765" t="inlineStr">
        <is>
          <t>equepb</t>
        </is>
      </c>
      <c r="B4765" t="inlineStr">
        <is>
          <t>do i have gerd ?</t>
        </is>
      </c>
      <c r="C4765" t="inlineStr">
        <is>
          <t>first of all , i just found out about this sub, and i'm from europe.  
also i will be going to the proper doctor on this thursday, but i just wanted to ask this question here first,  
i've had some symptoms for about 6 months or maybe even longer.  
mostly is just stomach bloating and gas, and a sore throat (but that might be because i got diagnosed with underactive thyroid a week ago) , also lately i have postnasal drip//  
i don't have pain in chest or stomach or any anywhere.  
also i've noticed that when i drink water after eating,  it jump-starts it the bloating and the gas,,</t>
        </is>
      </c>
      <c r="D4765" t="n">
        <v>1</v>
      </c>
      <c r="E4765" t="n">
        <v>5</v>
      </c>
      <c r="F4765">
        <f>HYPERLINK("https://www.reddit.com/r/GERD/comments/equepb/do_i_have_gerd/")</f>
        <v/>
      </c>
      <c r="G4765" t="inlineStr">
        <is>
          <t>2020-01-19 01:44:50</t>
        </is>
      </c>
      <c r="H4765" t="inlineStr"/>
    </row>
    <row r="4766">
      <c r="A4766" t="inlineStr">
        <is>
          <t>eqwt7g</t>
        </is>
      </c>
      <c r="B4766" t="inlineStr">
        <is>
          <t>Cheap alternatives to a wedge pillow</t>
        </is>
      </c>
      <c r="C4766" t="inlineStr">
        <is>
          <t>Raising the head of your bed really does help with a lot of night-time GERD symptoms. But not everyone has the $ to purchase a wedge pillow.  
So here's what else you can do:  Stick a couple of bricks or a blocks of wood under the head of your bedframe so that your entire mattress is at an angle.  It needs to be about six inches/15 centimeters but even a bit less than that will help.  This is actually better than a wedge for your back and you won't notice once you're lying down. 
Or, if you're not going to be able to do that to your bed-frame, stick a couple of pillows **under** the head of your mattress. It will give you the same affect as a wedge pillow or the way a hospital bed raises up. I got that tip from a PT. 
Hope that helps a few folks.</t>
        </is>
      </c>
      <c r="D4766" t="n">
        <v>1</v>
      </c>
      <c r="E4766" t="n">
        <v>6</v>
      </c>
      <c r="F4766">
        <f>HYPERLINK("https://www.reddit.com/r/GERD/comments/eqwt7g/cheap_alternatives_to_a_wedge_pillow/")</f>
        <v/>
      </c>
      <c r="G4766" t="inlineStr">
        <is>
          <t>2020-01-19 06:22:49</t>
        </is>
      </c>
      <c r="H4766" t="inlineStr"/>
    </row>
    <row r="4767">
      <c r="A4767" t="inlineStr">
        <is>
          <t>eqyam3</t>
        </is>
      </c>
      <c r="B4767" t="inlineStr">
        <is>
          <t>Missing caffeine</t>
        </is>
      </c>
      <c r="C4767" t="inlineStr">
        <is>
          <t>Since caffeine seems to be a trigger of mine, it’s ironic that I’ve been a barista for a decade. I LOVE coffee. And I need to find an alternative that isn’t caffeine, but still has a kick of energy. Help!</t>
        </is>
      </c>
      <c r="D4767" t="n">
        <v>1</v>
      </c>
      <c r="E4767" t="n">
        <v>17</v>
      </c>
      <c r="F4767">
        <f>HYPERLINK("https://www.reddit.com/r/GERD/comments/eqyam3/missing_caffeine/")</f>
        <v/>
      </c>
      <c r="G4767" t="inlineStr">
        <is>
          <t>2020-01-19 08:21:08</t>
        </is>
      </c>
      <c r="H4767" t="inlineStr"/>
    </row>
    <row r="4768">
      <c r="A4768" t="inlineStr">
        <is>
          <t>eqzsqw</t>
        </is>
      </c>
      <c r="B4768" t="inlineStr">
        <is>
          <t>Hot liquids are bad for our esophagus but are peppers?</t>
        </is>
      </c>
      <c r="C4768" t="inlineStr">
        <is>
          <t>There was a study showing how hot liquids actually do damage to your esophagus.  This seems to be pretty well accepted by doctors.  But what about peppers?  They do burn but don't give me any kind of reflux.  I wonder if they actually do damage to people's esophagus that have reflux?  I'm guessing the same situation as citric acid and sodas too?</t>
        </is>
      </c>
      <c r="D4768" t="n">
        <v>1</v>
      </c>
      <c r="E4768" t="n">
        <v>1</v>
      </c>
      <c r="F4768">
        <f>HYPERLINK("https://www.reddit.com/r/GERD/comments/eqzsqw/hot_liquids_are_bad_for_our_esophagus_but_are/")</f>
        <v/>
      </c>
      <c r="G4768" t="inlineStr">
        <is>
          <t>2020-01-19 10:09:27</t>
        </is>
      </c>
      <c r="H4768" t="inlineStr"/>
    </row>
    <row r="4769">
      <c r="A4769" t="inlineStr">
        <is>
          <t>eqzy4j</t>
        </is>
      </c>
      <c r="B4769" t="inlineStr">
        <is>
          <t>Has anyone tried the Reflux Reboot book?</t>
        </is>
      </c>
      <c r="C4769" t="inlineStr">
        <is>
          <t>Here's the link : [LINK](http://refluxreboot.com/ebook) It's about 30 bucks so, it's quite a lot for me at the moment. She seems to have a good youtube channel about all things LPR.</t>
        </is>
      </c>
      <c r="D4769" t="n">
        <v>1</v>
      </c>
      <c r="E4769" t="n">
        <v>5</v>
      </c>
      <c r="F4769">
        <f>HYPERLINK("https://www.reddit.com/r/GERD/comments/eqzy4j/has_anyone_tried_the_reflux_reboot_book/")</f>
        <v/>
      </c>
      <c r="G4769" t="inlineStr">
        <is>
          <t>2020-01-19 10:20:23</t>
        </is>
      </c>
      <c r="H4769" t="inlineStr"/>
    </row>
    <row r="4770">
      <c r="A4770" t="inlineStr">
        <is>
          <t>er0bsg</t>
        </is>
      </c>
      <c r="B4770" t="inlineStr">
        <is>
          <t>Ranch dressing recommendations?</t>
        </is>
      </c>
      <c r="C4770" t="inlineStr">
        <is>
          <t>Not all ranches are created equal. Lol. Some seem to trigger my reflux worse than others and since oils especially olive oil makes things worse can anyone suggest any ranch brands that are ok for reflux in moderate amounts?</t>
        </is>
      </c>
      <c r="D4770" t="n">
        <v>1</v>
      </c>
      <c r="E4770" t="n">
        <v>3</v>
      </c>
      <c r="F4770">
        <f>HYPERLINK("https://www.reddit.com/r/GERD/comments/er0bsg/ranch_dressing_recommendations/")</f>
        <v/>
      </c>
      <c r="G4770" t="inlineStr">
        <is>
          <t>2020-01-19 10:47:33</t>
        </is>
      </c>
      <c r="H4770" t="inlineStr"/>
    </row>
    <row r="4771">
      <c r="A4771" t="inlineStr">
        <is>
          <t>er0gxx</t>
        </is>
      </c>
      <c r="B4771" t="inlineStr">
        <is>
          <t>Fast Tract + Low FODMAP - symptoms now 99% gone.</t>
        </is>
      </c>
      <c r="C4771" t="inlineStr">
        <is>
          <t>Just a quick thank you to this community for recommending the Fast Tract diet. I've struggled with IBS and GERD in the past, and for many years I kept it under control with a low FODMAP diet, until recently. 
Last summer I needed a round of antibiotics, and it set off a miserable bout of GERD. (I suspect a SIBO bloom.) After a few month of trying several drugs, diet and lifestyle changes, I learned about the Fast Tract diet. I purchased the app (Google Play store) and started it in early December. Of course, I also steered clear of high FODMAP foods on top of doing the Fast Tract because I know garlic, onions, stone fruits, alcohol sugars, etc., are still triggers for me. In less than a week my symptoms were 99% gone! I've managed to remain symptom free since then. Now I'm slowly introducing certain foods back, one at a time, and keeping track of what seems safe. At this time, I am still trying to stick within a safe range of no more than 12 points of "fermentation potential" per meal.
It is still a restrictive and limited diet, but at least eating has stopped feeling scary. Because this is a low carb diet, I also made sure to watch my carb levels and added in a few more carbs to keep above 20 a day in order to reduce the risk of going into ketosis. I've done the Keto diet in the past, and while I felt it was good for appetite control, I struggled with insomnia and had the awful Keto rash. 
I hope this is helpful to others. The Fast Tract diet was created by Norm Robillard, Ph.D.  He has published several books about it, and has a website digestivehealthinstitute.org (I didn't purchase any books because the app had enough information for me to start.) Low FODMAP diet details can be found on tons of websites too.
I wish you all the best as you take this very personal journey to becoming symptom free.</t>
        </is>
      </c>
      <c r="D4771" t="n">
        <v>1</v>
      </c>
      <c r="E4771" t="n">
        <v>10</v>
      </c>
      <c r="F4771">
        <f>HYPERLINK("https://www.reddit.com/r/GERD/comments/er0gxx/fast_tract_low_fodmap_symptoms_now_99_gone/")</f>
        <v/>
      </c>
      <c r="G4771" t="inlineStr">
        <is>
          <t>2020-01-19 10:57:49</t>
        </is>
      </c>
      <c r="H4771" t="inlineStr"/>
    </row>
    <row r="4772">
      <c r="A4772" t="inlineStr">
        <is>
          <t>er17q3</t>
        </is>
      </c>
      <c r="B4772" t="inlineStr">
        <is>
          <t>Orange back of soft palette</t>
        </is>
      </c>
      <c r="C4772" t="inlineStr">
        <is>
          <t>The back of my soft palette near my throat is an orange/yellows color. Is that a reflux thing? Thanks!</t>
        </is>
      </c>
      <c r="D4772" t="n">
        <v>1</v>
      </c>
      <c r="E4772" t="n">
        <v>0</v>
      </c>
      <c r="F4772">
        <f>HYPERLINK("https://www.reddit.com/r/GERD/comments/er17q3/orange_back_of_soft_palette/")</f>
        <v/>
      </c>
      <c r="G4772" t="inlineStr">
        <is>
          <t>2020-01-19 11:50:09</t>
        </is>
      </c>
      <c r="H4772" t="inlineStr"/>
    </row>
    <row r="4773">
      <c r="A4773" t="inlineStr">
        <is>
          <t>er29r8</t>
        </is>
      </c>
      <c r="B4773" t="inlineStr">
        <is>
          <t>Long term Tagamet use?</t>
        </is>
      </c>
      <c r="C4773" t="inlineStr">
        <is>
          <t>Has anyone had success controlling their GERD symptoms with long term Tagamet use? PPis are no longer working for me digestion wise after 7 years of use and Pepcid is giving me some bad side effects.</t>
        </is>
      </c>
      <c r="D4773" t="n">
        <v>1</v>
      </c>
      <c r="E4773" t="n">
        <v>12</v>
      </c>
      <c r="F4773">
        <f>HYPERLINK("https://www.reddit.com/r/GERD/comments/er29r8/long_term_tagamet_use/")</f>
        <v/>
      </c>
      <c r="G4773" t="inlineStr">
        <is>
          <t>2020-01-19 13:04:41</t>
        </is>
      </c>
      <c r="H4773" t="inlineStr"/>
    </row>
    <row r="4774">
      <c r="A4774" t="inlineStr">
        <is>
          <t>er2ju3</t>
        </is>
      </c>
      <c r="B4774" t="inlineStr">
        <is>
          <t>Sleep help needed</t>
        </is>
      </c>
      <c r="C4774" t="inlineStr">
        <is>
          <t>After nearly 8 months of pain/discomfort/tightness at the very base of my throat including a diagnosis of a candida infection, I finally had classical symptoms that I could clearly link as acid reflux (gas/pain at the sphincter,etc).
The doctors didn't tell me to avoid sleeping on my right side, and around 8 months ago is when I switched from stomach sleeping to right side sleeping because of a lower back hernia. Why not the left side? Well my left shoulder is damaged and if I sleep more than 30 minutes on it, it loses feeling.
No that I know right side sleeping is terrible (it makes sense that it is aggravatingy throat as the acid lingers according to what I read) I am a bit stuck.
I can't sleep on my back at all as I have a deviated septum and apnea. Is going back to belly sleeping a better option than right side sleeping at least?
What are my other options? Maybe get my septum operated? I dread every morning I wake up now, worried I am on the fast road to cancer....</t>
        </is>
      </c>
      <c r="D4774" t="n">
        <v>1</v>
      </c>
      <c r="E4774" t="n">
        <v>4</v>
      </c>
      <c r="F4774">
        <f>HYPERLINK("https://www.reddit.com/r/GERD/comments/er2ju3/sleep_help_needed/")</f>
        <v/>
      </c>
      <c r="G4774" t="inlineStr">
        <is>
          <t>2020-01-19 13:23:34</t>
        </is>
      </c>
      <c r="H4774" t="inlineStr"/>
    </row>
    <row r="4775">
      <c r="A4775" t="inlineStr">
        <is>
          <t>er3vdq</t>
        </is>
      </c>
      <c r="B4775" t="inlineStr">
        <is>
          <t>Spitting blood after drinking alcohol</t>
        </is>
      </c>
      <c r="C4775" t="inlineStr">
        <is>
          <t>So I tend to avoid alcohol because, well, you all know the effects. Last night was my friend‘s birthday, so I allowed myself to have exactly one apple sourz, half a glass of Prosecco, and a double Malibu and lemonade thinking I would be okay today. It’s now 11pm and I’ve been in horrific, debilitating pain since I woke up and have been spitting/vomiting some blood for the past couple of hours. Does anyone have any advice to alleviate symptoms right now?
Also GERD fucking sucks and I hate how little it’s taken seriously. It’s sucks being 23 and not being able to have three drinks without camping in the bathroom the next day.</t>
        </is>
      </c>
      <c r="D4775" t="n">
        <v>1</v>
      </c>
      <c r="E4775" t="n">
        <v>7</v>
      </c>
      <c r="F4775">
        <f>HYPERLINK("https://www.reddit.com/r/GERD/comments/er3vdq/spitting_blood_after_drinking_alcohol/")</f>
        <v/>
      </c>
      <c r="G4775" t="inlineStr">
        <is>
          <t>2020-01-19 14:56:46</t>
        </is>
      </c>
      <c r="H4775" t="inlineStr"/>
    </row>
    <row r="4776">
      <c r="A4776" t="inlineStr">
        <is>
          <t>er4p51</t>
        </is>
      </c>
      <c r="B4776" t="inlineStr">
        <is>
          <t>Marajuana</t>
        </is>
      </c>
      <c r="C4776" t="inlineStr">
        <is>
          <t>How does marajuana effect you guys? For me, no matter how I take it, my chest and back get super tight. Im going to quit soon</t>
        </is>
      </c>
      <c r="D4776" t="n">
        <v>1</v>
      </c>
      <c r="E4776" t="n">
        <v>13</v>
      </c>
      <c r="F4776">
        <f>HYPERLINK("https://www.reddit.com/r/GERD/comments/er4p51/marajuana/")</f>
        <v/>
      </c>
      <c r="G4776" t="inlineStr">
        <is>
          <t>2020-01-19 15:59:12</t>
        </is>
      </c>
      <c r="H4776" t="inlineStr"/>
    </row>
    <row r="4777">
      <c r="A4777" t="inlineStr">
        <is>
          <t>er5u7y</t>
        </is>
      </c>
      <c r="B4777" t="inlineStr">
        <is>
          <t>Is it normal to wake up bloated in the morning?</t>
        </is>
      </c>
      <c r="C4777" t="inlineStr">
        <is>
          <t>Hey guys,
So I've noticed that recently I've been waking bloated in the morning. Of I lay in bed playing on my phone I can feel the pressure getting worse over the course of an hour or two, and I start feeling nauseous and dry heaving.
If I get up right away when I wake up I'll burp over the course of half an hour while walking around and slowly start to feel better.
Is this a sign of GERD or another issue?</t>
        </is>
      </c>
      <c r="D4777" t="n">
        <v>1</v>
      </c>
      <c r="E4777" t="n">
        <v>5</v>
      </c>
      <c r="F4777">
        <f>HYPERLINK("https://www.reddit.com/r/GERD/comments/er5u7y/is_it_normal_to_wake_up_bloated_in_the_morning/")</f>
        <v/>
      </c>
      <c r="G4777" t="inlineStr">
        <is>
          <t>2020-01-19 17:30:03</t>
        </is>
      </c>
      <c r="H4777" t="inlineStr"/>
    </row>
    <row r="4778">
      <c r="A4778" t="inlineStr">
        <is>
          <t>er6naf</t>
        </is>
      </c>
      <c r="B4778" t="inlineStr">
        <is>
          <t>4 months of nonstop globus sensation</t>
        </is>
      </c>
      <c r="C4778" t="inlineStr">
        <is>
          <t>Ive had what feels like a massive lump or hole in my throat for 4 months. I have restricted breathing and every day I wake up it’s getting worse. My breathing strength is 1/3rd of what it used to be</t>
        </is>
      </c>
      <c r="D4778" t="n">
        <v>1</v>
      </c>
      <c r="E4778" t="n">
        <v>6</v>
      </c>
      <c r="F4778">
        <f>HYPERLINK("https://www.reddit.com/r/GERD/comments/er6naf/4_months_of_nonstop_globus_sensation/")</f>
        <v/>
      </c>
      <c r="G4778" t="inlineStr">
        <is>
          <t>2020-01-19 18:35:34</t>
        </is>
      </c>
      <c r="H4778" t="inlineStr"/>
    </row>
    <row r="4779">
      <c r="A4779" t="inlineStr">
        <is>
          <t>er6pem</t>
        </is>
      </c>
      <c r="B4779" t="inlineStr">
        <is>
          <t>I'm pretty sure my chronic nasal congestion causes my reflux</t>
        </is>
      </c>
      <c r="C4779" t="inlineStr">
        <is>
          <t>Diagnosed with GERD at 21.  Earliest symptoms was about 19 when I had bad stomach burning when drinking soda on an empty stomach.  I'm 34 now.  But when I was even younger I had sinus issues, like sinus infections.  Also around that same time I had TMJ, I could pop my jaw.  Now my reflux is mostly under control if I watch what I eat but my nasal congestion gets worse every year.  I have a sinus infection that wont go away with antibiotics.  I will have minimally invasive sinus surgery this week.</t>
        </is>
      </c>
      <c r="D4779" t="n">
        <v>1</v>
      </c>
      <c r="E4779" t="n">
        <v>5</v>
      </c>
      <c r="F4779">
        <f>HYPERLINK("https://www.reddit.com/r/GERD/comments/er6pem/im_pretty_sure_my_chronic_nasal_congestion_causes/")</f>
        <v/>
      </c>
      <c r="G4779" t="inlineStr">
        <is>
          <t>2020-01-19 18:40:27</t>
        </is>
      </c>
      <c r="H4779" t="inlineStr"/>
    </row>
    <row r="4780">
      <c r="A4780" t="inlineStr">
        <is>
          <t>er9kq7</t>
        </is>
      </c>
      <c r="B4780" t="inlineStr">
        <is>
          <t>Ate a bunch of oranges and no symptoms. How is this possible?</t>
        </is>
      </c>
      <c r="C4780" t="inlineStr">
        <is>
          <t>Had severe LPR and GERD symptoms starting in April 2019. Quickly lost 20 lbs (145 to 125) because it was so painful to eat much of anything. Got diagnosis in October after seeing several doctors and have been managing symptoms with diet and lifestyle changes. I feel not quite normal but worlds better than last year. 
This weekend, my family had all kinds of citrus fruit around, and I was so tempted. I ate a total of about two sweet oranges thinking, “I am so going to regret this.” And then nothing. No pain. No burning. No feeling like I was being strangled. No mini-barfing. TBH, I kind of actually felt better. Apples cause me all kinds of grief and bananas too. I thought oranges would be the worst. 
Anyone else okay with citrus?</t>
        </is>
      </c>
      <c r="D4780" t="n">
        <v>1</v>
      </c>
      <c r="E4780" t="n">
        <v>3</v>
      </c>
      <c r="F4780">
        <f>HYPERLINK("https://www.reddit.com/r/GERD/comments/er9kq7/ate_a_bunch_of_oranges_and_no_symptoms_how_is/")</f>
        <v/>
      </c>
      <c r="G4780" t="inlineStr">
        <is>
          <t>2020-01-19 22:50:15</t>
        </is>
      </c>
      <c r="H4780" t="inlineStr"/>
    </row>
    <row r="4781">
      <c r="A4781" t="inlineStr">
        <is>
          <t>er9ytc</t>
        </is>
      </c>
      <c r="B4781" t="inlineStr">
        <is>
          <t>Elephant on chest</t>
        </is>
      </c>
      <c r="C4781" t="inlineStr">
        <is>
          <t>Friday and Saturday great very happy then got no reason Sunday sucked and continues to suck at 2am Monday. No reason really just because.</t>
        </is>
      </c>
      <c r="D4781" t="n">
        <v>1</v>
      </c>
      <c r="E4781" t="n">
        <v>0</v>
      </c>
      <c r="F4781">
        <f>HYPERLINK("https://www.reddit.com/r/GERD/comments/er9ytc/elephant_on_chest/")</f>
        <v/>
      </c>
      <c r="G4781" t="inlineStr">
        <is>
          <t>2020-01-19 23:29:30</t>
        </is>
      </c>
      <c r="H4781" t="inlineStr"/>
    </row>
    <row r="4782">
      <c r="A4782" t="inlineStr">
        <is>
          <t>erbp9v</t>
        </is>
      </c>
      <c r="B4782" t="inlineStr">
        <is>
          <t>How to elevate head while sleeping</t>
        </is>
      </c>
      <c r="C4782" t="inlineStr">
        <is>
          <t>I understand I might be missing out on something super-obvious but does anyone have any ideas on how to elevate the head for sleeping? I’ve tried using as many as 5 pillows but it’s not really comfortable, I wake up lying down itself and I’m afraid I might hurt my spine in the longer run.
Not elevating always ends up waking up with a sore throat and a foul tasting mouth.
How does everyone else do it?</t>
        </is>
      </c>
      <c r="D4782" t="n">
        <v>1</v>
      </c>
      <c r="E4782" t="n">
        <v>6</v>
      </c>
      <c r="F4782">
        <f>HYPERLINK("https://www.reddit.com/r/GERD/comments/erbp9v/how_to_elevate_head_while_sleeping/")</f>
        <v/>
      </c>
      <c r="G4782" t="inlineStr">
        <is>
          <t>2020-01-20 02:47:14</t>
        </is>
      </c>
      <c r="H4782" t="inlineStr"/>
    </row>
    <row r="4783">
      <c r="A4783" t="inlineStr">
        <is>
          <t>erdxlt</t>
        </is>
      </c>
      <c r="B4783" t="inlineStr">
        <is>
          <t>poor health, no easy solutions</t>
        </is>
      </c>
      <c r="C4783" t="inlineStr">
        <is>
          <t>I just wanna preface this with some important and very relevant information: I have EUPD (aka BPD) and have always (literally since I was an infant) had an unhealthy relationship to food. One of my coping mechanisms to deal with my EUPD is to eat comfort/junk food. I know this is unhealthy, and I know this likely contributes to my ill health, but this is not a simple of case of treating the presenting problem; I know the only way I can change this habit is with consistent therapy, which I don't have access to
With all that out of the way, as I mentioned I have a very bad relationship with food. I'm often depressed, stressed, distressed, angry, etc due to my mental health disorder. My main coping mechanism is food. I think perhaps because the act of chewing provides a distraction from whatever is bothering me.
I've been dealing with acid reflux for around a year or two (can't remember exactly thanks to dissociative amnesia), ever since I wore my chest binder (I'm trans) for too long and cause some sort of damage to the very bottom of my ribs. I don't know what was damaged. And I don't know if this is related to the acid reflux I've been getting since. I was on Omeprazole for a couple weeks after an ambulance crew visited me (111 suggestion) but ran out of it and didn't get another prescription (because I have severe social anxiety &amp;amp; need someone to accompany me to appointments &amp;amp; I havent been able to find the time &amp;amp; availability to make it happen yet - a lot of life shit kept happening but hoping to get a drs appt soon). Since then, I've been taking Nexium on and off from the local store. I'm anxious to have been taking it this long and yet no changes have come about. I'm concerned I may have actually damaged something inside that's gone unnoticed and I'm frustrated at feeling so sick all the time. I havent had any antacids for a couple days and the past two days i've struggles to eat or sleep because of the nausea and burning. I am 100% planning to tell my GP about this but because I havent seen one in such a long time, I have a long list of things that I need to address (which is stressing me out lmao). So I need to prioritise (I need my mental health meds adjusted, need my chronic fatigue reassessed, need to talk options for a different contraceptive, get referred for therapy, &amp;amp; this too). I'm not sure if it's safe to wait for a doctors appointment to discuss all this or if this is something that needs to addressed asap.
I've been trying to find easy-to-make snacks/meals that aren't so acidic. But because of my autism, i struggle to understand calories and percentages of fat, salt, sugar, etc. I don't understand what it all means. Those numbers and words don't mean a thing to me. So I'd love some suggestions for blander foods that aren't too harsh on the stomach. Apparently fish food is good for that? or at least less acidic?
I also don't know if this is GERD, or general acid reflux due to my poor diet :(
(apologies if this doesn't make sense, started dissociating &amp;amp; cant clear my head to be coherent rn)</t>
        </is>
      </c>
      <c r="D4783" t="n">
        <v>1</v>
      </c>
      <c r="E4783" t="n">
        <v>3</v>
      </c>
      <c r="F4783">
        <f>HYPERLINK("https://www.reddit.com/r/GERD/comments/erdxlt/poor_health_no_easy_solutions/")</f>
        <v/>
      </c>
      <c r="G4783" t="inlineStr">
        <is>
          <t>2020-01-20 06:33:25</t>
        </is>
      </c>
      <c r="H4783" t="inlineStr"/>
    </row>
    <row r="4784">
      <c r="A4784" t="inlineStr">
        <is>
          <t>ere0ld</t>
        </is>
      </c>
      <c r="B4784" t="inlineStr">
        <is>
          <t>I have no stomach acid. Is it possible?</t>
        </is>
      </c>
      <c r="C4784" t="inlineStr">
        <is>
          <t>I can't digest anything and i have gas, bloating when i eat. So i drank 100ml of pure lemon juice without water and nothing happened. No burning sensation in stomach, nothing. After 30 mins i had one burp and that's eat. So i think i have no stomach acid at all. 
I don't know what to do. Maybe drink 150ml lemon juice 3 times per day to restart my digestion? Also wine seems to increase stomach acid but i don't want to drink because drinking creates other problems. Lemon juice doesn't do any harm.</t>
        </is>
      </c>
      <c r="D4784" t="n">
        <v>1</v>
      </c>
      <c r="E4784" t="n">
        <v>7</v>
      </c>
      <c r="F4784">
        <f>HYPERLINK("https://www.reddit.com/r/GERD/comments/ere0ld/i_have_no_stomach_acid_is_it_possible/")</f>
        <v/>
      </c>
      <c r="G4784" t="inlineStr">
        <is>
          <t>2020-01-20 06:40:19</t>
        </is>
      </c>
      <c r="H4784" t="inlineStr"/>
    </row>
    <row r="4785">
      <c r="A4785" t="inlineStr">
        <is>
          <t>ereb5y</t>
        </is>
      </c>
      <c r="B4785" t="inlineStr">
        <is>
          <t>pH test in a few days - what can I take for the heartburn?</t>
        </is>
      </c>
      <c r="C4785" t="inlineStr">
        <is>
          <t>Hi All,
I have a pH test coming up. I'm off PPIs now and drinking Gaviscon. Only thing is, I must stop Gaviscon 24 hours before and for 24 hours during. That's 48 hours with severe pain (I'm on only day 2 with Gaviscon alone and the pain even with near-immediate relief is crazy high!)
I don't want to mess with the test so not looking at anything that will neutralize the acid but is there anything natural recommended for simple pain relief? Aloe vera juice or something like that?
Thank you
GERD sufferer of over 20 years on PPIs :(</t>
        </is>
      </c>
      <c r="D4785" t="n">
        <v>1</v>
      </c>
      <c r="E4785" t="n">
        <v>2</v>
      </c>
      <c r="F4785">
        <f>HYPERLINK("https://www.reddit.com/r/GERD/comments/ereb5y/ph_test_in_a_few_days_what_can_i_take_for_the/")</f>
        <v/>
      </c>
      <c r="G4785" t="inlineStr">
        <is>
          <t>2020-01-20 07:04:16</t>
        </is>
      </c>
      <c r="H4785" t="inlineStr"/>
    </row>
    <row r="4786">
      <c r="A4786" t="inlineStr">
        <is>
          <t>erecsa</t>
        </is>
      </c>
      <c r="B4786" t="inlineStr">
        <is>
          <t>Experience with antibiotics?</t>
        </is>
      </c>
      <c r="C4786" t="inlineStr">
        <is>
          <t>Have antibiotics to treat potential gut infections (eg H Pylori) helped anyone? Permanently or temporarily?</t>
        </is>
      </c>
      <c r="D4786" t="n">
        <v>1</v>
      </c>
      <c r="E4786" t="n">
        <v>5</v>
      </c>
      <c r="F4786">
        <f>HYPERLINK("https://www.reddit.com/r/GERD/comments/erecsa/experience_with_antibiotics/")</f>
        <v/>
      </c>
      <c r="G4786" t="inlineStr">
        <is>
          <t>2020-01-20 07:07:33</t>
        </is>
      </c>
      <c r="H4786" t="inlineStr"/>
    </row>
    <row r="4787">
      <c r="A4787" t="inlineStr">
        <is>
          <t>erf2si</t>
        </is>
      </c>
      <c r="B4787" t="inlineStr">
        <is>
          <t>Sudden acid reflux not going away?</t>
        </is>
      </c>
      <c r="C4787" t="inlineStr">
        <is>
          <t>I'm just curious if this feels abnormal to those of you with more experience than me. Very suddenly Saturday night I woke up with reflux-- no heartburn, it's not painful, just gurgling and burping up acid. I've never had anything like this before, digestive health, so far as I'm aware, has always been pretty solid. But it's been over 24 hours and I still can't lie down? I managed to get don't good sleep last night, propped up. Yesterday I ate bland foods, and not much. Walking around/sitting up, I only have an occasional gurgle/burp, but as soon as I lie down I regurgitate acid. 
I guess I'm just a little shocked it came on so suddenly. I thought most about reflux symptoms last a couple hours and go away? Any thoughts on when I should see a doctor? It's been 32 hours of consistent, though mild, symptoms. I'm wondering if having a cold could have triggered it? (Been sick since Friday)
Thanks in advance.</t>
        </is>
      </c>
      <c r="D4787" t="n">
        <v>1</v>
      </c>
      <c r="E4787" t="n">
        <v>4</v>
      </c>
      <c r="F4787">
        <f>HYPERLINK("https://www.reddit.com/r/GERD/comments/erf2si/sudden_acid_reflux_not_going_away/")</f>
        <v/>
      </c>
      <c r="G4787" t="inlineStr">
        <is>
          <t>2020-01-20 08:01:24</t>
        </is>
      </c>
      <c r="H4787" t="inlineStr"/>
    </row>
    <row r="4788">
      <c r="A4788" t="inlineStr">
        <is>
          <t>erhkv8</t>
        </is>
      </c>
      <c r="B4788" t="inlineStr">
        <is>
          <t>Can anybody tell me if this might be GERD? I have a doc appointment next week but I was recently EXTREMELY stressed over Christmas and suddenly all my symptoms were and still are the following:</t>
        </is>
      </c>
      <c r="C4788" t="inlineStr">
        <is>
          <t>Coffee in the morning makes me feel like somebody is sitting on my throat - like huge lump inside the base of my neck.
Acid reflux almost every night.
My lymph nodes are swollen - does GERD do this?
Post nasal drip
Burning throat
My tongue feels tingly at the base and on the tip</t>
        </is>
      </c>
      <c r="D4788" t="n">
        <v>1</v>
      </c>
      <c r="E4788" t="n">
        <v>7</v>
      </c>
      <c r="F4788">
        <f>HYPERLINK("https://www.reddit.com/r/GERD/comments/erhkv8/can_anybody_tell_me_if_this_might_be_gerd_i_have/")</f>
        <v/>
      </c>
      <c r="G4788" t="inlineStr">
        <is>
          <t>2020-01-20 10:48:18</t>
        </is>
      </c>
      <c r="H4788" t="inlineStr"/>
    </row>
    <row r="4789">
      <c r="A4789" t="inlineStr">
        <is>
          <t>erhtam</t>
        </is>
      </c>
      <c r="B4789" t="inlineStr">
        <is>
          <t>Is it the caffeine or is it the coffee???</t>
        </is>
      </c>
      <c r="C4789" t="inlineStr">
        <is>
          <t>I'm somewhat new to all of this and am trying to make lifestyle changes to mitigate my GERD symptoms.
My biggest point of confusion right now is around cutting out coffee and/or caffeine.
Which is the actual culprit when it comes to GERD - the coffee or the caffeine?
Does it actually very person by person?
Do any of you get symptoms from drinking decaf coffee or from taking a caffeine pill?
Just trying to understand the root of things here, and it's hard for me to tell which of the things I'm ingesting are actually causing my symptoms.
Thanks!</t>
        </is>
      </c>
      <c r="D4789" t="n">
        <v>1</v>
      </c>
      <c r="E4789" t="n">
        <v>22</v>
      </c>
      <c r="F4789">
        <f>HYPERLINK("https://www.reddit.com/r/GERD/comments/erhtam/is_it_the_caffeine_or_is_it_the_coffee/")</f>
        <v/>
      </c>
      <c r="G4789" t="inlineStr">
        <is>
          <t>2020-01-20 11:04:08</t>
        </is>
      </c>
      <c r="H4789" t="inlineStr"/>
    </row>
    <row r="4790">
      <c r="A4790" t="inlineStr">
        <is>
          <t>erhx2h</t>
        </is>
      </c>
      <c r="B4790" t="inlineStr">
        <is>
          <t>Is it okay to take ibuprofen?</t>
        </is>
      </c>
      <c r="C4790" t="inlineStr">
        <is>
          <t>Have you guys experience any problems taking ibuprofen? I just don’t want to be too reliant on Tylenol.</t>
        </is>
      </c>
      <c r="D4790" t="n">
        <v>1</v>
      </c>
      <c r="E4790" t="n">
        <v>8</v>
      </c>
      <c r="F4790">
        <f>HYPERLINK("https://www.reddit.com/r/GERD/comments/erhx2h/is_it_okay_to_take_ibuprofen/")</f>
        <v/>
      </c>
      <c r="G4790" t="inlineStr">
        <is>
          <t>2020-01-20 11:11:05</t>
        </is>
      </c>
      <c r="H4790" t="inlineStr"/>
    </row>
    <row r="4791">
      <c r="A4791" t="inlineStr">
        <is>
          <t>erj8it</t>
        </is>
      </c>
      <c r="B4791" t="inlineStr">
        <is>
          <t>Does it ever go away?</t>
        </is>
      </c>
      <c r="C4791" t="inlineStr">
        <is>
          <t>Recently I’ve been experiencing a weird feeling in my stomach. My friend thinks it this an I honestly do too
I’m going to cut my sleeping pills and everything and starting drink more water hopefully this will end this weird feeling.</t>
        </is>
      </c>
      <c r="D4791" t="n">
        <v>1</v>
      </c>
      <c r="E4791" t="n">
        <v>3</v>
      </c>
      <c r="F4791">
        <f>HYPERLINK("https://www.reddit.com/r/GERD/comments/erj8it/does_it_ever_go_away/")</f>
        <v/>
      </c>
      <c r="G4791" t="inlineStr">
        <is>
          <t>2020-01-20 12:36:58</t>
        </is>
      </c>
      <c r="H4791" t="inlineStr"/>
    </row>
    <row r="4792">
      <c r="A4792" t="inlineStr">
        <is>
          <t>erk19l</t>
        </is>
      </c>
      <c r="B4792" t="inlineStr">
        <is>
          <t>Lump in throat</t>
        </is>
      </c>
      <c r="C4792" t="inlineStr">
        <is>
          <t>Ive been diagnosed with GERD and i feel this feeling of tightness in my chest and a lump in my throat, it’s making me anxious I can’t really eat and cause i can’t really eat, I’m dizzy. Please tell me someone can relate</t>
        </is>
      </c>
      <c r="D4792" t="n">
        <v>1</v>
      </c>
      <c r="E4792" t="n">
        <v>7</v>
      </c>
      <c r="F4792">
        <f>HYPERLINK("https://www.reddit.com/r/GERD/comments/erk19l/lump_in_throat/")</f>
        <v/>
      </c>
      <c r="G4792" t="inlineStr">
        <is>
          <t>2020-01-20 13:30:32</t>
        </is>
      </c>
      <c r="H4792" t="inlineStr"/>
    </row>
    <row r="4793">
      <c r="A4793" t="inlineStr">
        <is>
          <t>erkf24</t>
        </is>
      </c>
      <c r="B4793" t="inlineStr">
        <is>
          <t>oral contraceptives and gerd</t>
        </is>
      </c>
      <c r="C4793" t="inlineStr">
        <is>
          <t>short story: Ive read multiple places that the hormones in oral contraceptives can worsen and even trigger GERD/acid reflux symptoms. Well folks i quit 3 months ago and my acid reflux has SERIOUSLY diminished. 
lomg story: Ive been dealing with serious chest pain (supposedly gerd/acid reflux related) for 5 years now (i am 24) and had been prescribed PPIs as a remedy when tums etc werent doin it. I spent 5 months on those with worse symptoms than I have ever experienced. hours long attacks, laying on the floor, clutching my chest wishing I would just die already... Literally made me so depressed and anxious because when i felt alright I was worried about what I was eating and drinking, anticipating another attack of debilitating chest pain... 
so I quit drinking, quit coffee and greasy/fatty foods, cut down a ton on weed as Id been told that was a problem too... and it just kept getting worse. The bongs actually helped with the pain so I started using that and ibuprofen/pepcid combo to help w the pain... 
I eventually had such high anxiety about eating and sleeping that i was a wreck. I asked for a scope appointment so I could actually be diagnosed with GERD and move on with a real treatment plan. calling in to work wouldnt fly for long.
 So I had the thing. doc showed me i had redness and irritation and some scarring on my LES area from vomiting (as a teenager, i partied a lot) and acid flare ups, but he believed i didnt have GERD, he said it was likely esophageal spasms and gave me a pill to take when i have attacks. 
After that, i quit the PPI, my birth control and anything else that wasnt necessary. I ate mostly whole foods and still didnt drink coffee or pop. The symptoms went into a lull a week before i had my scope and hasnt come back since. Not in the way it did before anyway. Now when I have acid reflux symptoms, I drink some water and take a couple tums and within 10 minutes my low grade symptoms had disappeared and I was literally almost in tears i was so relieved that taking TUMS worked. I asked my new doctor about the birth control theory and she said a lot of people get relief when they quit. I guess estrogen can really mess up your bodys flow, the way it absorbs food and nutrients and the muscles around our organs. so when i ate, food often felt like it stuck around longer than it should and i got a lot of acid when it didnt logically make sense. 
SO
now 5 months later, I dont take any over the counter drugs and when i do have some low grade symptoms I pop a tum or drink some water and it fades away into a memory.
LADIES. talk to your doctor! and if you havent been diagnosed with anything, stop taking drugs!</t>
        </is>
      </c>
      <c r="D4793" t="n">
        <v>1</v>
      </c>
      <c r="E4793" t="n">
        <v>4</v>
      </c>
      <c r="F4793">
        <f>HYPERLINK("https://www.reddit.com/r/GERD/comments/erkf24/oral_contraceptives_and_gerd/")</f>
        <v/>
      </c>
      <c r="G4793" t="inlineStr">
        <is>
          <t>2020-01-20 13:56:42</t>
        </is>
      </c>
      <c r="H4793" t="inlineStr"/>
    </row>
    <row r="4794">
      <c r="A4794" t="inlineStr">
        <is>
          <t>erkqyl</t>
        </is>
      </c>
      <c r="B4794" t="inlineStr">
        <is>
          <t>Study for gerd sufferers</t>
        </is>
      </c>
      <c r="C4794" t="inlineStr">
        <is>
          <t>This popped up on my fb feed. Figured it should be here. Mods plz delete if this isn't ok to post. 
https://trials.autocruitment.com/forms/GERD_t546_sbBi_FB/?utm_source=facebook&amp;amp;utm_medium=post&amp;amp;utm_campaign=gerd</t>
        </is>
      </c>
      <c r="D4794" t="n">
        <v>1</v>
      </c>
      <c r="E4794" t="n">
        <v>0</v>
      </c>
      <c r="F4794">
        <f>HYPERLINK("https://www.reddit.com/r/GERD/comments/erkqyl/study_for_gerd_sufferers/")</f>
        <v/>
      </c>
      <c r="G4794" t="inlineStr">
        <is>
          <t>2020-01-20 14:19:40</t>
        </is>
      </c>
      <c r="H4794" t="inlineStr"/>
    </row>
    <row r="4795">
      <c r="A4795" t="inlineStr">
        <is>
          <t>erlawp</t>
        </is>
      </c>
      <c r="B4795" t="inlineStr">
        <is>
          <t>Each day is a mystery.</t>
        </is>
      </c>
      <c r="C4795" t="inlineStr">
        <is>
          <t>Saturday thought I had it beat felt great most of day.  Sunday was opposite very depressed can’t figure out why. Today almost perfect after waking at 2am in pain. Wish I could find the formula I’d eat the same meals same time every day to be me again. Let’s hope tomorrow is good too although only 6pm EST here!!! Started carafate Saturday maybe it’s working.</t>
        </is>
      </c>
      <c r="D4795" t="n">
        <v>1</v>
      </c>
      <c r="E4795" t="n">
        <v>6</v>
      </c>
      <c r="F4795">
        <f>HYPERLINK("https://www.reddit.com/r/GERD/comments/erlawp/each_day_is_a_mystery/")</f>
        <v/>
      </c>
      <c r="G4795" t="inlineStr">
        <is>
          <t>2020-01-20 14:58:03</t>
        </is>
      </c>
      <c r="H4795" t="inlineStr"/>
    </row>
    <row r="4796">
      <c r="A4796" t="inlineStr">
        <is>
          <t>erlesn</t>
        </is>
      </c>
      <c r="B4796" t="inlineStr">
        <is>
          <t>How long?</t>
        </is>
      </c>
      <c r="C4796" t="inlineStr">
        <is>
          <t>How long did it take for you to cure your GERD? I’ve been having it for a year and a half and I’m having an endoscopy tomorrow...
I think I’ve reached my limits now</t>
        </is>
      </c>
      <c r="D4796" t="n">
        <v>1</v>
      </c>
      <c r="E4796" t="n">
        <v>16</v>
      </c>
      <c r="F4796">
        <f>HYPERLINK("https://www.reddit.com/r/GERD/comments/erlesn/how_long/")</f>
        <v/>
      </c>
      <c r="G4796" t="inlineStr">
        <is>
          <t>2020-01-20 15:04:24</t>
        </is>
      </c>
      <c r="H4796" t="inlineStr"/>
    </row>
    <row r="4797">
      <c r="A4797" t="inlineStr">
        <is>
          <t>ermb6r</t>
        </is>
      </c>
      <c r="B4797" t="inlineStr">
        <is>
          <t>Is this Silent Reflux?</t>
        </is>
      </c>
      <c r="C4797" t="inlineStr">
        <is>
          <t>Hi reddit, I just stumped my Ear/nose/throat doctor, so maybe you can help. Im 29/male. I have had gerd for a while now, like 6 years, and am on PPI's. I haven't had any issues with heartburn as long as i take my medicine. Was omeprazole (20 mg)
Back in october of 2019, I came down with a sore throat that just never went away. Primary tried to treat it with antibiotics but that didnt work. it got worse and progressed even to the point where food felt like it was getting caught when trying to swallow. not in a way that would choke me though.
Ear nose and throat doctor looked down my throat and noticed the sphincter was "irritated" so he prescribed me famotidine, prednisone, and upped my omeprazole to 40 mg. with these medications the food stopped catching but the sore throat persists. he also had me do cat scan and those results came back clean. 
I went to a Gastroenterologist who thought i had an ulcer, and wanted me to get an EGD. I got the EGD, no ulcer or even barrets. he didn't seem to know what to make of it at the time and recommended i stop taking the famotidine and see what happens. but with the sore throat persisting i thought that was pretty ridiculous, so i havent tried that....but am considering this now.
Went back to my primary for a follow up and he switched my omeprazole to pantroprazole, that was a week ago, and the sore throat feels a little better but that could be in my head at this point.   
Today, i followed up with the ear/nose/throat who looked down my throat again and saw nothing wrong. sore throat remains. he doesn't know whats going on anymore. hes sending me to an allergy specialist to explore that route.   
The only symptoms i have at this point are a sore throat, pain when swallow, and this burning feeling near on the roof of my mouth near the back. I dont have a cough, excess mucus, trouble breathing, belching, hoarseness, or a post nasal drip.   
Could this still be silent reflux or should i look for other answers?   
Also what does it feel like if stomach acid is affecting your teeth? does it feel like plaque build up? this could be in my head too but it feels like plaque is building up on the inside of my teeth faster than normal since the sore throat began.   
Thoughts? Thanks in advance, i know this was long and possibly rambling.</t>
        </is>
      </c>
      <c r="D4797" t="n">
        <v>1</v>
      </c>
      <c r="E4797" t="n">
        <v>10</v>
      </c>
      <c r="F4797">
        <f>HYPERLINK("https://www.reddit.com/r/GERD/comments/ermb6r/is_this_silent_reflux/")</f>
        <v/>
      </c>
      <c r="G4797" t="inlineStr">
        <is>
          <t>2020-01-20 16:10:18</t>
        </is>
      </c>
      <c r="H4797" t="inlineStr"/>
    </row>
    <row r="4798">
      <c r="A4798" t="inlineStr">
        <is>
          <t>ermdls</t>
        </is>
      </c>
      <c r="B4798" t="inlineStr">
        <is>
          <t>Has anybody ever had open surgery?</t>
        </is>
      </c>
      <c r="C4798" t="inlineStr">
        <is>
          <t>I have my nissen fundoplication next week. I have a large chest scar from an operation on my diaphragm as a baby, the surgeon said they may need to do an open surgery. 
If anybody had this what was your recovery like? I’m expecting it to be worse and significantly longer than a laraoscopic procedure. 
Getting very nervous now. 
Thank you and good luck all.</t>
        </is>
      </c>
      <c r="D4798" t="n">
        <v>1</v>
      </c>
      <c r="E4798" t="n">
        <v>3</v>
      </c>
      <c r="F4798">
        <f>HYPERLINK("https://www.reddit.com/r/GERD/comments/ermdls/has_anybody_ever_had_open_surgery/")</f>
        <v/>
      </c>
      <c r="G4798" t="inlineStr">
        <is>
          <t>2020-01-20 16:15:49</t>
        </is>
      </c>
      <c r="H4798" t="inlineStr"/>
    </row>
    <row r="4799">
      <c r="A4799" t="inlineStr">
        <is>
          <t>ermemg</t>
        </is>
      </c>
      <c r="B4799" t="inlineStr">
        <is>
          <t>Acid reflux without any chest pain?</t>
        </is>
      </c>
      <c r="C4799" t="inlineStr">
        <is>
          <t>For the past 2-3 weeks I’ve been experiencing some weird kind of acid reflux. I will sometimes burp up acid that will make my throat feel like it’s burning, but it won’t be accompanied by any kind of burning sensation in my chest. If acid is coming up my throat and burning it, then why does my esophagus feel unscathed?</t>
        </is>
      </c>
      <c r="D4799" t="n">
        <v>1</v>
      </c>
      <c r="E4799" t="n">
        <v>6</v>
      </c>
      <c r="F4799">
        <f>HYPERLINK("https://www.reddit.com/r/GERD/comments/ermemg/acid_reflux_without_any_chest_pain/")</f>
        <v/>
      </c>
      <c r="G4799" t="inlineStr">
        <is>
          <t>2020-01-20 16:18:04</t>
        </is>
      </c>
      <c r="H4799" t="inlineStr"/>
    </row>
    <row r="4800">
      <c r="A4800" t="inlineStr">
        <is>
          <t>erml3f</t>
        </is>
      </c>
      <c r="B4800" t="inlineStr">
        <is>
          <t>Snot stuck in chest</t>
        </is>
      </c>
      <c r="C4800" t="inlineStr">
        <is>
          <t>Whenever you guys have post nasal drip, does it feel like mucus gets stuck in the middle of your chest. Like my lungs are clear but idk.</t>
        </is>
      </c>
      <c r="D4800" t="n">
        <v>1</v>
      </c>
      <c r="E4800" t="n">
        <v>9</v>
      </c>
      <c r="F4800">
        <f>HYPERLINK("https://www.reddit.com/r/GERD/comments/erml3f/snot_stuck_in_chest/")</f>
        <v/>
      </c>
      <c r="G4800" t="inlineStr">
        <is>
          <t>2020-01-20 16:32:14</t>
        </is>
      </c>
      <c r="H4800" t="inlineStr"/>
    </row>
    <row r="4801">
      <c r="A4801" t="inlineStr">
        <is>
          <t>erndyy</t>
        </is>
      </c>
      <c r="B4801" t="inlineStr">
        <is>
          <t>Does anyone experience any similar symptoms?</t>
        </is>
      </c>
      <c r="C4801" t="inlineStr">
        <is>
          <t>(19/F) Since December, I have been experiencing moderate GERD symptoms. It all started around Christmas time, and I am almost certain I triggered it by simply eating too much, eating very quickly and due to my excessive caffeine consumption (I was very stressed.) My worst symptoms occurred for maybe 2 days, when I experienced pretty sharp chest pains, stomachaches, and excess gas. This lead me to visit the doctor and he told me to go get a Urea Breath test for H. Pylori (which I have yet to do, reading posts on here have made me a bit reluctant to do so as many people report that their symptoms get worse after treatment.) However, the most painful symptoms seemed to go away if I ate less, slower and chewed more thoroughly. I also follow most basic GERD management advice (eat at least 3 hours before bed, don't drink liquids with your food, avoid caffeine, etc.) Currently, I can eat almost anything without experiencing pain, however, I still belch excessively and wake up with a sore throat and brown phlegm (which I have assumed to be blood from my esophagus.) Recently, I realized that there have been countless times in the past (before any of this started) where I experienced a sore throat upon waking, but I always assumed it to be because my room was too dry, or because there was something irritating my throat at night. I also pretty much constantly had mild mucus overproduction throughout my teenage years but I never thought too much of it. Basically, the only thing that has never occurred in the past is the frequent belching, and none of these symptoms ever presented at the same time in the past. 
I have pretty bad anxiety, especially regarding my health, so I don't know if I am making any of these symptoms worse by excessively worrying or not. If anyone has any advice, or experiences anything similar, let me know! Thanks!</t>
        </is>
      </c>
      <c r="D4801" t="n">
        <v>1</v>
      </c>
      <c r="E4801" t="n">
        <v>3</v>
      </c>
      <c r="F4801">
        <f>HYPERLINK("https://www.reddit.com/r/GERD/comments/erndyy/does_anyone_experience_any_similar_symptoms/")</f>
        <v/>
      </c>
      <c r="G4801" t="inlineStr">
        <is>
          <t>2020-01-20 17:35:54</t>
        </is>
      </c>
      <c r="H4801" t="inlineStr"/>
    </row>
    <row r="4802">
      <c r="A4802" t="inlineStr">
        <is>
          <t>ernv1l</t>
        </is>
      </c>
      <c r="B4802" t="inlineStr">
        <is>
          <t>How do you deal with this?</t>
        </is>
      </c>
      <c r="C4802" t="inlineStr">
        <is>
          <t>I used to have acids reflux episodes but now it's a constant pain that requires medication on a daily basis. I'm only 23 and right now I just have a very dim outlook on life. 
No tomatoes, chocolate, tea, coffee, everything I enjoyed eating that made food flavorful will now cause me pain. 
How do you keep a positive outlook on life?</t>
        </is>
      </c>
      <c r="D4802" t="n">
        <v>1</v>
      </c>
      <c r="E4802" t="n">
        <v>12</v>
      </c>
      <c r="F4802">
        <f>HYPERLINK("https://www.reddit.com/r/GERD/comments/ernv1l/how_do_you_deal_with_this/")</f>
        <v/>
      </c>
      <c r="G4802" t="inlineStr">
        <is>
          <t>2020-01-20 18:14:16</t>
        </is>
      </c>
      <c r="H4802" t="inlineStr"/>
    </row>
    <row r="4803">
      <c r="A4803" t="inlineStr">
        <is>
          <t>erp3k5</t>
        </is>
      </c>
      <c r="B4803" t="inlineStr">
        <is>
          <t>Tips on how to suppress belching?</t>
        </is>
      </c>
      <c r="C4803" t="inlineStr">
        <is>
          <t>Does anyone have any tips for holding in or avoiding burps? I find that most of the painful/burning sensations that I get typically follow a burp/hiccup or some sort of contraction in my digestive tract.</t>
        </is>
      </c>
      <c r="D4803" t="n">
        <v>1</v>
      </c>
      <c r="E4803" t="n">
        <v>1</v>
      </c>
      <c r="F4803">
        <f>HYPERLINK("https://www.reddit.com/r/GERD/comments/erp3k5/tips_on_how_to_suppress_belching/")</f>
        <v/>
      </c>
      <c r="G4803" t="inlineStr">
        <is>
          <t>2020-01-20 19:56:50</t>
        </is>
      </c>
      <c r="H4803" t="inlineStr"/>
    </row>
    <row r="4804">
      <c r="A4804" t="inlineStr">
        <is>
          <t>erpfqn</t>
        </is>
      </c>
      <c r="B4804" t="inlineStr">
        <is>
          <t>Anyone else get days where they can't eat or drink literally anything without nausea?</t>
        </is>
      </c>
      <c r="C4804" t="inlineStr">
        <is>
          <t>I had a bit of a flare up last night after dinner, kept me up late and then I woke up early in the morning with nausea. All day today no matter what I eat or drink, even just straight water, I feel nauseous. Is this beyond the normal symptoms of GERD?</t>
        </is>
      </c>
      <c r="D4804" t="n">
        <v>1</v>
      </c>
      <c r="E4804" t="n">
        <v>14</v>
      </c>
      <c r="F4804">
        <f>HYPERLINK("https://www.reddit.com/r/GERD/comments/erpfqn/anyone_else_get_days_where_they_cant_eat_or_drink/")</f>
        <v/>
      </c>
      <c r="G4804" t="inlineStr">
        <is>
          <t>2020-01-20 20:26:41</t>
        </is>
      </c>
      <c r="H4804" t="inlineStr"/>
    </row>
    <row r="4805">
      <c r="A4805" t="inlineStr">
        <is>
          <t>erpy6r</t>
        </is>
      </c>
      <c r="B4805" t="inlineStr">
        <is>
          <t>Trying to piece together what's happening to me</t>
        </is>
      </c>
      <c r="C4805" t="inlineStr">
        <is>
          <t>Hello,
Starting in the summer I started drinking 1-2 energy drinks per day; not a good idea I know! At the end of October, i noticed I was getting indigestion and heartburn which I've never experienced in my life and starting developing allergic rhinitis. I ended up going to the Urgent care where they prescribed me Z-pack, methylprednisone, and some sort of probiotic to take as she suspected sinus infection.
One week later and not feeling better so I went to go and see my pulmonologist. She ordered a chest x-ray and "coincidentally" didn't tell me I had pneumonia in my left lung till the 2-week followup. At this point i was feeling miserable and put on my second antibiotic Levoflaxin (the worst antibiotic I've ever taken); this caused tendonitis and did nothing positive for me. She recommended I see an ENT who then put me on my third antibiotic augmentin which I finished, so needless to say I was on three antibiotics in November and finally cleared of Pneumonia at the beginning of December.
During this November Ordeal, I noticed myself spitting up a lot of clear mucus / phlegm, either when I was using the steamer to clear my sinuses or during regular activities. I attributed this to water brashing or just reflux of sorts. I was presuming it was due to the antibiotic use. 
I saw a GI in December after not feeling better and having heartburn / indigestion and she prescribed me nexium 40mg. I've been on that for 5 weeks now, and I've noticed that I have non-stop belching hours after eating and at random hours of the day. No blood in stool, no blood in vomit (even when i had the stomach bug), nor coughing up blood. Through experimentation, I have noticed that consuming Apple Cider Vinegar will kill the burping all together, and using nystatin helped tremendously, leading me to believe that the nexium is counteracting the fact that I may have too little stomach acid being produced, and that instead i may have some thrush due to using steroid inhalers, and using a wide amount of antibiotics giving yeast the opportunity to over-colonize.
I have my next GI visit in February and really want to avoid an endoscopy if I can, so i'm wanting to reduce the nexium to 20mg for a week, and then try to eliminate to see if my suspicions are correct about maybe having too little acid in the first place and therefore having the non-stop burping due to using the nexium. The burping is causing me to need to burp at times to breathe clearly and its really nerve wracking and anxiety inducing. I also want to see if the heartburn will come back, if not then my suspicions may be through. I wanted to ask for help here to see if anyone could further confirm based off my symptoms, personal experience, or individualistic experiences what I'm experiencing. I really need help!</t>
        </is>
      </c>
      <c r="D4805" t="n">
        <v>1</v>
      </c>
      <c r="E4805" t="n">
        <v>8</v>
      </c>
      <c r="F4805">
        <f>HYPERLINK("https://www.reddit.com/r/GERD/comments/erpy6r/trying_to_piece_together_whats_happening_to_me/")</f>
        <v/>
      </c>
      <c r="G4805" t="inlineStr">
        <is>
          <t>2020-01-20 21:13:48</t>
        </is>
      </c>
      <c r="H4805" t="inlineStr"/>
    </row>
    <row r="4806">
      <c r="A4806" t="inlineStr">
        <is>
          <t>erq03g</t>
        </is>
      </c>
      <c r="B4806" t="inlineStr">
        <is>
          <t>DAE Swollen tonsil &amp;amp; GERD</t>
        </is>
      </c>
      <c r="C4806" t="inlineStr">
        <is>
          <t>If you experience GERD and also have a swollen tonsil please comment below. I have noticed some others on this forum have noted 1 swollen tonsil, I would like to try to get some confirmation as the ENT isn’t very helpful. I’ve paid $500 in dr bills to try and figure out why my tonsil is swollen and they still don’t know.
If you have just 1 tonsil bigger than the other and other glands are swollen around it let me know as well!</t>
        </is>
      </c>
      <c r="D4806" t="n">
        <v>1</v>
      </c>
      <c r="E4806" t="n">
        <v>5</v>
      </c>
      <c r="F4806">
        <f>HYPERLINK("https://www.reddit.com/r/GERD/comments/erq03g/dae_swollen_tonsil_gerd/")</f>
        <v/>
      </c>
      <c r="G4806" t="inlineStr">
        <is>
          <t>2020-01-20 21:18:45</t>
        </is>
      </c>
      <c r="H4806" t="inlineStr"/>
    </row>
    <row r="4807">
      <c r="A4807" t="inlineStr">
        <is>
          <t>erq7xp</t>
        </is>
      </c>
      <c r="B4807" t="inlineStr">
        <is>
          <t>Help me please</t>
        </is>
      </c>
      <c r="C4807" t="inlineStr">
        <is>
          <t>Hi so about 5 months ago I was experiencing a burning feeling in my throat for along time very long time. And it has passed in the last month or two, but now it’s came back. Just a constant  burning throat feeling making me have to cough. Is this acid reflux or is this due to my past and vaping for 2 years?? I’m worried. Please help.</t>
        </is>
      </c>
      <c r="D4807" t="n">
        <v>1</v>
      </c>
      <c r="E4807" t="n">
        <v>16</v>
      </c>
      <c r="F4807">
        <f>HYPERLINK("https://www.reddit.com/r/GERD/comments/erq7xp/help_me_please/")</f>
        <v/>
      </c>
      <c r="G4807" t="inlineStr">
        <is>
          <t>2020-01-20 21:39:33</t>
        </is>
      </c>
      <c r="H4807" t="inlineStr"/>
    </row>
    <row r="4808">
      <c r="A4808" t="inlineStr">
        <is>
          <t>erq968</t>
        </is>
      </c>
      <c r="B4808" t="inlineStr">
        <is>
          <t>Food bits in throat</t>
        </is>
      </c>
      <c r="C4808" t="inlineStr">
        <is>
          <t>You think i would've learned to chew my food properly with all the stuff wrong with me, but i can't! Anyway to help move them along? Or should i just wait till they go down on their own? I've been drinking water, but i think my throat is getting tired of the swallowing.</t>
        </is>
      </c>
      <c r="D4808" t="n">
        <v>1</v>
      </c>
      <c r="E4808" t="n">
        <v>0</v>
      </c>
      <c r="F4808">
        <f>HYPERLINK("https://www.reddit.com/r/GERD/comments/erq968/food_bits_in_throat/")</f>
        <v/>
      </c>
      <c r="G4808" t="inlineStr">
        <is>
          <t>2020-01-20 21:42:45</t>
        </is>
      </c>
      <c r="H4808" t="inlineStr"/>
    </row>
    <row r="4809">
      <c r="A4809" t="inlineStr">
        <is>
          <t>erqaet</t>
        </is>
      </c>
      <c r="B4809" t="inlineStr">
        <is>
          <t>Morning Acid Reflux</t>
        </is>
      </c>
      <c r="C4809" t="inlineStr">
        <is>
          <t>What’s the best way to prevent morning acid reflux ?</t>
        </is>
      </c>
      <c r="D4809" t="n">
        <v>1</v>
      </c>
      <c r="E4809" t="n">
        <v>4</v>
      </c>
      <c r="F4809">
        <f>HYPERLINK("https://www.reddit.com/r/GERD/comments/erqaet/morning_acid_reflux/")</f>
        <v/>
      </c>
      <c r="G4809" t="inlineStr">
        <is>
          <t>2020-01-20 21:46:11</t>
        </is>
      </c>
      <c r="H4809" t="inlineStr"/>
    </row>
    <row r="4810">
      <c r="A4810" t="inlineStr">
        <is>
          <t>ersp8j</t>
        </is>
      </c>
      <c r="B4810" t="inlineStr">
        <is>
          <t>Endoscope</t>
        </is>
      </c>
      <c r="C4810" t="inlineStr">
        <is>
          <t>Thé upper endoscope was Fun . Thought i saw baby Jesus for a second.</t>
        </is>
      </c>
      <c r="D4810" t="n">
        <v>1</v>
      </c>
      <c r="E4810" t="n">
        <v>9</v>
      </c>
      <c r="F4810">
        <f>HYPERLINK("https://www.reddit.com/r/GERD/comments/ersp8j/endoscope/")</f>
        <v/>
      </c>
      <c r="G4810" t="inlineStr">
        <is>
          <t>2020-01-21 02:19:13</t>
        </is>
      </c>
      <c r="H4810" t="inlineStr"/>
    </row>
    <row r="4811">
      <c r="A4811" t="inlineStr">
        <is>
          <t>ertnv1</t>
        </is>
      </c>
      <c r="B4811" t="inlineStr">
        <is>
          <t>Can anyone tell me if I have GERD?</t>
        </is>
      </c>
      <c r="C4811" t="inlineStr">
        <is>
          <t>Hey all,
So basically I contracted either food poisoning or the stomach flu 5 days ago. Throwing up, diarhea, not eating much etc. I started noticing I was getting acid reflux from how much Gatorade I was drinking and just laying down constantly. Fast forward a few days, I am now dealing with these symptoms.
Also to note, I haven't dealt with these symptoms prior to getting sick. 1st time was a couple of years ago when I was bed ridden and extremely sick.
- Constantly needing to burp or belch 
- sensation like something stuck in my throat/chest
- usually worsens when laying down or bending on the toilet
- yellow stool (this has been happening since i got the flu/food poisoning so not sure if its just because I'm still recovering from the flu or poisoning)
This would be my 2nd time experiencing this in my life. The one other time was a couple years ago where I got extremely sick and was also bed ridden. Any help would be appreciated. Thank you.</t>
        </is>
      </c>
      <c r="D4811" t="n">
        <v>1</v>
      </c>
      <c r="E4811" t="n">
        <v>2</v>
      </c>
      <c r="F4811">
        <f>HYPERLINK("https://www.reddit.com/r/GERD/comments/ertnv1/can_anyone_tell_me_if_i_have_gerd/")</f>
        <v/>
      </c>
      <c r="G4811" t="inlineStr">
        <is>
          <t>2020-01-21 03:59:35</t>
        </is>
      </c>
      <c r="H4811" t="inlineStr"/>
    </row>
    <row r="4812">
      <c r="A4812" t="inlineStr">
        <is>
          <t>ervgpo</t>
        </is>
      </c>
      <c r="B4812" t="inlineStr">
        <is>
          <t>Barrets esophagus at 23 years old</t>
        </is>
      </c>
      <c r="C4812" t="inlineStr">
        <is>
          <t>Hello, after my endoscopy they saw a small segment of barret esophagus, they are not sure, it's 50/50 for them
Biopsies will tell us
Also they did biopsy on my duodenum because they found some "pseudo" polyp, for them it's nothing to worry about
I had multiple erosion on my esophagus years ago, that's probably the cause
I want to know something :
- should I be worried about barrets?
- are these polyp dangerous?</t>
        </is>
      </c>
      <c r="D4812" t="n">
        <v>1</v>
      </c>
      <c r="E4812" t="n">
        <v>3</v>
      </c>
      <c r="F4812">
        <f>HYPERLINK("https://www.reddit.com/r/GERD/comments/ervgpo/barrets_esophagus_at_23_years_old/")</f>
        <v/>
      </c>
      <c r="G4812" t="inlineStr">
        <is>
          <t>2020-01-21 06:35:30</t>
        </is>
      </c>
      <c r="H4812" t="inlineStr"/>
    </row>
    <row r="4813">
      <c r="A4813" t="inlineStr">
        <is>
          <t>ervy7u</t>
        </is>
      </c>
      <c r="B4813" t="inlineStr">
        <is>
          <t>Is this GERD?</t>
        </is>
      </c>
      <c r="C4813" t="inlineStr">
        <is>
          <t>Hi all,
I have been diagnosed with LPR before (silent reflux) based on my symptoms and laryngeal exam. Two of the main symptoms I get are tiredness when I wake up, including day-time fatigue, and cold symptoms like sore throat, nasal drip, sneezing. 
Anyone else experience this?
I may try to do a home sleep study to rule out sleep apnea. 
&amp;amp;#x200B;
Thanks and much love!</t>
        </is>
      </c>
      <c r="D4813" t="n">
        <v>1</v>
      </c>
      <c r="E4813" t="n">
        <v>2</v>
      </c>
      <c r="F4813">
        <f>HYPERLINK("https://www.reddit.com/r/GERD/comments/ervy7u/is_this_gerd/")</f>
        <v/>
      </c>
      <c r="G4813" t="inlineStr">
        <is>
          <t>2020-01-21 07:15:17</t>
        </is>
      </c>
      <c r="H4813" t="inlineStr"/>
    </row>
    <row r="4814">
      <c r="A4814" t="inlineStr">
        <is>
          <t>erwqp2</t>
        </is>
      </c>
      <c r="B4814" t="inlineStr">
        <is>
          <t>Acid rebound? Am I just going crazy?</t>
        </is>
      </c>
      <c r="C4814" t="inlineStr">
        <is>
          <t>Two weeks ago, I finished an 8 week treatment of omeprazole related to persistent reflux. The treatment seemed to do the trick, and I have felt few symptoms since finishing it (I had some minor burning in the chest, the occasional bloating but nothing crazy). 
Two nights ago, I woke up in the middle of the night feeling nauseous and salivating continuously. It went away during the day Monday, but came back that afternoon. Truthfully, I had a small cup of coffee (only a couple ounces of coffee) and a seltzer water, but these are both things that I have had in the two weeks prior that had little to no effect, whatsoever. The hypersalivation hasn't gone away since yesterday afternoon, keeping me up at night and causing a nuisance throughout the day today. 
I am not a big coffee drinker, with maybe a cup or two a week, if that. I do, however, drink a decent amount of seltzer water. I also workout every day, mostly running or swimming, and eat a healthy diet. I've continued taking DGL 3-4 times a day, as well.  
Soooo my question is - *could these minor symptoms (the burning, bloating and hypersalivation) be acid rebound? I was told they could happen for a few weeks afterwards, but it seems odd that it picked up this late.*  
Also, has anyone else had an acid rebound instance, and what was the timeline like to know if it's that or just GERD symptoms that are coming back and the treatment didn't work? I know that stress and anxiety doesn't help these things, and thinking about it can only make it worse. 
Any help would be greatly appreciated!</t>
        </is>
      </c>
      <c r="D4814" t="n">
        <v>1</v>
      </c>
      <c r="E4814" t="n">
        <v>4</v>
      </c>
      <c r="F4814">
        <f>HYPERLINK("https://www.reddit.com/r/GERD/comments/erwqp2/acid_rebound_am_i_just_going_crazy/")</f>
        <v/>
      </c>
      <c r="G4814" t="inlineStr">
        <is>
          <t>2020-01-21 08:12:36</t>
        </is>
      </c>
      <c r="H4814" t="inlineStr"/>
    </row>
    <row r="4815">
      <c r="A4815" t="inlineStr">
        <is>
          <t>erx080</t>
        </is>
      </c>
      <c r="B4815" t="inlineStr">
        <is>
          <t>LPR breathing issues getting better</t>
        </is>
      </c>
      <c r="C4815" t="inlineStr">
        <is>
          <t>I've posted here a few time before about my LPR symptoms, which include cough, throat-clearing, hoarseness, back pains and -- most distressingly -- breathing problems/asthma. 
Over the past 6 years my weight has gone up from about 155 to about 225. I've become sedentary and out of control with my eating. I often eat late in the day after work and then lie down on the couch immediately after. I'm thinking that this has caused most, if not all, of my breathing problems.
The problem is that I also suffer from health anxiety, so I tend to assume the worst. I have gone to the doctor's half a dozen times over the past year thinking I have a major cardiac or pulmonary disease. All tests have said no.
But now I'm trying to turn this ship around. I got a prescription for Prozac to help me deal with my health anxiety, which is gotten much better over the past month. Then I went to a nutritionist and am on a weight loss program. Shake for breakfast and lunch, protein bar for a snack and a light dinner like salmon with roasted veggies. Nothing but water to drink and no alcohol.
So far I've lost 14 pounds (in two weeks) and am ultimately looking to drop down to about 170-175. Already my breathing is much better. I have fewer episodes where I feel restricted in my breathing, my energy is much better and I'm not dwelling on my health as much as I used to.
It's not perfect: I'll still clear my throat for an hour after eating the wrong thing -- too many onions or garlic, for example. I'll still wake up a bit hoarse occasionally. But I have to say that losing weight has already made a positive difference. And I think the fact that I'm essentially doing a quasi-elimination diet has helped rid my system of inflammation-causing foods that probably weren't helping.
I'm now slowly incorporating exercise back into my life, which I'm hoping helps things along more.
Anyway, just wanted to report in and let you know that things can get better.</t>
        </is>
      </c>
      <c r="D4815" t="n">
        <v>1</v>
      </c>
      <c r="E4815" t="n">
        <v>9</v>
      </c>
      <c r="F4815">
        <f>HYPERLINK("https://www.reddit.com/r/GERD/comments/erx080/lpr_breathing_issues_getting_better/")</f>
        <v/>
      </c>
      <c r="G4815" t="inlineStr">
        <is>
          <t>2020-01-21 08:29:14</t>
        </is>
      </c>
      <c r="H4815" t="inlineStr"/>
    </row>
    <row r="4816">
      <c r="A4816" t="inlineStr">
        <is>
          <t>erz3ns</t>
        </is>
      </c>
      <c r="B4816" t="inlineStr">
        <is>
          <t>Fundoplication Surgery + Pregnancy</t>
        </is>
      </c>
      <c r="C4816" t="inlineStr">
        <is>
          <t>Hi all- curious to know if anyone who has had a full or partial Nissan fundoplicaiton procedure have gotten pregnant post-op and what their experience was? I'm almost 3 months out, still healing obviously, but was hoping to get knocked up this year by my husband😂 Thanks for coming to my ted talk.</t>
        </is>
      </c>
      <c r="D4816" t="n">
        <v>1</v>
      </c>
      <c r="E4816" t="n">
        <v>0</v>
      </c>
      <c r="F4816">
        <f>HYPERLINK("https://www.reddit.com/r/GERD/comments/erz3ns/fundoplication_surgery_pregnancy/")</f>
        <v/>
      </c>
      <c r="G4816" t="inlineStr">
        <is>
          <t>2020-01-21 10:53:19</t>
        </is>
      </c>
      <c r="H4816" t="inlineStr"/>
    </row>
    <row r="4817">
      <c r="A4817" t="inlineStr">
        <is>
          <t>erzoi8</t>
        </is>
      </c>
      <c r="B4817" t="inlineStr">
        <is>
          <t>Help with gerd</t>
        </is>
      </c>
      <c r="C4817" t="inlineStr">
        <is>
          <t>Ok I’ve been looking around and I can’t seem to find anyone with my same exact problem. 
When I eat a lot of food and lay down I’m fine. No reflux but the moment I start to fall asleep it feel like something is coming up but nothing ever does. It does startle me into jumping out of bed and taking a deep breath. I rarely ever have a burning sensation and very rarely any pain. 
Does anyone else have gerd like this?</t>
        </is>
      </c>
      <c r="D4817" t="n">
        <v>1</v>
      </c>
      <c r="E4817" t="n">
        <v>1</v>
      </c>
      <c r="F4817">
        <f>HYPERLINK("https://www.reddit.com/r/GERD/comments/erzoi8/help_with_gerd/")</f>
        <v/>
      </c>
      <c r="G4817" t="inlineStr">
        <is>
          <t>2020-01-21 11:31:29</t>
        </is>
      </c>
      <c r="H4817" t="inlineStr"/>
    </row>
    <row r="4818">
      <c r="A4818" t="inlineStr">
        <is>
          <t>es09t7</t>
        </is>
      </c>
      <c r="B4818" t="inlineStr">
        <is>
          <t>Endoscopy result : barrets esophagus</t>
        </is>
      </c>
      <c r="C4818" t="inlineStr">
        <is>
          <t>Hi, so I get my endoscopy result : likely barrets esophagus, the Dr found a "colored tongue" on the cardia
He told me we need biopsy to confirm it, he said he"s "moderately sure" it's barret
It was classified at C0M2, so a short segment
Hope they won't find  dysplasia
I asked if he can remove it with RFA, he said it's only for low a d high grade dysplasia
At least it's a short segment...</t>
        </is>
      </c>
      <c r="D4818" t="n">
        <v>1</v>
      </c>
      <c r="E4818" t="n">
        <v>7</v>
      </c>
      <c r="F4818">
        <f>HYPERLINK("https://www.reddit.com/r/GERD/comments/es09t7/endoscopy_result_barrets_esophagus/")</f>
        <v/>
      </c>
      <c r="G4818" t="inlineStr">
        <is>
          <t>2020-01-21 12:12:36</t>
        </is>
      </c>
      <c r="H4818" t="inlineStr"/>
    </row>
    <row r="4819">
      <c r="A4819" t="inlineStr">
        <is>
          <t>es0ecy</t>
        </is>
      </c>
      <c r="B4819" t="inlineStr">
        <is>
          <t>34F, My LES is not fully closed. But my doc said my endoscopy looks normal?</t>
        </is>
      </c>
      <c r="C4819" t="inlineStr">
        <is>
          <t>I have been suffering from Acid reflux for the last 2 years. For the longest time, I was able to mostly manage if I avoided caffeine. But 3 months ago, I accidentally consumed coco-cola and the acid reflux came back very badly. I had done endoscopy which shows the LES is not fully closed. But my doc mentioned after the procedure that the endoscopy looks good. How is that possible. At night, if I sleep without a wedge pillow, within 10 mins, I can feel the acid in my esophagus.
Attaching my endoscopy for reference. [https://imgur.com/a/n9yICx2](https://imgur.com/a/n9yICx2)</t>
        </is>
      </c>
      <c r="D4819" t="n">
        <v>1</v>
      </c>
      <c r="E4819" t="n">
        <v>11</v>
      </c>
      <c r="F4819">
        <f>HYPERLINK("https://www.reddit.com/r/GERD/comments/es0ecy/34f_my_les_is_not_fully_closed_but_my_doc_said_my/")</f>
        <v/>
      </c>
      <c r="G4819" t="inlineStr">
        <is>
          <t>2020-01-21 12:21:25</t>
        </is>
      </c>
      <c r="H4819" t="inlineStr"/>
    </row>
    <row r="4820">
      <c r="A4820" t="inlineStr">
        <is>
          <t>es0noe</t>
        </is>
      </c>
      <c r="B4820" t="inlineStr">
        <is>
          <t>Difficulty swallowing</t>
        </is>
      </c>
      <c r="C4820" t="inlineStr">
        <is>
          <t>Is difficulty swallowing a symptom of gerd or lpr? I assumed it was but when I researched gerd it never mentioned that. When I swallow sometimes it feels like the food is to big to swallow when it’s not and it feels like at the top it goes down a little slow. Never has gotten stuck, just goes slow right when I first swallow, and occasionally hurts a bit. Can anyone else relate? I’m a 14 year old male</t>
        </is>
      </c>
      <c r="D4820" t="n">
        <v>1</v>
      </c>
      <c r="E4820" t="n">
        <v>2</v>
      </c>
      <c r="F4820">
        <f>HYPERLINK("https://www.reddit.com/r/GERD/comments/es0noe/difficulty_swallowing/")</f>
        <v/>
      </c>
      <c r="G4820" t="inlineStr">
        <is>
          <t>2020-01-21 12:39:30</t>
        </is>
      </c>
      <c r="H4820" t="inlineStr"/>
    </row>
    <row r="4821">
      <c r="A4821" t="inlineStr">
        <is>
          <t>es16k2</t>
        </is>
      </c>
      <c r="B4821" t="inlineStr">
        <is>
          <t>How long to use digestive enzymes?</t>
        </is>
      </c>
      <c r="C4821" t="inlineStr">
        <is>
          <t>For those of you who have acid reflux and heartburn how long do you recommend using these enzymes? i read somewhere that using it for too long can cause your body to not produce them as much. Do you take them with big meals or every meal for how long ?</t>
        </is>
      </c>
      <c r="D4821" t="n">
        <v>1</v>
      </c>
      <c r="E4821" t="n">
        <v>0</v>
      </c>
      <c r="F4821">
        <f>HYPERLINK("https://www.reddit.com/r/GERD/comments/es16k2/how_long_to_use_digestive_enzymes/")</f>
        <v/>
      </c>
      <c r="G4821" t="inlineStr">
        <is>
          <t>2020-01-21 13:14:59</t>
        </is>
      </c>
      <c r="H4821" t="inlineStr"/>
    </row>
    <row r="4822">
      <c r="A4822" t="inlineStr">
        <is>
          <t>es2s03</t>
        </is>
      </c>
      <c r="B4822" t="inlineStr">
        <is>
          <t>Recent post</t>
        </is>
      </c>
      <c r="C4822" t="inlineStr">
        <is>
          <t>Hey, can you check out my recent post in the health anxiety subreddit and let me know what you think? Thank you</t>
        </is>
      </c>
      <c r="D4822" t="n">
        <v>1</v>
      </c>
      <c r="E4822" t="n">
        <v>0</v>
      </c>
      <c r="F4822">
        <f>HYPERLINK("https://www.reddit.com/r/GERD/comments/es2s03/recent_post/")</f>
        <v/>
      </c>
      <c r="G4822" t="inlineStr">
        <is>
          <t>2020-01-21 15:03:57</t>
        </is>
      </c>
      <c r="H4822" t="inlineStr"/>
    </row>
    <row r="4823">
      <c r="A4823" t="inlineStr">
        <is>
          <t>es388t</t>
        </is>
      </c>
      <c r="B4823" t="inlineStr">
        <is>
          <t>Need help</t>
        </is>
      </c>
      <c r="C4823" t="inlineStr">
        <is>
          <t>Ok sorry I promise this is my last post for a while, I have a doctors appointment tomorrow, so just getting any last ideas/reassurance I can
So I’m a 14 year old male, my symptoms started 7 months ago, and the only current condition I have is bad anxiety 
My symptoms have been indigestion, burping, regurgitation, upper abdominal fullness, and since earlier this month, a few swollen lymph nodes (I think, they are small bumps that are not visible but can be felt when I turn my head), and lately some swallowing problems. Basically when I swallow food sometimes it feels to big and hurts a bit. It doesn’t really get stuck but it goes down a bit slow. Also a few things to add, the lymph nodes are firm but not hard, painless, and pretty moveable. I’ve seen a doctor and he gave me 2 months of Omeprazole 40mg which, to be honest, only helped a little. Also I have always had really bad seasonal allergies. I am going back to the doctor sometime in the upcoming weeks/months. 
That’s all the information I have to give. I’m really worried about esophageal cancer honestly even though I know the chances are tiny. It just feels like I have so many matching symptoms. Oh and one more thing to add I sometimes feel really dizzy and lightheaded when I get up from sitting or lying down which I’m not sure if it’s normal but just thought I should add that. Any opinions or even reassurance would be nice, but I really want to be able to move past all this since this has been the worst 7 months of my life and since it’s my first year of high school, the anxiety is so bad right now. Thanks for reading</t>
        </is>
      </c>
      <c r="D4823" t="n">
        <v>1</v>
      </c>
      <c r="E4823" t="n">
        <v>8</v>
      </c>
      <c r="F4823">
        <f>HYPERLINK("https://www.reddit.com/r/GERD/comments/es388t/need_help/")</f>
        <v/>
      </c>
      <c r="G4823" t="inlineStr">
        <is>
          <t>2020-01-21 15:37:40</t>
        </is>
      </c>
      <c r="H4823" t="inlineStr"/>
    </row>
    <row r="4824">
      <c r="A4824" t="inlineStr">
        <is>
          <t>es38tk</t>
        </is>
      </c>
      <c r="B4824" t="inlineStr">
        <is>
          <t>No symptoms of silent reflux but redness in throat.</t>
        </is>
      </c>
      <c r="C4824" t="inlineStr">
        <is>
          <t>I have looked at symptoms of silent reflux and only symptom I have so far is redness in throat. None of coughing , throat clearing, voice issues, sore throat or post nasal drip.
My ENT still thinks it’s silent reflux. And he thinks I should take some advanced steps apart from PPI, like looking in to surgery.
Does surgery fox silent reflux ?</t>
        </is>
      </c>
      <c r="D4824" t="n">
        <v>1</v>
      </c>
      <c r="E4824" t="n">
        <v>10</v>
      </c>
      <c r="F4824">
        <f>HYPERLINK("https://www.reddit.com/r/GERD/comments/es38tk/no_symptoms_of_silent_reflux_but_redness_in_throat/")</f>
        <v/>
      </c>
      <c r="G4824" t="inlineStr">
        <is>
          <t>2020-01-21 15:38:54</t>
        </is>
      </c>
      <c r="H4824" t="inlineStr"/>
    </row>
    <row r="4825">
      <c r="A4825" t="inlineStr">
        <is>
          <t>es52fe</t>
        </is>
      </c>
      <c r="B4825" t="inlineStr">
        <is>
          <t>Endoscopy Thursday, really scared</t>
        </is>
      </c>
      <c r="C4825" t="inlineStr">
        <is>
          <t>I’m not even scared about what they’ll find I’m just terrified of the procedure itself. I feel like such a wimp that I’m freaking out over this but idk what to do.</t>
        </is>
      </c>
      <c r="D4825" t="n">
        <v>1</v>
      </c>
      <c r="E4825" t="n">
        <v>1</v>
      </c>
      <c r="F4825">
        <f>HYPERLINK("https://www.reddit.com/r/GERD/comments/es52fe/endoscopy_thursday_really_scared/")</f>
        <v/>
      </c>
      <c r="G4825" t="inlineStr">
        <is>
          <t>2020-01-21 18:00:56</t>
        </is>
      </c>
      <c r="H4825" t="inlineStr"/>
    </row>
    <row r="4826">
      <c r="A4826" t="inlineStr">
        <is>
          <t>es5o72</t>
        </is>
      </c>
      <c r="B4826" t="inlineStr">
        <is>
          <t>My appetite is gone</t>
        </is>
      </c>
      <c r="C4826" t="inlineStr">
        <is>
          <t>I just can’t keep up with food anymore. The only thing I can really handle is a smoothie. I try to eat but my appetite is just not there anymore. On top of that I just feel sick all the time whether it’s stomach pain, nausea, or just a general unwell feeling. I’m barely 90 pounds now and I’m scared of losing any more weight. Plus the weight loss is making me really insecure. None of my clothes fit anymore. Idk what else to do. Is there a medication I can ask for to help me?</t>
        </is>
      </c>
      <c r="D4826" t="n">
        <v>1</v>
      </c>
      <c r="E4826" t="n">
        <v>20</v>
      </c>
      <c r="F4826">
        <f>HYPERLINK("https://www.reddit.com/r/GERD/comments/es5o72/my_appetite_is_gone/")</f>
        <v/>
      </c>
      <c r="G4826" t="inlineStr">
        <is>
          <t>2020-01-21 18:50:01</t>
        </is>
      </c>
      <c r="H4826" t="inlineStr"/>
    </row>
    <row r="4827">
      <c r="A4827" t="inlineStr">
        <is>
          <t>es5yjp</t>
        </is>
      </c>
      <c r="B4827" t="inlineStr">
        <is>
          <t>Getting frustrated and down about this gerd crap</t>
        </is>
      </c>
      <c r="C4827" t="inlineStr">
        <is>
          <t>Been on vacation and was trying to take it easy on junk food and such.  Frickin last day and all I've had to eat all day is a hamburger patty with some cheese on it and water to drink.  Walked a lot today too.  But, so damn frustrated with this... Clearing my throat all the time, coughing, gagging.  Just sat down at a bar in the airport waiting for my flight and all I've had is three glasses of water and still coughing! This frickin sucks!  Wth!  (already on 40mg omeprazole twice a day)</t>
        </is>
      </c>
      <c r="D4827" t="n">
        <v>1</v>
      </c>
      <c r="E4827" t="n">
        <v>5</v>
      </c>
      <c r="F4827">
        <f>HYPERLINK("https://www.reddit.com/r/GERD/comments/es5yjp/getting_frustrated_and_down_about_this_gerd_crap/")</f>
        <v/>
      </c>
      <c r="G4827" t="inlineStr">
        <is>
          <t>2020-01-21 19:13:16</t>
        </is>
      </c>
      <c r="H4827" t="inlineStr"/>
    </row>
    <row r="4828">
      <c r="A4828" t="inlineStr">
        <is>
          <t>es7zvg</t>
        </is>
      </c>
      <c r="B4828" t="inlineStr">
        <is>
          <t>Stool is still between orange and brown and appointment is in 9 hours</t>
        </is>
      </c>
      <c r="C4828" t="inlineStr">
        <is>
          <t>I followed all the rules what happened? Is it ok?</t>
        </is>
      </c>
      <c r="D4828" t="n">
        <v>1</v>
      </c>
      <c r="E4828" t="n">
        <v>8</v>
      </c>
      <c r="F4828">
        <f>HYPERLINK("https://www.reddit.com/r/GERD/comments/es7zvg/stool_is_still_between_orange_and_brown_and/")</f>
        <v/>
      </c>
      <c r="G4828" t="inlineStr">
        <is>
          <t>2020-01-21 22:19:59</t>
        </is>
      </c>
      <c r="H4828" t="inlineStr"/>
    </row>
    <row r="4829">
      <c r="A4829" t="inlineStr">
        <is>
          <t>es9850</t>
        </is>
      </c>
      <c r="B4829" t="inlineStr">
        <is>
          <t>Problems with gravy??</t>
        </is>
      </c>
      <c r="C4829" t="inlineStr">
        <is>
          <t>Do most people suffer symptoms from any form of gravy?</t>
        </is>
      </c>
      <c r="D4829" t="n">
        <v>1</v>
      </c>
      <c r="E4829" t="n">
        <v>2</v>
      </c>
      <c r="F4829">
        <f>HYPERLINK("https://www.reddit.com/r/GERD/comments/es9850/problems_with_gravy/")</f>
        <v/>
      </c>
      <c r="G4829" t="inlineStr">
        <is>
          <t>2020-01-22 00:37:22</t>
        </is>
      </c>
      <c r="H4829" t="inlineStr"/>
    </row>
    <row r="4830">
      <c r="A4830" t="inlineStr">
        <is>
          <t>escb26</t>
        </is>
      </c>
      <c r="B4830" t="inlineStr">
        <is>
          <t>Barrets esophagus : can I get it removed?</t>
        </is>
      </c>
      <c r="C4830" t="inlineStr">
        <is>
          <t>Hello, I was diagnosed with barrets esophagus, no dysplasia
I know risk of cancer is very low but it really bother me to know it's there
Can I see a gastroenterologist a d ask to get it removed? It really interfere with my qualify of life</t>
        </is>
      </c>
      <c r="D4830" t="n">
        <v>1</v>
      </c>
      <c r="E4830" t="n">
        <v>3</v>
      </c>
      <c r="F4830">
        <f>HYPERLINK("https://www.reddit.com/r/GERD/comments/escb26/barrets_esophagus_can_i_get_it_removed/")</f>
        <v/>
      </c>
      <c r="G4830" t="inlineStr">
        <is>
          <t>2020-01-22 06:00:52</t>
        </is>
      </c>
      <c r="H4830" t="inlineStr"/>
    </row>
    <row r="4831">
      <c r="A4831" t="inlineStr">
        <is>
          <t>escgdy</t>
        </is>
      </c>
      <c r="B4831" t="inlineStr">
        <is>
          <t>Can gerd go away if you don't have a hiatus hernia?</t>
        </is>
      </c>
      <c r="C4831" t="inlineStr">
        <is>
          <t>My LPR and gerd came after a viral infection and antibiotic use, endoscopy showed no inflamation and no hiatus hernia, can it go away on its own? Im a 20
 year old male, ppis cause me gas constipation</t>
        </is>
      </c>
      <c r="D4831" t="n">
        <v>1</v>
      </c>
      <c r="E4831" t="n">
        <v>9</v>
      </c>
      <c r="F4831">
        <f>HYPERLINK("https://www.reddit.com/r/GERD/comments/escgdy/can_gerd_go_away_if_you_dont_have_a_hiatus_hernia/")</f>
        <v/>
      </c>
      <c r="G4831" t="inlineStr">
        <is>
          <t>2020-01-22 06:11:12</t>
        </is>
      </c>
      <c r="H4831" t="inlineStr"/>
    </row>
    <row r="4832">
      <c r="A4832" t="inlineStr">
        <is>
          <t>esdvbc</t>
        </is>
      </c>
      <c r="B4832" t="inlineStr">
        <is>
          <t>Diagnosed with GERD as a child, should I look into re-diagnosis?</t>
        </is>
      </c>
      <c r="C4832" t="inlineStr">
        <is>
          <t>So I remember being treated for GERD as a kid, no pepperoni pizza no orange juice and all that. It’s still in my health summary today as saying I currently have it. I mostly ignored it because I didn’t understand it but I’ve realized it fits perfectly with the symptoms I’ve been having.. since I was a child lol. -throat burning -ear burning -chest pain -persistent dry cough -hoarseness -lump in throat.  I am currently not being treated for GERD so my question is, should I start trying to fix things myself as I have eaten terribly for a long time, or go to the doctor for a potential proper diagnosis and go from there?</t>
        </is>
      </c>
      <c r="D4832" t="n">
        <v>1</v>
      </c>
      <c r="E4832" t="n">
        <v>2</v>
      </c>
      <c r="F4832">
        <f>HYPERLINK("https://www.reddit.com/r/GERD/comments/esdvbc/diagnosed_with_gerd_as_a_child_should_i_look_into/")</f>
        <v/>
      </c>
      <c r="G4832" t="inlineStr">
        <is>
          <t>2020-01-22 07:51:58</t>
        </is>
      </c>
      <c r="H4832" t="inlineStr"/>
    </row>
    <row r="4833">
      <c r="A4833" t="inlineStr">
        <is>
          <t>esdw80</t>
        </is>
      </c>
      <c r="B4833" t="inlineStr">
        <is>
          <t>Good Natural Methods</t>
        </is>
      </c>
      <c r="C4833" t="inlineStr">
        <is>
          <t>What are some good natural methods of reducing or relieving a flare up ?</t>
        </is>
      </c>
      <c r="D4833" t="n">
        <v>1</v>
      </c>
      <c r="E4833" t="n">
        <v>6</v>
      </c>
      <c r="F4833">
        <f>HYPERLINK("https://www.reddit.com/r/GERD/comments/esdw80/good_natural_methods/")</f>
        <v/>
      </c>
      <c r="G4833" t="inlineStr">
        <is>
          <t>2020-01-22 07:53:55</t>
        </is>
      </c>
      <c r="H4833" t="inlineStr"/>
    </row>
    <row r="4834">
      <c r="A4834" t="inlineStr">
        <is>
          <t>esdx20</t>
        </is>
      </c>
      <c r="B4834" t="inlineStr">
        <is>
          <t>Quick update</t>
        </is>
      </c>
      <c r="C4834" t="inlineStr">
        <is>
          <t>So I had a physical today and she said the lymph nodes aren’t anything to worry about but she said I lost 9 pounds since November. She says to eat more. Is this anything to worry about? I’m a 14 year old male that weighed 189 in November and now 180. I have really bad anxiety and I think I’ve been eating a little less since my gerd started</t>
        </is>
      </c>
      <c r="D4834" t="n">
        <v>1</v>
      </c>
      <c r="E4834" t="n">
        <v>4</v>
      </c>
      <c r="F4834">
        <f>HYPERLINK("https://www.reddit.com/r/GERD/comments/esdx20/quick_update/")</f>
        <v/>
      </c>
      <c r="G4834" t="inlineStr">
        <is>
          <t>2020-01-22 07:55:40</t>
        </is>
      </c>
      <c r="H4834" t="inlineStr"/>
    </row>
    <row r="4835">
      <c r="A4835" t="inlineStr">
        <is>
          <t>esfmt7</t>
        </is>
      </c>
      <c r="B4835" t="inlineStr">
        <is>
          <t>Restarting Nexium.. how long til symptoms subside?</t>
        </is>
      </c>
      <c r="C4835" t="inlineStr">
        <is>
          <t>I had to stop taking my nexium for a week. I’ve been back on it for 3 days but no real improvement.. how long until they kick back in? Hoping there is somebody who has been through something similar</t>
        </is>
      </c>
      <c r="D4835" t="n">
        <v>1</v>
      </c>
      <c r="E4835" t="n">
        <v>3</v>
      </c>
      <c r="F4835">
        <f>HYPERLINK("https://www.reddit.com/r/GERD/comments/esfmt7/restarting_nexium_how_long_til_symptoms_subside/")</f>
        <v/>
      </c>
      <c r="G4835" t="inlineStr">
        <is>
          <t>2020-01-22 10:00:38</t>
        </is>
      </c>
      <c r="H4835" t="inlineStr"/>
    </row>
    <row r="4836">
      <c r="A4836" t="inlineStr">
        <is>
          <t>esfwka</t>
        </is>
      </c>
      <c r="B4836" t="inlineStr">
        <is>
          <t>Will My LPR Go Away in Less Than 6 Months?</t>
        </is>
      </c>
      <c r="C4836" t="inlineStr">
        <is>
          <t>I read somewhere online that LPR typically takes at least half a year to go away completely, and that bums me out because I really don’t want to continue the strict diet I’ve been going on for that long. I noticed my LPR symptoms earlier this month (lots of belching, acid burning the throat without burning the esophagus), and since then I’ve been on a diet and taking Pepcid twice a day and chewing like 1 or 2 Tums once a day. Symptoms seems to be improving a lot since the day I’ve been dieting and taking meds. I’ve been suffering from LPR for only 2 and a half weeks and I’m already feeling a lot better. I’d also like to mention that my LPR symptoms seem somewhat milder than how symptoms are regularly said to be on others. Does all of this somehow give me a better better chance at healing sooner than in 6 months?</t>
        </is>
      </c>
      <c r="D4836" t="n">
        <v>1</v>
      </c>
      <c r="E4836" t="n">
        <v>0</v>
      </c>
      <c r="F4836">
        <f>HYPERLINK("https://www.reddit.com/r/GERD/comments/esfwka/will_my_lpr_go_away_in_less_than_6_months/")</f>
        <v/>
      </c>
      <c r="G4836" t="inlineStr">
        <is>
          <t>2020-01-22 10:19:39</t>
        </is>
      </c>
      <c r="H4836" t="inlineStr"/>
    </row>
    <row r="4837">
      <c r="A4837" t="inlineStr">
        <is>
          <t>eshua2</t>
        </is>
      </c>
      <c r="B4837" t="inlineStr">
        <is>
          <t>Sore throat LPR or allergies/cold?</t>
        </is>
      </c>
      <c r="C4837" t="inlineStr">
        <is>
          <t>Have had acid reflux under control for the past year due to daily Prilosec with no symptoms after starting the Prilosec. Recently I’ve started taking Paxil for my anxiety (and yes I believe Gerd and anxiety are connected!) with great results but after reading about all the side effects which one of them is Heartburn my anxiety spiked and have been on watch ever since. I upped my dose from 5mg to 10mg (such a small dose) and have been having a really bad sore throat. I am also congested and I don’t have any other Gerd symptoms no heartburn or acid taste. My throat just feels super dry and irritated. What does LPR sore throat feel like? Could just be dry mouth? Or allergies?</t>
        </is>
      </c>
      <c r="D4837" t="n">
        <v>1</v>
      </c>
      <c r="E4837" t="n">
        <v>4</v>
      </c>
      <c r="F4837">
        <f>HYPERLINK("https://www.reddit.com/r/GERD/comments/eshua2/sore_throat_lpr_or_allergiescold/")</f>
        <v/>
      </c>
      <c r="G4837" t="inlineStr">
        <is>
          <t>2020-01-22 12:41:12</t>
        </is>
      </c>
      <c r="H4837" t="inlineStr"/>
    </row>
    <row r="4838">
      <c r="A4838" t="inlineStr">
        <is>
          <t>esiq1a</t>
        </is>
      </c>
      <c r="B4838" t="inlineStr">
        <is>
          <t>Newly diagnosed with GERD in November. Can anyone help elaborate on the research done about GERD/ LPR and the gut flora ( or microbiome ?</t>
        </is>
      </c>
      <c r="C4838" t="inlineStr">
        <is>
          <t>I would happily like to read about what some  have discovered or found out about this?</t>
        </is>
      </c>
      <c r="D4838" t="n">
        <v>1</v>
      </c>
      <c r="E4838" t="n">
        <v>3</v>
      </c>
      <c r="F4838">
        <f>HYPERLINK("https://www.reddit.com/r/GERD/comments/esiq1a/newly_diagnosed_with_gerd_in_november_can_anyone/")</f>
        <v/>
      </c>
      <c r="G4838" t="inlineStr">
        <is>
          <t>2020-01-22 13:41:32</t>
        </is>
      </c>
      <c r="H4838" t="inlineStr"/>
    </row>
    <row r="4839">
      <c r="A4839" t="inlineStr">
        <is>
          <t>esjdis</t>
        </is>
      </c>
      <c r="B4839" t="inlineStr">
        <is>
          <t>What is going on with my body??</t>
        </is>
      </c>
      <c r="C4839" t="inlineStr">
        <is>
          <t>This is going to be long, but if you hang in there, I truly appreciate it.
For information, I’m a 30-year old, 5’11” woman who has had two children and is on the thinner side. September of 2018, I started noticing some weird sensations when I would swallow.  It almost felt like food was getting stuck.  I talked to my PCP about it, she referred me to a gastro who immediately did an endoscopy.  Right before the endoscopy we talked about symptoms and he said a dilation might be in order, but he would see once he gets in there.  Endoscopy was done, Gastro doc said he felt that the dilation would help because my esophagus was a bit narrow.  This is where things get bad. 
Following the endoscopy/dilation, I have now had more issues than I’ve ever had.  Right after, I started to feel a burning sensation in my chest almost constantly.  I was burping a ton for a few weeks after the dilation.  I went back to the gastro and he suggested that I get on a PPI until symptoms subside.  I went on Omeprazole and it seemed to help a little, but not a ton.  I still had the burning sensation in my chest.  I also started to have heart palpitations.  So, we switched to another PPI and that seemed to help for a bit but then symptoms kicked back up.  I then went on a really strong PPI and ended up having kidney issues.
During the endoscopy, the gastro found what looked to possibly be Barrett’s.  He said to come back in a year to get it re-checked.  After everything that happened, I decided to see another GI doc who specializes in swallowing disorders.  I saw him and we did the esophageal motility test which came back totally normal and the 24-hour pH testing that also came back normal.  There was some acid, but in the normal range.  He then suggested another endoscopy where he took another biopsy and it came back as being Barrett’s but it’s incredibly small and no dysplasia.  He asked the GI surgeon for a second opinion, and he said he doesn’t think it’s Barrett’s.  He thinks that because I’m tall (5’11”) that it’s the very top portion of my stomach and not Barrett’s.  WTF.
Here I am, 16 months later, and still have some symptoms, though I will say that things have gotten better. Now, the worst thing that I feel is some pain under my sternum. It feels like someone is poking their finger right under my sternum.  I no longer have issues swallowing unless my throat gets really dry.  I do occasionally feel acid in my throat, but that’s pretty rare and only when I eat crap. I have changed my diet quite a bit and definitely eat more whole/clean foods.
When I was pregnant with my two children, I had reflux.  I knew that I had it.  I could feel the acid coming up.  I don’t feel that now and I didn’t when I started having the weird throat sensations.  Has anyone had any of these same kinds of issues?  Is it possible that I have nerve damage?  Could it be silent reflux?  I don’t tolerate PPIs due to them not playing well with my kidneys.</t>
        </is>
      </c>
      <c r="D4839" t="n">
        <v>1</v>
      </c>
      <c r="E4839" t="n">
        <v>0</v>
      </c>
      <c r="F4839">
        <f>HYPERLINK("https://www.reddit.com/r/GERD/comments/esjdis/what_is_going_on_with_my_body/")</f>
        <v/>
      </c>
      <c r="G4839" t="inlineStr">
        <is>
          <t>2020-01-22 14:27:07</t>
        </is>
      </c>
      <c r="H4839" t="inlineStr"/>
    </row>
    <row r="4840">
      <c r="A4840" t="inlineStr">
        <is>
          <t>eskzdy</t>
        </is>
      </c>
      <c r="B4840" t="inlineStr">
        <is>
          <t>Apple cider vinegar and reflux</t>
        </is>
      </c>
      <c r="C4840" t="inlineStr">
        <is>
          <t>Tomatoes and citrus fruits exacerbate my symptoms is it alright to take ACV ?</t>
        </is>
      </c>
      <c r="D4840" t="n">
        <v>1</v>
      </c>
      <c r="E4840" t="n">
        <v>0</v>
      </c>
      <c r="F4840">
        <f>HYPERLINK("https://www.reddit.com/r/GERD/comments/eskzdy/apple_cider_vinegar_and_reflux/")</f>
        <v/>
      </c>
      <c r="G4840" t="inlineStr">
        <is>
          <t>2020-01-22 16:25:53</t>
        </is>
      </c>
      <c r="H4840" t="inlineStr"/>
    </row>
    <row r="4841">
      <c r="A4841" t="inlineStr">
        <is>
          <t>esl5rk</t>
        </is>
      </c>
      <c r="B4841" t="inlineStr">
        <is>
          <t>Swallowing</t>
        </is>
      </c>
      <c r="C4841" t="inlineStr">
        <is>
          <t>Does anyone else have difficulty swallowing food in the top of your throat? It doesn’t get stuck but a little painful and goes down slow. I’m a 14 year old male, and it feels like it started a week after I stopped taking omeprazole</t>
        </is>
      </c>
      <c r="D4841" t="n">
        <v>1</v>
      </c>
      <c r="E4841" t="n">
        <v>5</v>
      </c>
      <c r="F4841">
        <f>HYPERLINK("https://www.reddit.com/r/GERD/comments/esl5rk/swallowing/")</f>
        <v/>
      </c>
      <c r="G4841" t="inlineStr">
        <is>
          <t>2020-01-22 16:38:42</t>
        </is>
      </c>
      <c r="H4841" t="inlineStr"/>
    </row>
    <row r="4842">
      <c r="A4842" t="inlineStr">
        <is>
          <t>esl8zz</t>
        </is>
      </c>
      <c r="B4842" t="inlineStr">
        <is>
          <t>I Fixed My Bile Reflux with Ginger Candy</t>
        </is>
      </c>
      <c r="C4842" t="inlineStr">
        <is>
          <t>Not click bait. Just here to celebrate.
Been a couple years since I had gallbladder surgery and bile reflux and indigestion have been common problems. I tried everything. Tea, painkillers, etc. 
Then one day I bought "Kerr's Ginger Drops" at the drug store. They are like magic. It seems to be the combo of saliva flow and the ginger that calms the pain. If I feel reflux coming on now I just suck on ginger drops and nothing ever happens. They literally work every time.
Try it if you have stomach problems after your gallbladder removal!!</t>
        </is>
      </c>
      <c r="D4842" t="n">
        <v>1</v>
      </c>
      <c r="E4842" t="n">
        <v>8</v>
      </c>
      <c r="F4842">
        <f>HYPERLINK("https://www.reddit.com/r/GERD/comments/esl8zz/i_fixed_my_bile_reflux_with_ginger_candy/")</f>
        <v/>
      </c>
      <c r="G4842" t="inlineStr">
        <is>
          <t>2020-01-22 16:45:11</t>
        </is>
      </c>
      <c r="H4842" t="inlineStr"/>
    </row>
    <row r="4843">
      <c r="A4843" t="inlineStr">
        <is>
          <t>esld2t</t>
        </is>
      </c>
      <c r="B4843" t="inlineStr">
        <is>
          <t>Thoraxic migration of fundoplication</t>
        </is>
      </c>
      <c r="C4843" t="inlineStr">
        <is>
          <t>Upon endoscopy I have just been diagnosed with a migrated valve to the thorax. It says 2cm hiatal hernia still present after 40 days of anti-reflux surgery. Will I have to redo the surgery? I did feel so good after the surgery that I went over the board and had a mild vomit after 28 days.l, because I ate three slices of pizza and drank two alcoholic drinks; It felt good that night, I slept well, but when I woke up my stomach started bloting, and bloating... until I just had to vomit. Not much came out and the relief was instantaneous. I did some localized weightlifting on machines which I thought would not put pressure on the abdomen. Anyways, lesson learned.
I read that up to 64% of people with migrated valve don’t develop symptoms, and that in these cases the valve might still work OK and surgery should be avoided. I have no symptoms aside from slightly decreased digestive efficiency (motility) after the vomit. But are there complication even in the asymptomatic cases? I read there can be necrosis and gastric perforation that, if unoticed, can lead to 70% morbidity rate.  Another complication is volvulus of the incarcerated stomach. I also suspect I have short esophagus, which may require more aggressive surgery. There are also cases that require open or thoracic surgery, and I read that reoperating a fundoplication is difficult. Also, was it mu doctor’s fault? Will I have to do a barium swallow to confirm the migrated valve? Any advice would be much appreciated. I will update this sub with my experiences as I have been.</t>
        </is>
      </c>
      <c r="D4843" t="n">
        <v>1</v>
      </c>
      <c r="E4843" t="n">
        <v>2</v>
      </c>
      <c r="F4843">
        <f>HYPERLINK("https://www.reddit.com/r/GERD/comments/esld2t/thoraxic_migration_of_fundoplication/")</f>
        <v/>
      </c>
      <c r="G4843" t="inlineStr">
        <is>
          <t>2020-01-22 16:53:59</t>
        </is>
      </c>
      <c r="H4843" t="inlineStr"/>
    </row>
    <row r="4844">
      <c r="A4844" t="inlineStr">
        <is>
          <t>esm23t</t>
        </is>
      </c>
      <c r="B4844" t="inlineStr">
        <is>
          <t>What was your Linx Surgery Follow up appt schedule like?</t>
        </is>
      </c>
      <c r="C4844" t="inlineStr">
        <is>
          <t>For those of you who had the Linx surgery for GERD, what was your follow up schedule like? 
I'm six weeks post up and just had my last follow up.  My recovery was rough to say the least so I was surprised and figured there would be some follow up at least at 3 months. I was told to follow up only as needed which is fine but still surprised me.   Is this the typical schedule or is this unusual?    I also figured they'd want to follow up on how satisfied a patient is with surgery so many months later since it's still fairly new.  I never saw the surgeon again after my surgery (which also surprised me) but saw the advance practitioner was very good.</t>
        </is>
      </c>
      <c r="D4844" t="n">
        <v>1</v>
      </c>
      <c r="E4844" t="n">
        <v>15</v>
      </c>
      <c r="F4844">
        <f>HYPERLINK("https://www.reddit.com/r/GERD/comments/esm23t/what_was_your_linx_surgery_follow_up_appt/")</f>
        <v/>
      </c>
      <c r="G4844" t="inlineStr">
        <is>
          <t>2020-01-22 17:46:39</t>
        </is>
      </c>
      <c r="H4844" t="inlineStr"/>
    </row>
    <row r="4845">
      <c r="A4845" t="inlineStr">
        <is>
          <t>esp15c</t>
        </is>
      </c>
      <c r="B4845" t="inlineStr">
        <is>
          <t>Is Pepcid AC an affective treatment?</t>
        </is>
      </c>
      <c r="C4845" t="inlineStr">
        <is>
          <t>I’ve been diagnosed with GERD for a couple years now and since I have a hiatal hernia, my doctor before prescribed me Zantac 250mg twice a day to prevent acid reflux. It worked great. 
Now that Zantac is recalled and unfortunately my insurance situation is out of whack, I cannot get prescribed meds. 
So now, I’m starting off with chewable Pepcid AC (only found chewables at the pharmacy) about 3 times throughout the day, but I’m wondering if this is as strong/effective as the Zantac for my condition? 
Don’t want to go on nexium as it gave me digestive problems. 
TIA!</t>
        </is>
      </c>
      <c r="D4845" t="n">
        <v>1</v>
      </c>
      <c r="E4845" t="n">
        <v>2</v>
      </c>
      <c r="F4845">
        <f>HYPERLINK("https://www.reddit.com/r/GERD/comments/esp15c/is_pepcid_ac_an_affective_treatment/")</f>
        <v/>
      </c>
      <c r="G4845" t="inlineStr">
        <is>
          <t>2020-01-22 22:07:15</t>
        </is>
      </c>
      <c r="H4845" t="inlineStr"/>
    </row>
    <row r="4846">
      <c r="A4846" t="inlineStr">
        <is>
          <t>espp2m</t>
        </is>
      </c>
      <c r="B4846" t="inlineStr">
        <is>
          <t>What does mild basal cell hyperplasia mean in the tissue biopsy?</t>
        </is>
      </c>
      <c r="C4846" t="inlineStr">
        <is>
          <t>I had an endoscopy and biopsy done. This is the report
Specimen B: "GE junction BX" consists of 2 tissue fragments measuring 0.3 cm each. Entirely submitted labeled B1.
Specimen B.: Sections demonstrate squamocolumnar mucosa with reactive changes, mild basal cell hyperplasia, early multilayered epithelium formation, and chronic inflammation (predominantly within the columnar component). The findings are suggestive of reflux changes. There is no evidence of intestinal metaplasia or dysplasia.
&amp;amp;#x200B;
What does this report mean? Is it the early stages of barrett's syndrome?</t>
        </is>
      </c>
      <c r="D4846" t="n">
        <v>1</v>
      </c>
      <c r="E4846" t="n">
        <v>2</v>
      </c>
      <c r="F4846">
        <f>HYPERLINK("https://www.reddit.com/r/GERD/comments/espp2m/what_does_mild_basal_cell_hyperplasia_mean_in_the/")</f>
        <v/>
      </c>
      <c r="G4846" t="inlineStr">
        <is>
          <t>2020-01-22 23:18:55</t>
        </is>
      </c>
      <c r="H4846" t="inlineStr"/>
    </row>
    <row r="4847">
      <c r="A4847" t="inlineStr">
        <is>
          <t>esqm5b</t>
        </is>
      </c>
      <c r="B4847" t="inlineStr">
        <is>
          <t>Hiatal Hernias &amp;amp; GERD</t>
        </is>
      </c>
      <c r="C4847" t="inlineStr">
        <is>
          <t>Hi, Reddit! 
I have GERD, and I was told that I have a hiatal hernia that was found with a barium test. My GI wasn’t very good (I’m in the process of switching) and didn’t clarify how or if it affected my GERD. He did mention the possibility of needing surgery one day, and that the valve between my esophagus and stomach didn’t work. I haven’t found any clear information online, so if anyone knows a little more about this I’d appreciate it!
Thank you!</t>
        </is>
      </c>
      <c r="D4847" t="n">
        <v>1</v>
      </c>
      <c r="E4847" t="n">
        <v>4</v>
      </c>
      <c r="F4847">
        <f>HYPERLINK("https://www.reddit.com/r/GERD/comments/esqm5b/hiatal_hernias_gerd/")</f>
        <v/>
      </c>
      <c r="G4847" t="inlineStr">
        <is>
          <t>2020-01-23 01:13:26</t>
        </is>
      </c>
      <c r="H4847" t="inlineStr"/>
    </row>
    <row r="4848">
      <c r="A4848" t="inlineStr">
        <is>
          <t>esqyax</t>
        </is>
      </c>
      <c r="B4848" t="inlineStr">
        <is>
          <t>Trigger Foods</t>
        </is>
      </c>
      <c r="C4848" t="inlineStr">
        <is>
          <t>What foods do you find trigger your reflux? My current list is:
* alcohol
* chocolate
* carbonated drinks
* fruit juice
* most fruits except melon (jury is out on grapes currently...)
* rich dairy foods
* mint
* vanilla
Vanilla, and possibly grapes, are a new one to me.
Is there anything you find helps your reflux? So far, my list is:
* milky tea
* Ready Brek
I find gargling with alkaline water is helping alongside my elimination diet, but my throat is still so easily set off by any of the wrong foods. Just had a coughing fit from grapes, so I think they're probably going on my blacklist :(</t>
        </is>
      </c>
      <c r="D4848" t="n">
        <v>1</v>
      </c>
      <c r="E4848" t="n">
        <v>2</v>
      </c>
      <c r="F4848">
        <f>HYPERLINK("https://www.reddit.com/r/GERD/comments/esqyax/trigger_foods/")</f>
        <v/>
      </c>
      <c r="G4848" t="inlineStr">
        <is>
          <t>2020-01-23 01:56:12</t>
        </is>
      </c>
      <c r="H4848" t="inlineStr"/>
    </row>
    <row r="4849">
      <c r="A4849" t="inlineStr">
        <is>
          <t>esr00q</t>
        </is>
      </c>
      <c r="B4849" t="inlineStr">
        <is>
          <t>Terrible indigestion please help</t>
        </is>
      </c>
      <c r="C4849" t="inlineStr">
        <is>
          <t>Hey guys so for a few days I’ve had the worst indigestion possible. I haven’t had any irregular foods and I’ve been sticking to my bland diet. My upper abdomen feels like a rock and it almost feels like I need to burp but I can’t. I’ve had antacids and PPIs all of which don’t help much. I also have the feeling of nausea on an empty stomach. Even when I haven’t had food in like half a day my stomach stick feels like a brick. I’ve never had indigestion like this ever before. 
I also have really bad anxiety and this is just worsening it.
What do I do? Any advice is appreciated</t>
        </is>
      </c>
      <c r="D4849" t="n">
        <v>1</v>
      </c>
      <c r="E4849" t="n">
        <v>6</v>
      </c>
      <c r="F4849">
        <f>HYPERLINK("https://www.reddit.com/r/GERD/comments/esr00q/terrible_indigestion_please_help/")</f>
        <v/>
      </c>
      <c r="G4849" t="inlineStr">
        <is>
          <t>2020-01-23 02:01:18</t>
        </is>
      </c>
      <c r="H4849" t="inlineStr"/>
    </row>
    <row r="4850">
      <c r="A4850" t="inlineStr">
        <is>
          <t>ess6nd</t>
        </is>
      </c>
      <c r="B4850" t="inlineStr">
        <is>
          <t>Full anesthesia for endoscopy?</t>
        </is>
      </c>
      <c r="C4850" t="inlineStr">
        <is>
          <t>I met with a new doctor yesterday who wants to do what will be my third endoscopy over 7 years, but with full anesthesia. I’ve had two endoscopes in the past, one with conscious sedation and one with no sedation at all, just hurricane throat spray. I originally went in asking for no sedation again, just throat spray, because I do NOT like sedation. By the end of our appointment he had said it would be safest for him and myself to have an anesthesiologist do full anesthesia.( since he performs them at his endoscopy center, not a hospital and she could monitor my breathing) Has anyone had one with full anesthesia? How was it?</t>
        </is>
      </c>
      <c r="D4850" t="n">
        <v>1</v>
      </c>
      <c r="E4850" t="n">
        <v>42</v>
      </c>
      <c r="F4850">
        <f>HYPERLINK("https://www.reddit.com/r/GERD/comments/ess6nd/full_anesthesia_for_endoscopy/")</f>
        <v/>
      </c>
      <c r="G4850" t="inlineStr">
        <is>
          <t>2020-01-23 04:07:27</t>
        </is>
      </c>
      <c r="H4850" t="inlineStr"/>
    </row>
    <row r="4851">
      <c r="A4851" t="inlineStr">
        <is>
          <t>essaff</t>
        </is>
      </c>
      <c r="B4851" t="inlineStr">
        <is>
          <t>Did CBD work for you? Article on CBD for IBS, Effects on Microbiome, etc</t>
        </is>
      </c>
      <c r="C4851" t="inlineStr">
        <is>
          <t>Did you try CBD? In which form? Did it have any effects?
I found [this article](https://www.projectcbd.org/cbd-for/irritable-bowel-syndrome-ibs) (Website is called Project CBD) when a team of researchers did a Reddit AMA.  
Maybe someone can link the AMA here. It discusses and links a bunch of articles on inflammatory bowel diseases and CBD. These are published and peer reviewed articles!</t>
        </is>
      </c>
      <c r="D4851" t="n">
        <v>1</v>
      </c>
      <c r="E4851" t="n">
        <v>6</v>
      </c>
      <c r="F4851">
        <f>HYPERLINK("https://www.reddit.com/r/GERD/comments/essaff/did_cbd_work_for_you_article_on_cbd_for_ibs/")</f>
        <v/>
      </c>
      <c r="G4851" t="inlineStr">
        <is>
          <t>2020-01-23 04:17:42</t>
        </is>
      </c>
      <c r="H4851" t="inlineStr"/>
    </row>
    <row r="4852">
      <c r="A4852" t="inlineStr">
        <is>
          <t>eswcc6</t>
        </is>
      </c>
      <c r="B4852" t="inlineStr">
        <is>
          <t>Had a positive experience going down in dosage</t>
        </is>
      </c>
      <c r="C4852" t="inlineStr">
        <is>
          <t>Hey everyone I have seen a lot of posts about horror stories about going down in dosage on Omeprazol and wanted to share my experience to say that it doesn’t necessarily have to be agony as some people I have heard described here. I went from 40 to 20 mg and have to stay on 20 mg till the end of March by doctors orders, and was on 40 from mid November to a couple days ago. I got scared to do this due to some of the horror stories I have heard on this sub and just wanted to share a positive experience, and to trust your doctors.</t>
        </is>
      </c>
      <c r="D4852" t="n">
        <v>1</v>
      </c>
      <c r="E4852" t="n">
        <v>6</v>
      </c>
      <c r="F4852">
        <f>HYPERLINK("https://www.reddit.com/r/GERD/comments/eswcc6/had_a_positive_experience_going_down_in_dosage/")</f>
        <v/>
      </c>
      <c r="G4852" t="inlineStr">
        <is>
          <t>2020-01-23 09:30:22</t>
        </is>
      </c>
      <c r="H4852" t="inlineStr"/>
    </row>
    <row r="4853">
      <c r="A4853" t="inlineStr">
        <is>
          <t>esxmi9</t>
        </is>
      </c>
      <c r="B4853" t="inlineStr">
        <is>
          <t>I've been having extreme chest pains almost every day now. Last night I couldn't sleep because my throat kept closing up and I kept feeling bile rise up. Didnt go away this morning. Sometimes the pain is so bad I have to cry and other times its tolerable. My dad thinks I have GERD</t>
        </is>
      </c>
      <c r="C4853" t="inlineStr">
        <is>
          <t>I'm not sure if that makes me feel better or not. Everything I've read basically says its incurable and to change your diet. I want to go to the doctor to see if it's more than just gerd but I'm afraid they will just tell me to eat better. I'm not overweight and I'm only 23 years old. I used to be able to eat without feeling sick and it's starting to make me depressed.</t>
        </is>
      </c>
      <c r="D4853" t="n">
        <v>1</v>
      </c>
      <c r="E4853" t="n">
        <v>5</v>
      </c>
      <c r="F4853">
        <f>HYPERLINK("https://www.reddit.com/r/GERD/comments/esxmi9/ive_been_having_extreme_chest_pains_almost_every/")</f>
        <v/>
      </c>
      <c r="G4853" t="inlineStr">
        <is>
          <t>2020-01-23 11:01:36</t>
        </is>
      </c>
      <c r="H4853" t="inlineStr"/>
    </row>
    <row r="4854">
      <c r="A4854" t="inlineStr">
        <is>
          <t>esy2dg</t>
        </is>
      </c>
      <c r="B4854" t="inlineStr">
        <is>
          <t>How to get the UK version of Gaviscon?</t>
        </is>
      </c>
      <c r="C4854" t="inlineStr">
        <is>
          <t>I'm on Amazon looking around but I'm not sure exactly what I'm looking for to differentiate between the US and UK versions.</t>
        </is>
      </c>
      <c r="D4854" t="n">
        <v>1</v>
      </c>
      <c r="E4854" t="n">
        <v>7</v>
      </c>
      <c r="F4854">
        <f>HYPERLINK("https://www.reddit.com/r/GERD/comments/esy2dg/how_to_get_the_uk_version_of_gaviscon/")</f>
        <v/>
      </c>
      <c r="G4854" t="inlineStr">
        <is>
          <t>2020-01-23 11:31:39</t>
        </is>
      </c>
      <c r="H4854" t="inlineStr"/>
    </row>
    <row r="4855">
      <c r="A4855" t="inlineStr">
        <is>
          <t>esyx14</t>
        </is>
      </c>
      <c r="B4855" t="inlineStr">
        <is>
          <t>Diagnosed with barret's esophagus,very angry</t>
        </is>
      </c>
      <c r="C4855" t="inlineStr">
        <is>
          <t>I'm only 21 and was diagnosed with barret 2 days ago,  i'm waiting for biopsy to confirm it  , its  less than 2 cm long 
Its probably my own fault, I had  untreated gerd for years,   sometimes i was even caughing blood from my esophagus and did'nt take it seriously 
Last year after caughing blood   , i told it to my doctor and he instantly sent me to ER, after an endoscopy they found multiple erosion and even an ulcer on my esophagus 
even after that I didn't take PPI 
I don't have hiatal hernia but I was laying down a lot after eating , maybe it explain barret
So now I have 1% chance per year to develop esophageal cancer ? then  when i'll be  50 yo, i will have 30% chance to have it  ,  that's horrible</t>
        </is>
      </c>
      <c r="D4855" t="n">
        <v>1</v>
      </c>
      <c r="E4855" t="n">
        <v>1</v>
      </c>
      <c r="F4855">
        <f>HYPERLINK("https://www.reddit.com/r/GERD/comments/esyx14/diagnosed_with_barrets_esophagusvery_angry/")</f>
        <v/>
      </c>
      <c r="G4855" t="inlineStr">
        <is>
          <t>2020-01-23 12:30:37</t>
        </is>
      </c>
      <c r="H4855" t="inlineStr"/>
    </row>
    <row r="4856">
      <c r="A4856" t="inlineStr">
        <is>
          <t>esyy80</t>
        </is>
      </c>
      <c r="B4856" t="inlineStr">
        <is>
          <t>Endoscopy Lab Results Question</t>
        </is>
      </c>
      <c r="C4856" t="inlineStr">
        <is>
          <t>Is this saying I have the start of Barrett's esophagus? I never had any GERD symptoms before October but I've had daily problems since then.
&amp;amp;#x200B;
&amp;gt;FINAL DIAGNOSIS	  
&amp;gt;  
&amp;gt;A.  Duodenum, biopsy:  
&amp;gt;  
&amp;gt;No diagnostic abnormality  
&amp;gt;  
&amp;gt;  
&amp;gt;  
&amp;gt;B.  Stomach, biopsy:  
&amp;gt;  
&amp;gt;No diagnostic abnormality  
&amp;gt;  
&amp;gt;  
&amp;gt;  
&amp;gt;C.  Esophagus, Irregular ZLine, biopsy:  
&amp;gt;  
&amp;gt;Junctional mucosa with focal intestinal metaplasia  
&amp;gt;  
&amp;gt;See comment  
&amp;gt;  
&amp;gt;  
&amp;gt;  
&amp;gt;COMMENT:  
&amp;gt;  
&amp;gt;The differential includes intestinal metplasia of the gastric cardia and Barrett's esophagus. There is no dysplasia. Please correlate with clinical findings.  
&amp;gt;  
&amp;gt;  
&amp;gt;  
&amp;gt;Gross Description	  
&amp;gt;  
&amp;gt;A.  The specimen is received in formalin and labeled with the patient's name and "Duodenum".  The specimen consists of three tan-white irregular soft tissue fragments, averaging 0.2 cm.  The specimen is filtered and entirely submitted in one cassette.    
&amp;gt;  
&amp;gt;B.  The specimen is received in formalin and labeled with the patient's name and "Stomach".  The specimen consists of four tan-white irregular soft tissue fragments, averaging 0.2 cm.  The specimen was collected and placed in formalin at 11:43 AM, 1/7/2020.  The specimen is filtered and entirely submitted in one cassette.    
&amp;gt;  
&amp;gt;C.  The specimen is received in formalin and labeled with the patient's name and "Esophagus, Irregular ZLine".  The specimen consists of a 0.3 cm tan-white irregular shaped soft tissue fragment.  The specimen was collected and placed in formalin at 11:43 AM, 1/7/2020.  The specimen is filtered and entirely submitted in one cassette. MC   
&amp;gt;  
&amp;gt;The specimen is fixed in formalin for a minimum of 6 hours, and not longer than 72 hours.</t>
        </is>
      </c>
      <c r="D4856" t="n">
        <v>1</v>
      </c>
      <c r="E4856" t="n">
        <v>2</v>
      </c>
      <c r="F4856">
        <f>HYPERLINK("https://www.reddit.com/r/GERD/comments/esyy80/endoscopy_lab_results_question/")</f>
        <v/>
      </c>
      <c r="G4856" t="inlineStr">
        <is>
          <t>2020-01-23 12:32:50</t>
        </is>
      </c>
      <c r="H4856" t="inlineStr"/>
    </row>
    <row r="4857">
      <c r="A4857" t="inlineStr">
        <is>
          <t>et19rb</t>
        </is>
      </c>
      <c r="B4857" t="inlineStr">
        <is>
          <t>Anyone have any experience with Rabeprazole?</t>
        </is>
      </c>
      <c r="C4857" t="inlineStr">
        <is>
          <t>Just got it from my doctor as a replacement for Protonix (wasn’t working). 
He prescribed 20mg of it twice daily (20mg is equivalent to 40mg of Protonix). 
I have heartburn that is destroying my sleep and I’m bloating like a balloon. Food isn’t moving and it is awful. 
Anyone have luck with it? 
Gonna take it for awhile and if it doesn’t work my doctor is gonna try and get me on Dexilant with my insurance.</t>
        </is>
      </c>
      <c r="D4857" t="n">
        <v>1</v>
      </c>
      <c r="E4857" t="n">
        <v>4</v>
      </c>
      <c r="F4857">
        <f>HYPERLINK("https://www.reddit.com/r/GERD/comments/et19rb/anyone_have_any_experience_with_rabeprazole/")</f>
        <v/>
      </c>
      <c r="G4857" t="inlineStr">
        <is>
          <t>2020-01-23 15:11:45</t>
        </is>
      </c>
      <c r="H4857" t="inlineStr"/>
    </row>
    <row r="4858">
      <c r="A4858" t="inlineStr">
        <is>
          <t>et2cru</t>
        </is>
      </c>
      <c r="B4858" t="inlineStr">
        <is>
          <t>Sore throat GERD</t>
        </is>
      </c>
      <c r="C4858" t="inlineStr">
        <is>
          <t>Hello, I’ve been having this sore throat for a month now.. it didn’t feel like the regular sore throat from a cold it was more like a muscle kind of pain. It started on the left side then it switched sides to the right and now it feels like it’s in the middle. It hurts when I swallow but there are times when it doesn’t hurt. Today it felt like it was going away but then felt it again when eating. I haven’t really had any other symptoms. I did have a stuffy nose in the morning but not all the time and there was a morning where there was this sour tase in the back of my throat. The doctor prescribed me Pantoprazol 2 days ago so my question is..How long would it take for the pain to go away or the medicine to actually take effect? What’s the longest you have had the sore throat? My anxiety is killing me bcz I’ve never been this sick for this long and I’m having bad thoughts even tho the doctor said not to worry.</t>
        </is>
      </c>
      <c r="D4858" t="n">
        <v>1</v>
      </c>
      <c r="E4858" t="n">
        <v>17</v>
      </c>
      <c r="F4858">
        <f>HYPERLINK("https://www.reddit.com/r/GERD/comments/et2cru/sore_throat_gerd/")</f>
        <v/>
      </c>
      <c r="G4858" t="inlineStr">
        <is>
          <t>2020-01-23 16:32:00</t>
        </is>
      </c>
      <c r="H4858" t="inlineStr"/>
    </row>
    <row r="4859">
      <c r="A4859" t="inlineStr">
        <is>
          <t>et2iuc</t>
        </is>
      </c>
      <c r="B4859" t="inlineStr">
        <is>
          <t>Anyone used expired 40mg famotidine?</t>
        </is>
      </c>
      <c r="C4859" t="inlineStr">
        <is>
          <t>I had my first bout of bad GERD 3 years ago, took nexium for a 2-3 weeks and took care of the issue for a year, then I got it again, and i believe nexium didn't do anything, or I didn't do it long enough, so I went to the doctor and got a prescription for 40mg famotidine and that cleared it up almost instantly. Now this past week its come back again, probably due to way too much diet sodas and high caffeine that I am black listing for life now. I had a ton of leftover famotidine, but it had an expiration of July 2019. From quick google search, it said it may have lost some of its potency but thats it. So I've been taking it for the past few days with zero success. My insurance is a mess right now, but should be back up on Feb 1st if things don't improve and I can go see a doctor or get any prescription strength stuff again. But is that why the famotidine isn't working this time, it may have lost too much potency?   
I'm going to try the kirkland brand of nexium though, hoping that works the way nexium worked the first time I ever took it. The pain is constantly right at my solar plexus all day long, and been getting worse at night. Only OK time is when I wake up around 6am till 10 or 11am, then it is just constant, food intake doesn't seem to set it off at all, but thats how it was the other times too.</t>
        </is>
      </c>
      <c r="D4859" t="n">
        <v>1</v>
      </c>
      <c r="E4859" t="n">
        <v>2</v>
      </c>
      <c r="F4859">
        <f>HYPERLINK("https://www.reddit.com/r/GERD/comments/et2iuc/anyone_used_expired_40mg_famotidine/")</f>
        <v/>
      </c>
      <c r="G4859" t="inlineStr">
        <is>
          <t>2020-01-23 16:44:25</t>
        </is>
      </c>
      <c r="H4859" t="inlineStr"/>
    </row>
    <row r="4860">
      <c r="A4860" t="inlineStr">
        <is>
          <t>et2k5r</t>
        </is>
      </c>
      <c r="B4860" t="inlineStr">
        <is>
          <t>Barack Obama has LPR! A huge win for our community!</t>
        </is>
      </c>
      <c r="C4860" t="inlineStr">
        <is>
          <t>Found out that former President Obama has LPR. This feels like a HUGE win for our community. I wish we could get more celebrities on board with raising awareness, especially for LPR - the silent reflux. I wonder what other celebrities have GERD/LPR? [https://quantifiedhealth.blogspot.com/2014/12/president-obama-has-acid-reflux.html](https://quantifiedhealth.blogspot.com/2014/12/president-obama-has-acid-reflux.html)</t>
        </is>
      </c>
      <c r="D4860" t="n">
        <v>1</v>
      </c>
      <c r="E4860" t="n">
        <v>36</v>
      </c>
      <c r="F4860">
        <f>HYPERLINK("https://www.reddit.com/r/GERD/comments/et2k5r/barack_obama_has_lpr_a_huge_win_for_our_community/")</f>
        <v/>
      </c>
      <c r="G4860" t="inlineStr">
        <is>
          <t>2020-01-23 16:47:24</t>
        </is>
      </c>
      <c r="H4860" t="inlineStr"/>
    </row>
    <row r="4861">
      <c r="A4861" t="inlineStr">
        <is>
          <t>et3d6o</t>
        </is>
      </c>
      <c r="B4861" t="inlineStr">
        <is>
          <t>Is it okay to take 2 20 mg prilosec in one day?</t>
        </is>
      </c>
      <c r="C4861" t="inlineStr">
        <is>
          <t>I know some people are prescribed 40 and my stomach has been terrible the last few days, will taking one 20mg in the morning and one at night be okay?</t>
        </is>
      </c>
      <c r="D4861" t="n">
        <v>1</v>
      </c>
      <c r="E4861" t="n">
        <v>0</v>
      </c>
      <c r="F4861">
        <f>HYPERLINK("https://www.reddit.com/r/GERD/comments/et3d6o/is_it_okay_to_take_2_20_mg_prilosec_in_one_day/")</f>
        <v/>
      </c>
      <c r="G4861" t="inlineStr">
        <is>
          <t>2020-01-23 17:49:57</t>
        </is>
      </c>
      <c r="H4861" t="inlineStr"/>
    </row>
    <row r="4862">
      <c r="A4862" t="inlineStr">
        <is>
          <t>et3ziu</t>
        </is>
      </c>
      <c r="B4862" t="inlineStr">
        <is>
          <t>Stopped PPIs due to low stomach acid, how long to recover?</t>
        </is>
      </c>
      <c r="C4862" t="inlineStr">
        <is>
          <t>Got misdiagnosed with high stomach acid and put on PPIs. I stopped taking PPIs after 4 months when it got to the point of me being unable to digest anything. I've been off PPIs for a month now but it's not really getting much better although it's not worse any more.
If you went through this yourself, how long did it take you to recover, at least somewhat? I'm taking the apple cider vinegar, bitters and betaine hydrochloride. Still trying to figure out the optimal dosages.</t>
        </is>
      </c>
      <c r="D4862" t="n">
        <v>1</v>
      </c>
      <c r="E4862" t="n">
        <v>6</v>
      </c>
      <c r="F4862">
        <f>HYPERLINK("https://www.reddit.com/r/GERD/comments/et3ziu/stopped_ppis_due_to_low_stomach_acid_how_long_to/")</f>
        <v/>
      </c>
      <c r="G4862" t="inlineStr">
        <is>
          <t>2020-01-23 18:40:03</t>
        </is>
      </c>
      <c r="H4862" t="inlineStr"/>
    </row>
    <row r="4863">
      <c r="A4863" t="inlineStr">
        <is>
          <t>et4pji</t>
        </is>
      </c>
      <c r="B4863" t="inlineStr">
        <is>
          <t>Bubble feeling in chest is my main symptom?</t>
        </is>
      </c>
      <c r="C4863" t="inlineStr">
        <is>
          <t>I don’t really get regurgitation or heartburn. It’s mainly just this feeling of a nauseous bubble in my chest and throat, and the more I burp, the more relieved I feel. Does anyone feel anything similar?</t>
        </is>
      </c>
      <c r="D4863" t="n">
        <v>1</v>
      </c>
      <c r="E4863" t="n">
        <v>1</v>
      </c>
      <c r="F4863">
        <f>HYPERLINK("https://www.reddit.com/r/GERD/comments/et4pji/bubble_feeling_in_chest_is_my_main_symptom/")</f>
        <v/>
      </c>
      <c r="G4863" t="inlineStr">
        <is>
          <t>2020-01-23 19:39:48</t>
        </is>
      </c>
      <c r="H4863" t="inlineStr"/>
    </row>
    <row r="4864">
      <c r="A4864" t="inlineStr">
        <is>
          <t>et5hmc</t>
        </is>
      </c>
      <c r="B4864" t="inlineStr">
        <is>
          <t>Anyone experience a pressure below their left shoulder blade?</t>
        </is>
      </c>
      <c r="C4864" t="inlineStr">
        <is>
          <t>I’ve had this pressure below my shoulder blade as long as I’ve had my heartburn/GERD (6-7 weeks). Told my doctors that I was sure it was an internal bodily feeling but they insisted it was musculoskeletal. The feeling still persists and isn’t painful 90% of the time. 
It feels like an organ or something is pressing up against my body like it’s full or inflated. Anyone experience this along with GERD symptoms?</t>
        </is>
      </c>
      <c r="D4864" t="n">
        <v>1</v>
      </c>
      <c r="E4864" t="n">
        <v>5</v>
      </c>
      <c r="F4864">
        <f>HYPERLINK("https://www.reddit.com/r/GERD/comments/et5hmc/anyone_experience_a_pressure_below_their_left/")</f>
        <v/>
      </c>
      <c r="G4864" t="inlineStr">
        <is>
          <t>2020-01-23 20:48:50</t>
        </is>
      </c>
      <c r="H4864" t="inlineStr"/>
    </row>
    <row r="4865">
      <c r="A4865" t="inlineStr">
        <is>
          <t>et5kxj</t>
        </is>
      </c>
      <c r="B4865" t="inlineStr">
        <is>
          <t>Ever been prescribed lidocaine for your throat?</t>
        </is>
      </c>
      <c r="C4865" t="inlineStr">
        <is>
          <t>So i've been struggling with this lump in my throat which i initially thought was food. But the doctor said as long as i can eat and drink just fine, it's not really the problem. She thought it was mostly irritation causing that lump feeling. So i've been prescribed (very thick!) lidocaine to gargle and spit out. It's very nasty and i don't recommend it haha. But have any of y'all had the same experience??</t>
        </is>
      </c>
      <c r="D4865" t="n">
        <v>1</v>
      </c>
      <c r="E4865" t="n">
        <v>2</v>
      </c>
      <c r="F4865">
        <f>HYPERLINK("https://www.reddit.com/r/GERD/comments/et5kxj/ever_been_prescribed_lidocaine_for_your_throat/")</f>
        <v/>
      </c>
      <c r="G4865" t="inlineStr">
        <is>
          <t>2020-01-23 20:57:25</t>
        </is>
      </c>
      <c r="H4865" t="inlineStr"/>
    </row>
    <row r="4866">
      <c r="A4866" t="inlineStr">
        <is>
          <t>et7vfq</t>
        </is>
      </c>
      <c r="B4866" t="inlineStr">
        <is>
          <t>Do you get a sore throat from GERD?</t>
        </is>
      </c>
      <c r="C4866" t="inlineStr">
        <is>
          <t>If yes, how common is it? how often?
Also have any of you been tested for SIBO?</t>
        </is>
      </c>
      <c r="D4866" t="n">
        <v>1</v>
      </c>
      <c r="E4866" t="n">
        <v>4</v>
      </c>
      <c r="F4866">
        <f>HYPERLINK("https://www.reddit.com/r/GERD/comments/et7vfq/do_you_get_a_sore_throat_from_gerd/")</f>
        <v/>
      </c>
      <c r="G4866" t="inlineStr">
        <is>
          <t>2020-01-24 01:01:34</t>
        </is>
      </c>
      <c r="H4866" t="inlineStr"/>
    </row>
    <row r="4867">
      <c r="A4867" t="inlineStr">
        <is>
          <t>et9agv</t>
        </is>
      </c>
      <c r="B4867" t="inlineStr">
        <is>
          <t>How long did it take for your symptoms to get better?</t>
        </is>
      </c>
      <c r="C4867" t="inlineStr">
        <is>
          <t>Recently started treating my GERD by changing my diet ( I drank a lot of soft drinks, ate too many fatty foods)  and taking anti-acids after I eat, and I have been doing that for roughly a day and can already notice a slight difference.  I struggle to swallow pills so I am going to try get a liquid form PPI and hopefully that should help.  
I am curious to see how others have managed, and how long it took for your symptoms to be manageable ?
**My Main symptoms are:** 
Mild heart burn after eating
persistent (but mild) burning sensation around my stomach
Belching (which brings up acid)</t>
        </is>
      </c>
      <c r="D4867" t="n">
        <v>1</v>
      </c>
      <c r="E4867" t="n">
        <v>1</v>
      </c>
      <c r="F4867">
        <f>HYPERLINK("https://www.reddit.com/r/GERD/comments/et9agv/how_long_did_it_take_for_your_symptoms_to_get/")</f>
        <v/>
      </c>
      <c r="G4867" t="inlineStr">
        <is>
          <t>2020-01-24 03:41:22</t>
        </is>
      </c>
      <c r="H4867" t="inlineStr"/>
    </row>
    <row r="4868">
      <c r="A4868" t="inlineStr">
        <is>
          <t>etby2v</t>
        </is>
      </c>
      <c r="B4868" t="inlineStr">
        <is>
          <t>Noticed something about GERD</t>
        </is>
      </c>
      <c r="C4868" t="inlineStr">
        <is>
          <t>So this began after battling GERD for almost a year. It had been hell. 
I had gone for a routine physical check up to the doctor back in October. I asked for her to check if I had any deficiency of vitamins. I also asked for a referral to a gastroenterologist so I could find a way to battle out GERD. My results came back and I was deficient in vitamin D and was prescribed 50k vitamin D. I also was prescribed omeprazole for 8 weeks by the gastroenterologist and a endoscopy for this coming February.
Now omeprazole has done wonders for me. During the year of hell, I used omeprazole and lorezapam to take down my panic attacks that were caused by GERD. This time however, taking the vitamin D along side it gave me a quick recovery. After the 8 weeks, I have felt better. I Still get attacks but nothing like before. I can manage it with antacids. Trigger foods are the main ones that cause it. I also noticed that my body has strict course meal routine if I don't snack. This caused me to get an attack when I went to Georgia from Los Angeles as the jet lag messed my eating routine up. Anyway I am here to tell you there is hope. I am now waiting for my endoscopy this February. Any advice on the that would be nice.</t>
        </is>
      </c>
      <c r="D4868" t="n">
        <v>1</v>
      </c>
      <c r="E4868" t="n">
        <v>9</v>
      </c>
      <c r="F4868">
        <f>HYPERLINK("https://www.reddit.com/r/GERD/comments/etby2v/noticed_something_about_gerd/")</f>
        <v/>
      </c>
      <c r="G4868" t="inlineStr">
        <is>
          <t>2020-01-24 07:34:36</t>
        </is>
      </c>
      <c r="H4868" t="inlineStr"/>
    </row>
    <row r="4869">
      <c r="A4869" t="inlineStr">
        <is>
          <t>etd0b0</t>
        </is>
      </c>
      <c r="B4869" t="inlineStr">
        <is>
          <t>LPR and AntiDepressants</t>
        </is>
      </c>
      <c r="C4869" t="inlineStr">
        <is>
          <t>Why do antidepressants help LPR? When I’m having horrible flare ups with burning throat, eyes and ears etc the only thing to calm it down is citalopram. I can’t find a connection to stress or diet and I really don’t feel depressed despite this awful disease. Does anyone know?</t>
        </is>
      </c>
      <c r="D4869" t="n">
        <v>1</v>
      </c>
      <c r="E4869" t="n">
        <v>5</v>
      </c>
      <c r="F4869">
        <f>HYPERLINK("https://www.reddit.com/r/GERD/comments/etd0b0/lpr_and_antidepressants/")</f>
        <v/>
      </c>
      <c r="G4869" t="inlineStr">
        <is>
          <t>2020-01-24 08:53:08</t>
        </is>
      </c>
      <c r="H4869" t="inlineStr"/>
    </row>
    <row r="4870">
      <c r="A4870" t="inlineStr">
        <is>
          <t>etdri0</t>
        </is>
      </c>
      <c r="B4870" t="inlineStr">
        <is>
          <t>Forget if I took morning Nexium</t>
        </is>
      </c>
      <c r="C4870" t="inlineStr">
        <is>
          <t>Have a bad cold, work sucks can’t remember if I took it so I didn’t dare take 80mg in one morning. Only take it once a day and it may be mental but a very bad gerd day. Could missing one fricking pill after taking it for over a month matter??  I guess I’ll take one at dinner then morning again. Unreal.</t>
        </is>
      </c>
      <c r="D4870" t="n">
        <v>1</v>
      </c>
      <c r="E4870" t="n">
        <v>1</v>
      </c>
      <c r="F4870">
        <f>HYPERLINK("https://www.reddit.com/r/GERD/comments/etdri0/forget_if_i_took_morning_nexium/")</f>
        <v/>
      </c>
      <c r="G4870" t="inlineStr">
        <is>
          <t>2020-01-24 09:44:42</t>
        </is>
      </c>
      <c r="H4870" t="inlineStr"/>
    </row>
    <row r="4871">
      <c r="A4871" t="inlineStr">
        <is>
          <t>ete7cs</t>
        </is>
      </c>
      <c r="B4871" t="inlineStr">
        <is>
          <t>Popping sound on one side of the throat and other problems</t>
        </is>
      </c>
      <c r="C4871" t="inlineStr">
        <is>
          <t>So for some days now I noticed that a lot of times when I swallow my throat does a popping sound on the right side. It feels like some bits of food get stuck on that side too and i'm getting phlegm usually on the same side what makes me keeping clearing my throat. My voice sounds kinda weak going out of the same side and some times I feel it sore. I'm getting some excess saliva too and very very rarely I feel that weak acid going up on my throat (but this happens very rarely). Also worth to know that I do had some problems more than 10 years ago that my doctor said it could have been reflux but it disappeared after some time. 
I just wanna know if someone else here have some of these symptoms because of GERD.</t>
        </is>
      </c>
      <c r="D4871" t="n">
        <v>1</v>
      </c>
      <c r="E4871" t="n">
        <v>1</v>
      </c>
      <c r="F4871">
        <f>HYPERLINK("https://www.reddit.com/r/GERD/comments/ete7cs/popping_sound_on_one_side_of_the_throat_and_other/")</f>
        <v/>
      </c>
      <c r="G4871" t="inlineStr">
        <is>
          <t>2020-01-24 10:14:52</t>
        </is>
      </c>
      <c r="H4871" t="inlineStr"/>
    </row>
    <row r="4872">
      <c r="A4872" t="inlineStr">
        <is>
          <t>etexb1</t>
        </is>
      </c>
      <c r="B4872" t="inlineStr">
        <is>
          <t>Low vitamin D and reflux?</t>
        </is>
      </c>
      <c r="C4872" t="inlineStr">
        <is>
          <t>Anyone else with reflux have very low vitamin D and b12? I’m wonder if there’s a possible link</t>
        </is>
      </c>
      <c r="D4872" t="n">
        <v>1</v>
      </c>
      <c r="E4872" t="n">
        <v>7</v>
      </c>
      <c r="F4872">
        <f>HYPERLINK("https://www.reddit.com/r/GERD/comments/etexb1/low_vitamin_d_and_reflux/")</f>
        <v/>
      </c>
      <c r="G4872" t="inlineStr">
        <is>
          <t>2020-01-24 11:05:52</t>
        </is>
      </c>
      <c r="H4872" t="inlineStr"/>
    </row>
    <row r="4873">
      <c r="A4873" t="inlineStr">
        <is>
          <t>etfifl</t>
        </is>
      </c>
      <c r="B4873" t="inlineStr">
        <is>
          <t>If you have GERD, how realistic of a fear is cancer?</t>
        </is>
      </c>
      <c r="C4873" t="inlineStr">
        <is>
          <t>Just curious what the stats are. Is this something everyone with GERD should be worried about??</t>
        </is>
      </c>
      <c r="D4873" t="n">
        <v>1</v>
      </c>
      <c r="E4873" t="n">
        <v>6</v>
      </c>
      <c r="F4873">
        <f>HYPERLINK("https://www.reddit.com/r/GERD/comments/etfifl/if_you_have_gerd_how_realistic_of_a_fear_is_cancer/")</f>
        <v/>
      </c>
      <c r="G4873" t="inlineStr">
        <is>
          <t>2020-01-24 11:47:02</t>
        </is>
      </c>
      <c r="H4873" t="inlineStr"/>
    </row>
    <row r="4874">
      <c r="A4874" t="inlineStr">
        <is>
          <t>etfog3</t>
        </is>
      </c>
      <c r="B4874" t="inlineStr">
        <is>
          <t>Been having indigestion and nausea along with excessive belly burping for 4 days now</t>
        </is>
      </c>
      <c r="C4874" t="inlineStr">
        <is>
          <t>Started after I ate some spicey chicken last week, felt like vomiting after. I’m not diagnosed with g.e.r.d yet, but I’ve been having many symptoms of g.e.r.d for awhile, what can I do about this weird burp I’ve been having? I didn’t eat or drink anything and it won’t go away.</t>
        </is>
      </c>
      <c r="D4874" t="n">
        <v>1</v>
      </c>
      <c r="E4874" t="n">
        <v>11</v>
      </c>
      <c r="F4874">
        <f>HYPERLINK("https://www.reddit.com/r/GERD/comments/etfog3/been_having_indigestion_and_nausea_along_with/")</f>
        <v/>
      </c>
      <c r="G4874" t="inlineStr">
        <is>
          <t>2020-01-24 11:59:21</t>
        </is>
      </c>
      <c r="H4874" t="inlineStr"/>
    </row>
    <row r="4875">
      <c r="A4875" t="inlineStr">
        <is>
          <t>etfrla</t>
        </is>
      </c>
      <c r="B4875" t="inlineStr">
        <is>
          <t>Cultural change and GERD/LPR</t>
        </is>
      </c>
      <c r="C4875" t="inlineStr">
        <is>
          <t>Question.
Stress seems to be an extremely common problem amongst GERD and LPR sufferers. Numerous people on this sub are taking the right medicines, eating the right things, getting the right amounts of exercise, at the right body weight, etc. and are *stlil* having persistent GERD/LPR problems. 
Stress might be the one thing that remains because stress is something we often feel the least power to manage. I'm a bit baffled by the amount of websites that tell people to "reduce stress" because of some medical problem. Well, that would be lovely, but most of us feel like a cog in a system we can't break free from. I know most people I'm surrounded by tend to be giving their personal lives up for jobs that don't treat them like they're human, terribly isolated in what little private time they have and eating/sleeping at irregular times depending on when they're free to do so. Social media is elevating the amount of information we have to process, much of it disheartening or even traumatic, and the speed at which we need to do it, and because my nation has been found to be an oligarchy, there's a real sense of powerlessness among people of the middle and lower classes when it comes to changing the "way things are." 
I'm wondering if *anyone* on this sub has made a move from one nation to another where they experienced a radical culture shift where this *Go! Go! Go!* mentality wasn't ever-present, and if they noticed a change in their GERD/LPR. I suppose it's not a perfect question because the foods available could be different, too, but because stress and anxiety seem to be recurring subjects but also the ones which seem least addressed by recommendations on here, I thought it couldn't hurt to ask. I think it can be a bit ridiculous to treat psychological issues as if a person exists within a vacuum when the culture they're a part of could be playing a big role. Yes, you can always work on your coping skills, but everyone has their limits when it comes to stress and anxiety.</t>
        </is>
      </c>
      <c r="D4875" t="n">
        <v>1</v>
      </c>
      <c r="E4875" t="n">
        <v>6</v>
      </c>
      <c r="F4875">
        <f>HYPERLINK("https://www.reddit.com/r/GERD/comments/etfrla/cultural_change_and_gerdlpr/")</f>
        <v/>
      </c>
      <c r="G4875" t="inlineStr">
        <is>
          <t>2020-01-24 12:05:25</t>
        </is>
      </c>
      <c r="H4875" t="inlineStr"/>
    </row>
    <row r="4876">
      <c r="A4876" t="inlineStr">
        <is>
          <t>etfwag</t>
        </is>
      </c>
      <c r="B4876" t="inlineStr">
        <is>
          <t>Anyone find that posture helps with their reflux?</t>
        </is>
      </c>
      <c r="C4876" t="inlineStr">
        <is>
          <t>I have a feeling I may have a HH and get the feeling that it may slightly help my symptoms. I don't want to rely on Pepcid and I'm trying not to resort to PPI.</t>
        </is>
      </c>
      <c r="D4876" t="n">
        <v>1</v>
      </c>
      <c r="E4876" t="n">
        <v>5</v>
      </c>
      <c r="F4876">
        <f>HYPERLINK("https://www.reddit.com/r/GERD/comments/etfwag/anyone_find_that_posture_helps_with_their_reflux/")</f>
        <v/>
      </c>
      <c r="G4876" t="inlineStr">
        <is>
          <t>2020-01-24 12:14:17</t>
        </is>
      </c>
      <c r="H4876" t="inlineStr"/>
    </row>
    <row r="4877">
      <c r="A4877" t="inlineStr">
        <is>
          <t>etjl79</t>
        </is>
      </c>
      <c r="B4877" t="inlineStr">
        <is>
          <t>Cure for water brash?</t>
        </is>
      </c>
      <c r="C4877" t="inlineStr">
        <is>
          <t>I’ve been dealing with water brash (hypersalivation) for the past year and a half. It’s getting very annoying and I keep having to swallow my saliva. Does anyone know how to cure this symptom?? And how common is it?</t>
        </is>
      </c>
      <c r="D4877" t="n">
        <v>1</v>
      </c>
      <c r="E4877" t="n">
        <v>6</v>
      </c>
      <c r="F4877">
        <f>HYPERLINK("https://www.reddit.com/r/GERD/comments/etjl79/cure_for_water_brash/")</f>
        <v/>
      </c>
      <c r="G4877" t="inlineStr">
        <is>
          <t>2020-01-24 16:47:18</t>
        </is>
      </c>
      <c r="H4877" t="inlineStr"/>
    </row>
    <row r="4878">
      <c r="A4878" t="inlineStr">
        <is>
          <t>etkitf</t>
        </is>
      </c>
      <c r="B4878" t="inlineStr">
        <is>
          <t>I think omeprazole made me worse. Also - GERD grocery list?</t>
        </is>
      </c>
      <c r="C4878" t="inlineStr">
        <is>
          <t>Got prescribed omeprazole for a dry constant cough and irritated throat. I thought it was from the Wellbutrin but the doctor insisted it was from acid reflux. I stopped the Wellbutrin and my cough is gone lol. 
I think it destroyed me though because I started getting bloated to the point of being unable to move without pain, constant nausea, no appetite, burning throat, and the constant feeling of something in my throat. Before that, I had the occassional upset stomach but I could have cheese without any problem (even my lactose intolerance was pretty nonexistent). Now, I can’t eat ANYTHING at all without feeling extremely nauseous. 
I had a stomach endoscopy done which was clean. My throat was irritated from the acid reflux, but that’s it. 
It’s gotten better but it’s been happening for a month and I’m just trying to eat things that can help manage my symptoms until I can see my doctor again. 
I really want to cry :( I had an amazing trip to three countries and I could eat NOTHING. 
What are your guys’ grocery lists? I have no idea what to buy or eat.</t>
        </is>
      </c>
      <c r="D4878" t="n">
        <v>1</v>
      </c>
      <c r="E4878" t="n">
        <v>12</v>
      </c>
      <c r="F4878">
        <f>HYPERLINK("https://www.reddit.com/r/GERD/comments/etkitf/i_think_omeprazole_made_me_worse_also_gerd/")</f>
        <v/>
      </c>
      <c r="G4878" t="inlineStr">
        <is>
          <t>2020-01-24 18:03:53</t>
        </is>
      </c>
      <c r="H4878" t="inlineStr"/>
    </row>
    <row r="4879">
      <c r="A4879" t="inlineStr">
        <is>
          <t>etmuxe</t>
        </is>
      </c>
      <c r="B4879" t="inlineStr">
        <is>
          <t>symptoms help?</t>
        </is>
      </c>
      <c r="C4879" t="inlineStr">
        <is>
          <t>hi guys i'm kind of a floater on reddit but i've been having some weird symptoms and would just like input. 
i've had GERD ever since a child (16 now) but recently i've been feeling off and i'm unsure if its from GERD or a more serious matter. 
my symptoms are: a dull, lingering stomachache?, heaviness in chest, breathlessness/shortness of breath, acid in throat, nausea/fatigue, and lastly, food tastes fucking weird to me. like it just doesnt taste good. 
if anyone knows remedies for this or has answers please just leave a comment</t>
        </is>
      </c>
      <c r="D4879" t="n">
        <v>1</v>
      </c>
      <c r="E4879" t="n">
        <v>6</v>
      </c>
      <c r="F4879">
        <f>HYPERLINK("https://www.reddit.com/r/GERD/comments/etmuxe/symptoms_help/")</f>
        <v/>
      </c>
      <c r="G4879" t="inlineStr">
        <is>
          <t>2020-01-24 21:42:27</t>
        </is>
      </c>
      <c r="H4879" t="inlineStr"/>
    </row>
    <row r="4880">
      <c r="A4880" t="inlineStr">
        <is>
          <t>etn1x3</t>
        </is>
      </c>
      <c r="B4880" t="inlineStr">
        <is>
          <t>Esophageal dilation for LPR ?</t>
        </is>
      </c>
      <c r="C4880" t="inlineStr">
        <is>
          <t>So I’m not sure if anyone on here has had a dilation before, but here’s my sitch. I’ve had LPR for around 2 years, got an endoscopy about 4 months ago, esophagus and stomach both clean. But I’ve had an issue with difficulty swallowing in the upper region, which biopsies and many tests couldn’t explain. My doc said he’s gonna do a barium swallow to figure out the issue &amp;amp; if no answer than a dilation... I don’t have narrowing, so idk how that would make sense. Is there anyone who got a dilation with same upper difficulty swallowing, that had relief from it ?</t>
        </is>
      </c>
      <c r="D4880" t="n">
        <v>1</v>
      </c>
      <c r="E4880" t="n">
        <v>12</v>
      </c>
      <c r="F4880">
        <f>HYPERLINK("https://www.reddit.com/r/GERD/comments/etn1x3/esophageal_dilation_for_lpr/")</f>
        <v/>
      </c>
      <c r="G4880" t="inlineStr">
        <is>
          <t>2020-01-24 22:03:38</t>
        </is>
      </c>
      <c r="H4880" t="inlineStr"/>
    </row>
    <row r="4881">
      <c r="A4881" t="inlineStr">
        <is>
          <t>etofab</t>
        </is>
      </c>
      <c r="B4881" t="inlineStr">
        <is>
          <t>Acid reflux every night</t>
        </is>
      </c>
      <c r="C4881" t="inlineStr">
        <is>
          <t>I pretty much have acid reflux every night but I am literally not helping myself. Eating before bed, eating a lot of spicy and acidic foods, etc. I also have very apparent symptoms.  I was prescribed panto in the past but stopped taking it because I couldn't tell if it was helping. I now am experiencing symptoms daily again. But I feel like its mostly my daily living behavior. So should I not take the meds and just change my behavior Orr?</t>
        </is>
      </c>
      <c r="D4881" t="n">
        <v>1</v>
      </c>
      <c r="E4881" t="n">
        <v>5</v>
      </c>
      <c r="F4881">
        <f>HYPERLINK("https://www.reddit.com/r/GERD/comments/etofab/acid_reflux_every_night/")</f>
        <v/>
      </c>
      <c r="G4881" t="inlineStr">
        <is>
          <t>2020-01-25 00:44:50</t>
        </is>
      </c>
      <c r="H4881" t="inlineStr"/>
    </row>
    <row r="4882">
      <c r="A4882" t="inlineStr">
        <is>
          <t>etpy5c</t>
        </is>
      </c>
      <c r="B4882" t="inlineStr">
        <is>
          <t>My stomach gets upset after antibiotics</t>
        </is>
      </c>
      <c r="C4882" t="inlineStr">
        <is>
          <t>Every time I get antibiotics my stomach goes really bad and it is very difficult to even finish the treatment. The symptoms get worse and worse. At first my stomach gets really tight, then I have some trouble breathing and some nausea and at the end I have a constant tightness in my throat and my stomach is surely very irritated and inflated.
I normally take 1 nexium in the morning and digestive enzymes with food. I doubled the dose, i am taking 2 different kind of probiotics and I have started pimperan (which is metoclopramide hydrochloride). Only pimperan seems to work but its a very dangerous drug which you are not supposed to take it even more than 3 days.
&amp;amp;#x200B;
I was wondering if anyone knows any other hacks or drugs for me to try. Thanks!</t>
        </is>
      </c>
      <c r="D4882" t="n">
        <v>1</v>
      </c>
      <c r="E4882" t="n">
        <v>5</v>
      </c>
      <c r="F4882">
        <f>HYPERLINK("https://www.reddit.com/r/GERD/comments/etpy5c/my_stomach_gets_upset_after_antibiotics/")</f>
        <v/>
      </c>
      <c r="G4882" t="inlineStr">
        <is>
          <t>2020-01-25 03:58:24</t>
        </is>
      </c>
      <c r="H4882" t="inlineStr"/>
    </row>
    <row r="4883">
      <c r="A4883" t="inlineStr">
        <is>
          <t>etqpu6</t>
        </is>
      </c>
      <c r="B4883" t="inlineStr">
        <is>
          <t>Halle-Forking-Lujah!</t>
        </is>
      </c>
      <c r="C4883" t="inlineStr">
        <is>
          <t>My LPR symptoms are showing signs of improvement after a week of closely monitoring my diet and gargling / drinking small amounts of natural alkaline water (pH 9.4).
I'm a long way from sorted, but it's such a relief to finally feel like I'm on the right track!
I'm going to maintain this approach for another 3-4 weeks (with minor adjustments as necessary), and then hopefully, if I'm in a better way, I'll see about reintroducing a small amount of one of my less problem foods and monitor the effects closely.</t>
        </is>
      </c>
      <c r="D4883" t="n">
        <v>1</v>
      </c>
      <c r="E4883" t="n">
        <v>5</v>
      </c>
      <c r="F4883">
        <f>HYPERLINK("https://www.reddit.com/r/GERD/comments/etqpu6/halleforkinglujah/")</f>
        <v/>
      </c>
      <c r="G4883" t="inlineStr">
        <is>
          <t>2020-01-25 05:23:18</t>
        </is>
      </c>
      <c r="H4883" t="inlineStr"/>
    </row>
    <row r="4884">
      <c r="A4884" t="inlineStr">
        <is>
          <t>etqtzt</t>
        </is>
      </c>
      <c r="B4884" t="inlineStr">
        <is>
          <t>Need some inspiration for tasty things I can actually eat. What are your favorite GERD friendly meals?</t>
        </is>
      </c>
      <c r="C4884" t="inlineStr">
        <is>
          <t>I’m getting depressed at the lack of recipe options online. Why does everything have citrus or spice or tomato in it???
So what are your favorite meals that don’t cause you any pain?</t>
        </is>
      </c>
      <c r="D4884" t="n">
        <v>1</v>
      </c>
      <c r="E4884" t="n">
        <v>22</v>
      </c>
      <c r="F4884">
        <f>HYPERLINK("https://www.reddit.com/r/GERD/comments/etqtzt/need_some_inspiration_for_tasty_things_i_can/")</f>
        <v/>
      </c>
      <c r="G4884" t="inlineStr">
        <is>
          <t>2020-01-25 05:34:40</t>
        </is>
      </c>
      <c r="H4884" t="inlineStr"/>
    </row>
    <row r="4885">
      <c r="A4885" t="inlineStr">
        <is>
          <t>etra74</t>
        </is>
      </c>
      <c r="B4885" t="inlineStr">
        <is>
          <t>LINX surgery and pregnancy</t>
        </is>
      </c>
      <c r="C4885" t="inlineStr">
        <is>
          <t>Has anyone had LINX surgery then gotten pregnant afterwards? Does a pregnancy put undue stress on the LINX band? I asked the surgeon who would be performing it and he did not know.</t>
        </is>
      </c>
      <c r="D4885" t="n">
        <v>1</v>
      </c>
      <c r="E4885" t="n">
        <v>1</v>
      </c>
      <c r="F4885">
        <f>HYPERLINK("https://www.reddit.com/r/GERD/comments/etra74/linx_surgery_and_pregnancy/")</f>
        <v/>
      </c>
      <c r="G4885" t="inlineStr">
        <is>
          <t>2020-01-25 06:17:35</t>
        </is>
      </c>
      <c r="H4885" t="inlineStr"/>
    </row>
    <row r="4886">
      <c r="A4886" t="inlineStr">
        <is>
          <t>etrrgy</t>
        </is>
      </c>
      <c r="B4886" t="inlineStr">
        <is>
          <t>Anyone had any experience with kombucha consumption?</t>
        </is>
      </c>
      <c r="C4886" t="inlineStr">
        <is>
          <t>I avoid soda drinks due to the acid and sugar content... But kombucha seems to be becoming very popular ATM.
Has anyone had any good/bad experience with kombucha and gerd/acid reflux?</t>
        </is>
      </c>
      <c r="D4886" t="n">
        <v>1</v>
      </c>
      <c r="E4886" t="n">
        <v>11</v>
      </c>
      <c r="F4886">
        <f>HYPERLINK("https://www.reddit.com/r/GERD/comments/etrrgy/anyone_had_any_experience_with_kombucha/")</f>
        <v/>
      </c>
      <c r="G4886" t="inlineStr">
        <is>
          <t>2020-01-25 07:01:33</t>
        </is>
      </c>
      <c r="H4886" t="inlineStr"/>
    </row>
    <row r="4887">
      <c r="A4887" t="inlineStr">
        <is>
          <t>ettia5</t>
        </is>
      </c>
      <c r="B4887" t="inlineStr">
        <is>
          <t>Ear pain from gerd</t>
        </is>
      </c>
      <c r="C4887" t="inlineStr">
        <is>
          <t>Last  months been on and off antibiotics  finally go to ent
Says itsbgers no ear infection at all..been on omperazole and pepcid for about 3 weeks..once morning once defore dinner..still get pain still feel like shit..seeing gi dr next friday..have celiacs as well dignosed about 10 years ago wndo and colonoscopy etc..struggling any advice please help
Also any good meals getting sick of plain chicken over gluten free pasta and broccoli..whats a good salad dressing?</t>
        </is>
      </c>
      <c r="D4887" t="n">
        <v>1</v>
      </c>
      <c r="E4887" t="n">
        <v>20</v>
      </c>
      <c r="F4887">
        <f>HYPERLINK("https://www.reddit.com/r/GERD/comments/ettia5/ear_pain_from_gerd/")</f>
        <v/>
      </c>
      <c r="G4887" t="inlineStr">
        <is>
          <t>2020-01-25 09:19:12</t>
        </is>
      </c>
      <c r="H4887" t="inlineStr"/>
    </row>
    <row r="4888">
      <c r="A4888" t="inlineStr">
        <is>
          <t>ettz5a</t>
        </is>
      </c>
      <c r="B4888" t="inlineStr">
        <is>
          <t>Can barrets esophagus get worse?</t>
        </is>
      </c>
      <c r="C4888" t="inlineStr">
        <is>
          <t>Can it get worse? I read many studies and all of them report 0 change in barrets length</t>
        </is>
      </c>
      <c r="D4888" t="n">
        <v>1</v>
      </c>
      <c r="E4888" t="n">
        <v>2</v>
      </c>
      <c r="F4888">
        <f>HYPERLINK("https://www.reddit.com/r/GERD/comments/ettz5a/can_barrets_esophagus_get_worse/")</f>
        <v/>
      </c>
      <c r="G4888" t="inlineStr">
        <is>
          <t>2020-01-25 09:53:59</t>
        </is>
      </c>
      <c r="H4888" t="inlineStr"/>
    </row>
    <row r="4889">
      <c r="A4889" t="inlineStr">
        <is>
          <t>etvju5</t>
        </is>
      </c>
      <c r="B4889" t="inlineStr">
        <is>
          <t>Needing Help On How To Be Gerd Friend</t>
        </is>
      </c>
      <c r="C4889" t="inlineStr">
        <is>
          <t>Backstory: So my partner has had Acid Reflux for a long time. I've known her for five years and its only gotten worse over the years. She took her to the gastro doctor guy and she had a touch of gastritis. Their prescription for this was basically just Pepcid before meals twice a day. 
Well today she had a grilled cheese and fries with tomatoes and that was enough to get her to lose her lunch in the parking lot. 
Now, her diet for the last 25 years has basically been Chicken, Chicken Broth, Noodles, Tomatoes, Rice, and Cheese. She doesn't eat salads or anything, barely any greens. 
This is hard to watch. She barely eats meals without getting sick, and I really need some help from people who understand it on how to proceed with helping her live a healthy, acid free lifestyle.</t>
        </is>
      </c>
      <c r="D4889" t="n">
        <v>1</v>
      </c>
      <c r="E4889" t="n">
        <v>8</v>
      </c>
      <c r="F4889">
        <f>HYPERLINK("https://www.reddit.com/r/GERD/comments/etvju5/needing_help_on_how_to_be_gerd_friend/")</f>
        <v/>
      </c>
      <c r="G4889" t="inlineStr">
        <is>
          <t>2020-01-25 11:48:22</t>
        </is>
      </c>
      <c r="H4889" t="inlineStr"/>
    </row>
    <row r="4890">
      <c r="A4890" t="inlineStr">
        <is>
          <t>eu03zi</t>
        </is>
      </c>
      <c r="B4890" t="inlineStr">
        <is>
          <t>23 Healthy, Odd Symptoms, Most Likely GERD.</t>
        </is>
      </c>
      <c r="C4890" t="inlineStr">
        <is>
          <t>Wow I have this exactly. I am 23, 5’11”, 155 lbs. I eat a very healthy diet, mainly of fish and vegetables. I don’t exercise too much anymore due to my symptoms, but I walk on a daily basis. 
Went to the ER in December, because I thought I was having a stroke. Turns out migraine coupled with a panic attack. 
Went to my PCP and had an MRI of my brain. Radiology report came back unremarkable. 
PCP thought it might be tension headaches, since I have chronic back pain along with Generalized Anxiety Disorder.
January 1st, I started to get chest pains. Went to the ER and it turned out I had pericarditis (inflammation around heart) based on my ECG. But it looks like my  last ECG’s which have all been normal. To confirm, I went to receive an echocardiogram, several ECG, CT calcium scan, X-ray, and blood work. All came back normal and it turns out I didn’t have pericarditis. Inflammation markers were at O. 
Went to urgent care later this month and the doctor thought it might be GERD. Since I’ve had a history of slight acid reflux and H-Pylori. Had a concoction made to numb my esophagus and I felt slightly better of course until it wore off. 
This for me thinking that I’ve had severe GERD and have not been treating it. Going to get an endoscopy in two days to see what they find and I’ve already had a body scan done at UCLA-Harbor, results pending. 
My symptoms are odd. I get chest pains that radiate from either the center, left, to right side. I can feel my heart beating, but my pulse range is normal (Fitbit). I get this all around tightness in my chest, I burp a lot, have frequent bowel movements, and get stomach pains. My anxiety also completely amplifies this and has had me go to the ER four times in the last month. 
All of this is very scary. I can’t even have a good a night sleep. I’ve been to a pulmonologist and my lungs are fine. I’ve been to a cardiologist and my heart is fine. My full blood panel from my cardiologist and my PCP, came back fine. 
Any advice on this or stories to ease my anxiety? I’m hoping I can get some answers from my endoscopy and body scan. 
Thanks! 
Note- Bloodwork, had some markers.
TIBC:  477 ug/DL 
Vitamin D: 24.73 BG/ml
Urinalysis: PH 8.0</t>
        </is>
      </c>
      <c r="D4890" t="n">
        <v>1</v>
      </c>
      <c r="E4890" t="n">
        <v>19</v>
      </c>
      <c r="F4890">
        <f>HYPERLINK("https://www.reddit.com/r/GERD/comments/eu03zi/23_healthy_odd_symptoms_most_likely_gerd/")</f>
        <v/>
      </c>
      <c r="G4890" t="inlineStr">
        <is>
          <t>2020-01-25 17:36:43</t>
        </is>
      </c>
      <c r="H4890" t="inlineStr"/>
    </row>
    <row r="4891">
      <c r="A4891" t="inlineStr">
        <is>
          <t>eu0g5w</t>
        </is>
      </c>
      <c r="B4891" t="inlineStr">
        <is>
          <t>Ways to improve digestion?</t>
        </is>
      </c>
      <c r="C4891" t="inlineStr">
        <is>
          <t>I know many people have tried ACV and it’s helped them but with my reflux ACV really aggravates it. It helps me digest things better but the regurgitation and burps it produces makes my throat burn. I just want to know what kinds of things I can do to help my stomach digest better? I have a history of IBS and just recently had it turned into reflux which my gastro thinks is caused by my very evident candida. I’m scared to take Betaine hcl and am looking for other alternatives to increase my hcl and digestion. Thanks</t>
        </is>
      </c>
      <c r="D4891" t="n">
        <v>1</v>
      </c>
      <c r="E4891" t="n">
        <v>9</v>
      </c>
      <c r="F4891">
        <f>HYPERLINK("https://www.reddit.com/r/GERD/comments/eu0g5w/ways_to_improve_digestion/")</f>
        <v/>
      </c>
      <c r="G4891" t="inlineStr">
        <is>
          <t>2020-01-25 18:04:44</t>
        </is>
      </c>
      <c r="H4891" t="inlineStr"/>
    </row>
    <row r="4892">
      <c r="A4892" t="inlineStr">
        <is>
          <t>eu0smw</t>
        </is>
      </c>
      <c r="B4892" t="inlineStr">
        <is>
          <t>Productive Chronic Cough for years. No relieve from medication</t>
        </is>
      </c>
      <c r="C4892" t="inlineStr">
        <is>
          <t>Hi all. I'm a 33F who has had a severe chronic productive cough for about 12 years now. I've had multiple specialists look at me including a pulmonologist, ENT, and allergist. My CT and x-rays come back normal. I've had an gastroendospocy which was also normal. I've been prescribed the gambit in inhalers (Symbicort, Breo, Spiriva, Advair) and nasal sprays. I was on PPIs for about 8months with no change. Living with the cough is unbearable as I my cough attacks produce a lot of mucus. It makes doing normal things (like taking the metro to work, working, exercise, etc) nearly impossible. 
I'm starting to believe that my diet is the only change I can make to see any improvement. I'm currently 6 months pregnant so I don't drink alcohol and I only drink decaf dark roast coffee once a day. I've recently been sleeping on an incline. Is there any advice for foods that I can eliminate in order to see any improvement in this debilitating cough?</t>
        </is>
      </c>
      <c r="D4892" t="n">
        <v>1</v>
      </c>
      <c r="E4892" t="n">
        <v>6</v>
      </c>
      <c r="F4892">
        <f>HYPERLINK("https://www.reddit.com/r/GERD/comments/eu0smw/productive_chronic_cough_for_years_no_relieve/")</f>
        <v/>
      </c>
      <c r="G4892" t="inlineStr">
        <is>
          <t>2020-01-25 18:34:17</t>
        </is>
      </c>
      <c r="H4892" t="inlineStr"/>
    </row>
    <row r="4893">
      <c r="A4893" t="inlineStr">
        <is>
          <t>eu0ydi</t>
        </is>
      </c>
      <c r="B4893" t="inlineStr">
        <is>
          <t>Acid watchers diet weight loss question</t>
        </is>
      </c>
      <c r="C4893" t="inlineStr">
        <is>
          <t>How much did you overall lose and how long did you follow it? Did you track calories or anything? I have about 50-60lbs to lose and I’m hoping this will help.</t>
        </is>
      </c>
      <c r="D4893" t="n">
        <v>1</v>
      </c>
      <c r="E4893" t="n">
        <v>1</v>
      </c>
      <c r="F4893">
        <f>HYPERLINK("https://www.reddit.com/r/GERD/comments/eu0ydi/acid_watchers_diet_weight_loss_question/")</f>
        <v/>
      </c>
      <c r="G4893" t="inlineStr">
        <is>
          <t>2020-01-25 18:47:16</t>
        </is>
      </c>
      <c r="H4893" t="inlineStr"/>
    </row>
    <row r="4894">
      <c r="A4894" t="inlineStr">
        <is>
          <t>eu157s</t>
        </is>
      </c>
      <c r="B4894" t="inlineStr">
        <is>
          <t>What are some ways to deal with excess gas?</t>
        </is>
      </c>
      <c r="C4894" t="inlineStr">
        <is>
          <t>My body seems like it’s just filled with gas. It’s extremely uncomfortable and painful most of the time. I always end up cracking my back due to the discomfort. I also get popping noises in my chest when I move a specific way, which scares me. I’m going to schedule an appointment with a GI Monday and hopefully get an endoscopy soon after.</t>
        </is>
      </c>
      <c r="D4894" t="n">
        <v>1</v>
      </c>
      <c r="E4894" t="n">
        <v>13</v>
      </c>
      <c r="F4894">
        <f>HYPERLINK("https://www.reddit.com/r/GERD/comments/eu157s/what_are_some_ways_to_deal_with_excess_gas/")</f>
        <v/>
      </c>
      <c r="G4894" t="inlineStr">
        <is>
          <t>2020-01-25 19:03:56</t>
        </is>
      </c>
      <c r="H4894" t="inlineStr"/>
    </row>
    <row r="4895">
      <c r="A4895" t="inlineStr">
        <is>
          <t>eu19f0</t>
        </is>
      </c>
      <c r="B4895" t="inlineStr">
        <is>
          <t>Convinced I have gerd but not sure.</t>
        </is>
      </c>
      <c r="C4895" t="inlineStr">
        <is>
          <t>In November I started getting this weird chest pain and shortness of breath but I just figured it was because of my diet because I have a history of under eating and gastritis. The symptoms went away and I went right back to what I was doing and eating even less and then my chest hurt even more and I was actually starting to have trouble breathing and I thought I was gonna have a heart attack. When i went to school i was very dizzy and my nails became very purple all the time. So i thought i had anemia which i still think it was because I was eating like 600-800 calories a day and I had been losing a lot of weight like a lot but it happened at the same time I developed prediabetes so I didn't think too much if it. In the end I started to eat a lot more and felt better but I notice when I am in public I get a little anxious and my throat feels acidic and I feel like I am going to regurgitate. I also have this weird left rib pain when I'm hungry. And the hunger pains are very strong. I've also got acid reflux but I've had it for years and never felt anything like this. Is it possible that I could have gerd?</t>
        </is>
      </c>
      <c r="D4895" t="n">
        <v>1</v>
      </c>
      <c r="E4895" t="n">
        <v>4</v>
      </c>
      <c r="F4895">
        <f>HYPERLINK("https://www.reddit.com/r/GERD/comments/eu19f0/convinced_i_have_gerd_but_not_sure/")</f>
        <v/>
      </c>
      <c r="G4895" t="inlineStr">
        <is>
          <t>2020-01-25 19:13:39</t>
        </is>
      </c>
      <c r="H4895" t="inlineStr"/>
    </row>
    <row r="4896">
      <c r="A4896" t="inlineStr">
        <is>
          <t>eu240j</t>
        </is>
      </c>
      <c r="B4896" t="inlineStr">
        <is>
          <t>Gerd caused and/or made worse by Rx drugs?</t>
        </is>
      </c>
      <c r="C4896" t="inlineStr">
        <is>
          <t>So, I've been trying the Acid Watcher diet and I guess it's going well.  I haven't been feeling like I have to clear my throat after meals or coughing as much.  However, for the last two nights, a few minutes after I take my Rx drugs (zoloft, lisinopril, and atorvastatin) I start coughing and throat feels swollen and kind of irritated. 
Anyone been on the Acid Watcher Diet and noticed anything like this?  My doctor says none of these drugs should be causing gerd-like symptoms.  I know atorvastatin doesn't because I have taken it for years with no problems.  Only in the last 18 Mos for zoloft and seems like I started the lisinopril just before I started having gerd problems.</t>
        </is>
      </c>
      <c r="D4896" t="n">
        <v>1</v>
      </c>
      <c r="E4896" t="n">
        <v>0</v>
      </c>
      <c r="F4896">
        <f>HYPERLINK("https://www.reddit.com/r/GERD/comments/eu240j/gerd_caused_andor_made_worse_by_rx_drugs/")</f>
        <v/>
      </c>
      <c r="G4896" t="inlineStr">
        <is>
          <t>2020-01-25 20:29:06</t>
        </is>
      </c>
      <c r="H4896" t="inlineStr"/>
    </row>
    <row r="4897">
      <c r="A4897" t="inlineStr">
        <is>
          <t>eu29xc</t>
        </is>
      </c>
      <c r="B4897" t="inlineStr">
        <is>
          <t>Keep having to take deep breaths to feel satisfied with breathing and I feel slight post nasal drip/slight runny nose.</t>
        </is>
      </c>
      <c r="C4897" t="inlineStr">
        <is>
          <t>I have IBS and SIBO. Rarely my stomach burns but I used to get reflux a lot when I was younger. My gastro symptoms sort of changed. All I can eat due to IBS is rice, chicken, carrots, lactose free butter and gluten free white bread. I only drink water. I recentley had an iron jab so my levels are fine and I'm not anemic.
Despite this I'm constantly having to take deep breaths and  I'm falling asleep everyday past 5am because I can't lie down. I don't really have any other symptoms though of reflux. 
My neck seemed a bit swollen the other day but now it's gone and I still feel the same way. This has been happening for over a week and I'm starting to worry it isn't going to go away.
It's almost as if my lungs are damaged or something. It's strange. When I eat it definitely makes it harder to breathe but it isn't necessarily triggering it because it never really stops. 
I've no idea what to do about this and as usual my doctor just says to adjust diet and not to lie down after meals. I do all this anywhere but it doesn't help. :/</t>
        </is>
      </c>
      <c r="D4897" t="n">
        <v>1</v>
      </c>
      <c r="E4897" t="n">
        <v>9</v>
      </c>
      <c r="F4897">
        <f>HYPERLINK("https://www.reddit.com/r/GERD/comments/eu29xc/keep_having_to_take_deep_breaths_to_feel/")</f>
        <v/>
      </c>
      <c r="G4897" t="inlineStr">
        <is>
          <t>2020-01-25 20:45:24</t>
        </is>
      </c>
      <c r="H4897" t="inlineStr"/>
    </row>
    <row r="4898">
      <c r="A4898" t="inlineStr">
        <is>
          <t>eu2jeg</t>
        </is>
      </c>
      <c r="B4898" t="inlineStr">
        <is>
          <t>What's the causes of fast heart rate after eating breakfast</t>
        </is>
      </c>
      <c r="C4898" t="inlineStr">
        <is>
          <t>Been battling with this for over six months. Don't echo and ecg and several times and it shows everything is fine.
Each time I take my breakfast i have fast heart rate 30mins after eating and it can last for 40mins to 90mins.
Lunch and dinner have no issues but they are made worse if I take bread as breakfast or fries.
What the hell is causing this discomfort?
Any experienced this before and how did you take care of it permanently?
Thanks for your feedback.</t>
        </is>
      </c>
      <c r="D4898" t="n">
        <v>1</v>
      </c>
      <c r="E4898" t="n">
        <v>6</v>
      </c>
      <c r="F4898">
        <f>HYPERLINK("https://www.reddit.com/r/GERD/comments/eu2jeg/whats_the_causes_of_fast_heart_rate_after_eating/")</f>
        <v/>
      </c>
      <c r="G4898" t="inlineStr">
        <is>
          <t>2020-01-25 21:11:40</t>
        </is>
      </c>
      <c r="H4898" t="inlineStr"/>
    </row>
    <row r="4899">
      <c r="A4899" t="inlineStr">
        <is>
          <t>eu3f71</t>
        </is>
      </c>
      <c r="B4899" t="inlineStr">
        <is>
          <t>I think I might have hiatial hernia</t>
        </is>
      </c>
      <c r="C4899" t="inlineStr">
        <is>
          <t>I’ve been feeling a pressure on my mind to upper left back for about 7 weeks and had GERD symptoms around the time this feeling began.
I’ve got minimal GERD symptoms since stopping my 4 weeks treatment of Omeprazole but tonight the pressure has increased immensely and fear it is my stomach or some other organ in this quadrant pressing against my left back torso.
Anyone with hiatial hernia have this symptom?</t>
        </is>
      </c>
      <c r="D4899" t="n">
        <v>1</v>
      </c>
      <c r="E4899" t="n">
        <v>2</v>
      </c>
      <c r="F4899">
        <f>HYPERLINK("https://www.reddit.com/r/GERD/comments/eu3f71/i_think_i_might_have_hiatial_hernia/")</f>
        <v/>
      </c>
      <c r="G4899" t="inlineStr">
        <is>
          <t>2020-01-25 22:48:32</t>
        </is>
      </c>
      <c r="H4899" t="inlineStr"/>
    </row>
    <row r="4900">
      <c r="A4900" t="inlineStr">
        <is>
          <t>eu3qwp</t>
        </is>
      </c>
      <c r="B4900" t="inlineStr">
        <is>
          <t>Ppi and multivitamin</t>
        </is>
      </c>
      <c r="C4900" t="inlineStr">
        <is>
          <t>Hi, is it recommended to use a multivitamin along with ppi since ppi reduce absorption of some vitamin?</t>
        </is>
      </c>
      <c r="D4900" t="n">
        <v>1</v>
      </c>
      <c r="E4900" t="n">
        <v>4</v>
      </c>
      <c r="F4900">
        <f>HYPERLINK("https://www.reddit.com/r/GERD/comments/eu3qwp/ppi_and_multivitamin/")</f>
        <v/>
      </c>
      <c r="G4900" t="inlineStr">
        <is>
          <t>2020-01-25 23:26:43</t>
        </is>
      </c>
      <c r="H4900" t="inlineStr"/>
    </row>
    <row r="4901">
      <c r="A4901" t="inlineStr">
        <is>
          <t>eu3xim</t>
        </is>
      </c>
      <c r="B4901" t="inlineStr">
        <is>
          <t>Alcohol and GERD</t>
        </is>
      </c>
      <c r="C4901" t="inlineStr">
        <is>
          <t>Has anyone else noticed their ability to tolerate alcohol had decreased with GERD?   
I know it’s a common thing, but I never noticed how bad it was until I had 3 ciders (1.3 standard drinks each) yesterday afternoon and was throwing up later that night due to the heartburn.  
I’m not much of a drinker at all, but RIP to a nice, cold cider on a hot day.</t>
        </is>
      </c>
      <c r="D4901" t="n">
        <v>1</v>
      </c>
      <c r="E4901" t="n">
        <v>0</v>
      </c>
      <c r="F4901">
        <f>HYPERLINK("https://www.reddit.com/r/GERD/comments/eu3xim/alcohol_and_gerd/")</f>
        <v/>
      </c>
      <c r="G4901" t="inlineStr">
        <is>
          <t>2020-01-25 23:50:05</t>
        </is>
      </c>
      <c r="H4901" t="inlineStr"/>
    </row>
    <row r="4902">
      <c r="A4902" t="inlineStr">
        <is>
          <t>eu5gs6</t>
        </is>
      </c>
      <c r="B4902" t="inlineStr">
        <is>
          <t>Suicide because of bad breath?</t>
        </is>
      </c>
      <c r="C4902" t="inlineStr">
        <is>
          <t>Long story short: 2 1/2 years ago got my first boyfriend, soon after he complained about my bad breath, checked everything, determined the stomach to be the culprit, omeprazole didn't help, got an endoscopy, had h. pylori, went through antibiotics treatment, first test said im clear. No bad breath for a couple of months then it returned. Got retested but it still said h pylori got eradicated. Don't know what to do anymore.
I don't always have bad breath, but when I do a person can smell it standing next to me even when I face away from them and don't talk. If you come into a room and I am in there you can smell it when you come inside. Me and my boyfriend have to sleep with an open window in winter.
He's already said if this continues forever its going to be hard to keep this relationship going. Naturally this keeps me me from any other real life social contact.
I'm struggling with depression and irrational suicidal thoughts anyways , but this seems very clear cut and rational: A life completely without social interaction with other people is not worth living for me.
My boyfriend is the only one left I have, if this relationship ends I will probably end it. This isn't emotional blackmail cause I'm not gonna tell him that. It's just that a lone, sick animal is destined to die.</t>
        </is>
      </c>
      <c r="D4902" t="n">
        <v>1</v>
      </c>
      <c r="E4902" t="n">
        <v>60</v>
      </c>
      <c r="F4902">
        <f>HYPERLINK("https://www.reddit.com/r/GERD/comments/eu5gs6/suicide_because_of_bad_breath/")</f>
        <v/>
      </c>
      <c r="G4902" t="inlineStr">
        <is>
          <t>2020-01-26 03:13:40</t>
        </is>
      </c>
      <c r="H4902" t="inlineStr"/>
    </row>
    <row r="4903">
      <c r="A4903" t="inlineStr">
        <is>
          <t>eu6lot</t>
        </is>
      </c>
      <c r="B4903" t="inlineStr">
        <is>
          <t>48 hr PH study, NERVOUS</t>
        </is>
      </c>
      <c r="C4903" t="inlineStr">
        <is>
          <t>Hello, looking into surgery and getting the typical tests done. One of which is the 48 hr test where I guess I swallow a pill like capsule and wear a monitor for two days. Happy it’s the capsule and not the tube down the nose thing, regardless, it doesn’t sound fun. Looking for real life experiences with the capsule, did you have to get off your H2 blocker? Could you not even take mylanta? I’m afraid of throwing it up if I can’t take any OTC meds.</t>
        </is>
      </c>
      <c r="D4903" t="n">
        <v>1</v>
      </c>
      <c r="E4903" t="n">
        <v>17</v>
      </c>
      <c r="F4903">
        <f>HYPERLINK("https://www.reddit.com/r/GERD/comments/eu6lot/48_hr_ph_study_nervous/")</f>
        <v/>
      </c>
      <c r="G4903" t="inlineStr">
        <is>
          <t>2020-01-26 05:19:36</t>
        </is>
      </c>
      <c r="H4903" t="inlineStr"/>
    </row>
    <row r="4904">
      <c r="A4904" t="inlineStr">
        <is>
          <t>eu99a6</t>
        </is>
      </c>
      <c r="B4904" t="inlineStr">
        <is>
          <t>Irregular z line 40 cm from incisors</t>
        </is>
      </c>
      <c r="C4904" t="inlineStr">
        <is>
          <t>What exactly does this mean? Does anyone know? During previous endoscopy it was previously 36 cm from incisors 3 years prior.</t>
        </is>
      </c>
      <c r="D4904" t="n">
        <v>1</v>
      </c>
      <c r="E4904" t="n">
        <v>6</v>
      </c>
      <c r="F4904">
        <f>HYPERLINK("https://www.reddit.com/r/GERD/comments/eu99a6/irregular_z_line_40_cm_from_incisors/")</f>
        <v/>
      </c>
      <c r="G4904" t="inlineStr">
        <is>
          <t>2020-01-26 08:59:15</t>
        </is>
      </c>
      <c r="H4904" t="inlineStr"/>
    </row>
    <row r="4905">
      <c r="A4905" t="inlineStr">
        <is>
          <t>eucucb</t>
        </is>
      </c>
      <c r="B4905" t="inlineStr">
        <is>
          <t>gerd makes me burp so much</t>
        </is>
      </c>
      <c r="C4905" t="inlineStr">
        <is>
          <t>i just need to vent bc it’s so embarrassing. even after a good amount of time has past after ive eaten a meal, i cant stop burping. not only does it embarrass me in public, but it’s so uncomfortable, especially if i try to hold it in. ive stopped drinking soda and it hasnt helped, ive tried drinking more water and it hasn’t helped. im not sure if i want to go onto medication but i feel like that’s my only option not to feel humiliated when i go out to eat.</t>
        </is>
      </c>
      <c r="D4905" t="n">
        <v>1</v>
      </c>
      <c r="E4905" t="n">
        <v>12</v>
      </c>
      <c r="F4905">
        <f>HYPERLINK("https://www.reddit.com/r/GERD/comments/eucucb/gerd_makes_me_burp_so_much/")</f>
        <v/>
      </c>
      <c r="G4905" t="inlineStr">
        <is>
          <t>2020-01-26 13:00:46</t>
        </is>
      </c>
      <c r="H4905" t="inlineStr"/>
    </row>
    <row r="4906">
      <c r="A4906" t="inlineStr">
        <is>
          <t>eudwds</t>
        </is>
      </c>
      <c r="B4906" t="inlineStr">
        <is>
          <t>Just had the Nissen Fundoplication surgery. Ask me anything</t>
        </is>
      </c>
      <c r="C4906" t="inlineStr">
        <is>
          <t>Hi, I’m 28 year old male and i’m from the UK. After years of suffering with burping, reflux, heartburn and choking at night I finally had my surgery this morning. 
I’m having trouble sleeping so i’m happy to answer any questions anybody has. 
It’s a rough first night but I can already feel the relief and improvement. The procedure really wasn’t as scary as I anticipated.</t>
        </is>
      </c>
      <c r="D4906" t="n">
        <v>1</v>
      </c>
      <c r="E4906" t="n">
        <v>17</v>
      </c>
      <c r="F4906">
        <f>HYPERLINK("https://www.reddit.com/r/GERD/comments/eudwds/just_had_the_nissen_fundoplication_surgery_ask_me/")</f>
        <v/>
      </c>
      <c r="G4906" t="inlineStr">
        <is>
          <t>2020-01-26 14:11:31</t>
        </is>
      </c>
      <c r="H4906" t="inlineStr"/>
    </row>
    <row r="4907">
      <c r="A4907" t="inlineStr">
        <is>
          <t>eufxzw</t>
        </is>
      </c>
      <c r="B4907" t="inlineStr">
        <is>
          <t>Drinking Water Dangers</t>
        </is>
      </c>
      <c r="C4907" t="inlineStr">
        <is>
          <t>Are you familiar with “forever chemicals”?  You should be.
“Forever chemicals” are man-made chemicals and substances that do not break down after they are released into the environment and they build up in our blood and organs.
Our friends at the Environmental Protection Agency (EPA) call these substances PFAS (from “perfluoroalkyl  and polyfluoroalkyl substances”). They are exclusively man-made chemicals, and include an army of acronyms like PFOA, PFOS, GenX, and ...
Read More: [https://echoh2machine.com/forever-chemicals-test-the-fate-of-americas-drinking-water/](https://echoh2machine.com/forever-chemicals-test-the-fate-of-americas-drinking-water/)</t>
        </is>
      </c>
      <c r="D4907" t="n">
        <v>1</v>
      </c>
      <c r="E4907" t="n">
        <v>1</v>
      </c>
      <c r="F4907">
        <f>HYPERLINK("https://www.reddit.com/r/GERD/comments/eufxzw/drinking_water_dangers/")</f>
        <v/>
      </c>
      <c r="G4907" t="inlineStr">
        <is>
          <t>2020-01-26 16:34:42</t>
        </is>
      </c>
      <c r="H4907" t="inlineStr"/>
    </row>
    <row r="4908">
      <c r="A4908" t="inlineStr">
        <is>
          <t>eug2ib</t>
        </is>
      </c>
      <c r="B4908" t="inlineStr">
        <is>
          <t>Tremble feeling plus difficulty breathing; symptoms of acid reflux?</t>
        </is>
      </c>
      <c r="C4908" t="inlineStr">
        <is>
          <t>I'm having suspicions these two more recent symptoms are caused by my acid reflux.
I feel like my whole body is pulsing, I guess like tremors but it's not visible. If you were to place your hand on me tho you'd be able to feel it faintly. This is all recently coinciding with a reoccurring cough, and my breathing getting tougher for me. Feels like something is stuck at the bottom of my throat. Feel like something is up in my right lung area. I don't know what else is there other than my lung.
Have explained these symptoms to doctors many times but they just listen to my heart and breathing and tell me I'm fine and that it's anxieties.
My GI just told me to get an endoscopy which I will. Just wanted to see if anyone else has experienced my symptoms, in particular the trembling. I've had supposed anxiety attacks before but never like this.</t>
        </is>
      </c>
      <c r="D4908" t="n">
        <v>1</v>
      </c>
      <c r="E4908" t="n">
        <v>4</v>
      </c>
      <c r="F4908">
        <f>HYPERLINK("https://www.reddit.com/r/GERD/comments/eug2ib/tremble_feeling_plus_difficulty_breathing/")</f>
        <v/>
      </c>
      <c r="G4908" t="inlineStr">
        <is>
          <t>2020-01-26 16:43:48</t>
        </is>
      </c>
      <c r="H4908" t="inlineStr"/>
    </row>
    <row r="4909">
      <c r="A4909" t="inlineStr">
        <is>
          <t>eugqkp</t>
        </is>
      </c>
      <c r="B4909" t="inlineStr">
        <is>
          <t>GERD wears me out</t>
        </is>
      </c>
      <c r="C4909" t="inlineStr">
        <is>
          <t>My 8pm each night I’m fucking wiped.</t>
        </is>
      </c>
      <c r="D4909" t="n">
        <v>1</v>
      </c>
      <c r="E4909" t="n">
        <v>5</v>
      </c>
      <c r="F4909">
        <f>HYPERLINK("https://www.reddit.com/r/GERD/comments/eugqkp/gerd_wears_me_out/")</f>
        <v/>
      </c>
      <c r="G4909" t="inlineStr">
        <is>
          <t>2020-01-26 17:39:04</t>
        </is>
      </c>
      <c r="H4909" t="inlineStr"/>
    </row>
    <row r="4910">
      <c r="A4910" t="inlineStr">
        <is>
          <t>euh58b</t>
        </is>
      </c>
      <c r="B4910" t="inlineStr">
        <is>
          <t>Has anyone had luck with kambucha and/or sauerkraut for helping with GERD symptoms?</t>
        </is>
      </c>
      <c r="C4910" t="inlineStr">
        <is>
          <t>I believe there's some probiotics and easing of GERD symptoms. I've had these before, so I was wondering if anyone with experiencing using them for therapeutic reasons has seen success. Or other foods for that matter .</t>
        </is>
      </c>
      <c r="D4910" t="n">
        <v>1</v>
      </c>
      <c r="E4910" t="n">
        <v>4</v>
      </c>
      <c r="F4910">
        <f>HYPERLINK("https://www.reddit.com/r/GERD/comments/euh58b/has_anyone_had_luck_with_kambucha_andor/")</f>
        <v/>
      </c>
      <c r="G4910" t="inlineStr">
        <is>
          <t>2020-01-26 18:12:03</t>
        </is>
      </c>
      <c r="H4910" t="inlineStr"/>
    </row>
    <row r="4911">
      <c r="A4911" t="inlineStr">
        <is>
          <t>euh8ja</t>
        </is>
      </c>
      <c r="B4911" t="inlineStr">
        <is>
          <t>Has anyone stopped omeprazole cold turkey and stayed off it? What was your experience?</t>
        </is>
      </c>
      <c r="C4911" t="inlineStr">
        <is>
          <t>I feel like I’m going to suffer forever :(</t>
        </is>
      </c>
      <c r="D4911" t="n">
        <v>1</v>
      </c>
      <c r="E4911" t="n">
        <v>8</v>
      </c>
      <c r="F4911">
        <f>HYPERLINK("https://www.reddit.com/r/GERD/comments/euh8ja/has_anyone_stopped_omeprazole_cold_turkey_and/")</f>
        <v/>
      </c>
      <c r="G4911" t="inlineStr">
        <is>
          <t>2020-01-26 18:19:19</t>
        </is>
      </c>
      <c r="H4911" t="inlineStr"/>
    </row>
    <row r="4912">
      <c r="A4912" t="inlineStr">
        <is>
          <t>euj1o6</t>
        </is>
      </c>
      <c r="B4912" t="inlineStr">
        <is>
          <t>Famotidine and omeprazole combined?</t>
        </is>
      </c>
      <c r="C4912" t="inlineStr">
        <is>
          <t>Can I combine the two?... typically I take omeprazole, however for the past 2 days I can’t get burps up and can’t sleep because of this.... my friend says I can’t combine but google says otherwise... what’s the scoop??</t>
        </is>
      </c>
      <c r="D4912" t="n">
        <v>1</v>
      </c>
      <c r="E4912" t="n">
        <v>2</v>
      </c>
      <c r="F4912">
        <f>HYPERLINK("https://www.reddit.com/r/GERD/comments/euj1o6/famotidine_and_omeprazole_combined/")</f>
        <v/>
      </c>
      <c r="G4912" t="inlineStr">
        <is>
          <t>2020-01-26 20:51:10</t>
        </is>
      </c>
      <c r="H4912" t="inlineStr"/>
    </row>
    <row r="4913">
      <c r="A4913" t="inlineStr">
        <is>
          <t>eukfuf</t>
        </is>
      </c>
      <c r="B4913" t="inlineStr">
        <is>
          <t>How much time do I have</t>
        </is>
      </c>
      <c r="C4913" t="inlineStr">
        <is>
          <t>I took an endoscopy two years ago and got diagnosed with an inflamed esophagus and relaxed LES. I have another endoscopy scheduled next month. I am freaking out that I have Barrett's esophagus. What are the odds that I will have it. I'm a 23 year old female and I've been suffering from GERD and gastritis for the past three years. I am so nervous and stressed out about this.</t>
        </is>
      </c>
      <c r="D4913" t="n">
        <v>1</v>
      </c>
      <c r="E4913" t="n">
        <v>5</v>
      </c>
      <c r="F4913">
        <f>HYPERLINK("https://www.reddit.com/r/GERD/comments/eukfuf/how_much_time_do_i_have/")</f>
        <v/>
      </c>
      <c r="G4913" t="inlineStr">
        <is>
          <t>2020-01-26 23:03:44</t>
        </is>
      </c>
      <c r="H4913" t="inlineStr"/>
    </row>
    <row r="4914">
      <c r="A4914" t="inlineStr">
        <is>
          <t>eukh38</t>
        </is>
      </c>
      <c r="B4914" t="inlineStr">
        <is>
          <t>Anyone else have chest pressure below sternum as a GERD symptom?</t>
        </is>
      </c>
      <c r="C4914" t="inlineStr">
        <is>
          <t>I just got back home from the ER because I had chest pressure for like 4 hours and it intensified the last hour. Thought it was a hiatal hernia or worse, strangulated hernia, without a bulge, however the doctor said the caliber of my esophagus was normal and heart/lung function was good.
She said it was most likely my GERD acting up, but I haven’t had any heartburn or esophagus pains in the past 2-3 days. Just chest pressure.
Anyone else have chest pressure as a GERD symptom?</t>
        </is>
      </c>
      <c r="D4914" t="n">
        <v>1</v>
      </c>
      <c r="E4914" t="n">
        <v>3</v>
      </c>
      <c r="F4914">
        <f>HYPERLINK("https://www.reddit.com/r/GERD/comments/eukh38/anyone_else_have_chest_pressure_below_sternum_as/")</f>
        <v/>
      </c>
      <c r="G4914" t="inlineStr">
        <is>
          <t>2020-01-26 23:07:20</t>
        </is>
      </c>
      <c r="H4914" t="inlineStr"/>
    </row>
    <row r="4915">
      <c r="A4915" t="inlineStr">
        <is>
          <t>euko0g</t>
        </is>
      </c>
      <c r="B4915" t="inlineStr">
        <is>
          <t>I need help...</t>
        </is>
      </c>
      <c r="C4915" t="inlineStr">
        <is>
          <t>Hi. I have been having gerd for more than a year now and it has been messing with me a lot. It got worse and worse , I went to different doctors to try their prescription but they didnt work because they told me I need to do an endoscopy for them to tell me something specific. I am currently on omeprazol for 30 days ( its the 18th day or so) and I don’t feel any effect other than I can eat in the morning , thing that I couldnt do. When I wake up, I feel horrible, miserable. My stomach hurts like hell, it has strange noises, and many times I feel this taste where I feel like i should vomit instantly. I am afraid of an endoscopy, and I did everything about preventing this: trying to sleep in a better position even though I wake up face down on the pillow, didnt eat before sleep, didnt eat sweets or so, all that. Now I got a really bad cold and I feel horrible. I can’t eat at all. I feel like vomiting constantly and right now I am on my way to an exam. I feel so bad, I don’t know what to do. I am looking for another doctor right now, after going through 4 different ones, hopefully they will prescript me something useful. My real taste for food and when I really feel like eating, it comes after 4-5 pm, which is very bad. I used to smoke, but for 1-2 years I’ve only smoked a cigarette /2 daily, or even none. That doesnt happen in the morning, so I simply can’t see why this pain happens to me. It really bothers me, please , if someone could help, I’d be grateful.</t>
        </is>
      </c>
      <c r="D4915" t="n">
        <v>1</v>
      </c>
      <c r="E4915" t="n">
        <v>3</v>
      </c>
      <c r="F4915">
        <f>HYPERLINK("https://www.reddit.com/r/GERD/comments/euko0g/i_need_help/")</f>
        <v/>
      </c>
      <c r="G4915" t="inlineStr">
        <is>
          <t>2020-01-26 23:27:41</t>
        </is>
      </c>
      <c r="H4915" t="inlineStr"/>
    </row>
    <row r="4916">
      <c r="A4916" t="inlineStr">
        <is>
          <t>eul4um</t>
        </is>
      </c>
      <c r="B4916" t="inlineStr">
        <is>
          <t>GERD protein/weight gain shake?</t>
        </is>
      </c>
      <c r="C4916" t="inlineStr">
        <is>
          <t>Hi, I'm suspecting I may have GERD and am seeing the doctor tomorrow to investigate. In the meantime, I'd like to continue gaining weight as I'm very skinny for my height. Has anyone here successfully bulked up?</t>
        </is>
      </c>
      <c r="D4916" t="n">
        <v>1</v>
      </c>
      <c r="E4916" t="n">
        <v>19</v>
      </c>
      <c r="F4916">
        <f>HYPERLINK("https://www.reddit.com/r/GERD/comments/eul4um/gerd_proteinweight_gain_shake/")</f>
        <v/>
      </c>
      <c r="G4916" t="inlineStr">
        <is>
          <t>2020-01-27 00:20:57</t>
        </is>
      </c>
      <c r="H4916" t="inlineStr"/>
    </row>
    <row r="4917">
      <c r="A4917" t="inlineStr">
        <is>
          <t>eulhqp</t>
        </is>
      </c>
      <c r="B4917" t="inlineStr">
        <is>
          <t>This disease killed me</t>
        </is>
      </c>
      <c r="C4917" t="inlineStr">
        <is>
          <t>I am 18, I should be living life like a human, however since November I have only been able to sleep on my back a total of 6 times, and I have been going to bed at 8 am, and driving with 2 hours of sleep trying to go to school. I feel like I have to throw up constantly and I refuse to be this way. I won't change my diet because I did nothing to cause this and I didn't ask for this. This disease can go fuck itself. So I will commit suicide by either crashing my car, shooting myself, maybe hanging, or self immolation. I can't live like this, it's hell.</t>
        </is>
      </c>
      <c r="D4917" t="n">
        <v>1</v>
      </c>
      <c r="E4917" t="n">
        <v>22</v>
      </c>
      <c r="F4917">
        <f>HYPERLINK("https://www.reddit.com/r/GERD/comments/eulhqp/this_disease_killed_me/")</f>
        <v/>
      </c>
      <c r="G4917" t="inlineStr">
        <is>
          <t>2020-01-27 01:07:12</t>
        </is>
      </c>
      <c r="H4917" t="inlineStr"/>
    </row>
    <row r="4918">
      <c r="A4918" t="inlineStr">
        <is>
          <t>eum1py</t>
        </is>
      </c>
      <c r="B4918" t="inlineStr">
        <is>
          <t>Please read help me</t>
        </is>
      </c>
      <c r="C4918" t="inlineStr">
        <is>
          <t>I am a 16 year old male for about 3 to 4 months now I have been suffering from severe GERD according to doctors. Some of my symptoms are burping every time I take a chug of water, the common chest pain/chest tightness that gets worse at night, bad headaches and sometimes what feel like migraines, shortness of breathe/other breathing difficulties, acid taste in my mouth and throat and many more. Some of These have gotten better and worse over time but overall they flare up a lot. But recently I have been feeling worse more frightening symptoms that don’t necessarily relate to gerd such as bad fatigue, lightheadedness and vertigo, anxiety, pain in random parts of my body mostly in my hands and sometimes arms, confusion, and overall just a general feeling of not being well. I used to smoke the juuls and other high nicotine vapes and smoke a lot of marijuana but quit about about a month ago due to these health issues, and I even used to use the THC cartridges that have been hospitalizing people (I quit these further back though because I heard what they had been doing to people). I went to get chest x rays multiple times and the docs say my lungs are fine and it shouldn’t be from the substances that I was using, but something tells me they have something to do with the way I’ve been feeling. I’ve felt terrible these past couple weeks and I’m really scared I know anxiety must play a part in it all but it is all getting in the way of my daily life and school I never exercise anymore and just lay around most of the time because of how bad I feel. Doctors keep telling me I’m fine but I do not feel fine. If anyone reading is going through the same things i would appreciate if you can tell me your story and if you’ve found anything that makes these symptoms better or go away. I feel like some of these symptoms are hinting at heart problems and that’s what gets to my head the most.</t>
        </is>
      </c>
      <c r="D4918" t="n">
        <v>1</v>
      </c>
      <c r="E4918" t="n">
        <v>7</v>
      </c>
      <c r="F4918">
        <f>HYPERLINK("https://www.reddit.com/r/GERD/comments/eum1py/please_read_help_me/")</f>
        <v/>
      </c>
      <c r="G4918" t="inlineStr">
        <is>
          <t>2020-01-27 02:11:27</t>
        </is>
      </c>
      <c r="H4918" t="inlineStr"/>
    </row>
    <row r="4919">
      <c r="A4919" t="inlineStr">
        <is>
          <t>eumg65</t>
        </is>
      </c>
      <c r="B4919" t="inlineStr">
        <is>
          <t>Do some PPI’s simply not work for you?</t>
        </is>
      </c>
      <c r="C4919" t="inlineStr">
        <is>
          <t>My doctor changed me from Protonix to Rabeprazole and now I have hellacious heartburn. He said it was more powerful, and so do the studies comparing the two. 
Has anyone else noticed that certain PPI’s did nothing for you?</t>
        </is>
      </c>
      <c r="D4919" t="n">
        <v>1</v>
      </c>
      <c r="E4919" t="n">
        <v>5</v>
      </c>
      <c r="F4919">
        <f>HYPERLINK("https://www.reddit.com/r/GERD/comments/eumg65/do_some_ppis_simply_not_work_for_you/")</f>
        <v/>
      </c>
      <c r="G4919" t="inlineStr">
        <is>
          <t>2020-01-27 02:55:55</t>
        </is>
      </c>
      <c r="H4919" t="inlineStr"/>
    </row>
    <row r="4920">
      <c r="A4920" t="inlineStr">
        <is>
          <t>eumi1r</t>
        </is>
      </c>
      <c r="B4920" t="inlineStr">
        <is>
          <t>Substituting Prilosec for Nexium?</t>
        </is>
      </c>
      <c r="C4920" t="inlineStr">
        <is>
          <t>Hi, my girlfriend is waiting for her 20mg Nexium to be refilled since it is a prescription to save money. She is currently out of it to take it tomorrow morning. To my understanding, Prilosec is nearly identical to Nexium, so would substituting her morning 20mg Nexium for a 20mg Prilosec be okay just once or should we just go and buy Nexium at the store as soon as we can?
Thanks!</t>
        </is>
      </c>
      <c r="D4920" t="n">
        <v>1</v>
      </c>
      <c r="E4920" t="n">
        <v>2</v>
      </c>
      <c r="F4920">
        <f>HYPERLINK("https://www.reddit.com/r/GERD/comments/eumi1r/substituting_prilosec_for_nexium/")</f>
        <v/>
      </c>
      <c r="G4920" t="inlineStr">
        <is>
          <t>2020-01-27 03:01:52</t>
        </is>
      </c>
      <c r="H4920" t="inlineStr"/>
    </row>
    <row r="4921">
      <c r="A4921" t="inlineStr">
        <is>
          <t>eupphu</t>
        </is>
      </c>
      <c r="B4921" t="inlineStr">
        <is>
          <t>Could nutrient deficiency be the cause of the Gerd I have</t>
        </is>
      </c>
      <c r="C4921" t="inlineStr">
        <is>
          <t>When I first started being a vegetarian a year ago all I ate was literally pasta sauce and noddles I had no clue what I was doing honestly...... And during that time when the reflux was bad I was eating like this.... And I wasn't going outside at all I also got  low vitamin d because of this..... Ive only recently been starting to eat vegetables and stuff and I also have low thyroid which I found out in September..... So I'm wo dering is all this happening because of my lack of nutrients... I'm debating whether I should eat meat again and figure if that would help...... My diet now is pretty bad..... I eat a ton of veggies and rice..... Occasionally pasta.... And I use tons of tortilla rolls..... I also only drink water.... Could anyone help</t>
        </is>
      </c>
      <c r="D4921" t="n">
        <v>1</v>
      </c>
      <c r="E4921" t="n">
        <v>10</v>
      </c>
      <c r="F4921">
        <f>HYPERLINK("https://www.reddit.com/r/GERD/comments/eupphu/could_nutrient_deficiency_be_the_cause_of_the/")</f>
        <v/>
      </c>
      <c r="G4921" t="inlineStr">
        <is>
          <t>2020-01-27 07:54:50</t>
        </is>
      </c>
      <c r="H4921" t="inlineStr"/>
    </row>
    <row r="4922">
      <c r="A4922" t="inlineStr">
        <is>
          <t>euqvce</t>
        </is>
      </c>
      <c r="B4922" t="inlineStr">
        <is>
          <t>Heartburn/GERD/SIBO - story so far (with ALL the tests and drugs)</t>
        </is>
      </c>
      <c r="C4922" t="inlineStr">
        <is>
          <t xml:space="preserve">  
Hello!
I’ve been following this thread for a long time now and am quite far in to my journey with GERD and heartburn, having suffered with it badly for about 7 years. I’ve been seeing a specialist here in the UK (with the idea that I might be suitable for Linx – more on that later) and I thought I would share my story so far. I found reading other people’s accounts of this horrible and frankly bizarre and not talked about disease enlightening, comforting and so informative! I am pre-surgery so still suffering from symptoms BUT I have learnt some management techniques along the way which might be helpful for others. I’ve also had complications, and taken every pill and had every test under the sun – so I thought I would do a synopsis-so-far, in case it helps anyone. Hopefully, someone somewhere finds this useful! I am 28 and a half and female by the way, not overweight and no other health issues.
**Symptoms** 
My symptoms started about 7 years ago with terrible heartburn and chest pain, worse when lying down and in between meals. No regurgitation as such, but would often go through the motions of vomiting (very violent, very painful), only for a little bit of spit to come up, or the food I have just eaten. I tend to do a lot of belching up food (TMI, but I know you’re my people) after eating.
My GP prescribed Omeprazole 40mg a day initially for 6 weeks to heal what they thought was an ulcer. It worked to begin with – I remember thinking ‘oh my god what is this magical drug’ – but over time slowly stopped working. I was on it on and off for five years. About a year ago the flare ups were worse, with less ‘good time’ in between – I’d have one good week where I felt pretty normal then three or four weeks of hell. After a while, the pain in my chest was so bad that actually pressing just below my ribcage was agony and felt like I had been stabbed. I also have chronic belching and bloating. 
**Diagnosis and seeing a specialist** 
I decided enough was enough and started seeing a specialist consultant surgeon via a GP referral about a year ago. I had a shed load of tests:
**SIBO: diagnosis and treatment** 
SIBO (small intestinal bacterial overgrowth) test: This was a simple breath test for SIBO and came back positive, and the specialist said was absolutely caused by the PPIs I had been on. It was causing me mammoth bloating (like, seriously insane bloating) and general discomfort. I went on antbiotics, Rifoximan and Neomycin, for two weeks to kill the bacteria, and at that point the working theory was the SIBO was causing bloating, therefore causing pressure on the lower oesophageal muscle, therefore causing it to blow open – resulting in heartburn. I did the antibiotics (absolute hell, made the symptoms worse – to anyone on them – you have my sympathy!!). Within a week of finishing them the bloating had subsided and it looked like the SIBO had gone (win!). I also did the FODMAP diet (made no difference to heartburn) and Symprove probiotics (I think they have been good for overall gut health, but no improvement for heartburn). This was back in October and I think my SIBO symptoms are still at bay – so that’s hopefully positive news and hope for anyone else about to start that regime/treatment path.
**Endoscopy**
Next was the endoscopy to check out what was going on. I opted for sedation – felt NOTHING, came round eating a tuna sandwich. Blissfully easy. They found no ulcer, no burning, no streaking, in fact the surgeon said the mucus and tissue was totally normal. He did however find a two cm sliding hiatus hernia (which I know many of you will also have!). 
**24 PH monitoring**
Ahh, the glamour! This was the tube-up-your-nose-for-24 hours test. I know lots of people struggled with this, and I think there’s probably variation in how sensitive we all are so some tolerate better than others!! I guess I was one of the lucky ones and found it really easy and tolerable – f\*\*\*\*\*\* irritating trying to sleep and eat, but tolerable and not painful. However, it was a totally symptom free period, and they found ZERO acid. Nada. What they did discover is I struggled to swallow water (never actually noticed it IRL, but my swallows were weak) – which apparently is common in people with longstanding reflux disease. So one to look out for/ask about if you have this test. They also found I had a lot more reflux episodes than a normal person – just not acidic. That’s also something to bear in mind and ask your consultant about as I had zero clue that was a thing. They also found that my lower oesophageal muscle was ‘hypertensive’ (e.g. I have an uptight oesophagus, lol). This is important. They dismissed this – said ‘well, in reflux, the lower oesophagus is too LOOSE – so that can’t possibly be causing you issues’. I think this is wrong! On account of my own research, it can cause reflux – and awful chest pain! So don’t do what I did and not follow up on that. If you get that diagnosis – ask for more info. I wish I had. And it’s quite common I think.
**Bravo test**
Because my PH test came back negative, understandably, more evidence is needed before anyone will consider surgery and so I am waiting to be scheduled for a Bravo test which stays in place for 96 hours and is apparently more effective in measuring acid. We shall see. The surgeon said that sometimes it takes two years to get a positive result on these tests because of the nature of the disease (that it flares up and down) – so to anyone else in this frustrating situation, hang in there. I will report back once I have had that test.
**Stuff that has worked for me in the interim at managing symptoms** 
Good quality CBD oil has been a fricking game changer for the night time heartburn attacks. I use stuff from CBD Armour. Four drops under the tongue at night before bed and I have seen a reduction in the bad night time episodes. The theory is it’s anti-inflammatory, and also relaxes the muscles – so eases those oesophagus spasms which cause the chest pain.
Buscopan – a weird one. Suggested by my lovely GP. It’s a ‘smooth muscle relaxant’ – the oesophagus is a smooth muscle. I think it has worked for me in easing the searing chest pain and weird painful spasms. Worth a try, even though it’s for IBS (and I have literally never had IBS in my life).
Gaviscon Advance is also helpful (I am off PPIs totally because they gave me SIBO and my surgeon doesn’t like them) so I use this in place. I mean obviously it’s nowhere near as strong – but it last for longer than regular Gaviscon and floats on top of the stomach contents to protects your throat and stuff.
Hot water bottle – for managing the bad chest pain – I can only assume the heat relaxes the oesophageal sphincter and the hernia slides back down?
Anyway. That’s it so far. Might be total garbage and not useful to anyone at all – but even if it helps one person or answers any questions then great! 
Shoot me Qs if you have any 😊</t>
        </is>
      </c>
      <c r="D4922" t="n">
        <v>1</v>
      </c>
      <c r="E4922" t="n">
        <v>27</v>
      </c>
      <c r="F4922">
        <f>HYPERLINK("https://www.reddit.com/r/GERD/comments/euqvce/heartburngerdsibo_story_so_far_with_all_the_tests/")</f>
        <v/>
      </c>
      <c r="G4922" t="inlineStr">
        <is>
          <t>2020-01-27 09:13:46</t>
        </is>
      </c>
      <c r="H4922" t="inlineStr"/>
    </row>
    <row r="4923">
      <c r="A4923" t="inlineStr">
        <is>
          <t>eurqah</t>
        </is>
      </c>
      <c r="B4923" t="inlineStr">
        <is>
          <t>BRAVO pH test... how lenient with eating should I be?</t>
        </is>
      </c>
      <c r="C4923" t="inlineStr">
        <is>
          <t>I have my bravo test in a few weeks (an EGD w/ BRAVO to be specific) and my paperwork says to eat foods that will trigger reactions but nothing that will cause great discomfort.
Just how adventurous should I be? I do not want to play it too safe and get a false negative but I also don't want to be crippled with pain, especially since I can't take medication.</t>
        </is>
      </c>
      <c r="D4923" t="n">
        <v>1</v>
      </c>
      <c r="E4923" t="n">
        <v>0</v>
      </c>
      <c r="F4923">
        <f>HYPERLINK("https://www.reddit.com/r/GERD/comments/eurqah/bravo_ph_test_how_lenient_with_eating_should_i_be/")</f>
        <v/>
      </c>
      <c r="G4923" t="inlineStr">
        <is>
          <t>2020-01-27 10:09:03</t>
        </is>
      </c>
      <c r="H4923" t="inlineStr"/>
    </row>
    <row r="4924">
      <c r="A4924" t="inlineStr">
        <is>
          <t>eutk2s</t>
        </is>
      </c>
      <c r="B4924" t="inlineStr">
        <is>
          <t>I am potentially getting the LINX after failed two Nissen Fundoplications</t>
        </is>
      </c>
      <c r="C4924" t="inlineStr">
        <is>
          <t>Hi guys,
I have had GERD that has progressed since 2011.
I am a 26-years old male and I had one 360 Nissen Fundoplication in December 2015 which worked perfectly, until I put too much pressure on the wrap in August 2016 during exercise.
I got a complete revision in August 2018 which worked well again other than I got a feeling that the food was "digesting" in the esophagus and short term gastroparesis, but those two things went away. Unforutanly, after I wore a stretch band six weeks post-surgery (which I was cleared to do) it came undone.
Fast forward now, I am looking to get the LINX installed after two Nissen´s and I have been talking with three different UK surgeons:
I spoke with a surgeon who said if he could install the LINX (If there weren't too much scar tissue) the success ratio seems to be very comparable to other LINX patients.
Another surgeon said that from his experience, he said there was a 60% success ratio (He was being conservative)
Whereas, the third surgeon said he would prefer the LINX is a revision as opposed to the Nissen.
One positive thing that is kind of encouraging, is that I don´t really have LPR. I have GERD that is very inconsistent and comes and goes really randomly, and from what I understand the LINX is more 50/50 with LPR than with GERD.</t>
        </is>
      </c>
      <c r="D4924" t="n">
        <v>1</v>
      </c>
      <c r="E4924" t="n">
        <v>32</v>
      </c>
      <c r="F4924">
        <f>HYPERLINK("https://www.reddit.com/r/GERD/comments/eutk2s/i_am_potentially_getting_the_linx_after_failed/")</f>
        <v/>
      </c>
      <c r="G4924" t="inlineStr">
        <is>
          <t>2020-01-27 12:10:14</t>
        </is>
      </c>
      <c r="H4924" t="inlineStr"/>
    </row>
    <row r="4925">
      <c r="A4925" t="inlineStr">
        <is>
          <t>euu8l2</t>
        </is>
      </c>
      <c r="B4925" t="inlineStr">
        <is>
          <t>Bad taste in mouth</t>
        </is>
      </c>
      <c r="C4925" t="inlineStr">
        <is>
          <t>I’ve had a bad metallic/bitter taste in my mouth for about 2 months now. It’s not a dental problem and a doctor gave me antibiotics for what she thought could be a sinus infection but they didn’t work. For my whole life I’ve had trouble eating so sometimes I can gag on food so I figured maybe the Taste is because of reflux but I don’t experience a lot of heart burn or any other symptoms. Does anyone have any idea as to why I have this constant bad taste?</t>
        </is>
      </c>
      <c r="D4925" t="n">
        <v>1</v>
      </c>
      <c r="E4925" t="n">
        <v>14</v>
      </c>
      <c r="F4925">
        <f>HYPERLINK("https://www.reddit.com/r/GERD/comments/euu8l2/bad_taste_in_mouth/")</f>
        <v/>
      </c>
      <c r="G4925" t="inlineStr">
        <is>
          <t>2020-01-27 12:54:04</t>
        </is>
      </c>
      <c r="H4925" t="inlineStr"/>
    </row>
    <row r="4926">
      <c r="A4926" t="inlineStr">
        <is>
          <t>euuipz</t>
        </is>
      </c>
      <c r="B4926" t="inlineStr">
        <is>
          <t>Should I take Omeprazole continuously?</t>
        </is>
      </c>
      <c r="C4926" t="inlineStr">
        <is>
          <t>I’ve never been diagnosed with GERD, but I started taking ranitidine in college for occasional heartburn. I am now 23 and ranitidine is no longer offered at Costco so I decided to try a 2 week course of Omeprazole and WOW what a difference. I felt like I could eat and drink anything I wanted without any symptoms at all. Is it okay to take a PPI everyday? I know the box says to wait 4 months, but it’s my understanding that some people take it everyday. I guess my biggest concerns would be malabsorption of calcium and loss of bone density more than anything, but I’m curious if anyone on this subreddit has had bad side effects from taking a PPI continuously.</t>
        </is>
      </c>
      <c r="D4926" t="n">
        <v>1</v>
      </c>
      <c r="E4926" t="n">
        <v>11</v>
      </c>
      <c r="F4926">
        <f>HYPERLINK("https://www.reddit.com/r/GERD/comments/euuipz/should_i_take_omeprazole_continuously/")</f>
        <v/>
      </c>
      <c r="G4926" t="inlineStr">
        <is>
          <t>2020-01-27 13:13:07</t>
        </is>
      </c>
      <c r="H4926" t="inlineStr"/>
    </row>
    <row r="4927">
      <c r="A4927" t="inlineStr">
        <is>
          <t>euuke1</t>
        </is>
      </c>
      <c r="B4927" t="inlineStr">
        <is>
          <t>How to manage a cold with GERD?</t>
        </is>
      </c>
      <c r="C4927" t="inlineStr">
        <is>
          <t>I don’t get sick too often, so I haven’t been sick since being diagnosed with GERD a year ago. Now, I’m feeling the symptoms of a cold coming on: sore/swollen throat (I always get this with a cold), lots of sneezing, headache, runny nose. 
Obviously we can’t drink orange juice or have chicken noodle soup because of the onions in it, but what do you recommend? I’ve drank pomegranate juice in the past when I get colds because it helps my throat feel better, but is that not a good idea now? What do you guys eat, drink, or take as medicine to help get through a cold while having GERD?</t>
        </is>
      </c>
      <c r="D4927" t="n">
        <v>1</v>
      </c>
      <c r="E4927" t="n">
        <v>3</v>
      </c>
      <c r="F4927">
        <f>HYPERLINK("https://www.reddit.com/r/GERD/comments/euuke1/how_to_manage_a_cold_with_gerd/")</f>
        <v/>
      </c>
      <c r="G4927" t="inlineStr">
        <is>
          <t>2020-01-27 13:16:16</t>
        </is>
      </c>
      <c r="H4927" t="inlineStr"/>
    </row>
    <row r="4928">
      <c r="A4928" t="inlineStr">
        <is>
          <t>euv48o</t>
        </is>
      </c>
      <c r="B4928" t="inlineStr">
        <is>
          <t>Caffeine + Reflux</t>
        </is>
      </c>
      <c r="C4928" t="inlineStr">
        <is>
          <t>I see a lot of threads talking about types of coffee used and what not but not many if any I could find mentioning the effects of the active ingredient in coffee (caffeine) having on relaxing the LES, and the management of reflux for such cases.  
Presently, I'm contemplating using a low dose of Nexium 20mg or first trying to use Pepcid AC perhaps 1-2x a day, let's say immediately after having the coffee? My reasoning for a longer-acting reflux blocker is because caffeine has a (6?) hour half-life duration, in which reflux needs to be managed during. It's not about just having a low acid coffee but managing the effects of caffeine on the LES.
I have ADHD so I need to be able to get back on to my Adderall/Caffeine combo, been off for 6 weeks now. In my personal case, I am not having heartburn, but more belching, and gas buildup, most probably LPR. I'm adjusting the lifestyle/diet/exercise part with an alkaline-based diet and hitting weights more than cardio as running is causing the trifecta of asthma/reflux/anxiety to manifest bad panic episodes. My symptoms started when I was diagnosed with pneumonia, had heartburn a few times but none in the past 1-2 months, only when I was on antibiotics.  
&amp;amp;#x200B;
Things I'm considering:
\#1- Using Nexium 20mg in AM or Pepcid AC after drinking coffee to manage caffeine's effects on the LES
\#2- #1- Using Nexium 20mg in AM or Pepcid AC after drinking coffee to manage caffeine's effects on the LES, WITH 1/4 TBSP of baking soda mixed in the coffee.
\#3- #1- Using Nexium 20mg in AM or Pepcid AC after drinking coffee to manage caffeine's effects on the LES, WITH 1/4 TBSP of baking soda mixed in the coffee, and 1x Gas-X simethicone to reduce the foaming effects which are causing the belching
In addition, I am having 1 DGL tablet, 1x probiotic, 1x digestive enzyme pill with every meal. 
I have a mild case of LPR where it affects my sinuses to some degree and lungs which I'm managing with daily uses of a facial steamer/saline mist spray and nightly usage of Symbicort. 
I have a nerve issue affecting some degree of functionality in my left arm/pec region which exasperates my anxiety as well, but I've comforted myself by telling my self that this issue is not related to the issue of reflux but because I have been off my Adderall and coffee the anxiety is pretty high. 
My goal is to build my understanding of maintaining and working around such cases through this community and share this knowledge as well.</t>
        </is>
      </c>
      <c r="D4928" t="n">
        <v>1</v>
      </c>
      <c r="E4928" t="n">
        <v>1</v>
      </c>
      <c r="F4928">
        <f>HYPERLINK("https://www.reddit.com/r/GERD/comments/euv48o/caffeine_reflux/")</f>
        <v/>
      </c>
      <c r="G4928" t="inlineStr">
        <is>
          <t>2020-01-27 13:51:28</t>
        </is>
      </c>
      <c r="H4928" t="inlineStr"/>
    </row>
    <row r="4929">
      <c r="A4929" t="inlineStr">
        <is>
          <t>euwc0c</t>
        </is>
      </c>
      <c r="B4929" t="inlineStr">
        <is>
          <t>Does anyone know what, if any reflux surgeries Medicaid would or would not cover?</t>
        </is>
      </c>
      <c r="C4929" t="inlineStr">
        <is>
          <t>I’m having the manometry now. I am researching the different surgical options for LPR and Gerd but I don’t want to get my hopes up if insurance won’t even cover it. I absolutely cannot tolerate PPIs due to severe headaches. 
LPR-throat clearing and burping are my main issues but I also have moderate Gerd frequently as well.
The ENT ran some tests and saw acid reflux damage on my vocal chords. (That should help my case for surgery) 
Anyone have any info? Thanks!</t>
        </is>
      </c>
      <c r="D4929" t="n">
        <v>1</v>
      </c>
      <c r="E4929" t="n">
        <v>0</v>
      </c>
      <c r="F4929">
        <f>HYPERLINK("https://www.reddit.com/r/GERD/comments/euwc0c/does_anyone_know_what_if_any_reflux_surgeries/")</f>
        <v/>
      </c>
      <c r="G4929" t="inlineStr">
        <is>
          <t>2020-01-27 15:12:15</t>
        </is>
      </c>
      <c r="H4929" t="inlineStr"/>
    </row>
    <row r="4930">
      <c r="A4930" t="inlineStr">
        <is>
          <t>euwmx0</t>
        </is>
      </c>
      <c r="B4930" t="inlineStr">
        <is>
          <t>Dose any one get a hit sensation in their head?</t>
        </is>
      </c>
      <c r="C4930" t="inlineStr">
        <is>
          <t>Is it just me or dose anybody else get a hot feeling in their head?you know the feeling you get when your crying? That sort of hit sensation but this time it’s worse and dosent go away with just drinking water?</t>
        </is>
      </c>
      <c r="D4930" t="n">
        <v>1</v>
      </c>
      <c r="E4930" t="n">
        <v>2</v>
      </c>
      <c r="F4930">
        <f>HYPERLINK("https://www.reddit.com/r/GERD/comments/euwmx0/dose_any_one_get_a_hit_sensation_in_their_head/")</f>
        <v/>
      </c>
      <c r="G4930" t="inlineStr">
        <is>
          <t>2020-01-27 15:32:48</t>
        </is>
      </c>
      <c r="H4930" t="inlineStr"/>
    </row>
    <row r="4931">
      <c r="A4931" t="inlineStr">
        <is>
          <t>euwqlc</t>
        </is>
      </c>
      <c r="B4931" t="inlineStr">
        <is>
          <t>Does anyone else wake up in the night with severe nausea and feel like they're gonna throw up for 10-15 minutes?</t>
        </is>
      </c>
      <c r="C4931" t="inlineStr">
        <is>
          <t>Of all my symptoms this one is the worst for me. Ruins sleep and leaves me with anxiety every night that I'm going to sleep only to wake up and go through hell. I've never actually thrown up but many times felt like I was about to. I have emetophobia as well so it ends up being a panic attack.
Does anyone else get this? Have you had any luck controlling it? I'm on Nexium/Esomeprazole 20mg 2x a day, before breakfast and dinner.</t>
        </is>
      </c>
      <c r="D4931" t="n">
        <v>1</v>
      </c>
      <c r="E4931" t="n">
        <v>22</v>
      </c>
      <c r="F4931">
        <f>HYPERLINK("https://www.reddit.com/r/GERD/comments/euwqlc/does_anyone_else_wake_up_in_the_night_with_severe/")</f>
        <v/>
      </c>
      <c r="G4931" t="inlineStr">
        <is>
          <t>2020-01-27 15:39:26</t>
        </is>
      </c>
      <c r="H4931" t="inlineStr"/>
    </row>
    <row r="4932">
      <c r="A4932" t="inlineStr">
        <is>
          <t>euxfb5</t>
        </is>
      </c>
      <c r="B4932" t="inlineStr">
        <is>
          <t>Do eggs make anyone else feel nauseous/ trigger acid reflux ??</t>
        </is>
      </c>
      <c r="C4932" t="inlineStr">
        <is>
          <t>I had scrambled eggs today cooked with avocado oil &amp;amp; zucchini. And now feel like i want to throw up.</t>
        </is>
      </c>
      <c r="D4932" t="n">
        <v>1</v>
      </c>
      <c r="E4932" t="n">
        <v>4</v>
      </c>
      <c r="F4932">
        <f>HYPERLINK("https://www.reddit.com/r/GERD/comments/euxfb5/do_eggs_make_anyone_else_feel_nauseous_trigger/")</f>
        <v/>
      </c>
      <c r="G4932" t="inlineStr">
        <is>
          <t>2020-01-27 16:26:32</t>
        </is>
      </c>
      <c r="H4932" t="inlineStr"/>
    </row>
    <row r="4933">
      <c r="A4933" t="inlineStr">
        <is>
          <t>euy51x</t>
        </is>
      </c>
      <c r="B4933" t="inlineStr">
        <is>
          <t>Comprehensive stool test?</t>
        </is>
      </c>
      <c r="C4933" t="inlineStr">
        <is>
          <t>I’ve been experiencing acid reflux and heartburn ever since November of last year with a white tongue and problems eating carbs and sugar. I can’t even eat oatmeal without a bad flareup but meat and veggies  are ok. I had a history of ibs d which the gastro told me to take Buspirone for to increase gut motility. A few months later the reflux got worse with carbs and the gastro told me I had Candida due to my symptoms along with anal burning that has calmed down a bit. He recommended flucanozole but doesn’t want to do a stool test because “no test can accurately diagnose Candida and take the meds”. I got floxxed taking cipro and I’m trying to bring my joints back since they hurt like hell esp my Achilles’ tendon. Should I seek another dr to do a stool test? I really want to be sure I have Candida and not just pop another med.</t>
        </is>
      </c>
      <c r="D4933" t="n">
        <v>1</v>
      </c>
      <c r="E4933" t="n">
        <v>2</v>
      </c>
      <c r="F4933">
        <f>HYPERLINK("https://www.reddit.com/r/GERD/comments/euy51x/comprehensive_stool_test/")</f>
        <v/>
      </c>
      <c r="G4933" t="inlineStr">
        <is>
          <t>2020-01-27 17:18:06</t>
        </is>
      </c>
      <c r="H4933" t="inlineStr"/>
    </row>
    <row r="4934">
      <c r="A4934" t="inlineStr">
        <is>
          <t>ev1ryn</t>
        </is>
      </c>
      <c r="B4934" t="inlineStr">
        <is>
          <t>Return to bad GERD, had Nissen OP over a year ago</t>
        </is>
      </c>
      <c r="C4934" t="inlineStr">
        <is>
          <t>Had a Nissan Funduplication operation over a year ago but this last week I've been getting severe GERD. Pain in stomach, mouth filling with saliva including a bitter taste, reflux coming up and burning my throat, trouble swallowing (pain), difficulty sleeping.
Very disappointed in this given the surgery, it might be related to some abdominal exercising I did but in theory this shouldn't happen?
Any thoughts on this? Thanks in advance for any responses, it's really getting me down now :(</t>
        </is>
      </c>
      <c r="D4934" t="n">
        <v>1</v>
      </c>
      <c r="E4934" t="n">
        <v>8</v>
      </c>
      <c r="F4934">
        <f>HYPERLINK("https://www.reddit.com/r/GERD/comments/ev1ryn/return_to_bad_gerd_had_nissen_op_over_a_year_ago/")</f>
        <v/>
      </c>
      <c r="G4934" t="inlineStr">
        <is>
          <t>2020-01-27 22:26:45</t>
        </is>
      </c>
      <c r="H4934" t="inlineStr"/>
    </row>
    <row r="4935">
      <c r="A4935" t="inlineStr">
        <is>
          <t>ev4w7z</t>
        </is>
      </c>
      <c r="B4935" t="inlineStr">
        <is>
          <t>Constant mucus in throat, sometimes feels like lump is there. Can’t tell if it’s anxiety or just gerd</t>
        </is>
      </c>
      <c r="C4935" t="inlineStr">
        <is>
          <t>I’ve had Gerd off and on since 9 years old. But this time it’s really bothering me. 
Sometimes I wake up with mucus in my throat &amp;amp; it goes away but the past few days it hasn’t been going away. Feels like there’s a lump in my throat.
Am I imagining these things or is there something really there</t>
        </is>
      </c>
      <c r="D4935" t="n">
        <v>1</v>
      </c>
      <c r="E4935" t="n">
        <v>11</v>
      </c>
      <c r="F4935">
        <f>HYPERLINK("https://www.reddit.com/r/GERD/comments/ev4w7z/constant_mucus_in_throat_sometimes_feels_like/")</f>
        <v/>
      </c>
      <c r="G4935" t="inlineStr">
        <is>
          <t>2020-01-28 04:21:19</t>
        </is>
      </c>
      <c r="H4935" t="inlineStr"/>
    </row>
    <row r="4936">
      <c r="A4936" t="inlineStr">
        <is>
          <t>ev5xdl</t>
        </is>
      </c>
      <c r="B4936" t="inlineStr">
        <is>
          <t>Trying other PPIs after really bad result with Omeprazole</t>
        </is>
      </c>
      <c r="C4936" t="inlineStr">
        <is>
          <t>I'm thinking of trying other PPIs beside Omeprazole. But I'm a bit scared, because it really worsened my symptoms (mainly the worst cough a human being can experience). Zantac works greatly, but I don't want to take it for too long, due to long-term side effects.
Have you guys tried one PPI, had a really bad experience, and then found another one that works better?</t>
        </is>
      </c>
      <c r="D4936" t="n">
        <v>1</v>
      </c>
      <c r="E4936" t="n">
        <v>13</v>
      </c>
      <c r="F4936">
        <f>HYPERLINK("https://www.reddit.com/r/GERD/comments/ev5xdl/trying_other_ppis_after_really_bad_result_with/")</f>
        <v/>
      </c>
      <c r="G4936" t="inlineStr">
        <is>
          <t>2020-01-28 05:58:16</t>
        </is>
      </c>
      <c r="H4936" t="inlineStr"/>
    </row>
    <row r="4937">
      <c r="A4937" t="inlineStr">
        <is>
          <t>ev7cmq</t>
        </is>
      </c>
      <c r="B4937" t="inlineStr">
        <is>
          <t>Managing to sleep with acid in the throat</t>
        </is>
      </c>
      <c r="C4937" t="inlineStr">
        <is>
          <t>How do you guys manage to sleep with acid burning in the throat? I mean, isn't it kinda scary? 
I have LPR and today is the worst of the year. I woke up after just three hours of sleep clearing acid in my throat. Terrible. I think it was a grape juice I had earlier. Couldn't manage getting back to sleep, feeling afraid of not breathing correctly doesn't help much.</t>
        </is>
      </c>
      <c r="D4937" t="n">
        <v>1</v>
      </c>
      <c r="E4937" t="n">
        <v>24</v>
      </c>
      <c r="F4937">
        <f>HYPERLINK("https://www.reddit.com/r/GERD/comments/ev7cmq/managing_to_sleep_with_acid_in_the_throat/")</f>
        <v/>
      </c>
      <c r="G4937" t="inlineStr">
        <is>
          <t>2020-01-28 08:04:23</t>
        </is>
      </c>
      <c r="H4937" t="inlineStr"/>
    </row>
    <row r="4938">
      <c r="A4938" t="inlineStr">
        <is>
          <t>ev7mw1</t>
        </is>
      </c>
      <c r="B4938" t="inlineStr">
        <is>
          <t>Endoscopy results!</t>
        </is>
      </c>
      <c r="C4938" t="inlineStr">
        <is>
          <t>Initially I was really nervous going in, my heart rate was apparently 136 lol. So, they gave me extra fluids in my IV. But the doctor and nurse reassured me and told me it was going to be fine. Apparently, I fought the sedatives and they had to give me extra sedation lol. I remember just sleeping for a bit, and I woke up in the recovery room. The endoscopy showed I have gastritis and a lot of stomach acid for which the doctor is prescribing me pantoprazole. He is also running a test to check for H. pylori infection which I’m waiting for. I feel relieved it went better than I thought and I’m glad I went through it. I’m also grateful the diagnosis showed nothing serious. Thanks for your support and encouragement guys! And to anyone who’s going to do an endoscopy, it’s really a piece of cake. I had a lot of anxiety just waiting and being in the procedure room, but it was over before I even realized.</t>
        </is>
      </c>
      <c r="D4938" t="n">
        <v>1</v>
      </c>
      <c r="E4938" t="n">
        <v>19</v>
      </c>
      <c r="F4938">
        <f>HYPERLINK("https://www.reddit.com/r/GERD/comments/ev7mw1/endoscopy_results/")</f>
        <v/>
      </c>
      <c r="G4938" t="inlineStr">
        <is>
          <t>2020-01-28 08:25:05</t>
        </is>
      </c>
      <c r="H4938" t="inlineStr"/>
    </row>
    <row r="4939">
      <c r="A4939" t="inlineStr">
        <is>
          <t>ev8y01</t>
        </is>
      </c>
      <c r="B4939" t="inlineStr">
        <is>
          <t>Usability Testing</t>
        </is>
      </c>
      <c r="C4939" t="inlineStr">
        <is>
          <t>Hello, my name is Abigail. I am a user experience designer currently working with RootMD, and we would love your help! 
RootMD provides personalized treatment for chronic gut disorders through functional medicine by targeting the root cause of disease. We would like to test specific parts of the website and are looking for individuals who may experience gut problems (not necessarily diagnosed) or have been recently diagnosed with chronic gut disease (IBS, Constipation, Crohn’s, Acid Reflux, etc.). 
If you are willing to participate in a 45 minute testing session (can be remote), please fill out this quick questionnaire ([https://forms.gle/MyiAVt4tNnyQjtLP7](https://forms.gle/MyiAVt4tNnyQjtLP7)) and we will contact you if you are selected. Participants will be rewarded with a $10 gift card (Starbucks or Amazon).
If you have any questions, please contact me at abigailyelin@gmail.com. Thank you in advance for all your help!</t>
        </is>
      </c>
      <c r="D4939" t="n">
        <v>0</v>
      </c>
      <c r="E4939" t="n">
        <v>2</v>
      </c>
      <c r="F4939">
        <f>HYPERLINK("https://www.reddit.com/r/GERD/comments/ev8y01/usability_testing/")</f>
        <v/>
      </c>
      <c r="G4939" t="inlineStr">
        <is>
          <t>2020-01-28 10:01:02</t>
        </is>
      </c>
      <c r="H4939" t="inlineStr"/>
    </row>
    <row r="4940">
      <c r="A4940" t="inlineStr">
        <is>
          <t>ev8zlr</t>
        </is>
      </c>
      <c r="B4940" t="inlineStr">
        <is>
          <t>Consistent back pain</t>
        </is>
      </c>
      <c r="C4940" t="inlineStr">
        <is>
          <t>Hello-
I’ve posted on here a couple times- my symptoms continue and I’d like to get some info from any of you who have experienced upper back pain. I’ve had this pain on and off throughout my GERD experiences in the last 5 years. This pain usually goes away but it has been constant for the past 3 days... I have a pain that starts in my right upper part of my spine, it radiates to my side and I feel like the front upper part of my stomach under my ribs is in pain too/sore. This scares me a bit because of the obvious cancer scare of this disease. i also have a swollen tonsil and swollen lymph node which my ENT isn’t too worry about rn cause it’s “no bigger than a peanut” I have 2 more weeks until my GI appt so I’m just in limbo. Has anyone had this pain? Message me as well if you do, would love to know more to get the most peace of mind and relief right now.</t>
        </is>
      </c>
      <c r="D4940" t="n">
        <v>1</v>
      </c>
      <c r="E4940" t="n">
        <v>13</v>
      </c>
      <c r="F4940">
        <f>HYPERLINK("https://www.reddit.com/r/GERD/comments/ev8zlr/consistent_back_pain/")</f>
        <v/>
      </c>
      <c r="G4940" t="inlineStr">
        <is>
          <t>2020-01-28 10:04:12</t>
        </is>
      </c>
      <c r="H4940" t="inlineStr"/>
    </row>
    <row r="4941">
      <c r="A4941" t="inlineStr">
        <is>
          <t>ev9671</t>
        </is>
      </c>
      <c r="B4941" t="inlineStr">
        <is>
          <t>Every GERDiseased person must read "the acid watchers diet" or at least watch Dr Aviv 33min video on YouTube</t>
        </is>
      </c>
      <c r="C4941" t="inlineStr">
        <is>
          <t>1 week in and I'm quite enjoy all the healthy food. My symptoms feel much better too.
I have a HH and loose LES so not expecting 💯 healing</t>
        </is>
      </c>
      <c r="D4941" t="n">
        <v>2</v>
      </c>
      <c r="E4941" t="n">
        <v>22</v>
      </c>
      <c r="F4941">
        <f>HYPERLINK("https://www.reddit.com/r/GERD/comments/ev9671/every_gerdiseased_person_must_read_the_acid/")</f>
        <v/>
      </c>
      <c r="G4941" t="inlineStr">
        <is>
          <t>2020-01-28 10:16:38</t>
        </is>
      </c>
      <c r="H4941" t="inlineStr"/>
    </row>
    <row r="4942">
      <c r="A4942" t="inlineStr">
        <is>
          <t>ev99vu</t>
        </is>
      </c>
      <c r="B4942" t="inlineStr">
        <is>
          <t>Trouble popping ears/ear pain/fullness (eustachian tube dysfunction)?</t>
        </is>
      </c>
      <c r="C4942" t="inlineStr">
        <is>
          <t>Hey all,
I'm part of a program at Stanford University that tries to identify and solve unmet needs in healthcare. One of our main areas of interest at the moment is Eustachian Tube Dysfunction. At this point, we are trying to understand how people deal with this disorder. I know that many people have middle ear issues as a consequence of LPR, so I was hoping to get some feedback from the [r/GERD](https://www.reddit.com/r/GERD/) community to help us better understand everyone's experience to aid in designing potential new options for this disorder.
If you have 5 minutes, [we have a super brief survey to let you tell us a bit more about your ETD symptoms](https://stanforduniversity.qualtrics.com/jfe/form/SV_1LDZLvI5n4BImod?Q_CHL=reddit&amp;amp;Q_SocialSource=GERD). 
Would also appreciate any stories people want to share - whether it be via comments, DM's, or phone. Whatever works for you.
Thanks all!</t>
        </is>
      </c>
      <c r="D4942" t="n">
        <v>0</v>
      </c>
      <c r="E4942" t="n">
        <v>7</v>
      </c>
      <c r="F4942">
        <f>HYPERLINK("https://www.reddit.com/r/GERD/comments/ev99vu/trouble_popping_earsear_painfullness_eustachian/")</f>
        <v/>
      </c>
      <c r="G4942" t="inlineStr">
        <is>
          <t>2020-01-28 10:23:51</t>
        </is>
      </c>
      <c r="H4942" t="inlineStr"/>
    </row>
    <row r="4943">
      <c r="A4943" t="inlineStr">
        <is>
          <t>ev9z42</t>
        </is>
      </c>
      <c r="B4943" t="inlineStr">
        <is>
          <t>Reflux worse during period?</t>
        </is>
      </c>
      <c r="C4943" t="inlineStr">
        <is>
          <t>Any ladies of reddit feel your indigestion and reflux are worse during your period?</t>
        </is>
      </c>
      <c r="D4943" t="n">
        <v>4</v>
      </c>
      <c r="E4943" t="n">
        <v>13</v>
      </c>
      <c r="F4943">
        <f>HYPERLINK("https://www.reddit.com/r/GERD/comments/ev9z42/reflux_worse_during_period/")</f>
        <v/>
      </c>
      <c r="G4943" t="inlineStr">
        <is>
          <t>2020-01-28 11:12:41</t>
        </is>
      </c>
      <c r="H4943" t="inlineStr"/>
    </row>
    <row r="4944">
      <c r="A4944" t="inlineStr">
        <is>
          <t>eva7wb</t>
        </is>
      </c>
      <c r="B4944" t="inlineStr">
        <is>
          <t>Do you think modern food is more acidic?</t>
        </is>
      </c>
      <c r="C4944" t="inlineStr">
        <is>
          <t>I’m just wondering if it was always this way but it seems like 90% of the recipes I find use an acid of some sort and I’m just wondering if it was always that way?</t>
        </is>
      </c>
      <c r="D4944" t="n">
        <v>1</v>
      </c>
      <c r="E4944" t="n">
        <v>8</v>
      </c>
      <c r="F4944">
        <f>HYPERLINK("https://www.reddit.com/r/GERD/comments/eva7wb/do_you_think_modern_food_is_more_acidic/")</f>
        <v/>
      </c>
      <c r="G4944" t="inlineStr">
        <is>
          <t>2020-01-28 11:29:55</t>
        </is>
      </c>
      <c r="H4944" t="inlineStr"/>
    </row>
    <row r="4945">
      <c r="A4945" t="inlineStr">
        <is>
          <t>evbk0f</t>
        </is>
      </c>
      <c r="B4945" t="inlineStr">
        <is>
          <t>can h pylori cause gerd?</t>
        </is>
      </c>
      <c r="C4945" t="inlineStr">
        <is>
          <t>hey guys i was diagnosed with h pylori last month, and had two weeks antibiotic treatment to get rid of it which included ppi (omeprazole). but this last week i finished all of my omeprazole pills and after every meal i feel bloated along with some chest pain, also every time i drink coffee i can feel the symptoms even more. my life has become hellish i can't even enjoy food anymore i maintain a very healthy lifestyle (no alcohol no soda) but i was infected by other person with h pylori. i'm going to do another test in feb to make sure that h pylori is finally gone</t>
        </is>
      </c>
      <c r="D4945" t="n">
        <v>3</v>
      </c>
      <c r="E4945" t="n">
        <v>1</v>
      </c>
      <c r="F4945">
        <f>HYPERLINK("https://www.reddit.com/r/GERD/comments/evbk0f/can_h_pylori_cause_gerd/")</f>
        <v/>
      </c>
      <c r="G4945" t="inlineStr">
        <is>
          <t>2020-01-28 13:02:36</t>
        </is>
      </c>
      <c r="H4945" t="inlineStr"/>
    </row>
    <row r="4946">
      <c r="A4946" t="inlineStr">
        <is>
          <t>evbt4f</t>
        </is>
      </c>
      <c r="B4946" t="inlineStr">
        <is>
          <t>barrets esophagus without gerd ?</t>
        </is>
      </c>
      <c r="C4946" t="inlineStr">
        <is>
          <t>Hi, I just got diagnosed with barret at 29 years old 
I never had gerd in my life  but still developped it 
I never experinced any pain, just some bloating, and regurgitation after eating and at night ,but i have this for decades and its not gerd
how it can be explained ?</t>
        </is>
      </c>
      <c r="D4946" t="n">
        <v>2</v>
      </c>
      <c r="E4946" t="n">
        <v>8</v>
      </c>
      <c r="F4946">
        <f>HYPERLINK("https://www.reddit.com/r/GERD/comments/evbt4f/barrets_esophagus_without_gerd/")</f>
        <v/>
      </c>
      <c r="G4946" t="inlineStr">
        <is>
          <t>2020-01-28 13:19:24</t>
        </is>
      </c>
      <c r="H4946" t="inlineStr"/>
    </row>
    <row r="4947">
      <c r="A4947" t="inlineStr">
        <is>
          <t>evbvq8</t>
        </is>
      </c>
      <c r="B4947" t="inlineStr">
        <is>
          <t>Excruciating chest pain all day</t>
        </is>
      </c>
      <c r="C4947" t="inlineStr">
        <is>
          <t>The last time I ate was 6:30am this morning it is now 4:30pm and all day I’ve had this stabbing chest pain that feels like a spiky ball is rolling it’s way around in there. Is this normal as a GERD patient? I usually have mild chest pains but it’s never been this bad until now I’ve had GERD going on 4 months</t>
        </is>
      </c>
      <c r="D4947" t="n">
        <v>1</v>
      </c>
      <c r="E4947" t="n">
        <v>0</v>
      </c>
      <c r="F4947">
        <f>HYPERLINK("https://www.reddit.com/r/GERD/comments/evbvq8/excruciating_chest_pain_all_day/")</f>
        <v/>
      </c>
      <c r="G4947" t="inlineStr">
        <is>
          <t>2020-01-28 13:23:58</t>
        </is>
      </c>
      <c r="H4947" t="inlineStr"/>
    </row>
    <row r="4948">
      <c r="A4948" t="inlineStr">
        <is>
          <t>evc2r8</t>
        </is>
      </c>
      <c r="B4948" t="inlineStr">
        <is>
          <t>PPI and h2ra blocker issue?</t>
        </is>
      </c>
      <c r="C4948" t="inlineStr">
        <is>
          <t>I take pantoprozole in the morning 30 min before a meal and I take zantac for breakthrough reflux at night (I know it’s discontinued but my doc approved the rest of what I have and then switching to Pepcid). I’ve been noticing a lot more nausea when I take the Zantac, but it helps the “OMG everything is coming up!” Feeling. I also have extreme anxiety and a phobia of vomit, so I’m quick to grab it for relief. I eat very bland and don’t eat before bed. I have my bed on blocks and I use a pillow wedge. Has anyone else experienced these side effects when combining the two? It’s like a gaggy nausea and it makes it hard to even eat, period. Which makes the bloat and reflux worse when I do. I feel like I’m in hell right now!!</t>
        </is>
      </c>
      <c r="D4948" t="n">
        <v>1</v>
      </c>
      <c r="E4948" t="n">
        <v>0</v>
      </c>
      <c r="F4948">
        <f>HYPERLINK("https://www.reddit.com/r/GERD/comments/evc2r8/ppi_and_h2ra_blocker_issue/")</f>
        <v/>
      </c>
      <c r="G4948" t="inlineStr">
        <is>
          <t>2020-01-28 13:36:55</t>
        </is>
      </c>
      <c r="H4948" t="inlineStr"/>
    </row>
    <row r="4949">
      <c r="A4949" t="inlineStr">
        <is>
          <t>evc8mv</t>
        </is>
      </c>
      <c r="B4949" t="inlineStr">
        <is>
          <t>Had a scope today: Anyone familiar with gastroesophageal stricture? (As it relates to GERD)</t>
        </is>
      </c>
      <c r="C4949" t="inlineStr">
        <is>
          <t>So after years of being told my issue was likely gastritis, I finally had an endoscopy today. (I have very gastritis-like symptoms.) 
However, my scope today revealed I have no gastritis and my stomach lining all looks healthy and pink. However, the doctor was concerned about a stricture where the stomach meets the esophagus. He says GERD is the issue and there is significant scar tissue at the opening.  
I told him my pain absolutely feels like it's in the pit of my stomach. He said that may be, but that's not where it is. 
I have extreme burning, mostly on empty stomach. Relieved somewhat by eating soft foods, keeping the stomach coated. I am also sensitive to heavy roughage (salads etc) or acidic foods, of course. 
I know very little about GERD, but most people complain of pains in chest... or heartburn... or even throat. How can GERD give me pains directly in the lower pit of my stomach? 
He blew up the stricture with a balloon, so no idea if that will help or not. It's a procedure they do for it. 
Anyone have any info on this at all? I'm clueless... as I thought I had something completely different. 
Thanks in advance!</t>
        </is>
      </c>
      <c r="D4949" t="n">
        <v>1</v>
      </c>
      <c r="E4949" t="n">
        <v>4</v>
      </c>
      <c r="F4949">
        <f>HYPERLINK("https://www.reddit.com/r/GERD/comments/evc8mv/had_a_scope_today_anyone_familiar_with/")</f>
        <v/>
      </c>
      <c r="G4949" t="inlineStr">
        <is>
          <t>2020-01-28 13:47:51</t>
        </is>
      </c>
      <c r="H4949" t="inlineStr"/>
    </row>
    <row r="4950">
      <c r="A4950" t="inlineStr">
        <is>
          <t>evcyj6</t>
        </is>
      </c>
      <c r="B4950" t="inlineStr">
        <is>
          <t>Omeprazole causing severe gas/stomach pains?</t>
        </is>
      </c>
      <c r="C4950" t="inlineStr">
        <is>
          <t>I first started getting heartburn/reflux symptoms when I was 19 in my first year of college (now 24). It was only ever an annoyance until this year when I started getting flare ups with stomach pain and some LPR symptoms (mainly feeling the need to clear my throat after eating/asthma symptoms). 
Pepcid has been helping except for when I've had a few flare ups, but a month ago, my GI prescribed me 20mg omeprazole once a day for 3 months to clear any inflammation I might be having. 
Due to anxiety and forgetfulness, I didn't start taking it until yesterday. I had a slight flare up over the weekend and decided I need to just start it. 
I've felt fine since taking it until after lunch today. This afternoon, I started getting TERRIBLE gas pains, and it's only slightly gone away since I took a Phazyme Max Strength 20 minutes ago. Now it feels like it’s turning into a full on flare up, my chest burns and I feel like I need to go home and just let it all out... 
I just called my GI office and the nurse said it shouldn’t cause any side effects this early and told me to wait about another week and if I’m still having issues, they’d look into it. 
Has anyone else experienced anything like this with omeprazole? I know it takes a few days to actually work, so I’m not sure if this is even related. I usually get stomach side effects from drugs, but it's unfortunate that it's only day 2 and I'm already worried.</t>
        </is>
      </c>
      <c r="D4950" t="n">
        <v>2</v>
      </c>
      <c r="E4950" t="n">
        <v>7</v>
      </c>
      <c r="F4950">
        <f>HYPERLINK("https://www.reddit.com/r/GERD/comments/evcyj6/omeprazole_causing_severe_gasstomach_pains/")</f>
        <v/>
      </c>
      <c r="G4950" t="inlineStr">
        <is>
          <t>2020-01-28 14:33:51</t>
        </is>
      </c>
      <c r="H4950" t="inlineStr"/>
    </row>
    <row r="4951">
      <c r="A4951" t="inlineStr">
        <is>
          <t>evdc4g</t>
        </is>
      </c>
      <c r="B4951" t="inlineStr">
        <is>
          <t>Did Nexium made you constipated and bloated after each meal?</t>
        </is>
      </c>
      <c r="C4951" t="inlineStr">
        <is>
          <t>I am given Nexium for GERD (40/day) when i have flare ups. I did try to control the food I eat and when I eat and lose weight and it helped so for a time i was off Nexium. Then I took a mood stabilizer (olanzapine) and then I piled on kilograms like crazy as my appettite went crazy and now I have important GERD due to fat piled on m belly last few months. I already start to go to fitnes center to lose this fat on the belly but still i cannot do that very fast nor would it be healthy to do so.
Gerd recently went so bad it causes coughing (gerd generated dry cough) and until I lose the weight i cannot manage it with lifestyle changes....
So i started Nexium (did take in the past too). 
Every time I take Nexium I am relieved of GERD but I get bloated after a meal and constipated simultaneously. 
I am calling doctor soonest I can as I cannot stop nexium and get immense GERD that almost chocks me, from the other hand why am i bloated so much although I eat modest to small size meals... 
Anyone has been through the same please say a few words. I do not seek medical advice, just if you also had similar phenomena happening while on nexium to control GERD. Thank you.</t>
        </is>
      </c>
      <c r="D4951" t="n">
        <v>1</v>
      </c>
      <c r="E4951" t="n">
        <v>2</v>
      </c>
      <c r="F4951">
        <f>HYPERLINK("https://www.reddit.com/r/GERD/comments/evdc4g/did_nexium_made_you_constipated_and_bloated_after/")</f>
        <v/>
      </c>
      <c r="G4951" t="inlineStr">
        <is>
          <t>2020-01-28 14:58:00</t>
        </is>
      </c>
      <c r="H4951" t="inlineStr"/>
    </row>
    <row r="4952">
      <c r="A4952" t="inlineStr">
        <is>
          <t>evfha7</t>
        </is>
      </c>
      <c r="B4952" t="inlineStr">
        <is>
          <t>LPR after 6 years in the clear, back to basics.</t>
        </is>
      </c>
      <c r="C4952" t="inlineStr">
        <is>
          <t>I first experienced what I now know as LPR/GERD about 13 years ago, when I was just shy of 21. I had the throat tightness/fullness, excessive mucous, throat clearing, feeling of something in throat, sometimes early satiety and belching. The early satiety and fullness/belching would come and go, but the throat tightness was near constant, with some days better than others. I had 2 scopes, an ENT visit, and a barium swallow that were all unremarkable. I was told it was most likely GERD, and put on PPI. Rarely had I ever had "heartburn," and 20 yr old me had a very hard time accepting this diagnosis. 
I took the PPI for a month or so, but was still eating whatever, going out drinking with friends, having coffee, etc. I didn't make any lifestyle changes. I don't think I ever took the PPI for more than a month or two.  I eventually decided the PPIs didn't do anything, so I quit taking them and just went on with life for about 4 years, and tried not to let it bring me down (but it did sometimes). I began to question whether it was all anxiety, or what. But I'd never really had any anxiety issues prior to this. I still really don't, unless I have a reason to be anxious. 
 Occasionally I would Google and go down the rabbit hole about what was wrong with me, why nobody could explain it or cure it. There was a lot less online about LPR back then, but whatever I did read was pretty bleak. It echoed a lot of the stuff I've read here. 
Eventually, in grad school, we were studying pharmacology and got to talking about PPIs. The instructor mentioned that many times GERD and associated laryngeal symptoms can take *several months of uninterrupted* PPI therapy to *begin to resolve.* And that PPI therapy should be taken first thing in the morning, an hour before the first meal. They went over all the other stuff that I had largely ignored or thought didn't apply to me, because I was "too young" and "didn't really have heartburn anyway."  No alcohol, no coffee, no tobacco, no fried foods, no spicy food, eat small bland meals until symptoms resolve. 
Well, I decided with my now developed maturity to consider that maybe the docs were right. Maybe I did in fact have GERD, and I wasn't some mystery case of throat muscle pathology, strained vocal cords, a salivary disorder, or something else. So I made the diet modifications and took my PPI every day for a month.
Holy shit! I started to feel better. Another month and I felt even better. I started to slowly reintroduce foods, seeing what worked and what didn't. I kept taking my PPI. Eventually I got to a point where I could eat mostly whatever I wanted, and even enjoy coffee and alcohol too. However, I knew the warning signs of when to pull back a bit and  slow down and go back to basics. I started exercising most every day, and with that came drinking more water. I found that getting dehydrated or not drinking enough water had a direct correlation to my symptoms. 
I took the PPI every day for about 5 years or so. Somewhere in that time reverting to feeling completely normal. No throat tightness or substernal chest pain, no excessive throat clearing, no lump in throat feeling. I don't even know exactly when it happened. Eventually I decided to wean off the PPI, and I did so over 3 weeks. It went well, and symptoms didn't return, aside from the very rare evening of indigestion. 
Unfortunately, this past week that all changed. Ive been staying with family for the last 4 months. They drink crazy strong coffee, which I knew could be problematic, but it's damn delicious and I'd been fine for so long. I had it daily, 2 cups. We also drink bold red wines with dinner. It's nice. But, abruptly, seemingly without much wind up or warning, I've been dealing with a reoccurrence of LPR symptoms. I feel like I stepped in a time machine back to 5 years ago. 
So, it's back to basics. PPI every morning, and in the evening for a while until symptoms start to get better, and then PPI every day for at least 6 months. This weeks diet is all lean meats and vegetables, no spice, no fried food, no coffee or booze.  No googling ad nauseam and reading all the horror story posts about lifelong suffering and this and that. The success stories don't ever post online. I know that when I was feeling good I certainly didn't revisit old sites to update anyone. 
It's just GERD, and it will respond to treatment, it just takes a while.</t>
        </is>
      </c>
      <c r="D4952" t="n">
        <v>1</v>
      </c>
      <c r="E4952" t="n">
        <v>31</v>
      </c>
      <c r="F4952">
        <f>HYPERLINK("https://www.reddit.com/r/GERD/comments/evfha7/lpr_after_6_years_in_the_clear_back_to_basics/")</f>
        <v/>
      </c>
      <c r="G4952" t="inlineStr">
        <is>
          <t>2020-01-28 17:25:56</t>
        </is>
      </c>
      <c r="H4952" t="inlineStr"/>
    </row>
    <row r="4953">
      <c r="A4953" t="inlineStr">
        <is>
          <t>evhb2w</t>
        </is>
      </c>
      <c r="B4953" t="inlineStr">
        <is>
          <t>The Spine and GERD</t>
        </is>
      </c>
      <c r="C4953" t="inlineStr">
        <is>
          <t>Just wondering how many of you have found a connection between your spinal nerves/movement and your GERD symptoms ? Initially I was considering costochondritis but the movement triggers and things that seem to reduce the pain somewhat seems to indicate that the symptoms are caused by either GERD or oesophageal spasm - is this common ?</t>
        </is>
      </c>
      <c r="D4953" t="n">
        <v>1</v>
      </c>
      <c r="E4953" t="n">
        <v>4</v>
      </c>
      <c r="F4953">
        <f>HYPERLINK("https://www.reddit.com/r/GERD/comments/evhb2w/the_spine_and_gerd/")</f>
        <v/>
      </c>
      <c r="G4953" t="inlineStr">
        <is>
          <t>2020-01-28 19:49:22</t>
        </is>
      </c>
      <c r="H4953" t="inlineStr"/>
    </row>
    <row r="4954">
      <c r="A4954" t="inlineStr">
        <is>
          <t>evhfkr</t>
        </is>
      </c>
      <c r="B4954" t="inlineStr">
        <is>
          <t>The internet hates PPIs! Doctors love them! Who is right??</t>
        </is>
      </c>
      <c r="C4954" t="inlineStr">
        <is>
          <t>Research seems to suggest that they are useful for a number of upper GI issues ranging from gastritis to GERD. They're always first line treatment. My doc wants me on them, and I've been avoiding them for years. (My scope showed stricture at stomach opening and scar tissue) 
The internet hates PPIs. Very few good stories, tons of horror stories of all kinds and everyone doing everything in their power to avoid them.  
Is this population bias though? If a person takes a PPI and it works... do they run to a message board to cheer about it?  Because if it doesn't work... you know they will spread the word far and wide. 
I suggested to my doc I wanted to take Pepcid instead of a PPI and he had an almost visceral reaction, after laughing at me. Doctors freaking LOVE these drugs. Now... some may be skeptical about doctors but I happen to believe most want their patients to heal. Wouldn't they be insisting on these because they've had success with them? 
Who is right, here? Are we (message board types) only hearing one side of this story?</t>
        </is>
      </c>
      <c r="D4954" t="n">
        <v>4</v>
      </c>
      <c r="E4954" t="n">
        <v>54</v>
      </c>
      <c r="F4954">
        <f>HYPERLINK("https://www.reddit.com/r/GERD/comments/evhfkr/the_internet_hates_ppis_doctors_love_them_who_is/")</f>
        <v/>
      </c>
      <c r="G4954" t="inlineStr">
        <is>
          <t>2020-01-28 19:59:22</t>
        </is>
      </c>
      <c r="H4954" t="inlineStr"/>
    </row>
    <row r="4955">
      <c r="A4955" t="inlineStr">
        <is>
          <t>evhwsj</t>
        </is>
      </c>
      <c r="B4955" t="inlineStr">
        <is>
          <t>Why does delayed-release Pantoprazole need to be taken 30 minutes before breakfast.</t>
        </is>
      </c>
      <c r="C4955" t="inlineStr">
        <is>
          <t>I've always been told that it needs to be taken at a min, 30 minutes before breakfast, and at a max, 60 minutes before. Does anyone know why this is?</t>
        </is>
      </c>
      <c r="D4955" t="n">
        <v>1</v>
      </c>
      <c r="E4955" t="n">
        <v>1</v>
      </c>
      <c r="F4955">
        <f>HYPERLINK("https://www.reddit.com/r/GERD/comments/evhwsj/why_does_delayedrelease_pantoprazole_need_to_be/")</f>
        <v/>
      </c>
      <c r="G4955" t="inlineStr">
        <is>
          <t>2020-01-28 20:39:36</t>
        </is>
      </c>
      <c r="H4955" t="inlineStr"/>
    </row>
    <row r="4956">
      <c r="A4956" t="inlineStr">
        <is>
          <t>evivby</t>
        </is>
      </c>
      <c r="B4956" t="inlineStr">
        <is>
          <t>So fucking tired</t>
        </is>
      </c>
      <c r="C4956" t="inlineStr">
        <is>
          <t>Uni started this week and everyday I feel like vomiting when I wake up. It doesn't helo when I can barely breathe and am on the verge of a paniv attack everyday. I have horrible pressure in my headvwith debilitating brainfog. Fuck me.</t>
        </is>
      </c>
      <c r="D4956" t="n">
        <v>1</v>
      </c>
      <c r="E4956" t="n">
        <v>2</v>
      </c>
      <c r="F4956">
        <f>HYPERLINK("https://www.reddit.com/r/GERD/comments/evivby/so_fucking_tired/")</f>
        <v/>
      </c>
      <c r="G4956" t="inlineStr">
        <is>
          <t>2020-01-28 22:06:50</t>
        </is>
      </c>
      <c r="H4956" t="inlineStr"/>
    </row>
    <row r="4957">
      <c r="A4957" t="inlineStr">
        <is>
          <t>eviyqt</t>
        </is>
      </c>
      <c r="B4957" t="inlineStr">
        <is>
          <t>Does anyone with any form of gerd have an Atrial fibrillation?</t>
        </is>
      </c>
      <c r="C4957" t="inlineStr">
        <is>
          <t>Just wondering. I tend to deal with heart palpitations here and there though im sure its not Atrial fibrillation. Anyway does anyone have this? because i heard this could happen.</t>
        </is>
      </c>
      <c r="D4957" t="n">
        <v>1</v>
      </c>
      <c r="E4957" t="n">
        <v>3</v>
      </c>
      <c r="F4957">
        <f>HYPERLINK("https://www.reddit.com/r/GERD/comments/eviyqt/does_anyone_with_any_form_of_gerd_have_an_atrial/")</f>
        <v/>
      </c>
      <c r="G4957" t="inlineStr">
        <is>
          <t>2020-01-28 22:16:07</t>
        </is>
      </c>
      <c r="H4957" t="inlineStr"/>
    </row>
    <row r="4958">
      <c r="A4958" t="inlineStr">
        <is>
          <t>evjfwe</t>
        </is>
      </c>
      <c r="B4958" t="inlineStr">
        <is>
          <t>How common is it for someone to completely be cured of GERD through the use of PPIs exclusively?</t>
        </is>
      </c>
      <c r="C4958" t="inlineStr">
        <is>
          <t>Is it possible to do a month or couple of months of PPIs then ween off and never have symptoms again?</t>
        </is>
      </c>
      <c r="D4958" t="n">
        <v>1</v>
      </c>
      <c r="E4958" t="n">
        <v>16</v>
      </c>
      <c r="F4958">
        <f>HYPERLINK("https://www.reddit.com/r/GERD/comments/evjfwe/how_common_is_it_for_someone_to_completely_be/")</f>
        <v/>
      </c>
      <c r="G4958" t="inlineStr">
        <is>
          <t>2020-01-28 23:03:59</t>
        </is>
      </c>
      <c r="H4958" t="inlineStr"/>
    </row>
    <row r="4959">
      <c r="A4959" t="inlineStr">
        <is>
          <t>evjup2</t>
        </is>
      </c>
      <c r="B4959" t="inlineStr">
        <is>
          <t>Are your GERD episodes initialized with lots of burping/belching?</t>
        </is>
      </c>
      <c r="C4959" t="inlineStr">
        <is>
          <t>I'm trying to understand GERD works because Im not sure if I have full blown GERD
Do you burp and belch alot and THAT causes the reflux?
Or does the reflux just happen by itself randomly?</t>
        </is>
      </c>
      <c r="D4959" t="n">
        <v>1</v>
      </c>
      <c r="E4959" t="n">
        <v>1</v>
      </c>
      <c r="F4959">
        <f>HYPERLINK("https://www.reddit.com/r/GERD/comments/evjup2/are_your_gerd_episodes_initialized_with_lots_of/")</f>
        <v/>
      </c>
      <c r="G4959" t="inlineStr">
        <is>
          <t>2020-01-28 23:48:45</t>
        </is>
      </c>
      <c r="H4959" t="inlineStr"/>
    </row>
    <row r="4960">
      <c r="A4960" t="inlineStr">
        <is>
          <t>evkd5z</t>
        </is>
      </c>
      <c r="B4960" t="inlineStr">
        <is>
          <t>Nissen fundoplication in young?</t>
        </is>
      </c>
      <c r="C4960" t="inlineStr">
        <is>
          <t>Hello, I was diagnosed with barrets just 1 week ago
My doctor prescribed pantaprazole at 80 mg/day, and said I will likely take ppi for the rest of my life
This dosage seem a bit to high for me... Maybe it's time to get nissen fundoplication
I'm just 23 years old, my barret is only 2 cm but I don't want to take any risk</t>
        </is>
      </c>
      <c r="D4960" t="n">
        <v>1</v>
      </c>
      <c r="E4960" t="n">
        <v>3</v>
      </c>
      <c r="F4960">
        <f>HYPERLINK("https://www.reddit.com/r/GERD/comments/evkd5z/nissen_fundoplication_in_young/")</f>
        <v/>
      </c>
      <c r="G4960" t="inlineStr">
        <is>
          <t>2020-01-29 00:47:15</t>
        </is>
      </c>
      <c r="H4960" t="inlineStr"/>
    </row>
    <row r="4961">
      <c r="A4961" t="inlineStr">
        <is>
          <t>evktdx</t>
        </is>
      </c>
      <c r="B4961" t="inlineStr">
        <is>
          <t>GERD and epilepsy</t>
        </is>
      </c>
      <c r="C4961" t="inlineStr">
        <is>
          <t>Does anyone here have both GERD and epilepsy? Do symptoms get worse after seizures?</t>
        </is>
      </c>
      <c r="D4961" t="n">
        <v>1</v>
      </c>
      <c r="E4961" t="n">
        <v>0</v>
      </c>
      <c r="F4961">
        <f>HYPERLINK("https://www.reddit.com/r/GERD/comments/evktdx/gerd_and_epilepsy/")</f>
        <v/>
      </c>
      <c r="G4961" t="inlineStr">
        <is>
          <t>2020-01-29 01:44:49</t>
        </is>
      </c>
      <c r="H4961" t="inlineStr"/>
    </row>
    <row r="4962">
      <c r="A4962" t="inlineStr">
        <is>
          <t>evm8fq</t>
        </is>
      </c>
      <c r="B4962" t="inlineStr">
        <is>
          <t>How long does rebound hyperactive acid last after long term PPI use?</t>
        </is>
      </c>
      <c r="C4962" t="inlineStr">
        <is>
          <t>After almost 7 years on omeprozole 20mg daily for GERD, I stopped cold turkey 36 days ago, due to not being able to produce enough stomach acid to digest anymore.  At first the rebound pain was unbearable but I’ve noticed it very slowly getting better with not as intense flare ups every day. I’m to a point where it’s pretty mild, but still there only after eating. Has anyone else been able to resolve acid rebound after long term ppi use? How long did it last?</t>
        </is>
      </c>
      <c r="D4962" t="n">
        <v>1</v>
      </c>
      <c r="E4962" t="n">
        <v>6</v>
      </c>
      <c r="F4962">
        <f>HYPERLINK("https://www.reddit.com/r/GERD/comments/evm8fq/how_long_does_rebound_hyperactive_acid_last_after/")</f>
        <v/>
      </c>
      <c r="G4962" t="inlineStr">
        <is>
          <t>2020-01-29 04:27:52</t>
        </is>
      </c>
      <c r="H4962" t="inlineStr"/>
    </row>
    <row r="4963">
      <c r="A4963" t="inlineStr">
        <is>
          <t>evnhbk</t>
        </is>
      </c>
      <c r="B4963" t="inlineStr">
        <is>
          <t>Quitting smoking &amp;amp; caffeine..?</t>
        </is>
      </c>
      <c r="C4963" t="inlineStr">
        <is>
          <t>We all know how bad smoking and caffeine is for gerd/ lpr. What is your experience with quitting one of them or both of them? Did you do one then the other or both at the same time? Did you feel and relief from your symptoms? I’m trying to build myself up to quit both, I have constant globus sensation/tight throat feeling.</t>
        </is>
      </c>
      <c r="D4963" t="n">
        <v>1</v>
      </c>
      <c r="E4963" t="n">
        <v>10</v>
      </c>
      <c r="F4963">
        <f>HYPERLINK("https://www.reddit.com/r/GERD/comments/evnhbk/quitting_smoking_caffeine/")</f>
        <v/>
      </c>
      <c r="G4963" t="inlineStr">
        <is>
          <t>2020-01-29 06:20:42</t>
        </is>
      </c>
      <c r="H4963" t="inlineStr"/>
    </row>
    <row r="4964">
      <c r="A4964" t="inlineStr">
        <is>
          <t>evo9g1</t>
        </is>
      </c>
      <c r="B4964" t="inlineStr">
        <is>
          <t>Gearing Myself Up For Doctor Visit.... Expectations? Your Experiences Needed!</t>
        </is>
      </c>
      <c r="C4964" t="inlineStr">
        <is>
          <t>My gerd is triggered by caffiene, red meat (this one sucks!) and fatty/oily meals. 
(Poop talk incoming)
On top of that, my poop has been abnormal for awhile now. Very rarely is it the normal "log" type poop. 
It's often jagged and broken up. Sometimes it'll be a jagged log... but I don't have smooth logs like I did before this all started. And every now and again, bits of undigested food. Definitely not normal poop.
I'm not taking PPIs and I have the head of my bed elevated and I can function pretty well... so it's not horrible and I have it under control to where it doesn't effect me too greatly.
I'm taking ibuprofen every day and that seems to help, which is based on the fact that it's worse when I don't take it. I think my whole GI tract is inflamed maybe? I just know when I take it, I poop alittle easier and have less gas pains throughout the day.
Having said all that? What can I expect with a doctor visit, generally speaking? 
What were your guys' experiences?
He just going to slap me with some PPIs which I have already weened myself off of? 
He just going to tell me to watch what I eat which I've already been doing?
I really want to be able to get back on caffiene.... because while I can function, I function like a turtle in molasses and it sucks when I know I can do so much more.
My overall point is.... I don't want to go down there for him to tell me to do what I'm already doing... I want an actual solution. Has any doctor provided you guys with a solution that gets you back to normal?
Okay thanks Guys!</t>
        </is>
      </c>
      <c r="D4964" t="n">
        <v>1</v>
      </c>
      <c r="E4964" t="n">
        <v>9</v>
      </c>
      <c r="F4964">
        <f>HYPERLINK("https://www.reddit.com/r/GERD/comments/evo9g1/gearing_myself_up_for_doctor_visit_expectations/")</f>
        <v/>
      </c>
      <c r="G4964" t="inlineStr">
        <is>
          <t>2020-01-29 07:23:22</t>
        </is>
      </c>
      <c r="H4964" t="inlineStr"/>
    </row>
    <row r="4965">
      <c r="A4965" t="inlineStr">
        <is>
          <t>evotch</t>
        </is>
      </c>
      <c r="B4965" t="inlineStr">
        <is>
          <t>Cured from PPIs?</t>
        </is>
      </c>
      <c r="C4965" t="inlineStr">
        <is>
          <t>I’ve seen a lot of debate about PPIs and whether they actually work or not. I know that if you have a malfunctioning LES, PPIs won’t help solve the actual problem. But my endoscopy showed I have a lot of stomach acid in which PPIs are supposed to help by reducing the amount. But will that help solve the actual cause of my acid reflux and keep it away? My other symptoms are pressure in chest, hypersalivation, nausea, stomach burning. I’m going to be prescribed pantoprazole by the way, which I’ve tried before. Do PPIs help with these symptoms as well? I’ve also been taking PPIs wrong apparently, because my doctor never told me to take it 30 minutes before eating breakfast. Will that also make a difference? Of course, I will also ask my doctor this but my appointment is in a week so I wanted to get opinions before then.</t>
        </is>
      </c>
      <c r="D4965" t="n">
        <v>1</v>
      </c>
      <c r="E4965" t="n">
        <v>10</v>
      </c>
      <c r="F4965">
        <f>HYPERLINK("https://www.reddit.com/r/GERD/comments/evotch/cured_from_ppis/")</f>
        <v/>
      </c>
      <c r="G4965" t="inlineStr">
        <is>
          <t>2020-01-29 08:04:40</t>
        </is>
      </c>
      <c r="H4965" t="inlineStr"/>
    </row>
    <row r="4966">
      <c r="A4966" t="inlineStr">
        <is>
          <t>evp4dl</t>
        </is>
      </c>
      <c r="B4966" t="inlineStr">
        <is>
          <t>Hows Your Poop?</t>
        </is>
      </c>
      <c r="C4966" t="inlineStr">
        <is>
          <t>Mine is definitely not normal since this whole thing happened....
Jagged torn poop. Small pieces of poop. Sometimes a bit flattened. Sometimes undigested food. Rarely, almost never a smooth normal poop.
Anybody else have abnormal poop?</t>
        </is>
      </c>
      <c r="D4966" t="n">
        <v>1</v>
      </c>
      <c r="E4966" t="n">
        <v>19</v>
      </c>
      <c r="F4966">
        <f>HYPERLINK("https://www.reddit.com/r/GERD/comments/evp4dl/hows_your_poop/")</f>
        <v/>
      </c>
      <c r="G4966" t="inlineStr">
        <is>
          <t>2020-01-29 08:27:44</t>
        </is>
      </c>
      <c r="H4966" t="inlineStr"/>
    </row>
    <row r="4967">
      <c r="A4967" t="inlineStr">
        <is>
          <t>evpfcl</t>
        </is>
      </c>
      <c r="B4967" t="inlineStr">
        <is>
          <t>Please read! Not sure what to do about my indigestion.</t>
        </is>
      </c>
      <c r="C4967" t="inlineStr">
        <is>
          <t>I'm 19, in college, and cannot really afford to go to the dr for this. It has been occurring for almost a year. I had bad acne and am on accutane, which means I have to be on birth control. The whole reason I stopped taking BC a few years ago is because it gave me such bad indigestion, so I am fairly certain it is the cause. 
The main issue is nausea and burping. I burp CONSTANTLY from the moment I wake up until I go to sleep. It is the worst in the evening. They are huge burps too. I am taking prilosec and it helps some days but not others. I can't remember the last time I didn't feel like I was on the verge of throwing up (i never do though). 
I eat pretty healthy and try to eliminate acidic foods and drinks, but anything causes it. I just had a banana and cannot stop burping now. I eat slow and chew thoroughly, but it feels like it is just sitting in my throat. The only thing that helps is constantly walking around, but I cannot be constantly walking around, particularly at night. The second I sit down again I feel horrible no matter how long ago i ate my food.
I just really need some input from someone because nobody in my life understands what is going on.</t>
        </is>
      </c>
      <c r="D4967" t="n">
        <v>1</v>
      </c>
      <c r="E4967" t="n">
        <v>4</v>
      </c>
      <c r="F4967">
        <f>HYPERLINK("https://www.reddit.com/r/GERD/comments/evpfcl/please_read_not_sure_what_to_do_about_my/")</f>
        <v/>
      </c>
      <c r="G4967" t="inlineStr">
        <is>
          <t>2020-01-29 08:49:27</t>
        </is>
      </c>
      <c r="H4967" t="inlineStr"/>
    </row>
    <row r="4968">
      <c r="A4968" t="inlineStr">
        <is>
          <t>evsvh4</t>
        </is>
      </c>
      <c r="B4968" t="inlineStr">
        <is>
          <t>Hiatal hernia</t>
        </is>
      </c>
      <c r="C4968" t="inlineStr">
        <is>
          <t>Is it normal to feel pressure in your entire diaphragm area with small sliding hiatal hernia?</t>
        </is>
      </c>
      <c r="D4968" t="n">
        <v>1</v>
      </c>
      <c r="E4968" t="n">
        <v>2</v>
      </c>
      <c r="F4968">
        <f>HYPERLINK("https://www.reddit.com/r/GERD/comments/evsvh4/hiatal_hernia/")</f>
        <v/>
      </c>
      <c r="G4968" t="inlineStr">
        <is>
          <t>2020-01-29 12:40:36</t>
        </is>
      </c>
      <c r="H4968" t="inlineStr"/>
    </row>
    <row r="4969">
      <c r="A4969" t="inlineStr">
        <is>
          <t>evt7oa</t>
        </is>
      </c>
      <c r="B4969" t="inlineStr">
        <is>
          <t>Need help anyone else have this problem?</t>
        </is>
      </c>
      <c r="C4969" t="inlineStr">
        <is>
          <t>So I’m pantroprazole or whatever, my reflux still comes. But the worse is when I drink ANY liquid w/ it especially water. I drink w/ it I vomit. I have a constant feeling I’m going to vomit if I make a change in the position I’m in, I constantly am belching and half the time it has acid that comes up and makes me throw up food and acid, they said my PH test had abnormal levels of acid and I’m still waiting to go back to the doctor it’s been two months and I can’t keep dealing with this. My meds have not been working since August, I never used to throw up like this. I’ve been tested for gallbladder issues, none. Gastroparesis, don’t have it. EGDS came back fine after a flare up that lasted almost a month.</t>
        </is>
      </c>
      <c r="D4969" t="n">
        <v>1</v>
      </c>
      <c r="E4969" t="n">
        <v>2</v>
      </c>
      <c r="F4969">
        <f>HYPERLINK("https://www.reddit.com/r/GERD/comments/evt7oa/need_help_anyone_else_have_this_problem/")</f>
        <v/>
      </c>
      <c r="G4969" t="inlineStr">
        <is>
          <t>2020-01-29 13:02:01</t>
        </is>
      </c>
      <c r="H4969" t="inlineStr"/>
    </row>
    <row r="4970">
      <c r="A4970" t="inlineStr">
        <is>
          <t>evtdxx</t>
        </is>
      </c>
      <c r="B4970" t="inlineStr">
        <is>
          <t>Good teas and natural remedies?</t>
        </is>
      </c>
      <c r="C4970" t="inlineStr">
        <is>
          <t>What teas have you all had luck with as far as helping acid reflux and GERD symptoms?  The common ones I see mentioned frequently are ginger, chamomile, licorice and Tulsi (Holy Basil).
As far as other natural remedies to try, I've seen positive things said about Slippery Elm and Marshmellow Root.  Slippery Elm, in particular, seems to have many positive reviews on Amazon.</t>
        </is>
      </c>
      <c r="D4970" t="n">
        <v>1</v>
      </c>
      <c r="E4970" t="n">
        <v>7</v>
      </c>
      <c r="F4970">
        <f>HYPERLINK("https://www.reddit.com/r/GERD/comments/evtdxx/good_teas_and_natural_remedies/")</f>
        <v/>
      </c>
      <c r="G4970" t="inlineStr">
        <is>
          <t>2020-01-29 13:12:56</t>
        </is>
      </c>
      <c r="H4970" t="inlineStr"/>
    </row>
    <row r="4971">
      <c r="A4971" t="inlineStr">
        <is>
          <t>evtsbt</t>
        </is>
      </c>
      <c r="B4971" t="inlineStr">
        <is>
          <t>New to this need advice</t>
        </is>
      </c>
      <c r="C4971" t="inlineStr">
        <is>
          <t>I have emetophobia and have just been told I probably have a hiatal hernia and GERD. I was wondering if anyone is in a similar situation and has found anything that helps.
I’m trying to eat smaller meals throughout the day but now I think I’m making it worse by eating to little.</t>
        </is>
      </c>
      <c r="D4971" t="n">
        <v>1</v>
      </c>
      <c r="E4971" t="n">
        <v>6</v>
      </c>
      <c r="F4971">
        <f>HYPERLINK("https://www.reddit.com/r/GERD/comments/evtsbt/new_to_this_need_advice/")</f>
        <v/>
      </c>
      <c r="G4971" t="inlineStr">
        <is>
          <t>2020-01-29 13:38:56</t>
        </is>
      </c>
      <c r="H4971" t="inlineStr"/>
    </row>
    <row r="4972">
      <c r="A4972" t="inlineStr">
        <is>
          <t>evv3ec</t>
        </is>
      </c>
      <c r="B4972" t="inlineStr">
        <is>
          <t>Omeprozole</t>
        </is>
      </c>
      <c r="C4972" t="inlineStr">
        <is>
          <t>After a swallow test I was told I had a sliding hostel hernia.  I have had nomadic abdominal pain for 18 months and more recently chest and throat inflammation. Doctor started me on 40 mg Omeprolzole.  I had already been taking 20 occ for a month.  I told him I was still having the chest pain at 40 mg so he told me to double up. I did this for a couple weeks and it helped with the chest, but abdominal pain kicked in harder.  I went back down to 40 mg.  As anyone else taking 80 mg daily?  I feel like I need to stick to a dosage so my body can regulate but am concerned about the 80 mg.
Not officially told I had Gerd, but md mentioned in appt.</t>
        </is>
      </c>
      <c r="D4972" t="n">
        <v>1</v>
      </c>
      <c r="E4972" t="n">
        <v>3</v>
      </c>
      <c r="F4972">
        <f>HYPERLINK("https://www.reddit.com/r/GERD/comments/evv3ec/omeprozole/")</f>
        <v/>
      </c>
      <c r="G4972" t="inlineStr">
        <is>
          <t>2020-01-29 15:04:14</t>
        </is>
      </c>
      <c r="H4972" t="inlineStr"/>
    </row>
    <row r="4973">
      <c r="A4973" t="inlineStr">
        <is>
          <t>evv50f</t>
        </is>
      </c>
      <c r="B4973" t="inlineStr">
        <is>
          <t>Had an acid reflux for the first time this sunday, and still feeling the burning sensation at night and in my throat. Now what?</t>
        </is>
      </c>
      <c r="C4973" t="inlineStr">
        <is>
          <t>Hello, I'm very new to this. I had a heartburn last sunday (for the first time ever), and it scared me.  
From then, at night, I feel a burning sensation in my stomach and throat so I can not sleep.  
Today, I went to see my pharmacist, and he prescribed me Nexium for 14 days.
Are those symptoms taking a while to go away on their own, does it absolutely require a treatment? Will it ever heal? Is medicine needed? Will it go back to normal after my treatment? 
Was it only one acid reflux that gave me that burning sensation or are these multiple acid reflux?
I wanna know whats next for me. Please I don't know anything about this.
Thanks a lot.</t>
        </is>
      </c>
      <c r="D4973" t="n">
        <v>1</v>
      </c>
      <c r="E4973" t="n">
        <v>18</v>
      </c>
      <c r="F4973">
        <f>HYPERLINK("https://www.reddit.com/r/GERD/comments/evv50f/had_an_acid_reflux_for_the_first_time_this_sunday/")</f>
        <v/>
      </c>
      <c r="G4973" t="inlineStr">
        <is>
          <t>2020-01-29 15:07:16</t>
        </is>
      </c>
      <c r="H4973" t="inlineStr"/>
    </row>
    <row r="4974">
      <c r="A4974" t="inlineStr">
        <is>
          <t>evvpdw</t>
        </is>
      </c>
      <c r="B4974" t="inlineStr">
        <is>
          <t>Dysphagia</t>
        </is>
      </c>
      <c r="C4974" t="inlineStr">
        <is>
          <t>Anyone found a way to reduce difficulty swallowing? I’m 14 and one of my more annoying symptoms is dysphagia in my upper throat. It’s kinda hard and a little painful to swallow solid food. I was “diagnosed” based off symptoms and I went off ppis a month ago but it feels like since I stopped I’ve been having these issues. Has anyone found relief?</t>
        </is>
      </c>
      <c r="D4974" t="n">
        <v>1</v>
      </c>
      <c r="E4974" t="n">
        <v>12</v>
      </c>
      <c r="F4974">
        <f>HYPERLINK("https://www.reddit.com/r/GERD/comments/evvpdw/dysphagia/")</f>
        <v/>
      </c>
      <c r="G4974" t="inlineStr">
        <is>
          <t>2020-01-29 15:46:48</t>
        </is>
      </c>
      <c r="H4974" t="inlineStr"/>
    </row>
    <row r="4975">
      <c r="A4975" t="inlineStr">
        <is>
          <t>evx74a</t>
        </is>
      </c>
      <c r="B4975" t="inlineStr">
        <is>
          <t>Horrible bowel problems</t>
        </is>
      </c>
      <c r="C4975" t="inlineStr">
        <is>
          <t>My GERD began when I started drinking. It wasn’t just the alcohol that did the damage, but also the crazy amounts of soda I was mixing with the alcohol. It took me a while to figure out that sugar and sweetener are my biggest GERD triggers.
I have also been diagnosed with IBS and that has gotten a lot worse ever since I developed GERD. Food often goes right through me coming out as loose stools with undigested food in it. It’s like my stomach immediately dumps food into my bowel which then makes me need to poop soon after.
I often get awful hot flashes, cold chills, itchy skin and a long list of other symptoms when I eat. I’m also hungry all the time.
Does anyone else deal with this? I’ve tried everything to treat my symptoms but I’m convinced I did some permanent damage because nothing helps.</t>
        </is>
      </c>
      <c r="D4975" t="n">
        <v>1</v>
      </c>
      <c r="E4975" t="n">
        <v>3</v>
      </c>
      <c r="F4975">
        <f>HYPERLINK("https://www.reddit.com/r/GERD/comments/evx74a/horrible_bowel_problems/")</f>
        <v/>
      </c>
      <c r="G4975" t="inlineStr">
        <is>
          <t>2020-01-29 17:27:55</t>
        </is>
      </c>
      <c r="H4975" t="inlineStr"/>
    </row>
    <row r="4976">
      <c r="A4976" t="inlineStr">
        <is>
          <t>evxe3d</t>
        </is>
      </c>
      <c r="B4976" t="inlineStr">
        <is>
          <t>HIDA (with CCK) Scan Experience</t>
        </is>
      </c>
      <c r="C4976" t="inlineStr">
        <is>
          <t>I’ll be posting about my long and gnarly journey to almost zero answers soon. But today I had my (first &amp;amp; hopefully last) HIDA scan. I wanted to make a little post for anyone afraid or curious. Hopefully it will help you ask the right questions and know what COULD happen. 
**this is also my experience at my hospital and not all are the same.**
If you have acute gallbladder (acute cholecystitis) issues, you may have different experience. Mine was diagnostic for some GERD and other unexplained issues. I haven’t had particular gallbladder symptoms but I did have sludge on my ultrasound and my doctor wants to pursue this Avenue.
For anyone curious about HIDA with CCK:
“CCK-stimulated cholescintigraphy — CCK-stimulated cholescintigraphy is used to estimate the gallbladder ejection fraction (GBEF) to support the diagnosis of functional gallbladder disorder and to select patients who may benefit from cholecystectomy. A GBEF of less than 35 to 40 percent is considered low.”
CCK: 
“CCK (cholecystokinin), a hormone that causes your gallbladder to empty and release bile.”
Mine was in a hospital (added to my lil health anxiety). Got in around 7:15 for my 7:30 appointment. Can’t eat or drink after midnight night before (6 hours before test at least). They asked me if I was pregnant. Also asked what I had eaten last and when (chicken &amp;amp; mushroom gravy). Nurse said this was good since a lot of people fast or have trouble eating with GI Issues and you have to have had normal food prior to test to make sure gallbladder hasn’t had too much time to get extra sludgy (apparently happens with fasting). 
He explained the process to me:
-tracer/saline iv line 
-wait an hour
-imaging/photos
-iv bag with hormone CCK
-wait another hour 
-more imaging/photos
Can take longer for some folks
They put the iv line in (I look away due to slight fear of needles). Taped plastic iv port down. Added the tracer. Didn’t feel anything but cold, said not to worry about allergies as it is mostly saline.
Waiting in a room alone and watched my show (The man in the high castle if anyone cares ;). They gave me a warm blanket, very nice. They had me drink a glass of ice water to help tracer. Hour passed quickly.
Went to imaging room. Stood with belly against board for 3 min on each side.
Went back to my waiting room. The nurses assistant brought the iv bag of CCK. I was afraid of this part. I read most people only feel nausea for a split second and then it passes. I had taken my anti anxiety medicine the night before and this usually helps with nausea. The nurses assistant said may feel like stomach cramps or hunger pangs/growling (after being starving all morning I didn’t think this would be so bad). 
Here’s where things took a turn for me. But remember this is my unique experience! 
The guy assisting the nurse put the CCK IV in, not my nurse. He was considerably less skilled at talking to me and reassuring me about things. I had noticed an air bubble in the line too which I pointed out. He pulled the line out and checked it and put it back. there is a valve on the iv drip. Within a few seconds I developed the worst nausea I had ever felt-like being car sick and sucker punched all over my body. For a split second I thought I was having a panic attack (yay health anxiety). But that thought didn’t last long because I immediately started to black out from the pain. I struggled to stand up to try and call for help and thank god my official nurse was coming to check on me. He helped me sit back down and I went in and out of consciousness. I had cold sweats and couldn’t move my hands or legs. He brought me a cold wet towel and propped my feet up. My blood pressure had plummeted. He kept taking to me and telling me everything was normal and that I was okay and it would pass. He turned the drip off. I finally was able to ask for a bag of ice since I was sweating through my clothes. Finally they got me onto a gourney and it started to subside. 
Turns out the assistant had opened the valve fully and it was too much at once for me to handle. I had a “vasovagal response.” I am be try prone to car sickness and sea sickness. He thinks this contributed to my response. I also haven’t had much fat for the last few months while we waited for answers. Ask for lots of water and ice/cold towel prior if you are prone to nausea or motion sickness. Ask for them to do a slow drip. Also lying down (I was originally seated). He put me back on a SLOW drip and it did only result in one stomach cramping and gurgling this time. 
He did tell me that just because I reacted like that didn’t mean there was something wrong with my gallbladder. The reaction is normal and I had a good nurse to support me and make sure I knew I was safe and okay. If you don’t feel comfortable with someone helping you or you have questions about what they are doing, don’t be afraid to ask questions or for someone else to help. 
Hope this helps! I’ll update when I have results.</t>
        </is>
      </c>
      <c r="D4976" t="n">
        <v>1</v>
      </c>
      <c r="E4976" t="n">
        <v>5</v>
      </c>
      <c r="F4976">
        <f>HYPERLINK("https://www.reddit.com/r/GERD/comments/evxe3d/hida_with_cck_scan_experience/")</f>
        <v/>
      </c>
      <c r="G4976" t="inlineStr">
        <is>
          <t>2020-01-29 17:40:41</t>
        </is>
      </c>
      <c r="H4976" t="inlineStr"/>
    </row>
    <row r="4977">
      <c r="A4977" t="inlineStr">
        <is>
          <t>ew1thb</t>
        </is>
      </c>
      <c r="B4977" t="inlineStr">
        <is>
          <t>Loosing hope.</t>
        </is>
      </c>
      <c r="C4977" t="inlineStr">
        <is>
          <t>Had the fundoplication done mid 2018 to repair a hiatal hernia and reflux. No symptoms for a bit. Now they are back worse than ever , even worse before the surgery. No amount of ppis help, and trying to get the linx but insurance not pre approving the tests.</t>
        </is>
      </c>
      <c r="D4977" t="n">
        <v>1</v>
      </c>
      <c r="E4977" t="n">
        <v>0</v>
      </c>
      <c r="F4977">
        <f>HYPERLINK("https://www.reddit.com/r/GERD/comments/ew1thb/loosing_hope/")</f>
        <v/>
      </c>
      <c r="G4977" t="inlineStr">
        <is>
          <t>2020-01-29 23:39:21</t>
        </is>
      </c>
      <c r="H4977" t="inlineStr"/>
    </row>
    <row r="4978">
      <c r="A4978" t="inlineStr">
        <is>
          <t>ew3dib</t>
        </is>
      </c>
      <c r="B4978" t="inlineStr">
        <is>
          <t>I get symptoms on days that I increase water intake?</t>
        </is>
      </c>
      <c r="C4978" t="inlineStr">
        <is>
          <t>Title says it all. There are days where I have a few Coffees (like a salted cold foam cold brew) from Starbucks is what I basically drink daily. I have very small amounts of water throughout the day, kinda like sips. (on most days). But I've noticed on days like today... example. I drank a lot of water, I got symptoms. but the other days, I didn't have symptoms? How would this even make any sense.... And the best part is, I can Drink two Venti coffees from starbucks, and I don't have symptoms. But as soon as I actually WANT to drink water as a normal human should, we should have a good amount per day... I get horrible symptoms, and it's specifically water. Anyone else experience this ?</t>
        </is>
      </c>
      <c r="D4978" t="n">
        <v>1</v>
      </c>
      <c r="E4978" t="n">
        <v>11</v>
      </c>
      <c r="F4978">
        <f>HYPERLINK("https://www.reddit.com/r/GERD/comments/ew3dib/i_get_symptoms_on_days_that_i_increase_water/")</f>
        <v/>
      </c>
      <c r="G4978" t="inlineStr">
        <is>
          <t>2020-01-30 02:28:44</t>
        </is>
      </c>
      <c r="H4978" t="inlineStr"/>
    </row>
    <row r="4979">
      <c r="A4979" t="inlineStr">
        <is>
          <t>ew3vhb</t>
        </is>
      </c>
      <c r="B4979" t="inlineStr">
        <is>
          <t>Endoscopy</t>
        </is>
      </c>
      <c r="C4979" t="inlineStr">
        <is>
          <t>Sooo in about 3 weeks I’m supposed to get an endoscopy done, for the past 4 months I’ve been having struggles with everyday life. I’ve been on a very strict diet, a diet that no 18 year old should have to live by (I really miss anything greasy/junk food/anything good in general) but that’s besides the case. I kind of overthink and put myself in gnarly worst case scenario situations, they told me I’m gonna be sedated, I’m assuming it’s the twilight sedation since it is an outpatient surgery. Anybody have any stories or experiences? Positive ones I hope 😅.. just trying to make myself calm down</t>
        </is>
      </c>
      <c r="D4979" t="n">
        <v>1</v>
      </c>
      <c r="E4979" t="n">
        <v>24</v>
      </c>
      <c r="F4979">
        <f>HYPERLINK("https://www.reddit.com/r/GERD/comments/ew3vhb/endoscopy/")</f>
        <v/>
      </c>
      <c r="G4979" t="inlineStr">
        <is>
          <t>2020-01-30 03:17:36</t>
        </is>
      </c>
      <c r="H4979" t="inlineStr"/>
    </row>
    <row r="4980">
      <c r="A4980" t="inlineStr">
        <is>
          <t>ew6teo</t>
        </is>
      </c>
      <c r="B4980" t="inlineStr">
        <is>
          <t>New to LPR</t>
        </is>
      </c>
      <c r="C4980" t="inlineStr">
        <is>
          <t>Hi everyone recently I have been diagnosed with LPR. Well I have had difficulty swallowing food, not all foods but certain foods make me chew and chew and my mouth basically turns into a washing machine. I don't really have any other symptoms probably apart from burping a lot. Today 30/01/2020 I had a barium swallow procedure and the radiologist said he could see acid on the x-ray. My question is this has anyone suffered with this LPR and how did they treat it. Ive been put on lansoprazole and peptac.</t>
        </is>
      </c>
      <c r="D4980" t="n">
        <v>1</v>
      </c>
      <c r="E4980" t="n">
        <v>6</v>
      </c>
      <c r="F4980">
        <f>HYPERLINK("https://www.reddit.com/r/GERD/comments/ew6teo/new_to_lpr/")</f>
        <v/>
      </c>
      <c r="G4980" t="inlineStr">
        <is>
          <t>2020-01-30 07:10:51</t>
        </is>
      </c>
      <c r="H4980" t="inlineStr"/>
    </row>
    <row r="4981">
      <c r="A4981" t="inlineStr">
        <is>
          <t>ew7zid</t>
        </is>
      </c>
      <c r="B4981" t="inlineStr">
        <is>
          <t>Does anyone kinda experience like mini burps?</t>
        </is>
      </c>
      <c r="C4981" t="inlineStr">
        <is>
          <t>My stomach has been getting irritated pretty often recently and after i eat. I get these mini burping fits like you cant hear the burp but i can feel it, when it nausea is also very prominent, it ranges from like i barely notice it to i have to keep a trashcan next to me cause im convinced I’m going to puke</t>
        </is>
      </c>
      <c r="D4981" t="n">
        <v>1</v>
      </c>
      <c r="E4981" t="n">
        <v>15</v>
      </c>
      <c r="F4981">
        <f>HYPERLINK("https://www.reddit.com/r/GERD/comments/ew7zid/does_anyone_kinda_experience_like_mini_burps/")</f>
        <v/>
      </c>
      <c r="G4981" t="inlineStr">
        <is>
          <t>2020-01-30 08:28:23</t>
        </is>
      </c>
      <c r="H4981" t="inlineStr"/>
    </row>
    <row r="4982">
      <c r="A4982" t="inlineStr">
        <is>
          <t>ew8kk9</t>
        </is>
      </c>
      <c r="B4982" t="inlineStr">
        <is>
          <t>Dysphagia after esophageal surgery?</t>
        </is>
      </c>
      <c r="C4982" t="inlineStr">
        <is>
          <t>Hi GERDies, anyone here go through esophageal surgery and experience dysphagia afterwards? I'm scheduled for surgery at the end of February and am really nervous about this. I'd love to hear other's experiences.</t>
        </is>
      </c>
      <c r="D4982" t="n">
        <v>1</v>
      </c>
      <c r="E4982" t="n">
        <v>4</v>
      </c>
      <c r="F4982">
        <f>HYPERLINK("https://www.reddit.com/r/GERD/comments/ew8kk9/dysphagia_after_esophageal_surgery/")</f>
        <v/>
      </c>
      <c r="G4982" t="inlineStr">
        <is>
          <t>2020-01-30 09:04:22</t>
        </is>
      </c>
      <c r="H4982" t="inlineStr"/>
    </row>
    <row r="4983">
      <c r="A4983" t="inlineStr">
        <is>
          <t>ew8nqj</t>
        </is>
      </c>
      <c r="B4983" t="inlineStr">
        <is>
          <t>Stomach pain... because of GERD? Anyone?</t>
        </is>
      </c>
      <c r="C4983" t="inlineStr">
        <is>
          <t>Hey there, I hope this finds you healing and feeling great, or at least better as you go...
**Short version** of this question is: I get strong burning directly in the pit of my stomach. Under my ribs, above my belly button.  Does anyone else get this withe GERD??
**Longer version**: I thought I had gastritis for years, or an ulcer. Docs speculated as much. Pain was on and off. I got a scope this week and it showed a very healthy stomach lining!  BUT, I have a stricture (gastroesophogeal stricture) right where the esophagus meets the stomach.  The doctor fixed it when he was in there (dilation with a balloon like device) to prevent future complications.  However, he said there was scar tissue causing the stricture which is *\*probably* where my pain comes from. (Which seemed odd because it's not where it hurts but he said it could be referred pain.)   
So, his diagnosis was GERD, \*not anything else... and scar tissue on the junction between the throat and stomach essentially. Yet, my pain is so distinct and so much in the pit of my stomach.  So in a GERD world of people talking of throat pain, heartburn, chest pain, even back pain... I never hear anyone talk about straight up stomach pain.  Particularly burning stomach pain.  Does anyone resonate with this at all?  Thoughts? 
Thanks for taking the time. Best healing to you.</t>
        </is>
      </c>
      <c r="D4983" t="n">
        <v>1</v>
      </c>
      <c r="E4983" t="n">
        <v>11</v>
      </c>
      <c r="F4983">
        <f>HYPERLINK("https://www.reddit.com/r/GERD/comments/ew8nqj/stomach_pain_because_of_gerd_anyone/")</f>
        <v/>
      </c>
      <c r="G4983" t="inlineStr">
        <is>
          <t>2020-01-30 09:09:51</t>
        </is>
      </c>
      <c r="H4983" t="inlineStr"/>
    </row>
    <row r="4984">
      <c r="A4984" t="inlineStr">
        <is>
          <t>ew8uw4</t>
        </is>
      </c>
      <c r="B4984" t="inlineStr">
        <is>
          <t>GERD or not?</t>
        </is>
      </c>
      <c r="C4984" t="inlineStr">
        <is>
          <t>Did a gastro checkup, found no damage to the esophagus. Does this rule out GERD?
For around one month, I've been feeling almost constant mild nausea, except in mornings.
Eating sometimes makes it much worse: severe nausea and a feeling of strong pressure on the deeper side of the throat which is only somewhat painful but extremely disturbing. I do have more frequent heartburns.
Eating sometimes has little/no effect. I don't feel I've experimented enough to know the exact effect of foods yet.
Fasting for hours can also be followed by severe nausea and painful deep throat pressure. This happens almost every night, after hours of not eating.
Nexium 40mg a day, for a week, didn't seem to help.
So there are mixed signals:
Heartburns, nausea and other symptoms seem to suggest GERD.
The lack of damage and lack of response to Nexium suggest it isn't.
Doctor suggested some checkups in different directions that I will follow.
Any idea what I could suggest to the doctor that is worth checking? This is really affecting my quality of life.</t>
        </is>
      </c>
      <c r="D4984" t="n">
        <v>1</v>
      </c>
      <c r="E4984" t="n">
        <v>4</v>
      </c>
      <c r="F4984">
        <f>HYPERLINK("https://www.reddit.com/r/GERD/comments/ew8uw4/gerd_or_not/")</f>
        <v/>
      </c>
      <c r="G4984" t="inlineStr">
        <is>
          <t>2020-01-30 09:22:32</t>
        </is>
      </c>
      <c r="H4984" t="inlineStr"/>
    </row>
    <row r="4985">
      <c r="A4985" t="inlineStr">
        <is>
          <t>ew955b</t>
        </is>
      </c>
      <c r="B4985" t="inlineStr">
        <is>
          <t>Help with Consistent Burping</t>
        </is>
      </c>
      <c r="C4985" t="inlineStr">
        <is>
          <t>Hey all, 
I’ve not been officially diagnosed with GERD or anything, but I’ve been struggling with what I assume to be acid reflux the last two years. If I eat really spicy food or eat too quick, I may rarely get heartburn, etc but mostly my only symptom is constant burping. 
The burping starts when I wake up, and is also bad about 5-7 pm. Food definitely exacerbates it depending on what I eat, but other than avoiding overly spicy things idk what to do. I’m athletic and healthy, work out and run frequently, except for the fact that I smoke 2-3 cigarettes per day and drink alcohol more frequently than most. I eat extremely healthy. I know I could try to make more positive changes. 
Anyone else suffer mostly from consistent burping without major other symptoms? I took omeprazole for three months in the summer without any real change. Lastly, the majority of the burping isn’t necessarily as acidic feeling as it can be with certain meals / at certain times. 
Thanks!</t>
        </is>
      </c>
      <c r="D4985" t="n">
        <v>1</v>
      </c>
      <c r="E4985" t="n">
        <v>14</v>
      </c>
      <c r="F4985">
        <f>HYPERLINK("https://www.reddit.com/r/GERD/comments/ew955b/help_with_consistent_burping/")</f>
        <v/>
      </c>
      <c r="G4985" t="inlineStr">
        <is>
          <t>2020-01-30 09:40:33</t>
        </is>
      </c>
      <c r="H4985" t="inlineStr"/>
    </row>
    <row r="4986">
      <c r="A4986" t="inlineStr">
        <is>
          <t>ew9acd</t>
        </is>
      </c>
      <c r="B4986" t="inlineStr">
        <is>
          <t>Does magnesium and hemp oil help gerd/lpr</t>
        </is>
      </c>
      <c r="C4986" t="inlineStr">
        <is>
          <t>Was just wondering if taking a hemp oil pill or magnesium pill daily would help?</t>
        </is>
      </c>
      <c r="D4986" t="n">
        <v>1</v>
      </c>
      <c r="E4986" t="n">
        <v>1</v>
      </c>
      <c r="F4986">
        <f>HYPERLINK("https://www.reddit.com/r/GERD/comments/ew9acd/does_magnesium_and_hemp_oil_help_gerdlpr/")</f>
        <v/>
      </c>
      <c r="G4986" t="inlineStr">
        <is>
          <t>2020-01-30 09:49:37</t>
        </is>
      </c>
      <c r="H4986" t="inlineStr"/>
    </row>
    <row r="4987">
      <c r="A4987" t="inlineStr">
        <is>
          <t>ewafdw</t>
        </is>
      </c>
      <c r="B4987" t="inlineStr">
        <is>
          <t>Doing Everything I Can And Finding No Relief</t>
        </is>
      </c>
      <c r="C4987" t="inlineStr">
        <is>
          <t>I started having pretty bad acid reflux about a week ago, along with some nausea and indigestion, and have noticed no change in the severity of my symptoms. Just constant waves of uncomfortable to terrible. I've started eating basically nothing but oatmeal and rice, and I've gone to a clinic where they gave me a PPI that I've been on for 3 days now, and still I see no improvements. The antiacids that I've tried have little to no effect as well. I just don't understand what I'm doing wrong and was wondering if any of you folks had any insight into this? I've followed all the advice I could find online and nothing seems to bring me any relief. Could there be something worse going on here?</t>
        </is>
      </c>
      <c r="D4987" t="n">
        <v>1</v>
      </c>
      <c r="E4987" t="n">
        <v>9</v>
      </c>
      <c r="F4987">
        <f>HYPERLINK("https://www.reddit.com/r/GERD/comments/ewafdw/doing_everything_i_can_and_finding_no_relief/")</f>
        <v/>
      </c>
      <c r="G4987" t="inlineStr">
        <is>
          <t>2020-01-30 11:04:02</t>
        </is>
      </c>
      <c r="H4987" t="inlineStr"/>
    </row>
    <row r="4988">
      <c r="A4988" t="inlineStr">
        <is>
          <t>ewax1o</t>
        </is>
      </c>
      <c r="B4988" t="inlineStr">
        <is>
          <t>UC Davis reflux clinic</t>
        </is>
      </c>
      <c r="C4988" t="inlineStr">
        <is>
          <t>Has anybody been to the UCD reflux clinic to cure their LPR? If so, thoughts?</t>
        </is>
      </c>
      <c r="D4988" t="n">
        <v>1</v>
      </c>
      <c r="E4988" t="n">
        <v>4</v>
      </c>
      <c r="F4988">
        <f>HYPERLINK("https://www.reddit.com/r/GERD/comments/ewax1o/uc_davis_reflux_clinic/")</f>
        <v/>
      </c>
      <c r="G4988" t="inlineStr">
        <is>
          <t>2020-01-30 11:37:07</t>
        </is>
      </c>
      <c r="H4988" t="inlineStr"/>
    </row>
    <row r="4989">
      <c r="A4989" t="inlineStr">
        <is>
          <t>ewaymh</t>
        </is>
      </c>
      <c r="B4989" t="inlineStr">
        <is>
          <t>My current situation with GERD: Follow-up</t>
        </is>
      </c>
      <c r="C4989" t="inlineStr">
        <is>
          <t>So I wrote [this post](https://old.reddit.com/r/GERD/comments/d7mn1t/my_current_situation_with_gerd/) a while back.  Finally was able to see a GI doctor shortly after that and he thought my shortness of breath was anxiety related, but he wanted to do a scope anyways just to make sure there was nothing actually serious going on with me.
Had my scope done a few weeks ago and was told I have a very small hiatal hernia, and some scarring in my esophagus.  The biopsy results came back and determined the scarring was from light chronic gastritis.  I have been on a strong PPI for the past few months and aside from occasionally eating late at night (which I shouldn't be doing) I don't really have any effects of reflux anymore.  My GI doc still thinks my shortness of breath is due to anxiety as the scarring is past my airways so it shouldn't be affecting anything.
For now they just want me to stay on PPIs.  The hernia is so small they recommended that I don't have anything done with it, and the scarring isn't a huge issue for me.  I can feel food slow down in my esophagus when it hits that point, but it never feels like I am going to choke.
I'm just glad to finally have an answer, but I'm still figuring how to shake the shortness of breath as it is super annoying.</t>
        </is>
      </c>
      <c r="D4989" t="n">
        <v>1</v>
      </c>
      <c r="E4989" t="n">
        <v>1</v>
      </c>
      <c r="F4989">
        <f>HYPERLINK("https://www.reddit.com/r/GERD/comments/ewaymh/my_current_situation_with_gerd_followup/")</f>
        <v/>
      </c>
      <c r="G4989" t="inlineStr">
        <is>
          <t>2020-01-30 11:40:00</t>
        </is>
      </c>
      <c r="H4989" t="inlineStr"/>
    </row>
    <row r="4990">
      <c r="A4990" t="inlineStr">
        <is>
          <t>ewb7pf</t>
        </is>
      </c>
      <c r="B4990" t="inlineStr">
        <is>
          <t>Medication help</t>
        </is>
      </c>
      <c r="C4990" t="inlineStr">
        <is>
          <t>The acid reflux medicine from the “OZOLE” family doesn’t agree with me, does anybody have any suggestions ? I use to take Zantac, before it was recalled, and it did wonders for me.</t>
        </is>
      </c>
      <c r="D4990" t="n">
        <v>1</v>
      </c>
      <c r="E4990" t="n">
        <v>5</v>
      </c>
      <c r="F4990">
        <f>HYPERLINK("https://www.reddit.com/r/GERD/comments/ewb7pf/medication_help/")</f>
        <v/>
      </c>
      <c r="G4990" t="inlineStr">
        <is>
          <t>2020-01-30 11:56:55</t>
        </is>
      </c>
      <c r="H4990" t="inlineStr"/>
    </row>
    <row r="4991">
      <c r="A4991" t="inlineStr">
        <is>
          <t>ewb8hq</t>
        </is>
      </c>
      <c r="B4991" t="inlineStr">
        <is>
          <t>Linx didnt worked</t>
        </is>
      </c>
      <c r="C4991" t="inlineStr">
        <is>
          <t>Hello guys, i had linx done 1 year ago but i still have heartburn daily even on ppi. Did someone experienced the same what can i do?</t>
        </is>
      </c>
      <c r="D4991" t="n">
        <v>1</v>
      </c>
      <c r="E4991" t="n">
        <v>14</v>
      </c>
      <c r="F4991">
        <f>HYPERLINK("https://www.reddit.com/r/GERD/comments/ewb8hq/linx_didnt_worked/")</f>
        <v/>
      </c>
      <c r="G4991" t="inlineStr">
        <is>
          <t>2020-01-30 11:58:19</t>
        </is>
      </c>
      <c r="H4991" t="inlineStr"/>
    </row>
    <row r="4992">
      <c r="A4992" t="inlineStr">
        <is>
          <t>ewcor4</t>
        </is>
      </c>
      <c r="B4992" t="inlineStr">
        <is>
          <t>Horrible heartburn and drinking water.</t>
        </is>
      </c>
      <c r="C4992" t="inlineStr">
        <is>
          <t>I get heartburn when drinking water. It's been happening for awhile now. I also got bad heartburn yesterday. It was scary how painful it was and how long it lasted. I took tums and it didnt relieve it right away. Is this normal???</t>
        </is>
      </c>
      <c r="D4992" t="n">
        <v>2</v>
      </c>
      <c r="E4992" t="n">
        <v>6</v>
      </c>
      <c r="F4992">
        <f>HYPERLINK("https://www.reddit.com/r/GERD/comments/ewcor4/horrible_heartburn_and_drinking_water/")</f>
        <v/>
      </c>
      <c r="G4992" t="inlineStr">
        <is>
          <t>2020-01-30 13:31:37</t>
        </is>
      </c>
      <c r="H4992" t="inlineStr"/>
    </row>
    <row r="4993">
      <c r="A4993" t="inlineStr">
        <is>
          <t>ewds51</t>
        </is>
      </c>
      <c r="B4993" t="inlineStr">
        <is>
          <t>Mistaking Symptoms?</t>
        </is>
      </c>
      <c r="C4993" t="inlineStr">
        <is>
          <t>I've always struggled with what I assumed was acid reflux, I had it as a baby, I had heartburn growing  up all the time and I've struggled with the burping issues. In the past couple months, I had a couple "attacks" to the point I went to the er I was so scared that I was having a heart attack it was so painful (I'm a 27F and knew it was irrational but when you're in pain in the middle of the night you do some irrational things), I finally went to my PCP and apparently my levels are indicating that it could be a gallstone issue and we're gonna follow up with an ultrasound in the morning to see if that's what the issue is. 
after hearing this, i decided to play WebMD and i see that a blocked duct can have the same symptoms that I have when I have what I've always thought were just bad acid reflux attacks, including the er trip attack, which they only checked my EKG and heart for and didn't really do much if i'm being honest before i was released with a gastric cocktail. 
i've been complaining recently because it felt like tums and pepcid weren't helping my flare ups, so now it kind of makes sense if it's been a gallstone thing all along, so i'm curious if this is a common mistake that any of y'all have ran into?
 i mean i won't know until the morning if it's the gallstone issue, but apparently my blood tests are extremely high and pointing to that.</t>
        </is>
      </c>
      <c r="D4993" t="n">
        <v>1</v>
      </c>
      <c r="E4993" t="n">
        <v>1</v>
      </c>
      <c r="F4993">
        <f>HYPERLINK("https://www.reddit.com/r/GERD/comments/ewds51/mistaking_symptoms/")</f>
        <v/>
      </c>
      <c r="G4993" t="inlineStr">
        <is>
          <t>2020-01-30 14:39:23</t>
        </is>
      </c>
      <c r="H4993" t="inlineStr"/>
    </row>
    <row r="4994">
      <c r="A4994" t="inlineStr">
        <is>
          <t>ewf5fm</t>
        </is>
      </c>
      <c r="B4994" t="inlineStr">
        <is>
          <t>Diet after LINX</t>
        </is>
      </c>
      <c r="C4994" t="inlineStr">
        <is>
          <t>I’m having LINX surgery on 2/8. I’m pretty excited at the prospect of maybe not having aspiration pneumonia again!  That said, all my surgeon has said about post op diet is high carb, hard to swallow foods. I don’t want to gain a lot of weight and I’m not a huge eater at the moment since everything refluxes. Anyone have good recommendations?</t>
        </is>
      </c>
      <c r="D4994" t="n">
        <v>1</v>
      </c>
      <c r="E4994" t="n">
        <v>5</v>
      </c>
      <c r="F4994">
        <f>HYPERLINK("https://www.reddit.com/r/GERD/comments/ewf5fm/diet_after_linx/")</f>
        <v/>
      </c>
      <c r="G4994" t="inlineStr">
        <is>
          <t>2020-01-30 16:04:35</t>
        </is>
      </c>
      <c r="H4994" t="inlineStr"/>
    </row>
    <row r="4995">
      <c r="A4995" t="inlineStr">
        <is>
          <t>ewf7l5</t>
        </is>
      </c>
      <c r="B4995" t="inlineStr">
        <is>
          <t>Anyone else in the same boat?</t>
        </is>
      </c>
      <c r="C4995" t="inlineStr">
        <is>
          <t>hey guys!
i have had gerd for years now, but lately it seems my symptoms are worse. i’ve developed a cough, that is usually accompanied by nausea, and then i cough really hard to the point where i either throw up a little or just gag, and this happens almost every day. does anyone else have this problem?!</t>
        </is>
      </c>
      <c r="D4995" t="n">
        <v>1</v>
      </c>
      <c r="E4995" t="n">
        <v>1</v>
      </c>
      <c r="F4995">
        <f>HYPERLINK("https://www.reddit.com/r/GERD/comments/ewf7l5/anyone_else_in_the_same_boat/")</f>
        <v/>
      </c>
      <c r="G4995" t="inlineStr">
        <is>
          <t>2020-01-30 16:08:38</t>
        </is>
      </c>
      <c r="H4995" t="inlineStr"/>
    </row>
    <row r="4996">
      <c r="A4996" t="inlineStr">
        <is>
          <t>ewfhg1</t>
        </is>
      </c>
      <c r="B4996" t="inlineStr">
        <is>
          <t>Barret's esophagus with low grade dysplasia : feel helpless</t>
        </is>
      </c>
      <c r="C4996" t="inlineStr">
        <is>
          <t>Hey guys I'm new here and really need help !!!  I"m a 35 years old male living in Berlin ( Germany) , I had gerd my entire life and  1 month ago I finally did an endoscopy for the first time : 
\- barret's esophagus ,  7 cm !! 
\-  low grade dysplasia
&amp;amp;#x200B;
The worst thing is my  doctor just want to monitor this shit,next endoscopy in 1 year 
I clearly cannot live with the idea that I  have a dysplasia, nothing can reassure me at this point 
What I  can do to get this removed ? already scheduled an appointement with another doctor for second opinion 
I can travel anywhere to get it removed</t>
        </is>
      </c>
      <c r="D4996" t="n">
        <v>1</v>
      </c>
      <c r="E4996" t="n">
        <v>7</v>
      </c>
      <c r="F4996">
        <f>HYPERLINK("https://www.reddit.com/r/GERD/comments/ewfhg1/barrets_esophagus_with_low_grade_dysplasia_feel/")</f>
        <v/>
      </c>
      <c r="G4996" t="inlineStr">
        <is>
          <t>2020-01-30 16:26:53</t>
        </is>
      </c>
      <c r="H4996" t="inlineStr"/>
    </row>
    <row r="4997">
      <c r="A4997" t="inlineStr">
        <is>
          <t>ewfml9</t>
        </is>
      </c>
      <c r="B4997" t="inlineStr">
        <is>
          <t>Help!</t>
        </is>
      </c>
      <c r="C4997" t="inlineStr">
        <is>
          <t>I want to start off and say I haven’t been diagnosed with GERD. But the more I get my symptoms the more I wonder if it’s GERD. So I wanna list what I feel and can you tell me if this sorta sounds like GERD? So I have been first experiencing pressure in the middle of my chest that make me have shortness of breath that usually will last for a couple of hours after I eat and then eventually the shortness of breath will make me weak and fatigued. Usually around that time I will start to get a not so good feeling and I will start to get extreme chills and shake uncontrollably. I will also feel like I’m freezing. And my heart will just start raising and I will get light headed.. then eventually everything will start to feel better but then I start getting a burning sensation and am in and out of the bathroom for the rest of the time and then usually I am to fall asleep and wake up feeling a little better but sore from my body being tended up or I will wake up with chest pressure. I got a ekg and it came out just fine also all of my blood work is coming out normal so idk what to do because it’s scary and I can’t deal with this anymore. It’s always the same cycle maybe with a few additional symptoms such as my neck feels like it swelling up or I have few less symptoms. I have taken the 14 day omeprazole medication and the symptoms and cycle I go through is definitely less mild but it is still there. Help :/
Also I got a ultrasound and everything looked normal.</t>
        </is>
      </c>
      <c r="D4997" t="n">
        <v>1</v>
      </c>
      <c r="E4997" t="n">
        <v>1</v>
      </c>
      <c r="F4997">
        <f>HYPERLINK("https://www.reddit.com/r/GERD/comments/ewfml9/help/")</f>
        <v/>
      </c>
      <c r="G4997" t="inlineStr">
        <is>
          <t>2020-01-30 16:36:24</t>
        </is>
      </c>
      <c r="H4997" t="inlineStr"/>
    </row>
    <row r="4998">
      <c r="A4998" t="inlineStr">
        <is>
          <t>ewfzyk</t>
        </is>
      </c>
      <c r="B4998" t="inlineStr">
        <is>
          <t>Does GERD make you very tired and sleepy?</t>
        </is>
      </c>
      <c r="C4998" t="inlineStr">
        <is>
          <t>Ive found in the recent months I've always just been kind of fatigued, even after 7-8 hours of sleep overnight, I'll still feel sleepy barely halfway into the day</t>
        </is>
      </c>
      <c r="D4998" t="n">
        <v>1</v>
      </c>
      <c r="E4998" t="n">
        <v>18</v>
      </c>
      <c r="F4998">
        <f>HYPERLINK("https://www.reddit.com/r/GERD/comments/ewfzyk/does_gerd_make_you_very_tired_and_sleepy/")</f>
        <v/>
      </c>
      <c r="G4998" t="inlineStr">
        <is>
          <t>2020-01-30 17:02:09</t>
        </is>
      </c>
      <c r="H4998" t="inlineStr"/>
    </row>
    <row r="4999">
      <c r="A4999" t="inlineStr">
        <is>
          <t>ewg4z4</t>
        </is>
      </c>
      <c r="B4999" t="inlineStr">
        <is>
          <t>Is this acid reflux/gerd?</t>
        </is>
      </c>
      <c r="C4999" t="inlineStr">
        <is>
          <t>I seem to get acid reflux under control by staying on a strict diet, taking my medicine (famotidine, 4 20mg capsules a day. Two in morning 2 at night), and not eating much cheese or products containing fat.Stress and anxiety also seem to make that bitter taste come back more but definitely food related.  Seems like if I eat products with a chunk of fat or processed, the bitter taste comes back even on my medication (I feel like 80mg is a lot)
I also notice that when  I have that bitter taste on my tongue for awhile that it seems to get slightly orange shade to it. I've talked to my pcp and he says acid reflux can do that and just clean my tongue and keep acid under control....but does anyone else have these same symptoms?  He didnt seem co didn't it was acid reflux and more just waved it off. 
I was just upped to 80mg famotidine (40mg morning and night) last week and it seemed to help a lot but ate a cauliflower pizza crust with cream sauce and cheese/spinach and acid reflux has been rough yesterday and today. Does the famotidine take a couple weeks to truly build up in your system? Or is it that easy to get an acid reflux flareup by one bad eating decision?
I have been battling gastritis for 5 months. I have had blood work, urine tests, endoscopy, colonoscopy, and a full ct scan with contrast amd all the doctors have found is gastritis of the stomach. Is there other tests I should look at? I see the gastro specialist in 2 weeks for a follow on.</t>
        </is>
      </c>
      <c r="D4999" t="n">
        <v>1</v>
      </c>
      <c r="E4999" t="n">
        <v>9</v>
      </c>
      <c r="F4999">
        <f>HYPERLINK("https://www.reddit.com/r/GERD/comments/ewg4z4/is_this_acid_refluxgerd/")</f>
        <v/>
      </c>
      <c r="G4999" t="inlineStr">
        <is>
          <t>2020-01-30 17:11:39</t>
        </is>
      </c>
      <c r="H4999" t="inlineStr"/>
    </row>
    <row r="5000">
      <c r="A5000" t="inlineStr">
        <is>
          <t>ewggle</t>
        </is>
      </c>
      <c r="B5000" t="inlineStr">
        <is>
          <t>Anybody figured out how to make PPIs work for them?</t>
        </is>
      </c>
      <c r="C5000" t="inlineStr">
        <is>
          <t>I had a great year with Prevacid, up until about the end of 2017. Then stuff just started going wrong. Bloating, constipation, worsened reflux, etc. 
Here I am in 2020 on Pepcid, farther along in my IBS/GERD journey, and while I’ve been off PPIs for a while, I still have days where I feel like my reflux is not under control. Phlegm, chest congestion, vocal problems.
Has anyone who has struggled with the side effects of PPIs figured out a regimen that mitigates side effects? Prokinetics? Ginger? I’d really like to go back on Prevacid, but don’t wanna screw up my stomach again.</t>
        </is>
      </c>
      <c r="D5000" t="n">
        <v>1</v>
      </c>
      <c r="E5000" t="n">
        <v>1</v>
      </c>
      <c r="F5000">
        <f>HYPERLINK("https://www.reddit.com/r/GERD/comments/ewggle/anybody_figured_out_how_to_make_ppis_work_for_them/")</f>
        <v/>
      </c>
      <c r="G5000" t="inlineStr">
        <is>
          <t>2020-01-30 17:35:12</t>
        </is>
      </c>
      <c r="H5000" t="inlineStr"/>
    </row>
    <row r="5001">
      <c r="A5001" t="inlineStr">
        <is>
          <t>ewgj1b</t>
        </is>
      </c>
      <c r="B5001" t="inlineStr">
        <is>
          <t>Struggling to sleep due to constant need to clear my throat</t>
        </is>
      </c>
      <c r="C5001" t="inlineStr">
        <is>
          <t>Non smoker female 26 
Really struggling to sleep. Every night I have the need to clear my throat and then this horrible chesty cough happens and it hurts my chest. Won’t go away. 
What can I get to help me with this ?</t>
        </is>
      </c>
      <c r="D5001" t="n">
        <v>1</v>
      </c>
      <c r="E5001" t="n">
        <v>6</v>
      </c>
      <c r="F5001">
        <f>HYPERLINK("https://www.reddit.com/r/GERD/comments/ewgj1b/struggling_to_sleep_due_to_constant_need_to_clear/")</f>
        <v/>
      </c>
      <c r="G5001" t="inlineStr">
        <is>
          <t>2020-01-30 17:39:55</t>
        </is>
      </c>
      <c r="H5001" t="inlineStr"/>
    </row>
    <row r="5002">
      <c r="A5002" t="inlineStr">
        <is>
          <t>ewisqu</t>
        </is>
      </c>
      <c r="B5002" t="inlineStr">
        <is>
          <t>For those of you anxious about endoscopy/gastroscopy - my experience</t>
        </is>
      </c>
      <c r="C5002" t="inlineStr">
        <is>
          <t>Hey all, just thought I'd leave some info here for the good of those who are feeling anxious about an upcoming scope. I'm an emetophobe (fear of vomiting), I'm not great with needles and I get general anxiety about going under and getting procedures like this.
For mine, I was under on Propofol. I asked the anaesthesiologist if he could add an anti-emetic because I was anxious about throwing up afterwards and some IV fluids because I've been dehydrated and unable to drink enough water due to my GERD/gastritis symptoms. 
Everyone was really nice, I was very anxious going into the theatre but the anaesthesiologist and nurses were really good about keeping me talking so I couldn't think too much about what was about to happen. They then put the thing in my mouth to keep it open. When they started the IV, it was about 10 seconds until the room started going fuzzy and and then within seconds I was gone. Pretty sure I had some nice dreams during the procedure and it was **definitely the deepest, most restful sleep I've had in a while.** The next thing I knew was a nurse telling me it's time to wake up.
I immediately felt nauseous upon waking up, but this is apparently a one in 1000 reaction to the anaesthetic. Never felt like I'd throw up, just felt nauseous. They gave me an icy pole to calm it. Within 45 minutes of waking up I felt pretty normal, just tired as though I'd had a big night the night before or something. It felt like I could have driven if I had to, but I had a friend drive me home.
Overall my anxiety was unfounded, everyone was really nice and there was very little about it that was actually unpleasant (apart from the waiting beforehand). I'd rather go through that again than a GERD flare up.</t>
        </is>
      </c>
      <c r="D5002" t="n">
        <v>1</v>
      </c>
      <c r="E5002" t="n">
        <v>8</v>
      </c>
      <c r="F5002">
        <f>HYPERLINK("https://www.reddit.com/r/GERD/comments/ewisqu/for_those_of_you_anxious_about/")</f>
        <v/>
      </c>
      <c r="G5002" t="inlineStr">
        <is>
          <t>2020-01-30 20:26:47</t>
        </is>
      </c>
      <c r="H5002" t="inlineStr"/>
    </row>
    <row r="5003">
      <c r="A5003" t="inlineStr">
        <is>
          <t>ewkmyq</t>
        </is>
      </c>
      <c r="B5003" t="inlineStr">
        <is>
          <t>LPR help</t>
        </is>
      </c>
      <c r="C5003" t="inlineStr">
        <is>
          <t>So, I have LPR which I have been treating for 8 months now. 
All of my symptoms are gone except globus that I can't get rid off. 
What can I do to get rid of globus?</t>
        </is>
      </c>
      <c r="D5003" t="n">
        <v>1</v>
      </c>
      <c r="E5003" t="n">
        <v>5</v>
      </c>
      <c r="F5003">
        <f>HYPERLINK("https://www.reddit.com/r/GERD/comments/ewkmyq/lpr_help/")</f>
        <v/>
      </c>
      <c r="G5003" t="inlineStr">
        <is>
          <t>2020-01-30 23:11:48</t>
        </is>
      </c>
      <c r="H5003" t="inlineStr"/>
    </row>
    <row r="5004">
      <c r="A5004" t="inlineStr">
        <is>
          <t>ewo6my</t>
        </is>
      </c>
      <c r="B5004" t="inlineStr">
        <is>
          <t>Apparently histamine antagonists can affect birth control absorption. Have any of you ladies experienced issues with irregular bleeding or your birth control not work as well (especially the minipill) after you started one of those drugs?</t>
        </is>
      </c>
      <c r="C5004" t="inlineStr">
        <is>
          <t>Specifically I’m talking about famotidine. I’ve always been regular and suddenly I’m not and the only medication change was that I’m taking famotidine a few times a week (2 to maybe 3) lately because of bad diet choices I’ve been making that started around the holidays. That’s around when the irregular bleeding started too. 
Just wondering</t>
        </is>
      </c>
      <c r="D5004" t="n">
        <v>1</v>
      </c>
      <c r="E5004" t="n">
        <v>1</v>
      </c>
      <c r="F5004">
        <f>HYPERLINK("https://www.reddit.com/r/GERD/comments/ewo6my/apparently_histamine_antagonists_can_affect_birth/")</f>
        <v/>
      </c>
      <c r="G5004" t="inlineStr">
        <is>
          <t>2020-01-31 05:04:32</t>
        </is>
      </c>
      <c r="H5004" t="inlineStr"/>
    </row>
    <row r="5005">
      <c r="A5005" t="inlineStr">
        <is>
          <t>ewq7rl</t>
        </is>
      </c>
      <c r="B5005" t="inlineStr">
        <is>
          <t>Be careful on longterm PPI use</t>
        </is>
      </c>
      <c r="C5005" t="inlineStr">
        <is>
          <t>Let me preface this by saying PPIs have a great short term benefit.  In the aid of healing damaged stomach and esophageal lining.
What the drug does is not the issue.  The issue is mental states.
I have done some studies on some patients that have had severe gerd symptoms.  As well as myself to experience the entire process.
18 months of daily PPI dosage 20mg XR
First few weeks gerd symptoms went away, it's a miracle drug right? Then you stop the 14 day treatment, only to find it coming back.
This is called acid rebound and is more severe 24-72 hours after your last treatment.
Issue is people cant get past this and thus start another 14 day and so on, and before you know it you been taking it daily for 18 months.
Now for what I experienced.  My short term memory was completely gone and I was dropping things that we in my hands all the time.  
Example I would put down a screwdriver, turn my back and 5 minutes later, could not find it, because I did not know where I put it.
I would have stuff, small items in my hand and drop them because i perhaps forgot they were in my hand.
Big stuff i did not drop, my guess is that I could see it so my eye signal to my brain was overriding what my memory told my brain.
Then I stopped taking the PPI and first 24 hours were not great but with a good diet it was managable.  Also stress, you must be stress free.
I started to not misplace things, and I would be finding things I been looking for for weeks, and i would be dropping less and less and no more.
It's safe to say for me an others I witnessed it affects your memory and mood, to my delight I stopped being so depressed as well, not a bad depression, just like a not motivated type.
This is my honest rough assessment, I will be writing a professional paper on it soon.  I just wanted to get this out there.
Cheers</t>
        </is>
      </c>
      <c r="D5005" t="n">
        <v>1</v>
      </c>
      <c r="E5005" t="n">
        <v>22</v>
      </c>
      <c r="F5005">
        <f>HYPERLINK("https://www.reddit.com/r/GERD/comments/ewq7rl/be_careful_on_longterm_ppi_use/")</f>
        <v/>
      </c>
      <c r="G5005" t="inlineStr">
        <is>
          <t>2020-01-31 07:41:47</t>
        </is>
      </c>
      <c r="H5005" t="inlineStr"/>
    </row>
    <row r="5006">
      <c r="A5006" t="inlineStr">
        <is>
          <t>ewqqya</t>
        </is>
      </c>
      <c r="B5006" t="inlineStr">
        <is>
          <t>Taken off rabeprazole, need OTC recs</t>
        </is>
      </c>
      <c r="C5006" t="inlineStr">
        <is>
          <t>I had mild GERD, confirmed in an endoscopy in August, was on Pantoprazole and then rabeprazole (a newer, less intense PPI) for a little. My doctor said I could get off the meds and do OTC options. Which ones have worked best for you guys? I don’t even know where to start cause I’ve never used them—had GERD since I was a teen and I just chalked it up to being fat (which I was not then, although I am now).</t>
        </is>
      </c>
      <c r="D5006" t="n">
        <v>1</v>
      </c>
      <c r="E5006" t="n">
        <v>1</v>
      </c>
      <c r="F5006">
        <f>HYPERLINK("https://www.reddit.com/r/GERD/comments/ewqqya/taken_off_rabeprazole_need_otc_recs/")</f>
        <v/>
      </c>
      <c r="G5006" t="inlineStr">
        <is>
          <t>2020-01-31 08:19:16</t>
        </is>
      </c>
      <c r="H5006" t="inlineStr"/>
    </row>
    <row r="5007">
      <c r="A5007" t="inlineStr">
        <is>
          <t>ewrkcj</t>
        </is>
      </c>
      <c r="B5007" t="inlineStr">
        <is>
          <t>Chest pain after endoscopy</t>
        </is>
      </c>
      <c r="C5007" t="inlineStr">
        <is>
          <t>After the endoscopy, I felt fine. But the morning after, I woke up with pressure in my chest. It feels like something is pushing down inside my chest whenever I breathe, swallow, eat, basically anything that makes my chest contract. It’s been going on for three days. Is this because of the biopsy/endoscopy? He did take some samples to send to the lab. I’m meeting my doctor next week but I’m getting worried.</t>
        </is>
      </c>
      <c r="D5007" t="n">
        <v>1</v>
      </c>
      <c r="E5007" t="n">
        <v>4</v>
      </c>
      <c r="F5007">
        <f>HYPERLINK("https://www.reddit.com/r/GERD/comments/ewrkcj/chest_pain_after_endoscopy/")</f>
        <v/>
      </c>
      <c r="G5007" t="inlineStr">
        <is>
          <t>2020-01-31 09:15:51</t>
        </is>
      </c>
      <c r="H5007" t="inlineStr"/>
    </row>
    <row r="5008">
      <c r="A5008" t="inlineStr">
        <is>
          <t>ewrouq</t>
        </is>
      </c>
      <c r="B5008" t="inlineStr">
        <is>
          <t>Fluttering in pit of stomach</t>
        </is>
      </c>
      <c r="C5008" t="inlineStr">
        <is>
          <t>On top of some occasional classic GERD symptoms including reflux and nausea I am suffering with fluttering in the pit of my stomach just below the sternum. They happen when sitting down, laying down and with vigorous exercise. Usually after eating, but not always. Anyone else experience these. I'm scared.</t>
        </is>
      </c>
      <c r="D5008" t="n">
        <v>1</v>
      </c>
      <c r="E5008" t="n">
        <v>3</v>
      </c>
      <c r="F5008">
        <f>HYPERLINK("https://www.reddit.com/r/GERD/comments/ewrouq/fluttering_in_pit_of_stomach/")</f>
        <v/>
      </c>
      <c r="G5008" t="inlineStr">
        <is>
          <t>2020-01-31 09:24:41</t>
        </is>
      </c>
      <c r="H5008" t="inlineStr"/>
    </row>
    <row r="5009">
      <c r="A5009" t="inlineStr">
        <is>
          <t>ews6jf</t>
        </is>
      </c>
      <c r="B5009" t="inlineStr">
        <is>
          <t>My doctor prescribed my rabeprazole</t>
        </is>
      </c>
      <c r="C5009" t="inlineStr">
        <is>
          <t>Just began taking it yesterday, it says only take it once daily, but I’m still burping? The acid is stopping but the burping and nausea comes and goes still. Do I go back to my doctor? He didn’t say anything to me, he just gave me a prescription for this stuff.</t>
        </is>
      </c>
      <c r="D5009" t="n">
        <v>1</v>
      </c>
      <c r="E5009" t="n">
        <v>4</v>
      </c>
      <c r="F5009">
        <f>HYPERLINK("https://www.reddit.com/r/GERD/comments/ews6jf/my_doctor_prescribed_my_rabeprazole/")</f>
        <v/>
      </c>
      <c r="G5009" t="inlineStr">
        <is>
          <t>2020-01-31 09:58:21</t>
        </is>
      </c>
      <c r="H5009" t="inlineStr"/>
    </row>
    <row r="5010">
      <c r="A5010" t="inlineStr">
        <is>
          <t>ewsxgk</t>
        </is>
      </c>
      <c r="B5010" t="inlineStr">
        <is>
          <t>please some reply</t>
        </is>
      </c>
      <c r="C5010" t="inlineStr">
        <is>
          <t>hello, so sometimes after I eat I tend to get some heartburn ish when I kinda burp/belch, it doesn't happen all the time I belch but sometimes I do, it's like a sharp pain with a slight burning sensation, this pain only lasts a few seconds (2 seconds at least, 5 or 6 seconds at most) is this dangerous or a cause for concern, should I worry about this?, does anyone know what it could be. I'm also quite a hypochondriac so I've been worrying about having gerd</t>
        </is>
      </c>
      <c r="D5010" t="n">
        <v>1</v>
      </c>
      <c r="E5010" t="n">
        <v>14</v>
      </c>
      <c r="F5010">
        <f>HYPERLINK("https://www.reddit.com/r/GERD/comments/ewsxgk/please_some_reply/")</f>
        <v/>
      </c>
      <c r="G5010" t="inlineStr">
        <is>
          <t>2020-01-31 10:48:15</t>
        </is>
      </c>
      <c r="H5010" t="inlineStr"/>
    </row>
    <row r="5011">
      <c r="A5011" t="inlineStr">
        <is>
          <t>ewt3cq</t>
        </is>
      </c>
      <c r="B5011" t="inlineStr">
        <is>
          <t>Forced burps through the diaphragm?</t>
        </is>
      </c>
      <c r="C5011" t="inlineStr">
        <is>
          <t>I have this very unique thing/habit I have been doing for years and am trying to figure out the best way to inform my doctor about it.
I will hold my breath and kind of "push" what seems like a burp up from my midsection to my chest. Sometimes it's painful, but most of the time I just feel pressure. It does bring up acid often though. 
It's very hard to explain and I was wondering if anyone else here has experienced this kind of thing.</t>
        </is>
      </c>
      <c r="D5011" t="n">
        <v>1</v>
      </c>
      <c r="E5011" t="n">
        <v>9</v>
      </c>
      <c r="F5011">
        <f>HYPERLINK("https://www.reddit.com/r/GERD/comments/ewt3cq/forced_burps_through_the_diaphragm/")</f>
        <v/>
      </c>
      <c r="G5011" t="inlineStr">
        <is>
          <t>2020-01-31 10:59:19</t>
        </is>
      </c>
      <c r="H5011" t="inlineStr"/>
    </row>
    <row r="5012">
      <c r="A5012" t="inlineStr">
        <is>
          <t>ewugml</t>
        </is>
      </c>
      <c r="B5012" t="inlineStr">
        <is>
          <t>Any of you have/had chronic sore throat from constant post nasal drip?</t>
        </is>
      </c>
      <c r="C5012" t="inlineStr">
        <is>
          <t>I've had GERD for more than 3 years now, and all this time I had a constantly blocked right nostril from too much mucus production. Because of that, I've had constant post nasal drip every single day. I didn't think too much of it, it was just a mild annoyance, but reseraching GERD made me realise something:
I had a chronic sore throat ever since my GERD started, but I never had coughing, hoarseness, or an acidic feeling in my mouth. I was always baffled how if acid doesn't come up to my throat (not even at night) how could I have chronic sore throat so severe that I could barely talk?
My hypothesis is that this constant post nasal drip irritated my throat (pharynx) so much that it caused constant pain every time I talked or swallowed.
My question is, have you experienced something similar to give some pointers as to whether this assumption is likely true/false?
PS: I'm going to ask this question on my upcoming gastroenterologist appointment, just wanted to see what experiences you guys have, it would help me a ton. thanks!</t>
        </is>
      </c>
      <c r="D5012" t="n">
        <v>1</v>
      </c>
      <c r="E5012" t="n">
        <v>10</v>
      </c>
      <c r="F5012">
        <f>HYPERLINK("https://www.reddit.com/r/GERD/comments/ewugml/any_of_you_havehad_chronic_sore_throat_from/")</f>
        <v/>
      </c>
      <c r="G5012" t="inlineStr">
        <is>
          <t>2020-01-31 12:32:38</t>
        </is>
      </c>
      <c r="H5012" t="inlineStr"/>
    </row>
    <row r="5013">
      <c r="A5013" t="inlineStr">
        <is>
          <t>ewunxu</t>
        </is>
      </c>
      <c r="B5013" t="inlineStr">
        <is>
          <t>Throat tightness/ear fullness for 10 weeks</t>
        </is>
      </c>
      <c r="C5013" t="inlineStr">
        <is>
          <t>Hello everyone. 
In mid november I started getting throat tightness and feeling like something was stuck in my throat all the time. Then came the “full” feeling in my ears. Saw the doctor and got blood tests. WBC was a little elevated. Then I was referred to an ENT. He put a scope in my sinus and upper throat and said everything looked fine. He said continue on omeprazole and quit smoking and check back in a month. Then he suggested a barium swallow if nothing has improved. 
I’ve went from nearly 2 packs a day down to just 3-4 cigarettes a day. On Monday I’m going to take the final leap and quit. 
My question is, does this sound like GERD symptoms to any of you? I’ve dealt with heartburn my entire life. 35 yo male. I was on ranitidine for a long time until it was recalled. Then I was on nothing for a while. I also get esophagus spasms that feel like heart attack at times. The only thing that stops it is cold water. 
This is starting to wear on me. It’s like I’m always choking on something and it’s getting to my gag reflex as well. So just really uncomfortable all the time. 
I’m just looking for some insight is all. Need to get this figured out and to be honest, I don’t feel like I’m being taken serious by the doctors. I’ve REALLY had to push to be seen by them</t>
        </is>
      </c>
      <c r="D5013" t="n">
        <v>1</v>
      </c>
      <c r="E5013" t="n">
        <v>3</v>
      </c>
      <c r="F5013">
        <f>HYPERLINK("https://www.reddit.com/r/GERD/comments/ewunxu/throat_tightnessear_fullness_for_10_weeks/")</f>
        <v/>
      </c>
      <c r="G5013" t="inlineStr">
        <is>
          <t>2020-01-31 12:46:01</t>
        </is>
      </c>
      <c r="H5013" t="inlineStr"/>
    </row>
    <row r="5014">
      <c r="A5014" t="inlineStr">
        <is>
          <t>eww1bz</t>
        </is>
      </c>
      <c r="B5014" t="inlineStr">
        <is>
          <t>Question about symptoms</t>
        </is>
      </c>
      <c r="C5014" t="inlineStr">
        <is>
          <t>Anyone else get dysphagia with gerd? Like in your upper throat it gets caught and goes slow and feels uncomfortable? I’m a 14 year old male</t>
        </is>
      </c>
      <c r="D5014" t="n">
        <v>1</v>
      </c>
      <c r="E5014" t="n">
        <v>27</v>
      </c>
      <c r="F5014">
        <f>HYPERLINK("https://www.reddit.com/r/GERD/comments/eww1bz/question_about_symptoms/")</f>
        <v/>
      </c>
      <c r="G5014" t="inlineStr">
        <is>
          <t>2020-01-31 14:18:57</t>
        </is>
      </c>
      <c r="H5014" t="inlineStr"/>
    </row>
    <row r="5015">
      <c r="A5015" t="inlineStr">
        <is>
          <t>ewwu8a</t>
        </is>
      </c>
      <c r="B5015" t="inlineStr">
        <is>
          <t>Can this be GERD?</t>
        </is>
      </c>
      <c r="C5015" t="inlineStr">
        <is>
          <t>So I’ve been experiencing these symptoms for several years since high school. Never had anything done about it but it’s getting in the way of work and other social things like when I have to talk a lot. Basic symptoms I’m constantly clearing my throat if I don’t then I can’t talk properly. I’m okay if I’m inside my house and I drink lots of warm beverages and don’t talk a lot. It feels like I can’t fully swallow in my throat or like something is there. And I have a very hoarse voice when I do talk like there is always something there that  just can’t be cleared out. At first we though it was sinus or allergies no nothing wrong there and then we thought it could be my thyroid but it’s all fine and I’m on medication for that. And I always need to either clear my throat, pop my ears or have gum and water with me because my mouth gets dry.</t>
        </is>
      </c>
      <c r="D5015" t="n">
        <v>1</v>
      </c>
      <c r="E5015" t="n">
        <v>0</v>
      </c>
      <c r="F5015">
        <f>HYPERLINK("https://www.reddit.com/r/GERD/comments/ewwu8a/can_this_be_gerd/")</f>
        <v/>
      </c>
      <c r="G5015" t="inlineStr">
        <is>
          <t>2020-01-31 15:15:03</t>
        </is>
      </c>
      <c r="H5015" t="inlineStr"/>
    </row>
    <row r="5016">
      <c r="A5016" t="inlineStr">
        <is>
          <t>ewx5yd</t>
        </is>
      </c>
      <c r="B5016" t="inlineStr">
        <is>
          <t>Can LPR be caused by anxiety/stress? My symptoms</t>
        </is>
      </c>
      <c r="C5016" t="inlineStr">
        <is>
          <t>So I'm passing for a very stressful moment right now, my anxiety is at his peak. Weeks ago I noticed some dificult swallowing food in one side of my throat. Fast foward to today and this dificult is in both sides of my throat. I can still eat but every time I swallow, small residues, bits of the food get stuck on my epiglottis and on her sides making me need to swallow multiple times. Once the food passes the epiglottis it goes down normally, the problem is the residues stucking in there making me swallow 2 or 3 times more. I noticed that I'm burping a lot more now too and having mucus in my throat after eating. No trouble with liquids tho.
Do someone else here have or had any os this symptoms before being diagnosed?</t>
        </is>
      </c>
      <c r="D5016" t="n">
        <v>1</v>
      </c>
      <c r="E5016" t="n">
        <v>15</v>
      </c>
      <c r="F5016">
        <f>HYPERLINK("https://www.reddit.com/r/GERD/comments/ewx5yd/can_lpr_be_caused_by_anxietystress_my_symptoms/")</f>
        <v/>
      </c>
      <c r="G5016" t="inlineStr">
        <is>
          <t>2020-01-31 15:38:04</t>
        </is>
      </c>
      <c r="H5016" t="inlineStr"/>
    </row>
    <row r="5017">
      <c r="A5017" t="inlineStr">
        <is>
          <t>ewxlqk</t>
        </is>
      </c>
      <c r="B5017" t="inlineStr">
        <is>
          <t>Can GERD cause trouble initiating swallow?</t>
        </is>
      </c>
      <c r="C5017" t="inlineStr">
        <is>
          <t>For about half a year now I've had a lot of symptoms indicative of GERD, but everything I read seems to suggest that dysphagia as a result from GERD is more along the lines of food getting stuck in the throat or chest, as opposed to difficulty starting a swallow.</t>
        </is>
      </c>
      <c r="D5017" t="n">
        <v>1</v>
      </c>
      <c r="E5017" t="n">
        <v>4</v>
      </c>
      <c r="F5017">
        <f>HYPERLINK("https://www.reddit.com/r/GERD/comments/ewxlqk/can_gerd_cause_trouble_initiating_swallow/")</f>
        <v/>
      </c>
      <c r="G5017" t="inlineStr">
        <is>
          <t>2020-01-31 16:10:10</t>
        </is>
      </c>
      <c r="H5017" t="inlineStr"/>
    </row>
    <row r="5018">
      <c r="A5018" t="inlineStr">
        <is>
          <t>ewz9fm</t>
        </is>
      </c>
      <c r="B5018" t="inlineStr">
        <is>
          <t>My story so far</t>
        </is>
      </c>
      <c r="C5018" t="inlineStr">
        <is>
          <t>Hi, I wanted to post my story to see if anyone knows what I could have.
For starters, I’m a 14 year old male and my symptoms started on June 25th 2019. At first it was constant burping up a bitter taste and bloating sometimes. I went to my primary doctor mid July who gave me ppis that somewhat helped but not completely. This is when my anxiety got even worse and when I started worrying about esophageal cancer. On October 15th we made an appointment for the gi doctor. I had it on November 5th and got more ppis which once again helped a little. Then early December my anxiety was through the roof. That’s when I started getting trouble swallowing. It feels like food gets stuck in my upper throat for a few seconds, like somewhere in my neck and goes down slow. Now the esophageal cancer worries are back and my difficulty swallowing hasn’t gone away but it hasn’t gotten worse or better. I also should add I haven’t taken ppis since early December. 
Ok so basically these are the questions I wanted answered. How do I take my mind of the EC health anxiety? Could my dysphagia be caused by inflammation in my throat from acid? Also I’m going back the the doctor soon. Just wanted to post this to see the replies. Thanks</t>
        </is>
      </c>
      <c r="D5018" t="n">
        <v>1</v>
      </c>
      <c r="E5018" t="n">
        <v>7</v>
      </c>
      <c r="F5018">
        <f>HYPERLINK("https://www.reddit.com/r/GERD/comments/ewz9fm/my_story_so_far/")</f>
        <v/>
      </c>
      <c r="G5018" t="inlineStr">
        <is>
          <t>2020-01-31 18:19:18</t>
        </is>
      </c>
      <c r="H5018" t="inlineStr"/>
    </row>
    <row r="5019">
      <c r="A5019" t="inlineStr">
        <is>
          <t>ewzd38</t>
        </is>
      </c>
      <c r="B5019" t="inlineStr">
        <is>
          <t>Have you ever heard of or experienced GERD causing bronchitis?</t>
        </is>
      </c>
      <c r="C5019" t="inlineStr">
        <is>
          <t>I cannot breathe if I lay down. I've seen 3 different doctors this month who said I have bronchitis &amp;amp; asthmatic symptoms and they're treating that, but now I am just wondering if I should expedite my efforts to eat properly &amp;amp; pop an antacid. I have slept a 4 hours total within the last 48 hours. I don't know what to do.
Does anyone have any experience or expertise on this topic?</t>
        </is>
      </c>
      <c r="D5019" t="n">
        <v>1</v>
      </c>
      <c r="E5019" t="n">
        <v>8</v>
      </c>
      <c r="F5019">
        <f>HYPERLINK("https://www.reddit.com/r/GERD/comments/ewzd38/have_you_ever_heard_of_or_experienced_gerd/")</f>
        <v/>
      </c>
      <c r="G5019" t="inlineStr">
        <is>
          <t>2020-01-31 18:27:36</t>
        </is>
      </c>
      <c r="H5019" t="inlineStr"/>
    </row>
    <row r="5020">
      <c r="A5020" t="inlineStr">
        <is>
          <t>ewzibl</t>
        </is>
      </c>
      <c r="B5020" t="inlineStr">
        <is>
          <t>Night terrors and trouble gaining weight</t>
        </is>
      </c>
      <c r="C5020" t="inlineStr">
        <is>
          <t>I gradually developed reflux for the past 8 months or so, I don't have heartburn, I just sometimes feel the food coming up after a meal, burp and the worst of all: sometimes I wake in fright in the middle of the night feeling like I'm choking, with my heart racing and disoriented which makes me spit right there on the floor (yuck).
 I had an endoscopy with biopsy and an ultrasound last month and it's all clear.  I "only" got reflux and minor gastritis, I was prescribed some meds before meals and before bed, those terrible dietary restrictions and had to raise the head of my bed. 
The night terors are the worst, really miserable thing and I'm not cured yet, and feeling like it can end up killing me of a heart attack or something I thought I'd do anything to get rid of that without complaining, but I was wrong. I just started working out after finally stoping physiotherapy (some back problems), I was happy to finally being able to work out as a normal person and bulk up a bit — I'm underweight and don't gain weight very easily even when I could eat freely — now how am I suppose to gain weight with that shit diet? No fats, no fried, no dairy, no bread, no orange juice... What the hell do I even eat?  I don't even know what I'm supposed to eat for breakfast... alright I know, but it sucks! I was planning to start running or swimming or do something healthy for my heart and for increasing stamina alongside lifting, but now I feel like I'm gonna end up just skin and bones if I do that with such a feeble diet. 
Does anybody else had/has night terrors from reflux? 
And was anybody else able to bulk up working out with reflux?</t>
        </is>
      </c>
      <c r="D5020" t="n">
        <v>1</v>
      </c>
      <c r="E5020" t="n">
        <v>19</v>
      </c>
      <c r="F5020">
        <f>HYPERLINK("https://www.reddit.com/r/GERD/comments/ewzibl/night_terrors_and_trouble_gaining_weight/")</f>
        <v/>
      </c>
      <c r="G5020" t="inlineStr">
        <is>
          <t>2020-01-31 18:39:27</t>
        </is>
      </c>
      <c r="H5020" t="inlineStr"/>
    </row>
    <row r="5021">
      <c r="A5021" t="inlineStr">
        <is>
          <t>ex0zj8</t>
        </is>
      </c>
      <c r="B5021" t="inlineStr">
        <is>
          <t>Does my throat look normal or is this possible LPR?</t>
        </is>
      </c>
      <c r="C5021" t="inlineStr">
        <is>
          <t>https://i.imgur.com/xqHkN5d.jpg
I'm just curious
To be fair, for some reason that picture looks a bit more red than I think it is in reality.
I basically took a video in a dark room with the flash on, so the flash may have oversaturated some colors</t>
        </is>
      </c>
      <c r="D5021" t="n">
        <v>1</v>
      </c>
      <c r="E5021" t="n">
        <v>6</v>
      </c>
      <c r="F5021">
        <f>HYPERLINK("https://www.reddit.com/r/GERD/comments/ex0zj8/does_my_throat_look_normal_or_is_this_possible_lpr/")</f>
        <v/>
      </c>
      <c r="G5021" t="inlineStr">
        <is>
          <t>2020-01-31 20:45:21</t>
        </is>
      </c>
      <c r="H5021" t="inlineStr"/>
    </row>
    <row r="5022">
      <c r="A5022" t="inlineStr">
        <is>
          <t>ex1yth</t>
        </is>
      </c>
      <c r="B5022" t="inlineStr">
        <is>
          <t>So my GI prescribed Zantac</t>
        </is>
      </c>
      <c r="C5022" t="inlineStr">
        <is>
          <t>I have no idea what to do. I can give some context, if anyone is interested:
[https://www.reddit.com/r/GERD/comments/e5o8bi/can\_anybody\_please\_make\_sense\_of\_the\_past\_few/](https://www.reddit.com/r/GERD/comments/e5o8bi/can_anybody_please_make_sense_of_the_past_few/)
[https://www.reddit.com/r/GERD/comments/ehisr4/when\_do\_omeprazole\_side\_effects\_finally\_go\_away/](https://www.reddit.com/r/GERD/comments/ehisr4/when_do_omeprazole_side_effects_finally_go_away/)
&amp;amp;#x200B;
So I had a second endoscopy and the doctor is clueless as to why my mouth and throat still have a bad taste and a weird hot sore feeling in them (TLDR: pantoprazole and omeprazole gave me these symptoms whereas before taking them I did not have them.)
So he did an endoscopy and still saw inflammation in my stomach and intestine. He prescribed me Zantac. I told him I am too scared to take it because of what Omeprazole/Pantoprazole did to me. I am also concerned about the recall of it. 
The doctor told me that diet and lifestyle changes (which I have done for the past 3 months with no improvement) may heal me in the longterm but if I want a quicker solution take the Zantac. I told him I have no idea what to do because I still have not received an answer for what is wrong with me. I am considering taking Zantac as I am out of ideas.
I am skeptical I have too much stomach acid, I am skeptical about these drugs, and I am just totally lost. Would appreciate any ideas or advice. Thank you.</t>
        </is>
      </c>
      <c r="D5022" t="n">
        <v>1</v>
      </c>
      <c r="E5022" t="n">
        <v>10</v>
      </c>
      <c r="F5022">
        <f>HYPERLINK("https://www.reddit.com/r/GERD/comments/ex1yth/so_my_gi_prescribed_zantac/")</f>
        <v/>
      </c>
      <c r="G5022" t="inlineStr">
        <is>
          <t>2020-01-31 22:19:00</t>
        </is>
      </c>
      <c r="H5022" t="inlineStr"/>
    </row>
    <row r="5023">
      <c r="A5023" t="inlineStr">
        <is>
          <t>ex2elo</t>
        </is>
      </c>
      <c r="B5023" t="inlineStr">
        <is>
          <t>Advice on lpr</t>
        </is>
      </c>
      <c r="C5023" t="inlineStr">
        <is>
          <t>20 year old male here with severe sore throat (pharynx area not larynx) and im done with it, all started after a flu and antibiotic use, never experienced any heartburn to these day but I can feel and sometimes hear the reflux coming up , any advice ? Im willing to literally try anything, I don't care if its from melotonin, mdma ,peyote, gabapentin  a desparasitant , or eat  cow shit , you name it , im done with this, hope I have normal gerd and not this LPR bullshit, driving me nuts, surgery is my last resort, but since it all astarted after a flu and antibiotic use , theres need to be something to fix thus before going that path,diet not working, actually the only thing thar worked was stoping the ppis,no more belching or abdominal pain,   sorry for the rant.</t>
        </is>
      </c>
      <c r="D5023" t="n">
        <v>1</v>
      </c>
      <c r="E5023" t="n">
        <v>0</v>
      </c>
      <c r="F5023">
        <f>HYPERLINK("https://www.reddit.com/r/GERD/comments/ex2elo/advice_on_lpr/")</f>
        <v/>
      </c>
      <c r="G5023" t="inlineStr">
        <is>
          <t>2020-01-31 23:05:26</t>
        </is>
      </c>
      <c r="H5023" t="inlineStr"/>
    </row>
    <row r="5024">
      <c r="A5024" t="inlineStr">
        <is>
          <t>ex2oeu</t>
        </is>
      </c>
      <c r="B5024" t="inlineStr">
        <is>
          <t>Stoped ppis cold turkey after 3 months for lpr and extreme belching ,stomach pain and distention same as regurgitation and belch lessened to 90% what can be the cause of this?</t>
        </is>
      </c>
      <c r="C5024" t="inlineStr">
        <is>
          <t>Hi, 20 yeqr old male here , Endoscopy showed nothing no esophagitis, no hernia , but phmetry showed abnormal reflux ,manometry showed minimal les malfunction  to these day never experienced any heartburn at all ,i just have daily sore throat like an throat  infection but with less pain the thing is all started after a virus and missdiagnosed antibiotic use, diets not working, the only thing that seemed to work is stoped ppis cold turkey 10 days ago , didn't have any acid rebound at all and the belching reduced a lot ,the stomach distension and pain practically reduced to 0%  I  literally tried to eat trigger foods , and the belching was minimal , when I was on ppis it was a lot worse no matter the food ,anyway my main symptom is sore throat and post nasal drip every single day, since all started after the virus and antibiotic  im willing to take eberything, no matter what experimentsl legal and non legal drug , any advice will be spprecieate it.</t>
        </is>
      </c>
      <c r="D5024" t="n">
        <v>1</v>
      </c>
      <c r="E5024" t="n">
        <v>7</v>
      </c>
      <c r="F5024">
        <f>HYPERLINK("https://www.reddit.com/r/GERD/comments/ex2oeu/stoped_ppis_cold_turkey_after_3_months_for_lpr/")</f>
        <v/>
      </c>
      <c r="G5024" t="inlineStr">
        <is>
          <t>2020-01-31 23:35:08</t>
        </is>
      </c>
      <c r="H5024" t="inlineStr"/>
    </row>
    <row r="5025">
      <c r="A5025" t="inlineStr">
        <is>
          <t>ex30oq</t>
        </is>
      </c>
      <c r="B5025" t="inlineStr">
        <is>
          <t>Sneezing after fundoplication</t>
        </is>
      </c>
      <c r="C5025" t="inlineStr">
        <is>
          <t>Hi I’ve read about sneezing can loosen wrap, for those who’ve had it done is this true and if so is it best to try and hold it in or not? Thanks</t>
        </is>
      </c>
      <c r="D5025" t="n">
        <v>1</v>
      </c>
      <c r="E5025" t="n">
        <v>4</v>
      </c>
      <c r="F5025">
        <f>HYPERLINK("https://www.reddit.com/r/GERD/comments/ex30oq/sneezing_after_fundoplication/")</f>
        <v/>
      </c>
      <c r="G5025" t="inlineStr">
        <is>
          <t>2020-02-01 00:15:10</t>
        </is>
      </c>
      <c r="H5025" t="inlineStr"/>
    </row>
    <row r="5026">
      <c r="A5026" t="inlineStr">
        <is>
          <t>exb16e</t>
        </is>
      </c>
      <c r="B5026" t="inlineStr">
        <is>
          <t>Omeprazole</t>
        </is>
      </c>
      <c r="C5026" t="inlineStr">
        <is>
          <t>Hello, I was using 80 mg Omeprazole and didn't have any bad symptoms during a day, only nausea in the mornings after I wake up. But about two months ago  I went to the doctor and she said I should try pantoprazole before going to sleep and take omeprazole in the mornings but only 40 mg of omeprazole. And about a week or two after I started to take 40 mg of omeprazole and pantoprazole I started to get really bad symptoms during a day (which I wouldn't normaly have on 80 mg dose of omeprazole). Before I would experience nausea in the mornings and hoarseness. But right now I get terrible heartburn after eating during a day, sore throat in the mornings, regurgitating food after eating, and other symptoms which I didn't get taking 80 mg of omeprazole. I was eating healthy for around a month, because heartburn made me watch what I eat but I still would get heartburn even if I ate plain chicken with nothing. What should I do? I read a lot about GERD, and i saw that everyone took 40 mg of Omeprazole and 80 mg is considered a high dosage. Should I go back to taking 80 mg omeprazole or is it too risky?</t>
        </is>
      </c>
      <c r="D5026" t="n">
        <v>1</v>
      </c>
      <c r="E5026" t="n">
        <v>1</v>
      </c>
      <c r="F5026">
        <f>HYPERLINK("https://www.reddit.com/r/GERD/comments/exb16e/omeprazole/")</f>
        <v/>
      </c>
      <c r="G5026" t="inlineStr">
        <is>
          <t>2020-02-01 11:14:45</t>
        </is>
      </c>
      <c r="H5026" t="inlineStr"/>
    </row>
    <row r="5027">
      <c r="A5027" t="inlineStr">
        <is>
          <t>exb47v</t>
        </is>
      </c>
      <c r="B5027" t="inlineStr">
        <is>
          <t>Horrible heartburn attack out of nowhere and then gerd for life?</t>
        </is>
      </c>
      <c r="C5027" t="inlineStr">
        <is>
          <t>I'm in my mid 40s.  Last year I had a terrible attack of heartburn, including vomit.  Never had it before, didn't know what it felt like til then. Though I was gonna die. Almost told my wife I need to go to ER. Eventually it subsided but that's when doctor told me to start taking omeprazole.  That was at least 6 Mos ago. 
Fast fwd to now.  Have not had another attack like that or any heartburn at all.  Did have an endoscopy.  They said small stricture/scarring at base of esophagus by stomach but it's not barrets. Does this mean I have gerd for life now? It just seems like all of a sudden this happened to me. 
Anyone else just feel like they were flying along in life, doing good health wise and then have this kind of come on sudden?
Right now they have me taking 40mg of omeprazole twice a day for another 4-5 weeks to see how it goes.  My symptoms have been improving somewhat.  I've been complaining of hoarseness, cough but it is getting better</t>
        </is>
      </c>
      <c r="D5027" t="n">
        <v>1</v>
      </c>
      <c r="E5027" t="n">
        <v>17</v>
      </c>
      <c r="F5027">
        <f>HYPERLINK("https://www.reddit.com/r/GERD/comments/exb47v/horrible_heartburn_attack_out_of_nowhere_and_then/")</f>
        <v/>
      </c>
      <c r="G5027" t="inlineStr">
        <is>
          <t>2020-02-01 11:20:51</t>
        </is>
      </c>
      <c r="H5027" t="inlineStr"/>
    </row>
    <row r="5028">
      <c r="A5028" t="inlineStr">
        <is>
          <t>excecj</t>
        </is>
      </c>
      <c r="B5028" t="inlineStr">
        <is>
          <t>Sore throat for a week</t>
        </is>
      </c>
      <c r="C5028" t="inlineStr">
        <is>
          <t>This week I’ve been waking up with a terrible sore throat but it usually goes away after a few hours of being awake and is usually soothed by eating or drinking. Been happening for a week along with almost constant belching and stomach noises. I’m not sick cause I don’t have a cough or anything like that. Have had ear pain however. Could this be GERD?</t>
        </is>
      </c>
      <c r="D5028" t="n">
        <v>1</v>
      </c>
      <c r="E5028" t="n">
        <v>1</v>
      </c>
      <c r="F5028">
        <f>HYPERLINK("https://www.reddit.com/r/GERD/comments/excecj/sore_throat_for_a_week/")</f>
        <v/>
      </c>
      <c r="G5028" t="inlineStr">
        <is>
          <t>2020-02-01 12:50:51</t>
        </is>
      </c>
      <c r="H5028" t="inlineStr"/>
    </row>
    <row r="5029">
      <c r="A5029" t="inlineStr">
        <is>
          <t>exdplp</t>
        </is>
      </c>
      <c r="B5029" t="inlineStr">
        <is>
          <t>Bending over / poor posture</t>
        </is>
      </c>
      <c r="C5029" t="inlineStr">
        <is>
          <t>If I bend over after eating to do something like tie my shoe, that often will trigger acid reflux. Or if I eat a meal then slouch on the couch, thus putting pressure on my stomach, that also triggers it. If bending over / bad posture triggers reflux, does this mean my LES is weakened?</t>
        </is>
      </c>
      <c r="D5029" t="n">
        <v>1</v>
      </c>
      <c r="E5029" t="n">
        <v>28</v>
      </c>
      <c r="F5029">
        <f>HYPERLINK("https://www.reddit.com/r/GERD/comments/exdplp/bending_over_poor_posture/")</f>
        <v/>
      </c>
      <c r="G5029" t="inlineStr">
        <is>
          <t>2020-02-01 14:25:11</t>
        </is>
      </c>
      <c r="H5029" t="inlineStr"/>
    </row>
    <row r="5030">
      <c r="A5030" t="inlineStr">
        <is>
          <t>exfwdn</t>
        </is>
      </c>
      <c r="B5030" t="inlineStr">
        <is>
          <t>First post, I need your thoughts and input...</t>
        </is>
      </c>
      <c r="C5030" t="inlineStr">
        <is>
          <t>Just passed the 3 week mark of the start of my reflux episode and it's gotten worse by the day. I thankfully have an Endoscopy scheduled for this Monday 2/3, but the acid is so terrible I can hardly stand it. My esophagus has been burning and it goes to the top of my throat. I can hardly sleep and am miserable when I'm awake. I've been on 40 mg of omeprazole almost three whole time and it doesn't touch the reflux. Antacids do nothing either. Even if I eat bland foods my stomach still hates me. I have 4 young children and I'm psyching myself out that they're going to find something terrible or there's been permanent damage already done. Any thoughts or suggestions you can help me with...?
Thanks!</t>
        </is>
      </c>
      <c r="D5030" t="n">
        <v>1</v>
      </c>
      <c r="E5030" t="n">
        <v>5</v>
      </c>
      <c r="F5030">
        <f>HYPERLINK("https://www.reddit.com/r/GERD/comments/exfwdn/first_post_i_need_your_thoughts_and_input/")</f>
        <v/>
      </c>
      <c r="G5030" t="inlineStr">
        <is>
          <t>2020-02-01 16:52:00</t>
        </is>
      </c>
      <c r="H5030" t="inlineStr"/>
    </row>
    <row r="5031">
      <c r="A5031" t="inlineStr">
        <is>
          <t>exgyf3</t>
        </is>
      </c>
      <c r="B5031" t="inlineStr">
        <is>
          <t>It always feels like I have liquid in the back of my throat.</t>
        </is>
      </c>
      <c r="C5031" t="inlineStr">
        <is>
          <t>I was just diagnosed a couple of weeks ago with GERD. I was wondering how many of you experience this? It doesn't exactly burn but I feel like my stomach and my esophagus are filled with liquid. It's also accompanied by a bloating feeling. Could GERD be the cause?</t>
        </is>
      </c>
      <c r="D5031" t="n">
        <v>1</v>
      </c>
      <c r="E5031" t="n">
        <v>5</v>
      </c>
      <c r="F5031">
        <f>HYPERLINK("https://www.reddit.com/r/GERD/comments/exgyf3/it_always_feels_like_i_have_liquid_in_the_back_of/")</f>
        <v/>
      </c>
      <c r="G5031" t="inlineStr">
        <is>
          <t>2020-02-01 18:03:57</t>
        </is>
      </c>
      <c r="H5031" t="inlineStr"/>
    </row>
    <row r="5032">
      <c r="A5032" t="inlineStr">
        <is>
          <t>exhgz0</t>
        </is>
      </c>
      <c r="B5032" t="inlineStr">
        <is>
          <t>Dysphagia and h2 blockers</t>
        </is>
      </c>
      <c r="C5032" t="inlineStr">
        <is>
          <t>Hi, I’m a 14 year old male and started taking h2 blockers today and I think it’s helping but one of my most annoying gerd symptoms of difficulty swallowing in my upper throat/pharynx and was wondering if anyone has found that h2 blockers fix difficulty swallowing for them. Thanks for reading</t>
        </is>
      </c>
      <c r="D5032" t="n">
        <v>1</v>
      </c>
      <c r="E5032" t="n">
        <v>5</v>
      </c>
      <c r="F5032">
        <f>HYPERLINK("https://www.reddit.com/r/GERD/comments/exhgz0/dysphagia_and_h2_blockers/")</f>
        <v/>
      </c>
      <c r="G5032" t="inlineStr">
        <is>
          <t>2020-02-01 18:39:39</t>
        </is>
      </c>
      <c r="H5032" t="inlineStr"/>
    </row>
    <row r="5033">
      <c r="A5033" t="inlineStr">
        <is>
          <t>exhqzf</t>
        </is>
      </c>
      <c r="B5033" t="inlineStr">
        <is>
          <t>any gerd sufferers who continue to smoke?</t>
        </is>
      </c>
      <c r="C5033" t="inlineStr">
        <is>
          <t>any gerd sufferers who continue to smoke would be most grateful for advice, I've tried quitting billions of time but I literally can't do anything when I quit smoking, I can't concentrate on uni but then I also worry about oesophagus cancer 22yr old female here</t>
        </is>
      </c>
      <c r="D5033" t="n">
        <v>1</v>
      </c>
      <c r="E5033" t="n">
        <v>4</v>
      </c>
      <c r="F5033">
        <f>HYPERLINK("https://www.reddit.com/r/GERD/comments/exhqzf/any_gerd_sufferers_who_continue_to_smoke/")</f>
        <v/>
      </c>
      <c r="G5033" t="inlineStr">
        <is>
          <t>2020-02-01 18:59:22</t>
        </is>
      </c>
      <c r="H5033" t="inlineStr"/>
    </row>
    <row r="5034">
      <c r="A5034" t="inlineStr">
        <is>
          <t>exizee</t>
        </is>
      </c>
      <c r="B5034" t="inlineStr">
        <is>
          <t>The worst GERD/LPR cough of all times</t>
        </is>
      </c>
      <c r="C5034" t="inlineStr">
        <is>
          <t>I wouldn't call my cough "annoying", it's more like hell. I have to force the air out, because of a itchy feeling in my throat that seems to be on the verge of choking me, it's not a "natural", involuntary cough. The result is a very harsh sound, it seems like my larynx was shrinking and getting irritated due to acid, and all of a sudden the cough expands it -- and then I have to repeat it a couple of times per minute. Maybe it's rhinitis combined with reflux.
Does anyone suffer with that? 
I will post a long text later to explain how I deal with it and what I do to get better.</t>
        </is>
      </c>
      <c r="D5034" t="n">
        <v>1</v>
      </c>
      <c r="E5034" t="n">
        <v>3</v>
      </c>
      <c r="F5034">
        <f>HYPERLINK("https://www.reddit.com/r/GERD/comments/exizee/the_worst_gerdlpr_cough_of_all_times/")</f>
        <v/>
      </c>
      <c r="G5034" t="inlineStr">
        <is>
          <t>2020-02-01 20:32:51</t>
        </is>
      </c>
      <c r="H5034" t="inlineStr"/>
    </row>
    <row r="5035">
      <c r="A5035" t="inlineStr">
        <is>
          <t>exjnon</t>
        </is>
      </c>
      <c r="B5035" t="inlineStr">
        <is>
          <t>Hot stuff and random thoughts/questions...</t>
        </is>
      </c>
      <c r="C5035" t="inlineStr">
        <is>
          <t>So I've somewhat been diagnosed with GERD. Some days I have HORRIBLE acid and burning, especially if/when I'm hungry. I get pressure and these deep gas belches that help relieve the pressure. 
I watch what I eat but I LOVE hot stuff. Funny thing is, hot stuff doesn't bother me. At least, not more than anything else. Everything I eat gives me pressure and belching from just at the bottom/right of my breastbone.
I've tried PPIs, they do NOTHING but make me nauseous, give me a stomach ache and the shits. 
Does anyone else experience these kinds of things? Trying to make sense of it all.</t>
        </is>
      </c>
      <c r="D5035" t="n">
        <v>1</v>
      </c>
      <c r="E5035" t="n">
        <v>0</v>
      </c>
      <c r="F5035">
        <f>HYPERLINK("https://www.reddit.com/r/GERD/comments/exjnon/hot_stuff_and_random_thoughtsquestions/")</f>
        <v/>
      </c>
      <c r="G5035" t="inlineStr">
        <is>
          <t>2020-02-01 21:28:48</t>
        </is>
      </c>
      <c r="H5035" t="inlineStr"/>
    </row>
    <row r="5036">
      <c r="A5036" t="inlineStr">
        <is>
          <t>exku7r</t>
        </is>
      </c>
      <c r="B5036" t="inlineStr">
        <is>
          <t>Odd symptoms. Upper middle abdomen discomfort.</t>
        </is>
      </c>
      <c r="C5036" t="inlineStr">
        <is>
          <t>Hi all!
I've had a few symptoms for ages, such as belching and scratchy throat (Though not often) but for the past few weeks I've had a discomfort sort of feeling just below my sternum, where it meets the abdomen in the upper middle area. It's driving me crazy. At one point it actually hurt a lot, which has now gone away.
My doctor sent off a referral for an endoscopy but it's through public so it could be agessss.
Has anyone else experienced this? Not sure where to post this honestly. And I'm scared of getting an endoscopy.
(Also i got a barium swallow done about a year ago and no finding on that)</t>
        </is>
      </c>
      <c r="D5036" t="n">
        <v>1</v>
      </c>
      <c r="E5036" t="n">
        <v>9</v>
      </c>
      <c r="F5036">
        <f>HYPERLINK("https://www.reddit.com/r/GERD/comments/exku7r/odd_symptoms_upper_middle_abdomen_discomfort/")</f>
        <v/>
      </c>
      <c r="G5036" t="inlineStr">
        <is>
          <t>2020-02-01 23:19:15</t>
        </is>
      </c>
      <c r="H5036" t="inlineStr"/>
    </row>
    <row r="5037">
      <c r="A5037" t="inlineStr">
        <is>
          <t>exlyv8</t>
        </is>
      </c>
      <c r="B5037" t="inlineStr">
        <is>
          <t>Can esophageal cancer develop in just 2 weeks ?</t>
        </is>
      </c>
      <c r="C5037" t="inlineStr">
        <is>
          <t>Hello, male with freshly barrets esophagus diagnosed 2 week ago , no dysplasia 
since yesterday i feel a kind of lump, or  a burp that doesnt go away 
should i get a second endoscopy ?  to rule out esophageal cancer</t>
        </is>
      </c>
      <c r="D5037" t="n">
        <v>1</v>
      </c>
      <c r="E5037" t="n">
        <v>9</v>
      </c>
      <c r="F5037">
        <f>HYPERLINK("https://www.reddit.com/r/GERD/comments/exlyv8/can_esophageal_cancer_develop_in_just_2_weeks/")</f>
        <v/>
      </c>
      <c r="G5037" t="inlineStr">
        <is>
          <t>2020-02-02 01:20:04</t>
        </is>
      </c>
      <c r="H5037" t="inlineStr"/>
    </row>
    <row r="5038">
      <c r="A5038" t="inlineStr">
        <is>
          <t>exmigj</t>
        </is>
      </c>
      <c r="B5038" t="inlineStr">
        <is>
          <t>Hiatal Hernia self relief</t>
        </is>
      </c>
      <c r="C5038" t="inlineStr">
        <is>
          <t>Anybody have luck doing these techniques to "fix" a hiatal Hernia?
&amp;amp;#x200B;
[https://www.youtube.com/watch?v=t\_cIVMHH5iY&amp;amp;list=LLm6VyMfuR0G6uAr\_VzlRrkQ&amp;amp;index=2&amp;amp;t=0s](https://www.youtube.com/watch?v=t_cIVMHH5iY&amp;amp;list=LLm6VyMfuR0G6uAr_VzlRrkQ&amp;amp;index=2&amp;amp;t=0s)
&amp;amp;#x200B;
[https://www.youtube.com/watch?v=qofS1iVuwoQ&amp;amp;list=LLm6VyMfuR0G6uAr\_VzlRrkQ&amp;amp;index=3&amp;amp;t=27s](https://www.youtube.com/watch?v=qofS1iVuwoQ&amp;amp;list=LLm6VyMfuR0G6uAr_VzlRrkQ&amp;amp;index=3&amp;amp;t=27s)</t>
        </is>
      </c>
      <c r="D5038" t="n">
        <v>1</v>
      </c>
      <c r="E5038" t="n">
        <v>3</v>
      </c>
      <c r="F5038">
        <f>HYPERLINK("https://www.reddit.com/r/GERD/comments/exmigj/hiatal_hernia_self_relief/")</f>
        <v/>
      </c>
      <c r="G5038" t="inlineStr">
        <is>
          <t>2020-02-02 02:18:56</t>
        </is>
      </c>
      <c r="H5038" t="inlineStr"/>
    </row>
    <row r="5039">
      <c r="A5039" t="inlineStr">
        <is>
          <t>exp24m</t>
        </is>
      </c>
      <c r="B5039" t="inlineStr">
        <is>
          <t>A year and a half ago I had an endoscopy and was told I had acute gastritis and a very mild hernia. If my gerd is still glaring up sometimes when am I supposed to get a another endoscopy? Could I have developed Barrets esophagus or even cancer in this time?</t>
        </is>
      </c>
      <c r="C5039" t="inlineStr">
        <is>
          <t>Just anxious as I truly don’t know how often people are supposed to be endoscopy when they have gerd. My biopsies all came back as normal when I got the test done</t>
        </is>
      </c>
      <c r="D5039" t="n">
        <v>1</v>
      </c>
      <c r="E5039" t="n">
        <v>7</v>
      </c>
      <c r="F5039">
        <f>HYPERLINK("https://www.reddit.com/r/GERD/comments/exp24m/a_year_and_a_half_ago_i_had_an_endoscopy_and_was/")</f>
        <v/>
      </c>
      <c r="G5039" t="inlineStr">
        <is>
          <t>2020-02-02 06:20:26</t>
        </is>
      </c>
      <c r="H5039" t="inlineStr"/>
    </row>
    <row r="5040">
      <c r="A5040" t="inlineStr">
        <is>
          <t>expopk</t>
        </is>
      </c>
      <c r="B5040" t="inlineStr">
        <is>
          <t>Potentially low acid reflux?</t>
        </is>
      </c>
      <c r="C5040" t="inlineStr">
        <is>
          <t>I seem to get acid reflux when  I eat food (within a few minutes of eating, sometimes almost right away). Not all food all the time, but past few days seems like just about everything (it's also been a crazy stressful week). Would getting acid reflux that quickly mean that food is a trigger or just a sign of an over abundance of acid likely from the stressful week, or a lack of acid? 
I ate salmon, rice, brussel sprouts, and Lima beans last night for dinner. Immediately gassy after eating and been dealing with heartburn past 3 days. 7 days ago my doctor upped me to 80 mg famotidine a day and for 2-3 days I felt good. Tuesday onwards I felt the constant/sometimes random reflux with what I considered my normal safe foods. Starting maybe thursday or friday I started having heartburn (havent had that in 5 months of battling gastritis). 
I did the baking soda with water test this morning and had a slight burp/indigestion after 20 seconds. No more burps for 10 minutes. Not sure how to interpret that result. 
Trying to wrap my head around all of this. Thanks</t>
        </is>
      </c>
      <c r="D5040" t="n">
        <v>1</v>
      </c>
      <c r="E5040" t="n">
        <v>5</v>
      </c>
      <c r="F5040">
        <f>HYPERLINK("https://www.reddit.com/r/GERD/comments/expopk/potentially_low_acid_reflux/")</f>
        <v/>
      </c>
      <c r="G5040" t="inlineStr">
        <is>
          <t>2020-02-02 07:07:55</t>
        </is>
      </c>
      <c r="H5040" t="inlineStr"/>
    </row>
    <row r="5041">
      <c r="A5041" t="inlineStr">
        <is>
          <t>expsso</t>
        </is>
      </c>
      <c r="B5041" t="inlineStr">
        <is>
          <t>Best wedge pillow?</t>
        </is>
      </c>
      <c r="C5041" t="inlineStr">
        <is>
          <t>I am looking at getting a wedge pillow. Does anyone have reccomendations for what worked best for them? Thanks. 
Would hate to spend 50 bucks on one that doesnt help or sucks to sleep on</t>
        </is>
      </c>
      <c r="D5041" t="n">
        <v>1</v>
      </c>
      <c r="E5041" t="n">
        <v>3</v>
      </c>
      <c r="F5041">
        <f>HYPERLINK("https://www.reddit.com/r/GERD/comments/expsso/best_wedge_pillow/")</f>
        <v/>
      </c>
      <c r="G5041" t="inlineStr">
        <is>
          <t>2020-02-02 07:15:46</t>
        </is>
      </c>
      <c r="H5041" t="inlineStr"/>
    </row>
    <row r="5042">
      <c r="A5042" t="inlineStr">
        <is>
          <t>exqdoj</t>
        </is>
      </c>
      <c r="B5042" t="inlineStr">
        <is>
          <t>Increased symptons when I sit on office chairs</t>
        </is>
      </c>
      <c r="C5042" t="inlineStr">
        <is>
          <t>Hey, been suffering from gerd for 4 years. Just noticed office chairs tend to make me feel the symptoms more.
I get heartburn, pain in left/right side of the chest accompanied by diziness when sitting on office chairs.
Maybe my mind is associating the chair with stress, as its what i use when working? I also game on these chairs sometimes and face same symptoms. 
What i can do to reduce the symptoms?</t>
        </is>
      </c>
      <c r="D5042" t="n">
        <v>1</v>
      </c>
      <c r="E5042" t="n">
        <v>2</v>
      </c>
      <c r="F5042">
        <f>HYPERLINK("https://www.reddit.com/r/GERD/comments/exqdoj/increased_symptons_when_i_sit_on_office_chairs/")</f>
        <v/>
      </c>
      <c r="G5042" t="inlineStr">
        <is>
          <t>2020-02-02 07:54:29</t>
        </is>
      </c>
      <c r="H5042" t="inlineStr"/>
    </row>
    <row r="5043">
      <c r="A5043" t="inlineStr">
        <is>
          <t>exqhda</t>
        </is>
      </c>
      <c r="B5043" t="inlineStr">
        <is>
          <t>Gastricell</t>
        </is>
      </c>
      <c r="C5043" t="inlineStr">
        <is>
          <t>Anyone who used it have an update?</t>
        </is>
      </c>
      <c r="D5043" t="n">
        <v>1</v>
      </c>
      <c r="E5043" t="n">
        <v>0</v>
      </c>
      <c r="F5043">
        <f>HYPERLINK("https://www.reddit.com/r/GERD/comments/exqhda/gastricell/")</f>
        <v/>
      </c>
      <c r="G5043" t="inlineStr">
        <is>
          <t>2020-02-02 08:01:15</t>
        </is>
      </c>
      <c r="H5043" t="inlineStr"/>
    </row>
    <row r="5044">
      <c r="A5044" t="inlineStr">
        <is>
          <t>exrihj</t>
        </is>
      </c>
      <c r="B5044" t="inlineStr">
        <is>
          <t>Questioning diagnosis of GERD? (Sorry for long post)</t>
        </is>
      </c>
      <c r="C5044" t="inlineStr">
        <is>
          <t>My apologies for such a long post and if this isn’t the right place to post this. I’ve often gotten more help with medical advice from Reddit than other internet sources and even from doctors, so I’m reaching out here. 
I’m a 23 year old female and I’ve had numerous GI issues for most of my life. I have IBS (which is also exacerbated by my endometriosis but that isn’t a GI-related diagnosis) and have frequent upper GI symptoms though I have not received any diagnosis for that. I had a gastric ulcer that was detected via an endoscopy a few years ago that was of unknown cause— didn’t have H. Pylori and didn’t have risk factors other than stress (at the time had never consumed alcohol, don’t drink coffee or soda or a large amount of spicy foods). I didn’t even know I had an ulcer because I just felt like I always do, so it was essentially an accidental finding. At my follow-up endoscopy after treatment with prescription omeprazole I actually thought the ulcer would still be there because I felt the same and was surprised to find out it was gone. The doctor even said he was confused why I had an ulcer in the first place, but wasn’t much help and sent me on my way without an explanation for my upper GI symptoms. 
Fast forward to now: other than having a gallbladder ultrasound after the endoscopy that showed nothing, I never really pursued investigating my symptoms any further. In addition to upper-GI symptoms (burning, acid feeling, etc) I have asthma-like breathing difficulty and wheezing but am not diagnosed with asthma—my allergist mentioned that GERD can mimic asthma, does anyone experience this?
I eat Tums like candy. I have a burning sensation all the time and frequent bursts of nausea especially in the morning. A weird symptom that has been getting worse has been a cause of a lot of confusion and frustration for me: despite practicing extremely diligent dental hygiene (I brush 2-3 times a day, floss daily, use mouthwash, and fluoride paste) I almost always have this gross taste in my mouth. No one has ever mentioned to me that I have bad breath, but I always feel like I do and am extremely self-conscious about it. The taste will be back in less than 10 minutes after brushing my teeth and using mouthwash and pretty much immediately after having a mint. Do a lot of people with GERD experience this? Does anything help? This has started to get extremely frustrating. 
I’m in grad school now living in a different state, and unfortunately now have crappy student health insurance so my copays are somewhat high. I’m wondering if I should pursue finding a new GI specialist to look into GERD, but don’t want to waste my time and money (I have very little free time as a PhD student in an accelerated program, and make $20k a year working 60 hours a week). Does this sound like GERD/something else?
Again, apologies if this isn’t the right place for this question and for such a long post. Any advice or insight is greatly appreciated.</t>
        </is>
      </c>
      <c r="D5044" t="n">
        <v>1</v>
      </c>
      <c r="E5044" t="n">
        <v>7</v>
      </c>
      <c r="F5044">
        <f>HYPERLINK("https://www.reddit.com/r/GERD/comments/exrihj/questioning_diagnosis_of_gerd_sorry_for_long_post/")</f>
        <v/>
      </c>
      <c r="G5044" t="inlineStr">
        <is>
          <t>2020-02-02 09:12:17</t>
        </is>
      </c>
      <c r="H5044" t="inlineStr"/>
    </row>
    <row r="5045">
      <c r="A5045" t="inlineStr">
        <is>
          <t>ext5wn</t>
        </is>
      </c>
      <c r="B5045" t="inlineStr">
        <is>
          <t>Constant dull pain !!</t>
        </is>
      </c>
      <c r="C5045" t="inlineStr">
        <is>
          <t>Every day for past two years I experience pain in the lower right side of my chest which feels like the bottom of my esophagus .It only relents a lil during eating and a few minutes after as if the food i am eating lubricates the esophagus. When I drink i can feel the cold water touching that sore spot. Does anyone relate ?</t>
        </is>
      </c>
      <c r="D5045" t="n">
        <v>1</v>
      </c>
      <c r="E5045" t="n">
        <v>1</v>
      </c>
      <c r="F5045">
        <f>HYPERLINK("https://www.reddit.com/r/GERD/comments/ext5wn/constant_dull_pain/")</f>
        <v/>
      </c>
      <c r="G5045" t="inlineStr">
        <is>
          <t>2020-02-02 10:58:56</t>
        </is>
      </c>
      <c r="H5045" t="inlineStr"/>
    </row>
    <row r="5046">
      <c r="A5046" t="inlineStr">
        <is>
          <t>exufkh</t>
        </is>
      </c>
      <c r="B5046" t="inlineStr">
        <is>
          <t>Can it really be GERD if Gaviscon Advance does absolutely NOTHING to help?</t>
        </is>
      </c>
      <c r="C5046" t="inlineStr">
        <is>
          <t>Foul taste in mouth all the time, shortness of breath, horrible mucus and saliva that changes in consistency and abrasiveness day to day, stomach and chest feels so sore. Sinuses feel inflamed.
This will be the death of me.</t>
        </is>
      </c>
      <c r="D5046" t="n">
        <v>1</v>
      </c>
      <c r="E5046" t="n">
        <v>13</v>
      </c>
      <c r="F5046">
        <f>HYPERLINK("https://www.reddit.com/r/GERD/comments/exufkh/can_it_really_be_gerd_if_gaviscon_advance_does/")</f>
        <v/>
      </c>
      <c r="G5046" t="inlineStr">
        <is>
          <t>2020-02-02 12:17:18</t>
        </is>
      </c>
      <c r="H5046" t="inlineStr"/>
    </row>
    <row r="5047">
      <c r="A5047" t="inlineStr">
        <is>
          <t>exv37w</t>
        </is>
      </c>
      <c r="B5047" t="inlineStr">
        <is>
          <t>Do I need to go back to my Doctor</t>
        </is>
      </c>
      <c r="C5047" t="inlineStr">
        <is>
          <t>Not yet diagnosed but suspected hiatal hernia and GERD. I’m taking Esomeprazole 40mg once daily although I took it twice for the first few days. I’ve also changed my diet to only GERD friendly stuff. 
I’m a week in and not really getting much relief from nausea/anxiety. My stool the last few days is also now yellow?
I know this can be a symptom of GERD but it wasn’t that way before I started the Esomeprazole.
Has anyone experienced this?</t>
        </is>
      </c>
      <c r="D5047" t="n">
        <v>1</v>
      </c>
      <c r="E5047" t="n">
        <v>2</v>
      </c>
      <c r="F5047">
        <f>HYPERLINK("https://www.reddit.com/r/GERD/comments/exv37w/do_i_need_to_go_back_to_my_doctor/")</f>
        <v/>
      </c>
      <c r="G5047" t="inlineStr">
        <is>
          <t>2020-02-02 12:58:23</t>
        </is>
      </c>
      <c r="H5047" t="inlineStr"/>
    </row>
    <row r="5048">
      <c r="A5048" t="inlineStr">
        <is>
          <t>exvkvq</t>
        </is>
      </c>
      <c r="B5048" t="inlineStr">
        <is>
          <t>Pretty sure GERD has made me a sad, depressed person. Anyone else?</t>
        </is>
      </c>
      <c r="C5048" t="inlineStr">
        <is>
          <t>Like as I write this the last 3 days I feel like I have a stick or something lodged in my chest and don’t know why, but it’s enough to make me write this post because because I rarely post on Reddit. I have GERD/LPR, I got used to the globes sensation so it don’t bother me but what bothers me is when I feel like something is stuck in my chest even without eating, like I don’t get it at all, I’m off and on a PPI 15mg Lansaprozole (6 on, 3 off) and it takes the actually heartburn away but nothing else. I have a “small hiatal hernia” he says smaller than 1cm, but I have very very bad anxiety and this stuff makes me like not even want to wake up and get my day started, I go to bed praying that I don’t wake up feeling like I did that day, hoping that sensation goes away.  Some days it’s fine no symptoms, others are terrible I don’t get it, it’s taking a toll on my life and my lifestyle, I think I’m becoming depressed.</t>
        </is>
      </c>
      <c r="D5048" t="n">
        <v>1</v>
      </c>
      <c r="E5048" t="n">
        <v>36</v>
      </c>
      <c r="F5048">
        <f>HYPERLINK("https://www.reddit.com/r/GERD/comments/exvkvq/pretty_sure_gerd_has_made_me_a_sad_depressed/")</f>
        <v/>
      </c>
      <c r="G5048" t="inlineStr">
        <is>
          <t>2020-02-02 13:29:30</t>
        </is>
      </c>
      <c r="H5048" t="inlineStr"/>
    </row>
    <row r="5049">
      <c r="A5049" t="inlineStr">
        <is>
          <t>exwy6x</t>
        </is>
      </c>
      <c r="B5049" t="inlineStr">
        <is>
          <t>Drinking water while sitting down, prevents symptoms &amp;amp; bloating</t>
        </is>
      </c>
      <c r="C5049" t="inlineStr">
        <is>
          <t>I’ve been having strange issues with &amp;amp; symptoms flaring up after water, after a while of trying to figure out why.... I started drinking water only while sitting down now. Makes a world of a difference &amp;amp; 0 bloating. Small tip for those who have issues with it, def recommend you start only drinking liquids while sitting down</t>
        </is>
      </c>
      <c r="D5049" t="n">
        <v>1</v>
      </c>
      <c r="E5049" t="n">
        <v>2</v>
      </c>
      <c r="F5049">
        <f>HYPERLINK("https://www.reddit.com/r/GERD/comments/exwy6x/drinking_water_while_sitting_down_prevents/")</f>
        <v/>
      </c>
      <c r="G5049" t="inlineStr">
        <is>
          <t>2020-02-02 14:55:34</t>
        </is>
      </c>
      <c r="H5049" t="inlineStr"/>
    </row>
    <row r="5050">
      <c r="A5050" t="inlineStr">
        <is>
          <t>exx0ed</t>
        </is>
      </c>
      <c r="B5050" t="inlineStr">
        <is>
          <t>Any one experiencing dull sensation in the chest near the heart , after taking cold medicine ?</t>
        </is>
      </c>
      <c r="C5050" t="inlineStr">
        <is>
          <t>So I had thought that I've experienced every symptom so far with my GERD, but I guess I was wrong. Yesterday after taking some cold medicine  because I felt like crap all day , I experienced what felt like a dull sort throbbing sensation near my chest where the heart is.  It's not everywhere but I feel it in a very pinpoint spot. My immediate anxiety was to worry that I'm having heart problems but I consulted with a cardiologist in November who told me everything seemed okay .  I understand that often GERD can mask itself as heart issues , but idk why this just feels different . It's not a constant pain but it comes and goes and it is just beginning to worry me and add more anxiety.  Idk if anyone can shed some information about any interactions cold medicine might have on GERD sufferers or those taking PPIs.</t>
        </is>
      </c>
      <c r="D5050" t="n">
        <v>1</v>
      </c>
      <c r="E5050" t="n">
        <v>3</v>
      </c>
      <c r="F5050">
        <f>HYPERLINK("https://www.reddit.com/r/GERD/comments/exx0ed/any_one_experiencing_dull_sensation_in_the_chest/")</f>
        <v/>
      </c>
      <c r="G5050" t="inlineStr">
        <is>
          <t>2020-02-02 14:59:30</t>
        </is>
      </c>
      <c r="H5050" t="inlineStr"/>
    </row>
    <row r="5051">
      <c r="A5051" t="inlineStr">
        <is>
          <t>exxtif</t>
        </is>
      </c>
      <c r="B5051" t="inlineStr">
        <is>
          <t>Bradycardia and ppi</t>
        </is>
      </c>
      <c r="C5051" t="inlineStr">
        <is>
          <t>Is it possible for PPI's like nexium to cause bradycardia? My heart rate went from a constant 67 - 75 to 51 - 60 suddenly and I have no idea why. I have extreme health anxiety and am on the verge of having a panic attack.</t>
        </is>
      </c>
      <c r="D5051" t="n">
        <v>1</v>
      </c>
      <c r="E5051" t="n">
        <v>8</v>
      </c>
      <c r="F5051">
        <f>HYPERLINK("https://www.reddit.com/r/GERD/comments/exxtif/bradycardia_and_ppi/")</f>
        <v/>
      </c>
      <c r="G5051" t="inlineStr">
        <is>
          <t>2020-02-02 15:55:55</t>
        </is>
      </c>
      <c r="H5051" t="inlineStr"/>
    </row>
    <row r="5052">
      <c r="A5052" t="inlineStr">
        <is>
          <t>exyso3</t>
        </is>
      </c>
      <c r="B5052" t="inlineStr">
        <is>
          <t>Alternatives to Tums</t>
        </is>
      </c>
      <c r="C5052" t="inlineStr">
        <is>
          <t>No matter what kind it is, Tums always makes me feel icky. The taste is nauseating to me. Are there any "as needed" pills I don't know about? Omeprazole made me feel awful.</t>
        </is>
      </c>
      <c r="D5052" t="n">
        <v>1</v>
      </c>
      <c r="E5052" t="n">
        <v>5</v>
      </c>
      <c r="F5052">
        <f>HYPERLINK("https://www.reddit.com/r/GERD/comments/exyso3/alternatives_to_tums/")</f>
        <v/>
      </c>
      <c r="G5052" t="inlineStr">
        <is>
          <t>2020-02-02 17:09:10</t>
        </is>
      </c>
      <c r="H5052" t="inlineStr"/>
    </row>
    <row r="5053">
      <c r="A5053" t="inlineStr">
        <is>
          <t>exyvlo</t>
        </is>
      </c>
      <c r="B5053" t="inlineStr">
        <is>
          <t>Is there a way to cure GERD that’s due to caffeine?</t>
        </is>
      </c>
      <c r="C5053" t="inlineStr">
        <is>
          <t>I only get acid reflux when I consume a certain amount of caffeine- do you think it’s due to the caffeine itself or stress that the caffeine causes? Or something else? Because I love caffeine but this GERD issue really complicates things</t>
        </is>
      </c>
      <c r="D5053" t="n">
        <v>1</v>
      </c>
      <c r="E5053" t="n">
        <v>0</v>
      </c>
      <c r="F5053">
        <f>HYPERLINK("https://www.reddit.com/r/GERD/comments/exyvlo/is_there_a_way_to_cure_gerd_thats_due_to_caffeine/")</f>
        <v/>
      </c>
      <c r="G5053" t="inlineStr">
        <is>
          <t>2020-02-02 17:15:42</t>
        </is>
      </c>
      <c r="H5053" t="inlineStr"/>
    </row>
    <row r="5054">
      <c r="A5054" t="inlineStr">
        <is>
          <t>ey077g</t>
        </is>
      </c>
      <c r="B5054" t="inlineStr">
        <is>
          <t>Suffering from panic attacks. Esomeprazol worsening symptoms or psychological?</t>
        </is>
      </c>
      <c r="C5054" t="inlineStr">
        <is>
          <t>Dear Somebody, 
Please help. I am in great physical and mental pain, constantly. In my childhood I developed emetophobia, the fear of vomiting. Vomiting is not pleasurable for anybody, but I took every possible measure to avoid it completely. I’m 26 now and in the past 10 years I only vomited once, last September during a trip to Costa Rica.
After that trip, I started to develop panic attacks and stomach cramps, reflux, etc. The panic attacks were most probably caused due to the stomach pain. Anyways, I went to the doctor and after a gastroscopy he told me I have GERD, a hiatus hernia, gastritis type C and a chronic inflammation of the cardia (not sure if this is the same was GERD). 
The doctor gave me ESOMEPRAZOL to take for 3 months (reducing the dosis stepwise). Unfortunately, I have the feeling that with this treatment my wellbeing has been a complete downfall and the symptoms are getting worse instead of better. I am taking ESOMEPRAZOL already for 3-4 weeks. I am scared to eat, I have a lot of anxiety and even went to a psychiatrist who prescribed me Xanax for the panic attacks. I haven’t yet used them, they are there just for the very bad panic attacks as the last remedy. I can’t drive with the car since I get scared to vomit and get stomach pain. After eating I am in pain. Everything that makes me nervous or could make me nervous causes me anxiety and its a spiral towards terror. 
I have also have “ups”, moments where I think that everything is completely fine and with no pain and where I am questioning my weird behaviour before with the panic attacks.... till the next anxiety moment hits. 
I tried to go to sleep and laid on the right side... bad idea. That was 3 hours ago and here it is 4am and I in the kitchen with a setup that relaxes me - heating pad, ginger tea, open window and close to the sink in case I vomit... but this cannot go on.
I will go tomorrow to the doctor and let him know that before the ESOMEPRAZOL I was better than now and ask for a alternative treatment. 
Till then, does anybody have any ideas what is wrong with me?  
Thanks.</t>
        </is>
      </c>
      <c r="D5054" t="n">
        <v>1</v>
      </c>
      <c r="E5054" t="n">
        <v>7</v>
      </c>
      <c r="F5054">
        <f>HYPERLINK("https://www.reddit.com/r/GERD/comments/ey077g/suffering_from_panic_attacks_esomeprazol/")</f>
        <v/>
      </c>
      <c r="G5054" t="inlineStr">
        <is>
          <t>2020-02-02 18:57:18</t>
        </is>
      </c>
      <c r="H5054" t="inlineStr"/>
    </row>
    <row r="5055">
      <c r="A5055" t="inlineStr">
        <is>
          <t>ey1ly9</t>
        </is>
      </c>
      <c r="B5055" t="inlineStr">
        <is>
          <t>Can you get popping noises in your chest from a Hiatial hernia?</t>
        </is>
      </c>
      <c r="C5055" t="inlineStr">
        <is>
          <t>When I move my chest a certain direction I get popping noises in my chest. I haven’t been fully diagnosed with a hiatial hernia but I suspect I have one. I have all the symptoms but these popping noises happen a lot. I know they are also a symptom of anxiety, which I have a decent amount of. I think I might go to the ER tomorrow since I have other things wrong with me as well and my doctor has been pretty much useless these past couple months</t>
        </is>
      </c>
      <c r="D5055" t="n">
        <v>1</v>
      </c>
      <c r="E5055" t="n">
        <v>4</v>
      </c>
      <c r="F5055">
        <f>HYPERLINK("https://www.reddit.com/r/GERD/comments/ey1ly9/can_you_get_popping_noises_in_your_chest_from_a/")</f>
        <v/>
      </c>
      <c r="G5055" t="inlineStr">
        <is>
          <t>2020-02-02 20:46:21</t>
        </is>
      </c>
      <c r="H5055" t="inlineStr"/>
    </row>
    <row r="5056">
      <c r="A5056" t="inlineStr">
        <is>
          <t>ey1nh1</t>
        </is>
      </c>
      <c r="B5056" t="inlineStr">
        <is>
          <t>Gatorade</t>
        </is>
      </c>
      <c r="C5056" t="inlineStr">
        <is>
          <t>I'm on a high sodium/fluid diet and drink alot of Gatorade Zero and propel. Are these bad for acid reflux/LPR? I do not drink soda or coffee.</t>
        </is>
      </c>
      <c r="D5056" t="n">
        <v>1</v>
      </c>
      <c r="E5056" t="n">
        <v>6</v>
      </c>
      <c r="F5056">
        <f>HYPERLINK("https://www.reddit.com/r/GERD/comments/ey1nh1/gatorade/")</f>
        <v/>
      </c>
      <c r="G5056" t="inlineStr">
        <is>
          <t>2020-02-02 20:49:51</t>
        </is>
      </c>
      <c r="H5056" t="inlineStr"/>
    </row>
    <row r="5057">
      <c r="A5057" t="inlineStr">
        <is>
          <t>ey42s8</t>
        </is>
      </c>
      <c r="B5057" t="inlineStr">
        <is>
          <t>Even the slightest hunger becomes painful: is this indicative of anything?</t>
        </is>
      </c>
      <c r="C5057" t="inlineStr">
        <is>
          <t>Hi, all:
I've been struggling with GERD since 2016 and I think it's evolved into LPR since. The most I've gotten from doctors so far is a PPI recommendation and an inhaler (that I'm pretty sure my doctor didn't connect to the reflux symptoms). 
It began with spasms in my abdomen I mistook for arrhythmia. I'm not sure if it was my esophagus, my stomach, or my diaphragm but it felt like my breathing was impeded without feeling like I was gonna suffocate/pass out. Doctors have felt my abdomen numerous times and said nothing about a hiatal hernia, and another doctor whom I listed off my symptoms too said it didn't sound anything like one. But I've noticed when I put pressure on my abdomen by bending over or getting in and out of bed, it trigged the spasms.
However, I've noticed something else that I haven't mentioned in all these years and I wanted to solicit everyone's advice. Before... well, *whatever this is* began, hunter pangs were just hunger pangs. They were just a feeling I was neutral about and took as a sign that I should eat soon, but they weren't aggressive. However, ever since these GI problems started, my hunger pangs actually actively *hurt.* If I get hungry, there is a dull ache/discomfort in my stomach that doesn't come in waves like it used to. It just stays there the whole time.
I wanted to ask if this is helpful in sorting out what the cause/problem might be. Doctors so far have been very dismissive regarding this issue. I don't just want to mask the symptoms with PPIs my whole life, especially if they're making it harder to absorb things like B12. 
Any ideas? Can anyone relate to these symptoms?</t>
        </is>
      </c>
      <c r="D5057" t="n">
        <v>1</v>
      </c>
      <c r="E5057" t="n">
        <v>8</v>
      </c>
      <c r="F5057">
        <f>HYPERLINK("https://www.reddit.com/r/GERD/comments/ey42s8/even_the_slightest_hunger_becomes_painful_is_this/")</f>
        <v/>
      </c>
      <c r="G5057" t="inlineStr">
        <is>
          <t>2020-02-03 00:32:20</t>
        </is>
      </c>
      <c r="H5057" t="inlineStr"/>
    </row>
    <row r="5058">
      <c r="A5058" t="inlineStr">
        <is>
          <t>ey4u4w</t>
        </is>
      </c>
      <c r="B5058" t="inlineStr">
        <is>
          <t>Flushed face, inflamed sinuses/red eyes and the feeling of sweating inside with foul tasting, abrasive saliva during flare-up?</t>
        </is>
      </c>
      <c r="C5058" t="inlineStr">
        <is>
          <t>Does this sound like GERD? My stomach is in bits, i keep burping and farting and it literally  smells like babys diareah or like somethings died....
So short of breath even whilst doing nothing. Can't put up with it anymore. :(</t>
        </is>
      </c>
      <c r="D5058" t="n">
        <v>1</v>
      </c>
      <c r="E5058" t="n">
        <v>0</v>
      </c>
      <c r="F5058">
        <f>HYPERLINK("https://www.reddit.com/r/GERD/comments/ey4u4w/flushed_face_inflamed_sinusesred_eyes_and_the/")</f>
        <v/>
      </c>
      <c r="G5058" t="inlineStr">
        <is>
          <t>2020-02-03 01:52:23</t>
        </is>
      </c>
      <c r="H5058" t="inlineStr"/>
    </row>
    <row r="5059">
      <c r="A5059" t="inlineStr">
        <is>
          <t>ey83od</t>
        </is>
      </c>
      <c r="B5059" t="inlineStr">
        <is>
          <t>Phlegm triggers?</t>
        </is>
      </c>
      <c r="C5059" t="inlineStr">
        <is>
          <t>Anyone have this? When I wake up I have no phlegm and my voice is pretty normal. I can sing in the shower, make a phone call, etc with no issues. By the time I get to work I'm endlessly clearing my throat and my voice, which was fine earlier, is now hoarse with phlegm. Is there a trigger that affects people with GERD? I'm narrowed it down to either toothpaste, listerine, or drinking a cup of green tea. I don't eat breakfast or ingest anything else. This is becoming a big problem at work as I can barely speak for most of the workday or if I can, I sound oddly hoarse and with all the throat clearing people think I'm coming into work sick. 
My doctor told me move off pepcid to a PPI, which I did yesterday, but the symptoms are still there. I understand a PPI takes days to work, but I'm skeptical this is the fix. If this was purely LPR/GERD related, I'd think I'd have the phlem in the morning, not nearly 1.5 hours after waking. I wonder if my throat has been damaged by LPR so badly that certain things trigger phlegm production.  I don't know what to do. I was considering moving to a different toothpaste or stopping the listerine. Of course, like most LPR types, I have bad breath, so that's going to suck. Any ideas?</t>
        </is>
      </c>
      <c r="D5059" t="n">
        <v>1</v>
      </c>
      <c r="E5059" t="n">
        <v>7</v>
      </c>
      <c r="F5059">
        <f>HYPERLINK("https://www.reddit.com/r/GERD/comments/ey83od/phlegm_triggers/")</f>
        <v/>
      </c>
      <c r="G5059" t="inlineStr">
        <is>
          <t>2020-02-03 06:43:03</t>
        </is>
      </c>
      <c r="H5059" t="inlineStr"/>
    </row>
    <row r="5060">
      <c r="A5060" t="inlineStr">
        <is>
          <t>ey87wo</t>
        </is>
      </c>
      <c r="B5060" t="inlineStr">
        <is>
          <t>Light at the end of the tunnel</t>
        </is>
      </c>
      <c r="C5060" t="inlineStr">
        <is>
          <t>Good Morning everybody ! To anyone suffering from acid reflux I def can relate, long nights without being able to sleep because of flare ups, losing weight because of dietary restrictions &amp;amp; not knowing what to eat, but everything changed once I started eating more alkaline foods &amp;amp; taking specific supplements, so theirs def light at the end of the tunnel keep your heads up !</t>
        </is>
      </c>
      <c r="D5060" t="n">
        <v>1</v>
      </c>
      <c r="E5060" t="n">
        <v>18</v>
      </c>
      <c r="F5060">
        <f>HYPERLINK("https://www.reddit.com/r/GERD/comments/ey87wo/light_at_the_end_of_the_tunnel/")</f>
        <v/>
      </c>
      <c r="G5060" t="inlineStr">
        <is>
          <t>2020-02-03 06:52:06</t>
        </is>
      </c>
      <c r="H5060" t="inlineStr"/>
    </row>
    <row r="5061">
      <c r="A5061" t="inlineStr">
        <is>
          <t>ey8b1t</t>
        </is>
      </c>
      <c r="B5061" t="inlineStr">
        <is>
          <t>Tips from a dental hygienist</t>
        </is>
      </c>
      <c r="C5061" t="inlineStr">
        <is>
          <t>I was diagnosed with GERD last May and in this short time, I have found 4 new cavities. Here are a few things that I now do to help prevent future decay:
1. Mix baking soda with a little water to create a paste and brush with it every morning before brushing with toothpaste to neutralize the acid
2. Stay hydrated with alkaline water
3. Use toothpaste with fluoride to help strengthen the enamel. When it has become demineralized due to acid, it develops holes and becomes weakened. Fluoride ions help to fill the holes and strengthen the damaged enamel. You can also ask for a fluoride treatment from your hygienist. 
4. Eat apples as they neutralize the pH in your mouth and stimulate an alkaline saliva flow
I hope you find this to be useful</t>
        </is>
      </c>
      <c r="D5061" t="n">
        <v>1</v>
      </c>
      <c r="E5061" t="n">
        <v>20</v>
      </c>
      <c r="F5061">
        <f>HYPERLINK("https://www.reddit.com/r/GERD/comments/ey8b1t/tips_from_a_dental_hygienist/")</f>
        <v/>
      </c>
      <c r="G5061" t="inlineStr">
        <is>
          <t>2020-02-03 06:58:37</t>
        </is>
      </c>
      <c r="H5061" t="inlineStr"/>
    </row>
    <row r="5062">
      <c r="A5062" t="inlineStr">
        <is>
          <t>ey8cqb</t>
        </is>
      </c>
      <c r="B5062" t="inlineStr">
        <is>
          <t>Buying iQoro in the US?</t>
        </is>
      </c>
      <c r="C5062" t="inlineStr">
        <is>
          <t>Has anyone in the US used Parcl to buy an iQoro and have it shipped to them? 
https://www.parcl.com/all-shipping-requests/details/ship-iqoro-for-adults-from-sweden-to-united-states/</t>
        </is>
      </c>
      <c r="D5062" t="n">
        <v>1</v>
      </c>
      <c r="E5062" t="n">
        <v>0</v>
      </c>
      <c r="F5062">
        <f>HYPERLINK("https://www.reddit.com/r/GERD/comments/ey8cqb/buying_iqoro_in_the_us/")</f>
        <v/>
      </c>
      <c r="G5062" t="inlineStr">
        <is>
          <t>2020-02-03 07:02:03</t>
        </is>
      </c>
      <c r="H5062" t="inlineStr"/>
    </row>
    <row r="5063">
      <c r="A5063" t="inlineStr">
        <is>
          <t>ey8x1w</t>
        </is>
      </c>
      <c r="B5063" t="inlineStr">
        <is>
          <t>is this gerd?</t>
        </is>
      </c>
      <c r="C5063" t="inlineStr">
        <is>
          <t>so usually after I eat, i get brief short lasting reflux what goes away quickly, usually happens after eating and in the day, rarely happens at night, is this something to be concerned about? also does anyone know what this is?</t>
        </is>
      </c>
      <c r="D5063" t="n">
        <v>1</v>
      </c>
      <c r="E5063" t="n">
        <v>1</v>
      </c>
      <c r="F5063">
        <f>HYPERLINK("https://www.reddit.com/r/GERD/comments/ey8x1w/is_this_gerd/")</f>
        <v/>
      </c>
      <c r="G5063" t="inlineStr">
        <is>
          <t>2020-02-03 07:42:11</t>
        </is>
      </c>
      <c r="H5063" t="inlineStr"/>
    </row>
    <row r="5064">
      <c r="A5064" t="inlineStr">
        <is>
          <t>ey9vcv</t>
        </is>
      </c>
      <c r="B5064" t="inlineStr">
        <is>
          <t>How soon should you see improvement after Esomeprazole?</t>
        </is>
      </c>
      <c r="C5064" t="inlineStr">
        <is>
          <t>I was feeling nauseous without throwing up for weeks so went to doctor and haven’t been diagnosed but am being treated for a hiatal hernia and GERD. 
I’ve changed my diet and I’m taking one 40mg tablet of Esomeprazole daily (am) but there’s no real improvement and it’s already been a week? I still feel like I’m force feeding myself due to the nausea and only getting broken sleep every second night.
It says it can take 4 weeks to fully work online but that I should feel better after 2-3 days. Has anyone had experience with this?</t>
        </is>
      </c>
      <c r="D5064" t="n">
        <v>1</v>
      </c>
      <c r="E5064" t="n">
        <v>0</v>
      </c>
      <c r="F5064">
        <f>HYPERLINK("https://www.reddit.com/r/GERD/comments/ey9vcv/how_soon_should_you_see_improvement_after/")</f>
        <v/>
      </c>
      <c r="G5064" t="inlineStr">
        <is>
          <t>2020-02-03 08:46:54</t>
        </is>
      </c>
      <c r="H5064" t="inlineStr"/>
    </row>
    <row r="5065">
      <c r="A5065" t="inlineStr">
        <is>
          <t>ey9xq5</t>
        </is>
      </c>
      <c r="B5065" t="inlineStr">
        <is>
          <t>I was 13 when this sickening disease hit me.</t>
        </is>
      </c>
      <c r="C5065" t="inlineStr">
        <is>
          <t>It was summer time I was eating a mcdonalds sundae (chocolate) watching youtube when all of a sudden I felt like I was having a heart attack I told my parents and started feeling like I was about to die they all laughed at me they didn't take it seriously. They then called the ambulance after I turned blue they told me it was hyperventilation (panic attack) and told me to get some sleep I was really tired and went to bed then it hit me a nauseous stomach feeling in the upper middle belly I was so tired I didn't sleep for 6 days and all that time I was in bed i couldn't stand up my family didn't help me they said I'm just acting like a girl day and night I kept getting that feeling and then I went to a doctor and he diagnosed me with Gerd and he also told me I have lactose intolerance it has been 6 months since all that happened and my gerd is better now I don't get that much discomfort for no reason now but I still do after eating my endoscopy is in April 20th and I am telling my story because in this moment I am having the discomfort and it's making me have flashbacks it's a chilling reminder that I will never ever be young again and that's sad because I'm only 14 and can't enjoy food anymore probably forever.
Hopefully this helps anyone the things that made my Gerd better were : Gerd friendly food (it's true fatty foods make you more  likely to get that discomfort), over the top medication (pantoprazole 20 mg 60 pills) and a little bit of working out.</t>
        </is>
      </c>
      <c r="D5065" t="n">
        <v>1</v>
      </c>
      <c r="E5065" t="n">
        <v>7</v>
      </c>
      <c r="F5065">
        <f>HYPERLINK("https://www.reddit.com/r/GERD/comments/ey9xq5/i_was_13_when_this_sickening_disease_hit_me/")</f>
        <v/>
      </c>
      <c r="G5065" t="inlineStr">
        <is>
          <t>2020-02-03 08:51:12</t>
        </is>
      </c>
      <c r="H5065" t="inlineStr"/>
    </row>
    <row r="5066">
      <c r="A5066" t="inlineStr">
        <is>
          <t>eyayee</t>
        </is>
      </c>
      <c r="B5066" t="inlineStr">
        <is>
          <t>Ear pressure from GERD</t>
        </is>
      </c>
      <c r="C5066" t="inlineStr">
        <is>
          <t>Hello everyone. For almost 3 months I’ve been dealing with a tight throat and pressure in my ears. I’ve been back on omeprazole for a month now and seeing no improvements at all. 
Also, in the last few days my skin is breaking out with these strange red bumps. 
This morning I woke up and within a couple of minutes the throat tightness and ear pressure came on fast when usually it takes a little while to come on. 
Then I got light headed and felt faint. The faint feeling lasted for 15-20 minutes and kind of scared me a little. 
I’m new to all of this and am looking at diet changes and whatever else might help me. But I was wondering if there’s anything I can do right now about the ear pressure? It’s driving me mad. The throat tightness is maddening as well. I’ve read it’s because of pepsin that found its way up but how do I get rid of it?</t>
        </is>
      </c>
      <c r="D5066" t="n">
        <v>1</v>
      </c>
      <c r="E5066" t="n">
        <v>4</v>
      </c>
      <c r="F5066">
        <f>HYPERLINK("https://www.reddit.com/r/GERD/comments/eyayee/ear_pressure_from_gerd/")</f>
        <v/>
      </c>
      <c r="G5066" t="inlineStr">
        <is>
          <t>2020-02-03 09:58:33</t>
        </is>
      </c>
      <c r="H5066" t="inlineStr"/>
    </row>
    <row r="5067">
      <c r="A5067" t="inlineStr">
        <is>
          <t>eybeuq</t>
        </is>
      </c>
      <c r="B5067" t="inlineStr">
        <is>
          <t>Whole roasted chicken with skin on but no butter or oil. Is that ok? Also cooked sweet potatoes in the same pan woth a little bit of oil</t>
        </is>
      </c>
      <c r="C5067" t="inlineStr">
        <is>
          <t>I don’t eat the skin I just wanted to cook it with the skin on because it makes for much better chicken. Is that ok for heartburn though?</t>
        </is>
      </c>
      <c r="D5067" t="n">
        <v>1</v>
      </c>
      <c r="E5067" t="n">
        <v>7</v>
      </c>
      <c r="F5067">
        <f>HYPERLINK("https://www.reddit.com/r/GERD/comments/eybeuq/whole_roasted_chicken_with_skin_on_but_no_butter/")</f>
        <v/>
      </c>
      <c r="G5067" t="inlineStr">
        <is>
          <t>2020-02-03 10:28:54</t>
        </is>
      </c>
      <c r="H5067" t="inlineStr"/>
    </row>
    <row r="5068">
      <c r="A5068" t="inlineStr">
        <is>
          <t>eybvji</t>
        </is>
      </c>
      <c r="B5068" t="inlineStr">
        <is>
          <t>Possible relief Could be placebo.</t>
        </is>
      </c>
      <c r="C5068" t="inlineStr">
        <is>
          <t>Hi everyone Im currently on lansoprazole. This is for LPR OR GERD I was in Holland and barret and I told the assistant about my reflux issues including the difficulty swallowing. He told me to get something known as acidophilus I think thats the spelling. I also bought some ginger not really hopeful they would help. However he said the acidophillus would get the stomach working correctly again and the ginger reduces inflammation. I started it on Saturday wow just wow I take them together once or twice a day. Whether its a placebo remains to be seen but It definitely helps me swallow better. I shall update this post If it turns out this could be a possible route out from LPR OR GERD. Worth a try though</t>
        </is>
      </c>
      <c r="D5068" t="n">
        <v>1</v>
      </c>
      <c r="E5068" t="n">
        <v>3</v>
      </c>
      <c r="F5068">
        <f>HYPERLINK("https://www.reddit.com/r/GERD/comments/eybvji/possible_relief_could_be_placebo/")</f>
        <v/>
      </c>
      <c r="G5068" t="inlineStr">
        <is>
          <t>2020-02-03 10:58:33</t>
        </is>
      </c>
      <c r="H5068" t="inlineStr"/>
    </row>
    <row r="5069">
      <c r="A5069" t="inlineStr">
        <is>
          <t>eybzc9</t>
        </is>
      </c>
      <c r="B5069" t="inlineStr">
        <is>
          <t>Protonix rant. What has worked for you ppi wise?</t>
        </is>
      </c>
      <c r="C5069" t="inlineStr">
        <is>
          <t>So I started on protonix in November, I had relief for the first time in years! But I had horrible gas, bloating and peed alllll the time. I met with my doctor today and told her I had to stop it bc of the side effects. She said that it’s the best/strongest med for my condition (I have throat tightness, globus syndrome, and chest tightness constantly). Then told me to do two weeks on two weeks off to off set the side effects. I’m going to start the acid watchers diet with it, but I’m just at a loss, there really isn’t a stronger ppi with less side effects? What has worked for you guys? Did you have the same effects on protonix?</t>
        </is>
      </c>
      <c r="D5069" t="n">
        <v>1</v>
      </c>
      <c r="E5069" t="n">
        <v>4</v>
      </c>
      <c r="F5069">
        <f>HYPERLINK("https://www.reddit.com/r/GERD/comments/eybzc9/protonix_rant_what_has_worked_for_you_ppi_wise/")</f>
        <v/>
      </c>
      <c r="G5069" t="inlineStr">
        <is>
          <t>2020-02-03 11:05:10</t>
        </is>
      </c>
      <c r="H5069" t="inlineStr"/>
    </row>
    <row r="5070">
      <c r="A5070" t="inlineStr">
        <is>
          <t>eyclwt</t>
        </is>
      </c>
      <c r="B5070" t="inlineStr">
        <is>
          <t>famotidine?</t>
        </is>
      </c>
      <c r="C5070" t="inlineStr">
        <is>
          <t>my doctor wants me to go on 20 mg of famotidine and im kinda nervous. has anyone had experience with it?</t>
        </is>
      </c>
      <c r="D5070" t="n">
        <v>1</v>
      </c>
      <c r="E5070" t="n">
        <v>12</v>
      </c>
      <c r="F5070">
        <f>HYPERLINK("https://www.reddit.com/r/GERD/comments/eyclwt/famotidine/")</f>
        <v/>
      </c>
      <c r="G5070" t="inlineStr">
        <is>
          <t>2020-02-03 11:44:35</t>
        </is>
      </c>
      <c r="H5070" t="inlineStr"/>
    </row>
    <row r="5071">
      <c r="A5071" t="inlineStr">
        <is>
          <t>eycw04</t>
        </is>
      </c>
      <c r="B5071" t="inlineStr">
        <is>
          <t>My solution to acid throat w/ story</t>
        </is>
      </c>
      <c r="C5071" t="inlineStr">
        <is>
          <t>My Solution. 
*Sorry if this post is not posted correctly. I am new to Reddit, I just wanted to share my data. Since I spent weeks collecting tips from other ppl.* 
Not sure it this is of any value to you, but if you had the burn and are trying to find solutions then this worked for me.
Acid Reflux, GERD, heartburn. (Call it whatever, the problem was I had bad acid/food regurgitation for 6+ weeks. So finally I get some help: What has worked 40 mg of PPI for 4 weeks then 20 mg for 2 weeks.... DURING this time complete diet and lifestyle overhaul &amp;gt; Muscle Stretching, exercise + Clean eating + No Dairy, Coffee and Alcohol, etc. Using Anxiety relief methods... Use of tiny bits of apple cider vinegar after the PPI period. Blocks under head of bed frame 5 inches. Under cooked Broccoli, paired with Rice + Chicken. B vitamins + Melatonin + probiotics + high potassium drinks-coconut water. + setting alarm at 8pm to remind me no more food until morning! 
Morning diet : oat meal + Apple
Anyways No more acid issues, no medications. This is my story. Hope it helps.
(However, I did rid the acid issue. I suspect this whole Ive been also dealing with Post Nasal Drip - perhaps from an ear infection or allergy. 
LOL before the acid became an issue: 6 beer a day + 6 coffees + Fastfood burgers + rum and coke + stuffing my face over-eating + ice cream + candy + Glasses of milk  &amp;lt; lots of dairy and other things. Then finally my body just failed, got hit with nasty sickness, doc thought bronchitis so gave me heavy dose of antibiotics. ANYWAYS I dont recall exactly when my body failed... But likely started in Aug...Then was rockbottom from oct-dec, recovery in Jan, Now it's feb and im happy with my recovery... well maybe i still have a little post nasal drip
Started nasal spray from doc couple weeks ago.
side note::: I originally thought I had GERD since i prescribed PPI. But maybe it was very irritated sphincter throat from well acid + bronchitis coughing + post nasal drip + me always clearing my throat... My theory was to reduce irritation of the throat...
lol during one point i thought clearing-throat-habit-tick-thing, Like maybe it was all in my head.. But no or idk but htigns are better now.
*;;Also side note additional note. Not sure many folks will agree with this last note but i reduced my anxiety in massive ways by applying clean routine said above + exercise and strentching + But also by this &amp;gt; micro dose of magic mushrooms. Since I couldnt drink booze anymore I looked for other methods LOL* 
*I might be forgetting some other special weird things.. Like oh yeah I tried breathing exercises and posture correction methods.* 
*(another side note I was put on SSRI in May for 3 months and was in a position of a ton of stress + i got shingles... so in Aug finally feeling better after getting out of stress position + stopping SSRI + recovered from Shingles.... I got sick from my friend's kid who was super sick and got sick from a sea cadet camp (where everyone got sick at that camp and the kid said the camp ran out of soap in the bathroom!&amp;lt; idk thats crazy but w.e).. So anyways this kid of me sick bronchitis so i got antibiotics... felt better but got sick again in oct so doc gave me another round of antibiotics..4 grams of amoxicillin daily for 2 weeks this time ! Different docter each time, since Itravel alot.*
*Another side note, maybe not related but my back erratus spinae has been tingling since october.*</t>
        </is>
      </c>
      <c r="D5071" t="n">
        <v>1</v>
      </c>
      <c r="E5071" t="n">
        <v>2</v>
      </c>
      <c r="F5071">
        <f>HYPERLINK("https://www.reddit.com/r/GERD/comments/eycw04/my_solution_to_acid_throat_w_story/")</f>
        <v/>
      </c>
      <c r="G5071" t="inlineStr">
        <is>
          <t>2020-02-03 12:01:46</t>
        </is>
      </c>
      <c r="H5071" t="inlineStr"/>
    </row>
    <row r="5072">
      <c r="A5072" t="inlineStr">
        <is>
          <t>eydnz7</t>
        </is>
      </c>
      <c r="B5072" t="inlineStr">
        <is>
          <t>Is it normal for someone with gerd to have trouble swallowing solid food and liquid food</t>
        </is>
      </c>
      <c r="C5072" t="inlineStr">
        <is>
          <t>Hello, I’m 14 years old and I’ve had gerd like symptoms for around 8 months now and lately, maybe the past month I’ve had trouble swallowing. It is in the upper half of my neck and food sometimes gets caught there and if I drink liquid to fast it also gets caught there. I understand people with gerd can have this because of inflammation and narrowing but food and liquids both sometimes get caught for a second and go down slow which I feel is unusual. I posted something similar yesterday and that helped my terrible anxiety but was just wondering if this is normal with gerd. Thanks</t>
        </is>
      </c>
      <c r="D5072" t="n">
        <v>1</v>
      </c>
      <c r="E5072" t="n">
        <v>24</v>
      </c>
      <c r="F5072">
        <f>HYPERLINK("https://www.reddit.com/r/GERD/comments/eydnz7/is_it_normal_for_someone_with_gerd_to_have/")</f>
        <v/>
      </c>
      <c r="G5072" t="inlineStr">
        <is>
          <t>2020-02-03 12:48:39</t>
        </is>
      </c>
      <c r="H5072" t="inlineStr"/>
    </row>
    <row r="5073">
      <c r="A5073" t="inlineStr">
        <is>
          <t>eyeony</t>
        </is>
      </c>
      <c r="B5073" t="inlineStr">
        <is>
          <t>New symptom appearing - painful throat at night</t>
        </is>
      </c>
      <c r="C5073" t="inlineStr">
        <is>
          <t>Woke up last night with nausea and got something I've never experienced before. My throat, just below my Adams apple, was very painful. Similar to having a throat infection. Is this a normal LPR symptom?</t>
        </is>
      </c>
      <c r="D5073" t="n">
        <v>1</v>
      </c>
      <c r="E5073" t="n">
        <v>2</v>
      </c>
      <c r="F5073">
        <f>HYPERLINK("https://www.reddit.com/r/GERD/comments/eyeony/new_symptom_appearing_painful_throat_at_night/")</f>
        <v/>
      </c>
      <c r="G5073" t="inlineStr">
        <is>
          <t>2020-02-03 13:50:32</t>
        </is>
      </c>
      <c r="H5073" t="inlineStr"/>
    </row>
    <row r="5074">
      <c r="A5074" t="inlineStr">
        <is>
          <t>eyg1kk</t>
        </is>
      </c>
      <c r="B5074" t="inlineStr">
        <is>
          <t>Currently my upper left abdomen is aching when I breathe in, could this be my hernia ?</t>
        </is>
      </c>
      <c r="C5074" t="inlineStr">
        <is>
          <t>I was diagnosed with GERD back in November of last year after an endoscopy; they also found  I had a small hiatal hernia.   I've been on PPIs for about 8 weeks now , and I've taken some other medicines here and there such as allegra and claritin . Right now what I'm feeling is a pretty significant  ache in my upper left abdomen , what feels like below my rib cage  possibly where my stomach is. I can feel that location of my abdomen ache whenever i breathe in and out the most  and I'm afraid it might be my hiatal hernia or something.  Could it be getting worse or pushing up into my diaphragm  further? Other then that I feel a headache and a slight fever.   Does this call for an emergency room ?</t>
        </is>
      </c>
      <c r="D5074" t="n">
        <v>1</v>
      </c>
      <c r="E5074" t="n">
        <v>4</v>
      </c>
      <c r="F5074">
        <f>HYPERLINK("https://www.reddit.com/r/GERD/comments/eyg1kk/currently_my_upper_left_abdomen_is_aching_when_i/")</f>
        <v/>
      </c>
      <c r="G5074" t="inlineStr">
        <is>
          <t>2020-02-03 15:16:52</t>
        </is>
      </c>
      <c r="H5074" t="inlineStr"/>
    </row>
    <row r="5075">
      <c r="A5075" t="inlineStr">
        <is>
          <t>eyg1lv</t>
        </is>
      </c>
      <c r="B5075" t="inlineStr">
        <is>
          <t>Linx Device Recovery Question</t>
        </is>
      </c>
      <c r="C5075" t="inlineStr">
        <is>
          <t>Hey all,
My fiancé had the linx surgery about 3 months ago now, and just two weeks ago developed a sharp shoulder pain that gets worse with eating. She also has a bit of numbness in her left hand. I was wondering if anyone that has had the surgery before have experienced this side effect as well, and if so how long did it take until things normalized.
She claimed not to have any sharp left shoulder pain until two weeks ago (from the tip of the shoulder through the collarbone and into her neck) and it hurts when taking deep breaths, coughing, sneezing, as well as eating.
She isn’t having any trouble keeping food down or having food pass, and if anyone has any question I’ll be happy to relay her response here. She went to general physician today thinking it might have been an infection or something muscular but the doctor claims it is not muscular but is probably nervous system. 
Thanks for your time.</t>
        </is>
      </c>
      <c r="D5075" t="n">
        <v>1</v>
      </c>
      <c r="E5075" t="n">
        <v>7</v>
      </c>
      <c r="F5075">
        <f>HYPERLINK("https://www.reddit.com/r/GERD/comments/eyg1lv/linx_device_recovery_question/")</f>
        <v/>
      </c>
      <c r="G5075" t="inlineStr">
        <is>
          <t>2020-02-03 15:16:55</t>
        </is>
      </c>
      <c r="H5075" t="inlineStr"/>
    </row>
    <row r="5076">
      <c r="A5076" t="inlineStr">
        <is>
          <t>eyggdt</t>
        </is>
      </c>
      <c r="B5076" t="inlineStr">
        <is>
          <t>Anyone know of a doctor could prescribe me a chewable PPI?</t>
        </is>
      </c>
      <c r="C5076" t="inlineStr">
        <is>
          <t>If they even make those, been having anxiety and trouble swallowing pills he prescribed to me (which I have with all pills)</t>
        </is>
      </c>
      <c r="D5076" t="n">
        <v>1</v>
      </c>
      <c r="E5076" t="n">
        <v>11</v>
      </c>
      <c r="F5076">
        <f>HYPERLINK("https://www.reddit.com/r/GERD/comments/eyggdt/anyone_know_of_a_doctor_could_prescribe_me_a/")</f>
        <v/>
      </c>
      <c r="G5076" t="inlineStr">
        <is>
          <t>2020-02-03 15:43:15</t>
        </is>
      </c>
      <c r="H5076" t="inlineStr"/>
    </row>
    <row r="5077">
      <c r="A5077" t="inlineStr">
        <is>
          <t>eyh9d6</t>
        </is>
      </c>
      <c r="B5077" t="inlineStr">
        <is>
          <t>Is GERD or LPR stressing your family and social life?</t>
        </is>
      </c>
      <c r="C5077" t="inlineStr">
        <is>
          <t>How are you all coping? I'm having a hard time with vacations and get togethers with friends. It's hard to enjoy so much when they center around meeting over a meal or a beer or a cup of Joe.</t>
        </is>
      </c>
      <c r="D5077" t="n">
        <v>1</v>
      </c>
      <c r="E5077" t="n">
        <v>3</v>
      </c>
      <c r="F5077">
        <f>HYPERLINK("https://www.reddit.com/r/GERD/comments/eyh9d6/is_gerd_or_lpr_stressing_your_family_and_social/")</f>
        <v/>
      </c>
      <c r="G5077" t="inlineStr">
        <is>
          <t>2020-02-03 16:39:19</t>
        </is>
      </c>
      <c r="H5077" t="inlineStr"/>
    </row>
    <row r="5078">
      <c r="A5078" t="inlineStr">
        <is>
          <t>eyhsw1</t>
        </is>
      </c>
      <c r="B5078" t="inlineStr">
        <is>
          <t>Anyone get blood pressure issues with PPI?</t>
        </is>
      </c>
      <c r="C5078" t="inlineStr">
        <is>
          <t>Just curious, I forgot my night dose and my blood pressure was better the next day.</t>
        </is>
      </c>
      <c r="D5078" t="n">
        <v>1</v>
      </c>
      <c r="E5078" t="n">
        <v>0</v>
      </c>
      <c r="F5078">
        <f>HYPERLINK("https://www.reddit.com/r/GERD/comments/eyhsw1/anyone_get_blood_pressure_issues_with_ppi/")</f>
        <v/>
      </c>
      <c r="G5078" t="inlineStr">
        <is>
          <t>2020-02-03 17:19:27</t>
        </is>
      </c>
      <c r="H5078" t="inlineStr"/>
    </row>
    <row r="5079">
      <c r="A5079" t="inlineStr">
        <is>
          <t>eyk8jd</t>
        </is>
      </c>
      <c r="B5079" t="inlineStr">
        <is>
          <t>Stricture</t>
        </is>
      </c>
      <c r="C5079" t="inlineStr">
        <is>
          <t>Hey, I’m only 14 years old and my symptoms match up to an esophageal tumor but I doubt that’s the case so I was wondering if a stricture could form in the upper part of your esophagus near your throat, or is it just the bottom. Thanks</t>
        </is>
      </c>
      <c r="D5079" t="n">
        <v>1</v>
      </c>
      <c r="E5079" t="n">
        <v>17</v>
      </c>
      <c r="F5079">
        <f>HYPERLINK("https://www.reddit.com/r/GERD/comments/eyk8jd/stricture/")</f>
        <v/>
      </c>
      <c r="G5079" t="inlineStr">
        <is>
          <t>2020-02-03 20:17:17</t>
        </is>
      </c>
      <c r="H5079" t="inlineStr"/>
    </row>
    <row r="5080">
      <c r="A5080" t="inlineStr">
        <is>
          <t>eyk9aw</t>
        </is>
      </c>
      <c r="B5080" t="inlineStr">
        <is>
          <t>Gerd advice please help</t>
        </is>
      </c>
      <c r="C5080" t="inlineStr">
        <is>
          <t>So I'm 19 and male I weigh 225 and am 6'1 I think i have gerd but im kinda certain it started in late june 2019 everything was normal I ate cereal one night and went to bed and then I felt a lump in my throat that night I went to the emergency room and the gave me something and nothing happened and then I went back that tuesday(I had gone the past saturday) and they told me the lump was probably something I ate that had aggravated my throat and it would be normal in a week and then I started feeling a heartburn a bad one and I kept telling my parents and they said it would be bothing so I did my own research and I thought I must have gerd I tried looking everywhere and nothing youtube comments were filled with scam like rocozu something but it was all bs then I went to my doctor and he wasnt there at the time some other doctor gave me medicine I forgot what they were but they didnt help at all with it then I went back in September and my doctor referred me to a specialist who perscribed me woth omeprazole and told me not to eat junk and stuff but I didnt listen im human I just can't stay away from food I love but for some reason if I take the pill and eat whatever nothing happens but either way he didnt tell me to lose weight or anything and after a while I just thought things would go back to normal but no nothing but if I take the pill and eat anything nothing really happens now its January and today I felt a little heartburn and I turned 19 December 27 and I still have this desiease and I found out its not curable and nothing can be done this has givin me bad anxiety and has had me worried for months everything was great I had just graduated high school and I was training for boxing and I hate to quit bpxing cause of it and I'm just tired of this and I want to be back to the way I was so I just wamt some advice and can someone actually help me understanding and comforting me with this id really appreciate it thank you.</t>
        </is>
      </c>
      <c r="D5080" t="n">
        <v>1</v>
      </c>
      <c r="E5080" t="n">
        <v>5</v>
      </c>
      <c r="F5080">
        <f>HYPERLINK("https://www.reddit.com/r/GERD/comments/eyk9aw/gerd_advice_please_help/")</f>
        <v/>
      </c>
      <c r="G5080" t="inlineStr">
        <is>
          <t>2020-02-03 20:19:02</t>
        </is>
      </c>
      <c r="H5080" t="inlineStr"/>
    </row>
    <row r="5081">
      <c r="A5081" t="inlineStr">
        <is>
          <t>eyklpp</t>
        </is>
      </c>
      <c r="B5081" t="inlineStr">
        <is>
          <t>Best protein shakes for GERD?</t>
        </is>
      </c>
      <c r="C5081" t="inlineStr">
        <is>
          <t>Or something similar? 18. Can only keep symptoms under control by eating rice, chicken, cashews, and taking medication. I need to gain weight without adding to the quantity of my meals. Suggestions ?</t>
        </is>
      </c>
      <c r="D5081" t="n">
        <v>1</v>
      </c>
      <c r="E5081" t="n">
        <v>4</v>
      </c>
      <c r="F5081">
        <f>HYPERLINK("https://www.reddit.com/r/GERD/comments/eyklpp/best_protein_shakes_for_gerd/")</f>
        <v/>
      </c>
      <c r="G5081" t="inlineStr">
        <is>
          <t>2020-02-03 20:45:50</t>
        </is>
      </c>
      <c r="H5081" t="inlineStr"/>
    </row>
    <row r="5082">
      <c r="A5082" t="inlineStr">
        <is>
          <t>eyko6g</t>
        </is>
      </c>
      <c r="B5082" t="inlineStr">
        <is>
          <t>Dentist Diagnosed Me</t>
        </is>
      </c>
      <c r="C5082" t="inlineStr">
        <is>
          <t>I have dentist phobia so it is my own fault that I haven’t been diagnosed earlier. Every single tooth has acid erosion. Some are so worn down, dentin is exposed. I have no GERD symptoms other than my teeth and a constant sore throat. My PCP put me on Famotidine and it seems to be helping. PPIs give me bad side effects.  I’m going to have a follow up appointment in a couple weeks. My dentist told me I need crowns. Ugh!</t>
        </is>
      </c>
      <c r="D5082" t="n">
        <v>1</v>
      </c>
      <c r="E5082" t="n">
        <v>1</v>
      </c>
      <c r="F5082">
        <f>HYPERLINK("https://www.reddit.com/r/GERD/comments/eyko6g/dentist_diagnosed_me/")</f>
        <v/>
      </c>
      <c r="G5082" t="inlineStr">
        <is>
          <t>2020-02-03 20:51:30</t>
        </is>
      </c>
      <c r="H5082" t="inlineStr"/>
    </row>
    <row r="5083">
      <c r="A5083" t="inlineStr">
        <is>
          <t>eykowe</t>
        </is>
      </c>
      <c r="B5083" t="inlineStr">
        <is>
          <t>My thinking, 'No sex life, no drugs, no smoking? FINE! Time to eat like MANIAC and get fat".. Guess how that turned out..</t>
        </is>
      </c>
      <c r="C5083" t="inlineStr">
        <is>
          <t>GERD! I thought I'd just get fat. I didn't know that on my way to obesity that the acid in my body would try to kill me. I got severe GERD that acid attacked my esophagus &amp;amp; airways causing acute bronchitis &amp;amp; asthma symptoms. It was scary as hell. I am not able to sleep unless my chest is higher than the rest of my body. Went 2 days without sleep &amp;amp; went through 3 different doctors figuring that out. Fun times..
I am addicted to hot sauce, chocolate chip cookies, french fries, and perhaps more eminent than that, I'm addicted to the feeling of being too full. It's comforting. I'm sober &amp;amp; celibate, don't smoke, don't drunk anything but water. Food is my only self soothing thing. I am struggling with that. I can't take up smoking or fucking again either because, well.. both are too dangerous in their own ways. 
I found a free cooking class nearby through my city planning department. The hilarious irony; the 1st day I was going to go in was the same day I was totally debilitated with bronchitis &amp;amp; asthma symptoms from the GERD I gave myself. Ha! I've known I wasn't living according to my own wellness. But my consequences were faster than my willingness to get help &amp;amp; change 
Seems simple enough? Eat small portions of good food, right? Idk how I'll make it through each day without any vices 
I'm brand new to gerd &amp;amp; so we must live with it for the rest of our lives? Do we have to have a permanent diet? Please dish me all your secrets fellow gerdies</t>
        </is>
      </c>
      <c r="D5083" t="n">
        <v>1</v>
      </c>
      <c r="E5083" t="n">
        <v>6</v>
      </c>
      <c r="F5083">
        <f>HYPERLINK("https://www.reddit.com/r/GERD/comments/eykowe/my_thinking_no_sex_life_no_drugs_no_smoking_fine/")</f>
        <v/>
      </c>
      <c r="G5083" t="inlineStr">
        <is>
          <t>2020-02-03 20:53:03</t>
        </is>
      </c>
      <c r="H5083" t="inlineStr"/>
    </row>
    <row r="5084">
      <c r="A5084" t="inlineStr">
        <is>
          <t>eyl7tc</t>
        </is>
      </c>
      <c r="B5084" t="inlineStr">
        <is>
          <t>ER visit- worried about GERD complications</t>
        </is>
      </c>
      <c r="C5084" t="inlineStr">
        <is>
          <t>Hello guys-
So after 8 days of upper/side back and rib pain I decided to go to the ER where they said I’m totally fine. Did an ultrasound, X-ray, bloodwork, urine test and apparently I’m all good and nothing is wrong with me. Has anyone with GERD experienced anything like this? I worry about BE or a tumor due to never having an endo, and having GERD for 5 years now. I also smoked cannabis a lot for the past 8 months and a bit for a year before that and have stopped but feel like my esophagus is not in its best shape anymore. The dr also said that he wouldn’t be able to tell if anything bad was going on from the tests they did so I need to just see a GI dr and get an endo. So pissed now I have so many medical bills racking up I can’t pay, even with great insurance... this stuff is really making it hard to do basic things everyday.</t>
        </is>
      </c>
      <c r="D5084" t="n">
        <v>1</v>
      </c>
      <c r="E5084" t="n">
        <v>3</v>
      </c>
      <c r="F5084">
        <f>HYPERLINK("https://www.reddit.com/r/GERD/comments/eyl7tc/er_visit_worried_about_gerd_complications/")</f>
        <v/>
      </c>
      <c r="G5084" t="inlineStr">
        <is>
          <t>2020-02-03 21:35:50</t>
        </is>
      </c>
      <c r="H5084" t="inlineStr"/>
    </row>
    <row r="5085">
      <c r="A5085" t="inlineStr">
        <is>
          <t>eylf28</t>
        </is>
      </c>
      <c r="B5085" t="inlineStr">
        <is>
          <t>Anyone else experience no pain but stomach/esophagus movement from GERD?</t>
        </is>
      </c>
      <c r="C5085" t="inlineStr">
        <is>
          <t>Background: I’ve had GERD for about 8-9 weeks now that was probably onset by my anxiety attack. I was on Omeprazole for 4 weeks but am now on Famotidine twice a day. My symptoms include zero to very few esophagus pains (I’ve just had an EKG done so it is a non cardiac chest pain), a pressure on my upper left back when I’m full, and occasional belching.
I’m not in pain most of the time but I do feel movement in my upper left chest area? Is this common for GERD?</t>
        </is>
      </c>
      <c r="D5085" t="n">
        <v>1</v>
      </c>
      <c r="E5085" t="n">
        <v>1</v>
      </c>
      <c r="F5085">
        <f>HYPERLINK("https://www.reddit.com/r/GERD/comments/eylf28/anyone_else_experience_no_pain_but/")</f>
        <v/>
      </c>
      <c r="G5085" t="inlineStr">
        <is>
          <t>2020-02-03 21:53:26</t>
        </is>
      </c>
      <c r="H5085" t="inlineStr"/>
    </row>
    <row r="5086">
      <c r="A5086" t="inlineStr">
        <is>
          <t>eynqwi</t>
        </is>
      </c>
      <c r="B5086" t="inlineStr">
        <is>
          <t>Is lots of foul smelling farts/pooping, the feeling of sweating inside your body and inflammed sinuses possible GERD symptoms?</t>
        </is>
      </c>
      <c r="C5086" t="inlineStr">
        <is>
          <t>From what i understand GERD is just acid coming up so how would these be symptoms?
I rarely get acid taste but always a rancid one. On flare-ups (5 out of every 7 days until it eases a bit), i feel like my whole body is on fire.</t>
        </is>
      </c>
      <c r="D5086" t="n">
        <v>1</v>
      </c>
      <c r="E5086" t="n">
        <v>3</v>
      </c>
      <c r="F5086">
        <f>HYPERLINK("https://www.reddit.com/r/GERD/comments/eynqwi/is_lots_of_foul_smelling_fartspooping_the_feeling/")</f>
        <v/>
      </c>
      <c r="G5086" t="inlineStr">
        <is>
          <t>2020-02-04 01:47:59</t>
        </is>
      </c>
      <c r="H5086" t="inlineStr"/>
    </row>
    <row r="5087">
      <c r="A5087" t="inlineStr">
        <is>
          <t>eyor7u</t>
        </is>
      </c>
      <c r="B5087" t="inlineStr">
        <is>
          <t>Could I have Norwalk virus or norovirus induced gastroparesis?</t>
        </is>
      </c>
      <c r="C5087" t="inlineStr">
        <is>
          <t>I’m considering this because these symptoms began after I ate meat that I got from a fast food place. And the symptoms correlate with both gastroparesis and those viruses, but my doctor didn’t consider this even though I told him everything.</t>
        </is>
      </c>
      <c r="D5087" t="n">
        <v>1</v>
      </c>
      <c r="E5087" t="n">
        <v>2</v>
      </c>
      <c r="F5087">
        <f>HYPERLINK("https://www.reddit.com/r/GERD/comments/eyor7u/could_i_have_norwalk_virus_or_norovirus_induced/")</f>
        <v/>
      </c>
      <c r="G5087" t="inlineStr">
        <is>
          <t>2020-02-04 03:34:15</t>
        </is>
      </c>
      <c r="H5087" t="inlineStr"/>
    </row>
    <row r="5088">
      <c r="A5088" t="inlineStr">
        <is>
          <t>eyrd4z</t>
        </is>
      </c>
      <c r="B5088" t="inlineStr">
        <is>
          <t>Anxiet/stress/GERD link...</t>
        </is>
      </c>
      <c r="C5088" t="inlineStr">
        <is>
          <t>Hi all. Hope this finds you on he upside of healing...
I’m somewhat new to the GERD world as I had been misdiagnosed (?) with gastritis for years until a scope last week showed no gastritis and only signs of a stricture and some scarring from GERD.  (Though my symptoms oddly are all stomach related - all gastritis or ulcer symptoms)
I’m just wondering how many people here struggle with anxiety disorder, high stress or suspect that these things may tie into the condition?  I’ve dealt with stress and anxiety symptoms for 10 years and mostly had a good life.  Though now the stomach pain (GERD?) and anxiety are teaming up to make things very difficult.  
-Have you experienced anxiety?
-How have you worked through it?
-Any history of stress and anxiety in the past?
-Do the conditions feel linked?
Thanks for sharing your experience... be well!</t>
        </is>
      </c>
      <c r="D5088" t="n">
        <v>1</v>
      </c>
      <c r="E5088" t="n">
        <v>10</v>
      </c>
      <c r="F5088">
        <f>HYPERLINK("https://www.reddit.com/r/GERD/comments/eyrd4z/anxietstressgerd_link/")</f>
        <v/>
      </c>
      <c r="G5088" t="inlineStr">
        <is>
          <t>2020-02-04 07:08:09</t>
        </is>
      </c>
      <c r="H5088" t="inlineStr"/>
    </row>
    <row r="5089">
      <c r="A5089" t="inlineStr">
        <is>
          <t>eyrij6</t>
        </is>
      </c>
      <c r="B5089" t="inlineStr">
        <is>
          <t>Can't lose anymore weight</t>
        </is>
      </c>
      <c r="C5089" t="inlineStr">
        <is>
          <t xml:space="preserve">
Hi everyone. Gerd/gastritis sufferer here. What foods can I eat to increase calories but won't get me sick? Dr wasn't much help. I have nausea pretty much every day and eating is a chore. I've tried Ensure but it's still not enough calories. Any help is appreciated.</t>
        </is>
      </c>
      <c r="D5089" t="n">
        <v>1</v>
      </c>
      <c r="E5089" t="n">
        <v>10</v>
      </c>
      <c r="F5089">
        <f>HYPERLINK("https://www.reddit.com/r/GERD/comments/eyrij6/cant_lose_anymore_weight/")</f>
        <v/>
      </c>
      <c r="G5089" t="inlineStr">
        <is>
          <t>2020-02-04 07:18:31</t>
        </is>
      </c>
      <c r="H5089" t="inlineStr"/>
    </row>
    <row r="5090">
      <c r="A5090" t="inlineStr">
        <is>
          <t>eysqfn</t>
        </is>
      </c>
      <c r="B5090" t="inlineStr">
        <is>
          <t>Natural Remedies/Cures</t>
        </is>
      </c>
      <c r="C5090" t="inlineStr">
        <is>
          <t>Hello everyone. So I was wondering if any of you have cured or eased your symptoms with natural things and not medication? Medication seems to be worsening things for me instead of making them better. Any tips would be appreciated! Thanks!</t>
        </is>
      </c>
      <c r="D5090" t="n">
        <v>1</v>
      </c>
      <c r="E5090" t="n">
        <v>5</v>
      </c>
      <c r="F5090">
        <f>HYPERLINK("https://www.reddit.com/r/GERD/comments/eysqfn/natural_remediescures/")</f>
        <v/>
      </c>
      <c r="G5090" t="inlineStr">
        <is>
          <t>2020-02-04 08:37:38</t>
        </is>
      </c>
      <c r="H5090" t="inlineStr"/>
    </row>
    <row r="5091">
      <c r="A5091" t="inlineStr">
        <is>
          <t>eytwt8</t>
        </is>
      </c>
      <c r="B5091" t="inlineStr">
        <is>
          <t>Foods I have eaten regularly (post diagnosis and medication) have been triggering heartburn</t>
        </is>
      </c>
      <c r="C5091" t="inlineStr">
        <is>
          <t>Hi all,
I have been on famotidine since September and have adjusted fairly well. I have been able to find foods that give me no reactions and I can eat with no issues.
Over the past week or so, I have eaten some of these same foods the same way and have had near consistent heartburn and reflux. Sometimes this reflux inflamed my esophagus and I get the classic yellow tongue.
My GI wasn’t much help and said just stop eating those foods. I have been eating tums like peanuts and have been following the guidelines with famotidine. 
What gives? Does anyone have any experience with this? I have a HH and small BE’s. 
I am going in the end of this month for an endoscopy with bravo and the mammotrey test, as my doctor and I are planning on getting LINX.</t>
        </is>
      </c>
      <c r="D5091" t="n">
        <v>1</v>
      </c>
      <c r="E5091" t="n">
        <v>0</v>
      </c>
      <c r="F5091">
        <f>HYPERLINK("https://www.reddit.com/r/GERD/comments/eytwt8/foods_i_have_eaten_regularly_post_diagnosis_and/")</f>
        <v/>
      </c>
      <c r="G5091" t="inlineStr">
        <is>
          <t>2020-02-04 09:51:43</t>
        </is>
      </c>
      <c r="H5091" t="inlineStr"/>
    </row>
    <row r="5092">
      <c r="A5092" t="inlineStr">
        <is>
          <t>eyualf</t>
        </is>
      </c>
      <c r="B5092" t="inlineStr">
        <is>
          <t>This damn disease is ruining my passion for singing</t>
        </is>
      </c>
      <c r="C5092" t="inlineStr">
        <is>
          <t>I''ve been a musician for most of my life and I would always love to sing and play guitar or piano. After I became ill with GERD/LPR my throat has been constantly sore, so sore that I can't sing for longer than 5-10 minutes without it becoming unbearable.
I've got a show coming up this week and I'm trying to practice but my voice is gone after two songs. Every time I perform a show I need a few days to recover from the toll it takes on my health. This is horrible. 
I've been on PPIs for a few months now and I get good days sometimes but most of the time it's bad. Testing is really slow here in the UK with the NHS. I've had 2 endoscopies and everything seems ok according to the doctors. I'm saving up money to go to a private doctor and get the LINX done hopefully as that seems to be the only permanent fix to this damn disease.</t>
        </is>
      </c>
      <c r="D5092" t="n">
        <v>1</v>
      </c>
      <c r="E5092" t="n">
        <v>19</v>
      </c>
      <c r="F5092">
        <f>HYPERLINK("https://www.reddit.com/r/GERD/comments/eyualf/this_damn_disease_is_ruining_my_passion_for/")</f>
        <v/>
      </c>
      <c r="G5092" t="inlineStr">
        <is>
          <t>2020-02-04 10:15:02</t>
        </is>
      </c>
      <c r="H5092" t="inlineStr"/>
    </row>
    <row r="5093">
      <c r="A5093" t="inlineStr">
        <is>
          <t>eyx291</t>
        </is>
      </c>
      <c r="B5093" t="inlineStr">
        <is>
          <t>Oropharyngeal dysphagia</t>
        </is>
      </c>
      <c r="C5093" t="inlineStr">
        <is>
          <t>Ok so I am 14 and I’ve been having severe reflux symptoms and dysphagia for the past months with solids and sort of liquids. It’s in my neck like halfway up my neck when I swallow a solid or liquid it will get stuck and take a second to go down. No weight loss, just gerd/lpr symptoms an dysphagia. Has anyone else had dysphagia high up that seems like it’s in their throat? Can it be caused by inflammation or maybe eoe? Thanks</t>
        </is>
      </c>
      <c r="D5093" t="n">
        <v>1</v>
      </c>
      <c r="E5093" t="n">
        <v>4</v>
      </c>
      <c r="F5093">
        <f>HYPERLINK("https://www.reddit.com/r/GERD/comments/eyx291/oropharyngeal_dysphagia/")</f>
        <v/>
      </c>
      <c r="G5093" t="inlineStr">
        <is>
          <t>2020-02-04 13:05:07</t>
        </is>
      </c>
      <c r="H5093" t="inlineStr"/>
    </row>
    <row r="5094">
      <c r="A5094" t="inlineStr">
        <is>
          <t>eyx4rp</t>
        </is>
      </c>
      <c r="B5094" t="inlineStr">
        <is>
          <t>Upcoming endoscopy for chest pain and dysphagia</t>
        </is>
      </c>
      <c r="C5094" t="inlineStr">
        <is>
          <t>Hello..again. Have an upcoming endoscopy in week due to current chest pain and dysphagia when eating anything. This will be my fourth one since getting diagnosed 7 years ago. I wanted to do no sedation after my doctor recommended full anesthesia, we came to an agreement on conscious sedation. I’ve had 2 conscious sedation with Versed and fentanyl (bad experience) and 1 no station just throat spray. 
This time they’re going Valium or Ativan, and I’m a bit anxious. Have not had either of those for this procedure before and quite frankly do not like any sedative. People who got either Valium Ativan for “conscious sedation” were you awake? Were you aware what was going on? How was your general experience. Thanks</t>
        </is>
      </c>
      <c r="D5094" t="n">
        <v>1</v>
      </c>
      <c r="E5094" t="n">
        <v>1</v>
      </c>
      <c r="F5094">
        <f>HYPERLINK("https://www.reddit.com/r/GERD/comments/eyx4rp/upcoming_endoscopy_for_chest_pain_and_dysphagia/")</f>
        <v/>
      </c>
      <c r="G5094" t="inlineStr">
        <is>
          <t>2020-02-04 13:09:35</t>
        </is>
      </c>
      <c r="H5094" t="inlineStr"/>
    </row>
    <row r="5095">
      <c r="A5095" t="inlineStr">
        <is>
          <t>eyyvdw</t>
        </is>
      </c>
      <c r="B5095" t="inlineStr">
        <is>
          <t>Is it okay to chew an antacid at or before the same time you chew a gravol?</t>
        </is>
      </c>
      <c r="C5095" t="inlineStr">
        <is>
          <t>I don’t know if that is okay or not and I just went Into panic mode and freaked out. : (</t>
        </is>
      </c>
      <c r="D5095" t="n">
        <v>1</v>
      </c>
      <c r="E5095" t="n">
        <v>0</v>
      </c>
      <c r="F5095">
        <f>HYPERLINK("https://www.reddit.com/r/GERD/comments/eyyvdw/is_it_okay_to_chew_an_antacid_at_or_before_the/")</f>
        <v/>
      </c>
      <c r="G5095" t="inlineStr">
        <is>
          <t>2020-02-04 14:58:09</t>
        </is>
      </c>
      <c r="H5095" t="inlineStr"/>
    </row>
    <row r="5096">
      <c r="A5096" t="inlineStr">
        <is>
          <t>eyz8xz</t>
        </is>
      </c>
      <c r="B5096" t="inlineStr">
        <is>
          <t>I just wanna go back to normal</t>
        </is>
      </c>
      <c r="C5096" t="inlineStr">
        <is>
          <t>I just wanna go back to when I was healthy. I could drink coffee in the mornings on an empty stomach without feeling like I was going to throw up. I wanna go back to when my stomach wouldn’t burn all the time. I wanna go back to when my throat wouldn’t be inflamed and when I wouldn’t taste this sour taste in my mouth. I wanna go back to when saliva and acid didn’t come up my throat all the time. I wanna go back to when I could eat spicy, greasy, junk food. I wanna go back to when I could just lie down after eating without any consequences. I wanna go back to when I didn’t feel like I was going to throw up all the time and have silent burps coming up my throat. I hate how this disease ruined my life and made my depression and anxiety worse.</t>
        </is>
      </c>
      <c r="D5096" t="n">
        <v>1</v>
      </c>
      <c r="E5096" t="n">
        <v>65</v>
      </c>
      <c r="F5096">
        <f>HYPERLINK("https://www.reddit.com/r/GERD/comments/eyz8xz/i_just_wanna_go_back_to_normal/")</f>
        <v/>
      </c>
      <c r="G5096" t="inlineStr">
        <is>
          <t>2020-02-04 15:22:15</t>
        </is>
      </c>
      <c r="H5096" t="inlineStr"/>
    </row>
    <row r="5097">
      <c r="A5097" t="inlineStr">
        <is>
          <t>eyzx8u</t>
        </is>
      </c>
      <c r="B5097" t="inlineStr">
        <is>
          <t>Do I have cancer?</t>
        </is>
      </c>
      <c r="C5097" t="inlineStr">
        <is>
          <t>A few months ago I dropped hella weight really fast like 30 pounds in 1 month without trying after getting gastritis earlier in the year . Then I got this nasty chest pain and heartburn and I thought I was gonna have a heart attack. Then it went away and then I got this super acidic feeling in my throat where I felt like I was gonna regurgitate. Also when I focus I get an acidic feeling in my throat. Now I've had swallowing problems for a few years but not like this. And if I lean down I feel like I'm about to puke. And with the weight loss it seems more muscle because I was a pretty big kid my whole life but I also intermittent fasted over the summer and burned like 10 pounds. I'm 5'11 and 135-140 pounds but I still look 170 but my ribs come through more and my chest I can touch bone easily and my arms and legs are very slim compared to before. Please help me.</t>
        </is>
      </c>
      <c r="D5097" t="n">
        <v>1</v>
      </c>
      <c r="E5097" t="n">
        <v>4</v>
      </c>
      <c r="F5097">
        <f>HYPERLINK("https://www.reddit.com/r/GERD/comments/eyzx8u/do_i_have_cancer/")</f>
        <v/>
      </c>
      <c r="G5097" t="inlineStr">
        <is>
          <t>2020-02-04 16:05:18</t>
        </is>
      </c>
      <c r="H5097" t="inlineStr"/>
    </row>
    <row r="5098">
      <c r="A5098" t="inlineStr">
        <is>
          <t>ez0tgc</t>
        </is>
      </c>
      <c r="B5098" t="inlineStr">
        <is>
          <t>Sometimes it gets better. Just to get some positivity and hope here.</t>
        </is>
      </c>
      <c r="C5098" t="inlineStr">
        <is>
          <t>Well, I can carefully say that my acid issues got KINDA better.
I tried Nexium, I tried Omeprazole, no result. Ranitidine gave some relief but I bounced back. Two weeks after I'm off Dexilant I get no acid burping, and my throat feels more or less fine. Bad breath is gone so far. Still have globus but hey. It's better for now even off PPIs.</t>
        </is>
      </c>
      <c r="D5098" t="n">
        <v>1</v>
      </c>
      <c r="E5098" t="n">
        <v>5</v>
      </c>
      <c r="F5098">
        <f>HYPERLINK("https://www.reddit.com/r/GERD/comments/ez0tgc/sometimes_it_gets_better_just_to_get_some/")</f>
        <v/>
      </c>
      <c r="G5098" t="inlineStr">
        <is>
          <t>2020-02-04 17:06:00</t>
        </is>
      </c>
      <c r="H5098" t="inlineStr"/>
    </row>
    <row r="5099">
      <c r="A5099" t="inlineStr">
        <is>
          <t>ez2o7i</t>
        </is>
      </c>
      <c r="B5099" t="inlineStr">
        <is>
          <t>Can the LES get inflamed that takes months to heal?</t>
        </is>
      </c>
      <c r="C5099" t="inlineStr">
        <is>
          <t>Since having kids I've kinda been using food as a coping mechanism to deal with all the stress.
Over the past year I'd eat huge meals and over time I developed this burning pain below my breastbone that would be worse after eating huge meals and eventually kinda just all the time.
I started on some Omeprazole which has given relief but am worried about all the negative things i see about it here.
I don't have much reflux as I don't feel it behind the breastbone but am worried about being on the PPI too long.
I've struggled with obesity my whole life so that isn't helping either.
What do you think? Can the LES get inflamed and irritated and how long does it usually take to heal?</t>
        </is>
      </c>
      <c r="D5099" t="n">
        <v>1</v>
      </c>
      <c r="E5099" t="n">
        <v>4</v>
      </c>
      <c r="F5099">
        <f>HYPERLINK("https://www.reddit.com/r/GERD/comments/ez2o7i/can_the_les_get_inflamed_that_takes_months_to_heal/")</f>
        <v/>
      </c>
      <c r="G5099" t="inlineStr">
        <is>
          <t>2020-02-04 19:11:53</t>
        </is>
      </c>
      <c r="H5099" t="inlineStr"/>
    </row>
    <row r="5100">
      <c r="A5100" t="inlineStr">
        <is>
          <t>ez3cc1</t>
        </is>
      </c>
      <c r="B5100" t="inlineStr">
        <is>
          <t>What the heck should I do!?!</t>
        </is>
      </c>
      <c r="C5100" t="inlineStr">
        <is>
          <t>Hey my SO has been having a burning sensation. It feels like it's in her stomach and she always complain that her stomach feels acidic. This problem has been happening for a couple of months now and she's been too scared to go to the doctor because she has extreme social anxiety and her anxiety makes her scared to go out in case the burning comes back while shes in the car and makes her, you know, lose her lunch... and shes scared to be told it might be an ulcer because she involuntarily jumps to the worst conclusions. She has been very stressed out lately and we both think that her stress is at least causing or triggering the problem because her stomach muscles tighten up a lot only when she gets stressed, so no burning when shes chill. We have tried to make the problem go away but its making daily tasks difficult, she cant eat what she wants (and we dont just mean junk, shes been reduced to rice and other overly bland foods) and we want to find a solution to the problem that is easy and fixable.
Edit: she has gone to the doctor and they said to try omeprazole (but they didnt try prescribing it, no instructions, so shes on I think day 10 of the 14 day course of omeprezole)
PS: She wrote this post I just changed the "I" to the appropriate word, so I'm sorry for bad grammar, I'm normally really good at it, I'm just not going through the whole post and fixing everything.</t>
        </is>
      </c>
      <c r="D5100" t="n">
        <v>1</v>
      </c>
      <c r="E5100" t="n">
        <v>2</v>
      </c>
      <c r="F5100">
        <f>HYPERLINK("https://www.reddit.com/r/GERD/comments/ez3cc1/what_the_heck_should_i_do/")</f>
        <v/>
      </c>
      <c r="G5100" t="inlineStr">
        <is>
          <t>2020-02-04 19:59:20</t>
        </is>
      </c>
      <c r="H5100" t="inlineStr"/>
    </row>
    <row r="5101">
      <c r="A5101" t="inlineStr">
        <is>
          <t>ez3i6k</t>
        </is>
      </c>
      <c r="B5101" t="inlineStr">
        <is>
          <t>Anyone experienced a blockage feeling in their chest?</t>
        </is>
      </c>
      <c r="C5101" t="inlineStr">
        <is>
          <t>I'm wondering if anyone has had the feeling of a blockage in their chest/lung area? It feels like something is stuck in there and hurts when I breathe in.</t>
        </is>
      </c>
      <c r="D5101" t="n">
        <v>1</v>
      </c>
      <c r="E5101" t="n">
        <v>5</v>
      </c>
      <c r="F5101">
        <f>HYPERLINK("https://www.reddit.com/r/GERD/comments/ez3i6k/anyone_experienced_a_blockage_feeling_in_their/")</f>
        <v/>
      </c>
      <c r="G5101" t="inlineStr">
        <is>
          <t>2020-02-04 20:11:34</t>
        </is>
      </c>
      <c r="H5101" t="inlineStr"/>
    </row>
    <row r="5102">
      <c r="A5102" t="inlineStr">
        <is>
          <t>ez4fcb</t>
        </is>
      </c>
      <c r="B5102" t="inlineStr">
        <is>
          <t>GERD and IBS</t>
        </is>
      </c>
      <c r="C5102" t="inlineStr">
        <is>
          <t>Who can be so lucky than this . I am so depressed right now .is this all worth to  endure to go on.i am still 24  . Always pain in stomach don't know what to do . Suicidal and more.</t>
        </is>
      </c>
      <c r="D5102" t="n">
        <v>1</v>
      </c>
      <c r="E5102" t="n">
        <v>8</v>
      </c>
      <c r="F5102">
        <f>HYPERLINK("https://www.reddit.com/r/GERD/comments/ez4fcb/gerd_and_ibs/")</f>
        <v/>
      </c>
      <c r="G5102" t="inlineStr">
        <is>
          <t>2020-02-04 21:25:33</t>
        </is>
      </c>
      <c r="H5102" t="inlineStr"/>
    </row>
    <row r="5103">
      <c r="A5103" t="inlineStr">
        <is>
          <t>ez4lxn</t>
        </is>
      </c>
      <c r="B5103" t="inlineStr">
        <is>
          <t>GERD/hiatal hernia: feeling hopeless with medication!</t>
        </is>
      </c>
      <c r="C5103" t="inlineStr">
        <is>
          <t>Diagnosis: GERD, hiatal hernia, gastritis
I got this diagnosis around 1.5 years ago, and I’ve been having so much frustration with medications and their side effects. Here were the the medications I have taken since then in order: 
1) rabeprazole. (Didn’t take it long enough to see any lasting side effects but was told to switch to Zantac to prevent osteoporosis)
2) Zantac: no lasting side effects. Was pretty good until it got totally recalled here. 
3) Nexium: gives me severe gas and bad hiccups, and I don’t know the exact reason. Why??
4) Tums and Pepcid AC: these were my last resort and I’ve been taking about 4 of these throughout the day, but I’ve heard that these cause iron deficiency and I am beginning to get concerned as I am constantly freezing and I have dull headaches every night. 
I haven’t been able to find the perfect balance of good medication + low side effects + low potential long term harm that caters to all of the stuff that I’ve been diagnosed with. I just want something that’ll at least prevent further acid damage to my esophagus. 
Anybody have suggestions ?</t>
        </is>
      </c>
      <c r="D5103" t="n">
        <v>1</v>
      </c>
      <c r="E5103" t="n">
        <v>5</v>
      </c>
      <c r="F5103">
        <f>HYPERLINK("https://www.reddit.com/r/GERD/comments/ez4lxn/gerdhiatal_hernia_feeling_hopeless_with_medication/")</f>
        <v/>
      </c>
      <c r="G5103" t="inlineStr">
        <is>
          <t>2020-02-04 21:41:05</t>
        </is>
      </c>
      <c r="H5103" t="inlineStr"/>
    </row>
    <row r="5104">
      <c r="A5104" t="inlineStr">
        <is>
          <t>ez5zp0</t>
        </is>
      </c>
      <c r="B5104" t="inlineStr">
        <is>
          <t>I'm going in to see a gastroenterologist for the 1st time tmrw. What questions should I ask her?</t>
        </is>
      </c>
      <c r="C5104" t="inlineStr">
        <is>
          <t>Some details-
Went to the ER 3 days ago after not being able to inhale &amp;amp; exhale due to (I believe) the acid attack on my esophagus &amp;amp; airways
Cannot breathe properly unless upright
I did this to myself - eating &amp;amp; binge-ing a bunch of greasy, fried, unhealthy foods
I'm trying to abstain from addictive behavior but since I quit coffee, drinking, drugs, and other vices, my only addictive behavior at this time is over eating. I'm addicted to that feeling of being too full
I have tried so hard for years to 'just eat right' &amp;amp; I'm just not able to eat properly. I'm even in therapy for it. So I'm curious about the fecal transplant &amp;amp; lap band.. 
My gerd gave me a very serious &amp;amp; scary asthma attack.. I feel defective &amp;amp; a bit helpless
Any suggestions on what I should ask or discuss with the doc tmrw? Thanks so much in advanced folks</t>
        </is>
      </c>
      <c r="D5104" t="n">
        <v>1</v>
      </c>
      <c r="E5104" t="n">
        <v>4</v>
      </c>
      <c r="F5104">
        <f>HYPERLINK("https://www.reddit.com/r/GERD/comments/ez5zp0/im_going_in_to_see_a_gastroenterologist_for_the/")</f>
        <v/>
      </c>
      <c r="G5104" t="inlineStr">
        <is>
          <t>2020-02-04 23:45:34</t>
        </is>
      </c>
      <c r="H5104" t="inlineStr"/>
    </row>
    <row r="5105">
      <c r="A5105" t="inlineStr">
        <is>
          <t>ez847g</t>
        </is>
      </c>
      <c r="B5105" t="inlineStr">
        <is>
          <t>Lose lose situation.</t>
        </is>
      </c>
      <c r="C5105" t="inlineStr">
        <is>
          <t>Ive posted on here a few times recently so sorry for boring people.
Im currently going through the process of getting the LINX device (Male 24y/o). The reason i am looking for this is due to the concerns of long term ppi use (been on nexium for 5 years). The PPIs do work and i'd be happy to take them for the rest of my life if i knew they were safe.
With the LINX, i am seeing the same sort of things from people. In the long term there can be major issues with the device etc, and no long term data has really been done. I feel like whatever option i choose, i am taking big risks for developing other issues.
This has been going on for so long now and has been affecting my mental health greatly. I honestly dont know what to do.. i feel whatever way i go i am going to end up miserable.
Sorry for ranting.</t>
        </is>
      </c>
      <c r="D5105" t="n">
        <v>1</v>
      </c>
      <c r="E5105" t="n">
        <v>12</v>
      </c>
      <c r="F5105">
        <f>HYPERLINK("https://www.reddit.com/r/GERD/comments/ez847g/lose_lose_situation/")</f>
        <v/>
      </c>
      <c r="G5105" t="inlineStr">
        <is>
          <t>2020-02-05 03:20:19</t>
        </is>
      </c>
      <c r="H5105" t="inlineStr"/>
    </row>
    <row r="5106">
      <c r="A5106" t="inlineStr">
        <is>
          <t>ezbwmv</t>
        </is>
      </c>
      <c r="B5106" t="inlineStr">
        <is>
          <t>Ways to deal with this besides Omeprazole?</t>
        </is>
      </c>
      <c r="C5106" t="inlineStr">
        <is>
          <t>Seems like everything causes heartburn for me no matter how I eat or drink throughout the day.
I tried cutting out everything that doctors have on that list they give for a while and it barely helped.
I ended up just going back to drinking coffee and whatnot.
Does anything besides omeprazole actually help?  I can't afford my 40mg prescription since I lost my Medi-Cal and it's getting expensive buying 42 packs.  If I take 3-5 a day it'll prevent it, but I also have no idea what side effects it could be having on my body.
I tried just taking tums yesterday; so far I've taken about 30 and I woke up twice last night having to take more and ended up staying up super early because I couldn't sleep.
I was diagnosed with barretts esophagus about four years ago.  It gets really discouraging living with it sometimes.</t>
        </is>
      </c>
      <c r="D5106" t="n">
        <v>1</v>
      </c>
      <c r="E5106" t="n">
        <v>24</v>
      </c>
      <c r="F5106">
        <f>HYPERLINK("https://www.reddit.com/r/GERD/comments/ezbwmv/ways_to_deal_with_this_besides_omeprazole/")</f>
        <v/>
      </c>
      <c r="G5106" t="inlineStr">
        <is>
          <t>2020-02-05 08:17:28</t>
        </is>
      </c>
      <c r="H5106" t="inlineStr"/>
    </row>
    <row r="5107">
      <c r="A5107" t="inlineStr">
        <is>
          <t>ezd27q</t>
        </is>
      </c>
      <c r="B5107" t="inlineStr">
        <is>
          <t>Barretts with Low Grade Dysplasia</t>
        </is>
      </c>
      <c r="C5107" t="inlineStr">
        <is>
          <t>Mid 40s male here, life long GERD sufferer.  Last year I was first diagnosed with 8 cm Barrett’s segment, no dysplasia.  During one year follow up, two of the biopsy samples did show low grade dysplasia.
My GI doctor called me to discuss ablation. 
I’m kind of freaked out. I went from expectation of routine surveillance every 3 years to fear of my Barrett’s progressing to something worse in next 5 years (like 25%) per my doctor.
Don’t get me wrong, so glad the condition is highly treatable these days but still freaked out about the diagnosis!</t>
        </is>
      </c>
      <c r="D5107" t="n">
        <v>1</v>
      </c>
      <c r="E5107" t="n">
        <v>12</v>
      </c>
      <c r="F5107">
        <f>HYPERLINK("https://www.reddit.com/r/GERD/comments/ezd27q/barretts_with_low_grade_dysplasia/")</f>
        <v/>
      </c>
      <c r="G5107" t="inlineStr">
        <is>
          <t>2020-02-05 09:31:32</t>
        </is>
      </c>
      <c r="H5107" t="inlineStr"/>
    </row>
    <row r="5108">
      <c r="A5108" t="inlineStr">
        <is>
          <t>ezdkyd</t>
        </is>
      </c>
      <c r="B5108" t="inlineStr">
        <is>
          <t>My only symptom is throat clearing, what do I have?</t>
        </is>
      </c>
      <c r="C5108" t="inlineStr">
        <is>
          <t>Hello! Long story short. 
Last year I had really bad acid reflux out of NO WHERE. I was so concerned I went to the doc right away, she put me on PPIS. My doc thinks I just maybe had acid build up because it came so sudden. My episodes were so bad - constantly felt like I was choking and/or coughing, etc. 
Was only on PPIS for a little over a month. I’ve been like 5 months without them at this point and I feel great. I have NO SYMPTOMS BESIDES throat clearing. And the only reason why I know is because my friends have been telling me I do this. I haven’t even noticed. They say I constantly clear my throat after eating.
This has to be going back to acid reflux? 
What do you think it is? LPR? 
Insight?
Thank you</t>
        </is>
      </c>
      <c r="D5108" t="n">
        <v>1</v>
      </c>
      <c r="E5108" t="n">
        <v>4</v>
      </c>
      <c r="F5108">
        <f>HYPERLINK("https://www.reddit.com/r/GERD/comments/ezdkyd/my_only_symptom_is_throat_clearing_what_do_i_have/")</f>
        <v/>
      </c>
      <c r="G5108" t="inlineStr">
        <is>
          <t>2020-02-05 10:05:05</t>
        </is>
      </c>
      <c r="H5108" t="inlineStr"/>
    </row>
    <row r="5109">
      <c r="A5109" t="inlineStr">
        <is>
          <t>ezecyu</t>
        </is>
      </c>
      <c r="B5109" t="inlineStr">
        <is>
          <t>Morning heartburn help</t>
        </is>
      </c>
      <c r="C5109" t="inlineStr">
        <is>
          <t>Hello peeps, so GERD symptoms, specifically heartburn aren't totally uncommon for me. I experience it every once in a while but its never really impacting my quality of life. Anyways so last night i got pretty drunk with friends and then went home and ate a slice of pizza and chips, then i passed out. (Nothing outta the ordinary here i do this once or twice a week). I slept like a baby and woke up very thirsty. So i grabbed a water and started chugging it. Almost immediately, while still chugging water i got the worst shot of heartburn ever in my life. I almost like actually died in that moment.  So i put down the water and immediately pop 2 tums and eat an apple. Fats forward now about an hour and a half and im just sitting upright on my bed unable to do anything cause the heartburn wont go away! Like deep breaths /coughing/ excessive movements/ laying down just flairs up the pain. Its been almost 2 hours and no relief in site. I JUST WANNA FRICKEN LAY DOWN!!! Wtf. If anyone knows a way to help lmk.</t>
        </is>
      </c>
      <c r="D5109" t="n">
        <v>1</v>
      </c>
      <c r="E5109" t="n">
        <v>5</v>
      </c>
      <c r="F5109">
        <f>HYPERLINK("https://www.reddit.com/r/GERD/comments/ezecyu/morning_heartburn_help/")</f>
        <v/>
      </c>
      <c r="G5109" t="inlineStr">
        <is>
          <t>2020-02-05 10:55:19</t>
        </is>
      </c>
      <c r="H5109" t="inlineStr"/>
    </row>
    <row r="5110">
      <c r="A5110" t="inlineStr">
        <is>
          <t>ezee1x</t>
        </is>
      </c>
      <c r="B5110" t="inlineStr">
        <is>
          <t>To anyone who has, or has ever had dysphagia</t>
        </is>
      </c>
      <c r="C5110" t="inlineStr">
        <is>
          <t>Hey, I’m only 14 and worried about what could be causing my symptoms. I have reflux symptoms and dysphagia, but the thing is, I don’t think it’s narrowing/inflammation because if it was, wouldn’t I be feeling it in my chest? When I swallow food, I can feel it get caught halfway up my neck in that area, I have no problems with it getting stuck in my chest. Could it possibly be a stricture even though it’s higher up? If anyone has had these symptoms can you explain what happened and what caused it? Thank you</t>
        </is>
      </c>
      <c r="D5110" t="n">
        <v>1</v>
      </c>
      <c r="E5110" t="n">
        <v>47</v>
      </c>
      <c r="F5110">
        <f>HYPERLINK("https://www.reddit.com/r/GERD/comments/ezee1x/to_anyone_who_has_or_has_ever_had_dysphagia/")</f>
        <v/>
      </c>
      <c r="G5110" t="inlineStr">
        <is>
          <t>2020-02-05 10:57:19</t>
        </is>
      </c>
      <c r="H5110" t="inlineStr"/>
    </row>
    <row r="5111">
      <c r="A5111" t="inlineStr">
        <is>
          <t>ezeyii</t>
        </is>
      </c>
      <c r="B5111" t="inlineStr">
        <is>
          <t>Unique Case of Gerd (help needed)</t>
        </is>
      </c>
      <c r="C5111" t="inlineStr">
        <is>
          <t>I am 19 years old and have suffered with GERD for almost two years. I also have Crohns. It started with dull pain, and has gotten progressively worse until now where I am in extreme pain every day. Thing is, my symptoms only improve after eating. I also only have pain in the junction between the stomach and esophagus. I don't have hoarseness, coughing, burping, or anything upper. Its only a sharp stabbing pain right at the Sphincter location. I have tried every medication, PPIs make me worse. When I was at the hospital getting a surgery for Crohns, my GERD was so bad they put me on every medication they could through an IV. Nothing improved. It only resolved when I could have something to eat. Before I was able to keep my symptoms under control by eating consistently, but now Its gotten so severe I can't just keep eating to make it go away. I sleep on a wedge pillow on my left side but nothing helps. I rarely have a painless night but I don't know what causes it. I'm sorry if this post is disorganized but I am in class and very sleep deprived and I just don't know what to do. I might try PPIs again but I have gotten SIBO before with Crohns so that really isn't an option. They don't even help anyway. If I'm only in pain in one specific location, is it even heartburn? My last endoscopy was about a year ago and I was diagnosed with Gastritis and GERD but the gastritis is most likely Crohns in the stomach. At this point I know this can't be cured but I need a way to get a good night sleep. I will take any suggestions.</t>
        </is>
      </c>
      <c r="D5111" t="n">
        <v>1</v>
      </c>
      <c r="E5111" t="n">
        <v>12</v>
      </c>
      <c r="F5111">
        <f>HYPERLINK("https://www.reddit.com/r/GERD/comments/ezeyii/unique_case_of_gerd_help_needed/")</f>
        <v/>
      </c>
      <c r="G5111" t="inlineStr">
        <is>
          <t>2020-02-05 11:33:00</t>
        </is>
      </c>
      <c r="H5111" t="inlineStr"/>
    </row>
    <row r="5112">
      <c r="A5112" t="inlineStr">
        <is>
          <t>ezezwt</t>
        </is>
      </c>
      <c r="B5112" t="inlineStr">
        <is>
          <t>Ranitidine</t>
        </is>
      </c>
      <c r="C5112" t="inlineStr">
        <is>
          <t>Has anyone seen any new batches of ranitidine on the shelves in the US? A member of a Facebook group I'm in mentioned that they found ranitidine in CostCo in Nova Scotia, Canada, a couple of days ago. They inquired about it and the employee at the store informed her that it was a new batch.
I'm nearly out of ranitidine and have been taking famotidine for the most part recently, but famotidine does not seem to be nearly as effective as ranitidine was.</t>
        </is>
      </c>
      <c r="D5112" t="n">
        <v>1</v>
      </c>
      <c r="E5112" t="n">
        <v>4</v>
      </c>
      <c r="F5112">
        <f>HYPERLINK("https://www.reddit.com/r/GERD/comments/ezezwt/ranitidine/")</f>
        <v/>
      </c>
      <c r="G5112" t="inlineStr">
        <is>
          <t>2020-02-05 11:35:29</t>
        </is>
      </c>
      <c r="H5112" t="inlineStr"/>
    </row>
    <row r="5113">
      <c r="A5113" t="inlineStr">
        <is>
          <t>ezfdlr</t>
        </is>
      </c>
      <c r="B5113" t="inlineStr">
        <is>
          <t>Ppi induce bloating?</t>
        </is>
      </c>
      <c r="C5113" t="inlineStr">
        <is>
          <t>Hello, ppi at 80 mg per day give me bloating, anyone experience the same thing?</t>
        </is>
      </c>
      <c r="D5113" t="n">
        <v>1</v>
      </c>
      <c r="E5113" t="n">
        <v>3</v>
      </c>
      <c r="F5113">
        <f>HYPERLINK("https://www.reddit.com/r/GERD/comments/ezfdlr/ppi_induce_bloating/")</f>
        <v/>
      </c>
      <c r="G5113" t="inlineStr">
        <is>
          <t>2020-02-05 11:59:17</t>
        </is>
      </c>
      <c r="H5113" t="inlineStr"/>
    </row>
    <row r="5114">
      <c r="A5114" t="inlineStr">
        <is>
          <t>ezfqg2</t>
        </is>
      </c>
      <c r="B5114" t="inlineStr">
        <is>
          <t>Esophagitis just will not heal, I don't know what to do</t>
        </is>
      </c>
      <c r="C5114" t="inlineStr">
        <is>
          <t>If anyone wants back story, but I will try to sum it up anyway:
[https://www.reddit.com/r/GERD/comments/e5o8bi/can\_anybody\_please\_make\_sense\_of\_the\_past\_few/](https://www.reddit.com/r/GERD/comments/e5o8bi/can_anybody_please_make_sense_of_the_past_few/)
[https://www.reddit.com/r/GERD/comments/ehisr4/when\_do\_omeprazole\_side\_effects\_finally\_go\_away/](https://www.reddit.com/r/GERD/comments/ehisr4/when_do_omeprazole_side_effects_finally_go_away/)
&amp;amp;#x200B;
I have no idea where to turn to for help. I have seen almost a dozen doctors now, they have been useless.
4 months ago I was diagnosed with esophagitis. My throat didn't feel that bad but a little uncomfortable at times. I was put on Pantoprazole and after two days on it, my mouth and throat felt like they were on fire. In short, I have failed to think of any other explanation except that Pantoprazole gave me severe esophagitis whereas before it was mild.
It has been 4 months and I have done every thing I can think of doing. I have tried other acid blocking drugs. I have changed my diet. I have changed how I sleep. I have lost weight. I have changed my lifestyle. I have tried drinking tea, tea with honey, having more water. I have tried supplements like slippery elm, marshmallow root, mastic gum, apple cider vinegar pills, d-limonene. I have tried fasting. I have tried not speaking for as long as possible. I have tried approaching it as "too little acid" and tried acid supplements. I have gotten a second endoscopy which still showed esophagitis, inflammation, etc three months later. I have been tested for everything that multiple doctors can think of.
I have tried everything and every day my throat is in pain and my voice is hoarse and I see no improvement. I need my voice for many reasons, including recording music and singing and also my podcast. 
I have no idea what to do. I don't understand why none of this is improving. Acid blocking drugs make me feel worse and my mouth and throat are still on fire from 3 days of being on Pantoprazole, four months later. Doctors don't seem to believe me when I tell them this and they try to prescribe me more acid blockers.
How has there been no healing in 4 months? How did Pantoprazole make this happen? Why am I still having dry mouth and a disgusting taste in my mouth after months of being off the PPI drugs? Why won't any doctor help me? What do I do?</t>
        </is>
      </c>
      <c r="D5114" t="n">
        <v>1</v>
      </c>
      <c r="E5114" t="n">
        <v>15</v>
      </c>
      <c r="F5114">
        <f>HYPERLINK("https://www.reddit.com/r/GERD/comments/ezfqg2/esophagitis_just_will_not_heal_i_dont_know_what/")</f>
        <v/>
      </c>
      <c r="G5114" t="inlineStr">
        <is>
          <t>2020-02-05 12:22:24</t>
        </is>
      </c>
      <c r="H5114" t="inlineStr"/>
    </row>
    <row r="5115">
      <c r="A5115" t="inlineStr">
        <is>
          <t>ezfrhg</t>
        </is>
      </c>
      <c r="B5115" t="inlineStr">
        <is>
          <t>Question about bed wedge pillow</t>
        </is>
      </c>
      <c r="C5115" t="inlineStr">
        <is>
          <t>What pillow height is optimal? Do you need to elevate your entire torso? If so, what length pillow should be if I'm 6'2? Or it doesn't even matter?</t>
        </is>
      </c>
      <c r="D5115" t="n">
        <v>1</v>
      </c>
      <c r="E5115" t="n">
        <v>2</v>
      </c>
      <c r="F5115">
        <f>HYPERLINK("https://www.reddit.com/r/GERD/comments/ezfrhg/question_about_bed_wedge_pillow/")</f>
        <v/>
      </c>
      <c r="G5115" t="inlineStr">
        <is>
          <t>2020-02-05 12:24:08</t>
        </is>
      </c>
      <c r="H5115" t="inlineStr"/>
    </row>
    <row r="5116">
      <c r="A5116" t="inlineStr">
        <is>
          <t>ezg3kq</t>
        </is>
      </c>
      <c r="B5116" t="inlineStr">
        <is>
          <t>Coffee may not be my enemy?</t>
        </is>
      </c>
      <c r="C5116" t="inlineStr">
        <is>
          <t>Alright I may sound a bit crazy in saying this but does any feel like coffee especially if it's decaf or dark roast or has a small amount of caffeine helps their digestion? I feel less nauseous when drinking it and  tweaking the caffeine amount helps reduce the chance of me feeling like my throat is on fire. I've noticed greasy foods which I've completely cut out hurt me more (heartburn and reflux) than a cup of coffee ever has even with the reflux. I'm thinking my low stomach acid and candida might be a culprit.</t>
        </is>
      </c>
      <c r="D5116" t="n">
        <v>1</v>
      </c>
      <c r="E5116" t="n">
        <v>23</v>
      </c>
      <c r="F5116">
        <f>HYPERLINK("https://www.reddit.com/r/GERD/comments/ezg3kq/coffee_may_not_be_my_enemy/")</f>
        <v/>
      </c>
      <c r="G5116" t="inlineStr">
        <is>
          <t>2020-02-05 12:44:46</t>
        </is>
      </c>
      <c r="H5116" t="inlineStr"/>
    </row>
    <row r="5117">
      <c r="A5117" t="inlineStr">
        <is>
          <t>ezgbxj</t>
        </is>
      </c>
      <c r="B5117" t="inlineStr">
        <is>
          <t>Coffee the flu and my HH</t>
        </is>
      </c>
      <c r="C5117" t="inlineStr">
        <is>
          <t>most days I get away with a single cup if I eat but recent flu and coughing I think made my HH worse. Was deemed small in dec but hurts like never before these last two days. Been suffering since 10am and it’s 4pm now. Gaviscon and Cafate not helping today totally blows. Hoping if just inflamed from flu but the discomfort and pain make it hard to do anything but worry. Anyone else in hell with the flu and your HH? Thanks.</t>
        </is>
      </c>
      <c r="D5117" t="n">
        <v>1</v>
      </c>
      <c r="E5117" t="n">
        <v>0</v>
      </c>
      <c r="F5117">
        <f>HYPERLINK("https://www.reddit.com/r/GERD/comments/ezgbxj/coffee_the_flu_and_my_hh/")</f>
        <v/>
      </c>
      <c r="G5117" t="inlineStr">
        <is>
          <t>2020-02-05 12:58:57</t>
        </is>
      </c>
      <c r="H5117" t="inlineStr"/>
    </row>
    <row r="5118">
      <c r="A5118" t="inlineStr">
        <is>
          <t>ezge5w</t>
        </is>
      </c>
      <c r="B5118" t="inlineStr">
        <is>
          <t>I have one symptom</t>
        </is>
      </c>
      <c r="C5118" t="inlineStr">
        <is>
          <t>So, I went to the ER September 2018 due to what I thought was gallbladder pain. CT scan said I was refluxing. I have never really had an issue with any reflux or stomach problems in the past. Occasionally i eat something that will cause me to burp and the food lingers but nothing noticeable to me. So fast forward August 2019 I start having  post nasal drip and chronic throat clearing and thick sticky phlegm draining from my sinuses. EVERY SINGLE morning I wake up and begin clearing my throat and it continues through out the day. My doctor has chalked it up to post nasal drip and possible GERD. It is just getting to the point now that I can’t even tell if It’s real or in my head. I am at a loss as to what to do at this point. Does this sound like its associated with GERD? I have a fairly good diet.</t>
        </is>
      </c>
      <c r="D5118" t="n">
        <v>1</v>
      </c>
      <c r="E5118" t="n">
        <v>4</v>
      </c>
      <c r="F5118">
        <f>HYPERLINK("https://www.reddit.com/r/GERD/comments/ezge5w/i_have_one_symptom/")</f>
        <v/>
      </c>
      <c r="G5118" t="inlineStr">
        <is>
          <t>2020-02-05 13:02:31</t>
        </is>
      </c>
      <c r="H5118" t="inlineStr"/>
    </row>
    <row r="5119">
      <c r="A5119" t="inlineStr">
        <is>
          <t>ezhetr</t>
        </is>
      </c>
      <c r="B5119" t="inlineStr">
        <is>
          <t>Day 3 of Prilosec: Diarrhea and Pain</t>
        </is>
      </c>
      <c r="C5119" t="inlineStr">
        <is>
          <t>Anyone relate? Does it go away?</t>
        </is>
      </c>
      <c r="D5119" t="n">
        <v>1</v>
      </c>
      <c r="E5119" t="n">
        <v>4</v>
      </c>
      <c r="F5119">
        <f>HYPERLINK("https://www.reddit.com/r/GERD/comments/ezhetr/day_3_of_prilosec_diarrhea_and_pain/")</f>
        <v/>
      </c>
      <c r="G5119" t="inlineStr">
        <is>
          <t>2020-02-05 14:05:02</t>
        </is>
      </c>
      <c r="H5119" t="inlineStr"/>
    </row>
    <row r="5120">
      <c r="A5120" t="inlineStr">
        <is>
          <t>eziq31</t>
        </is>
      </c>
      <c r="B5120" t="inlineStr">
        <is>
          <t>Heartburn nonstop all day! I need helpppp</t>
        </is>
      </c>
      <c r="C5120" t="inlineStr">
        <is>
          <t>Hey peeps, i posted earlier today in this thread about having heartburn from the moment i woke up until now (8 hours str8 of very intense heartburn) . Is this normal?! So last night i was boozing and i ate pizza &amp;amp; then passed out.. woke up this morning feeling fine... that is util i took my first sip of water immediately after drinking water i started feeling very intense heartburn. I took some tums and some pepto now multiple times today but it has provided literally 0 relief. I feel like at times its even worse now. Im 26 years old, healthy person and while ive had heartburn in the past usually it just bothers me for like 10 minutes and then it passes. I feel like im genuinely loosing my mind because of this unrelenting pain, i literally cannot move with, i just have to stand up str8 and completely still for relief. i sorta wanna jump out infront of a speeding car and just end this. I feel so hopless because ive tried everything and nothing is helping. Has something like this every happened to anyone else? Should i go to a urgent care place or something?  Anything helps!</t>
        </is>
      </c>
      <c r="D5120" t="n">
        <v>1</v>
      </c>
      <c r="E5120" t="n">
        <v>3</v>
      </c>
      <c r="F5120">
        <f>HYPERLINK("https://www.reddit.com/r/GERD/comments/eziq31/heartburn_nonstop_all_day_i_need_helpppp/")</f>
        <v/>
      </c>
      <c r="G5120" t="inlineStr">
        <is>
          <t>2020-02-05 15:29:31</t>
        </is>
      </c>
      <c r="H5120" t="inlineStr"/>
    </row>
    <row r="5121">
      <c r="A5121" t="inlineStr">
        <is>
          <t>ezjb5m</t>
        </is>
      </c>
      <c r="B5121" t="inlineStr">
        <is>
          <t>Finally coming to a realization</t>
        </is>
      </c>
      <c r="C5121" t="inlineStr">
        <is>
          <t>For the past few years, I have been dealing with asthma. It is a new thing for me (23F). Never has asthma as a kid. I got put on a rescue inhaler for when I absolutely needed it. I only had to use it at night. 
I have also allergies most of my life, but they were never bad. Mostly seasonal. During the time I developed asthma, I also started having bad sinus congestion and horrible post nasal drip and cough. I went to the doctor and the figured it was allergy symptoms. I got an allergy test done and I was only allergic to dust mites. The levels weren't horrible, but they assumed that was it. So I was put on Zyrtec and Benadryl daily. 
For months and months I was religiously taking the allergy medicine. I would still have all the symptoms above. I was dealing with stress and anxiety during these times with 2 bad jobs back to back and a cross country move. I never had heart burn throughout this whole experience, so gerd was never brought up in doctors discussion. 
One day I took a heart burn pill because of something I read on the allergy sub. It worked for my asthma. I was freaking out. With this new revelation, I went into full research mode. All of my symptoms are what I read with gerd except I don't have heartburn. I spoke with a doctor about it and he was surprised I came to this conclusion. He agreed with me and had me generic daily heartburn medicine. It's been so nice to finally have an answer. Now I just need to work on getting it under control (starting with leaving my bad job). Good luck to all of you who suffer along with me!</t>
        </is>
      </c>
      <c r="D5121" t="n">
        <v>1</v>
      </c>
      <c r="E5121" t="n">
        <v>5</v>
      </c>
      <c r="F5121">
        <f>HYPERLINK("https://www.reddit.com/r/GERD/comments/ezjb5m/finally_coming_to_a_realization/")</f>
        <v/>
      </c>
      <c r="G5121" t="inlineStr">
        <is>
          <t>2020-02-05 16:08:45</t>
        </is>
      </c>
      <c r="H5121" t="inlineStr"/>
    </row>
    <row r="5122">
      <c r="A5122" t="inlineStr">
        <is>
          <t>ezjjnf</t>
        </is>
      </c>
      <c r="B5122" t="inlineStr">
        <is>
          <t>Just went through an endoscopy. AMA.</t>
        </is>
      </c>
      <c r="C5122" t="inlineStr">
        <is>
          <t>Did my endoscopy with Kaiser at 1:30pm PT. I am home now relaxing on my bed.</t>
        </is>
      </c>
      <c r="D5122" t="n">
        <v>1</v>
      </c>
      <c r="E5122" t="n">
        <v>2</v>
      </c>
      <c r="F5122">
        <f>HYPERLINK("https://www.reddit.com/r/GERD/comments/ezjjnf/just_went_through_an_endoscopy_ama/")</f>
        <v/>
      </c>
      <c r="G5122" t="inlineStr">
        <is>
          <t>2020-02-05 16:25:18</t>
        </is>
      </c>
      <c r="H5122" t="inlineStr"/>
    </row>
    <row r="5123">
      <c r="A5123" t="inlineStr">
        <is>
          <t>ezkp44</t>
        </is>
      </c>
      <c r="B5123" t="inlineStr">
        <is>
          <t>Pain in stomach area when I eat full meal?</t>
        </is>
      </c>
      <c r="C5123" t="inlineStr">
        <is>
          <t>This doesn’t always happen but it seems to happen more at dinner. I’ll admit I probably eat a bit fast than I should but by bite number 3 or 4 I’ll get a sudden pain in my stomach as if it’s suddenly going to burst. What is that? It’s not difficulty swallowing per day it’s more like pain in the stomach when swallowing</t>
        </is>
      </c>
      <c r="D5123" t="n">
        <v>1</v>
      </c>
      <c r="E5123" t="n">
        <v>1</v>
      </c>
      <c r="F5123">
        <f>HYPERLINK("https://www.reddit.com/r/GERD/comments/ezkp44/pain_in_stomach_area_when_i_eat_full_meal/")</f>
        <v/>
      </c>
      <c r="G5123" t="inlineStr">
        <is>
          <t>2020-02-05 17:48:16</t>
        </is>
      </c>
      <c r="H5123" t="inlineStr"/>
    </row>
    <row r="5124">
      <c r="A5124" t="inlineStr">
        <is>
          <t>ezmjql</t>
        </is>
      </c>
      <c r="B5124" t="inlineStr">
        <is>
          <t>(22M) GI Doctor left in a hurry; Can someone please elaborate on my endoscopy findings from today? (Refractory GERD)</t>
        </is>
      </c>
      <c r="C5124" t="inlineStr">
        <is>
          <t>I posted this in r/AskDocs but maybe this is a more efficient place to ask questions about acid reflux - if there are any physicians or other healthcare providers in this subreddit that could explain my endoscopy results, I would really appreciate it.
\--------------------------------------------------------------------------------------------
Height: 6'0"
Weight: 150 lbs
Race: White (Middle Eastern)
Primary Complaint: **Refractory GERD (no heartburn)**, Laryngopharyngeal Reflux, Muscle Tension Dysphonia
Duration of complaints: GERD/LPR = 8 months; Muscle Tension Dysphonia = 2.5 years
Current medications: Pepcid AC 20mg bid; Reflux Gourmet 2 tsp 1-2x/day
I do not smoke, drink, or use recreational drugs at all. I am very healthy other than my listed issues.
Here are the photos from my endoscopy today that I was given: [https://imgur.com/a/h9ev7iy](https://imgur.com/a/h9ev7iy)
Here is the impression as written:
**- No gross lesions in esophagus. Biopsied.**
**- Z-line regular, 40 cm from the incisors.**
**- Gastritis. Biopsied.**
**- Patulous pylorus noted.**
**- No gross lesions in the duodenal bulb, in the first portion of the duodenum and in the second portion of the duodenum.**
He did say that the patulous pyloris could have been from the deep sedation/general anesthesia, but either way he thought it was noteworthy.
&amp;amp;#x200B;
***(If nothing else, I would really appreciate answers to the bolded questions below)***
&amp;amp;#x200B;
The gastroenterologist now recommends that I restart another three months of pantoprazole 40mg twice a day (I already completed one three month course just over two weeks ago - I was finally able to get off of it over two weeks ago after weaning off but he wants me back on it now).
He says the Pantoprazole will take care of the gastritis, we are just waiting to see if the H. Pylori test comes back positive or negative from the biopsy. I already took an H. Pylori breath test in October 2019 and it came back negative... nevertheless, there is gastritis now.
**Can anyone please explain to me what each numbered picture is/what we're looking at? The gastroenterologist was in a huge hurry to leave and didn't bother explaining anything.**
**Does it seem like my gastroesophageal junction is loose?** Is it open more than it should be? Is the issue something else like gastritis and less so LES dysfunction (even though I have significant regurgitation if I eat a little too much or if I consume tomatoes, coffee, etc.)? **Is my gastritis antral or around the body? Or all over? Is it mild, moderate, severe?** These are things I never got answers to.
I am miserable from not being able to eat so many things without feeling a flare up and it's nearly impossible to get decent answers from anyone. My GERD makes my LPR and MTD much worse as well.
Thank you so much in advance.</t>
        </is>
      </c>
      <c r="D5124" t="n">
        <v>1</v>
      </c>
      <c r="E5124" t="n">
        <v>2</v>
      </c>
      <c r="F5124">
        <f>HYPERLINK("https://www.reddit.com/r/GERD/comments/ezmjql/22m_gi_doctor_left_in_a_hurry_can_someone_please/")</f>
        <v/>
      </c>
      <c r="G5124" t="inlineStr">
        <is>
          <t>2020-02-05 20:08:05</t>
        </is>
      </c>
      <c r="H5124" t="inlineStr"/>
    </row>
    <row r="5125">
      <c r="A5125" t="inlineStr">
        <is>
          <t>ezoqnu</t>
        </is>
      </c>
      <c r="B5125" t="inlineStr">
        <is>
          <t>Pepcid is undoubtably effecting my heart</t>
        </is>
      </c>
      <c r="C5125" t="inlineStr">
        <is>
          <t>After the ranitidine recall I switched to Pepcid 40mg once a day. I had noticed over the past few months that my heart rate was always resting in the 90s and sometimes I felt uncomfortable because my heart felt like it was pumping so hard. Well I started to take it right before bed (12 AM) and I had been waking up with a racing heart around 3-4 hours after taking it. I decided to not take it and just suffer the reflux for a day a lo and behold my heart rate was fine the whole day and I wasn't waking up from my sleep with my heart beating out of my chest. Unfortunately I 100% need a medicine to handle my symptoms and I am allergic to PPIs.</t>
        </is>
      </c>
      <c r="D5125" t="n">
        <v>1</v>
      </c>
      <c r="E5125" t="n">
        <v>0</v>
      </c>
      <c r="F5125">
        <f>HYPERLINK("https://www.reddit.com/r/GERD/comments/ezoqnu/pepcid_is_undoubtably_effecting_my_heart/")</f>
        <v/>
      </c>
      <c r="G5125" t="inlineStr">
        <is>
          <t>2020-02-05 23:19:48</t>
        </is>
      </c>
      <c r="H5125" t="inlineStr"/>
    </row>
    <row r="5126">
      <c r="A5126" t="inlineStr">
        <is>
          <t>ezqkll</t>
        </is>
      </c>
      <c r="B5126" t="inlineStr">
        <is>
          <t>Flu and cough came and went HH SUCKS NOW</t>
        </is>
      </c>
      <c r="C5126" t="inlineStr">
        <is>
          <t>Now small HH is much worse ready to jump out a fucking window I pray somehow it goes back to manageable.</t>
        </is>
      </c>
      <c r="D5126" t="n">
        <v>1</v>
      </c>
      <c r="E5126" t="n">
        <v>0</v>
      </c>
      <c r="F5126">
        <f>HYPERLINK("https://www.reddit.com/r/GERD/comments/ezqkll/flu_and_cough_came_and_went_hh_sucks_now/")</f>
        <v/>
      </c>
      <c r="G5126" t="inlineStr">
        <is>
          <t>2020-02-06 02:35:07</t>
        </is>
      </c>
      <c r="H5126" t="inlineStr"/>
    </row>
    <row r="5127">
      <c r="A5127" t="inlineStr">
        <is>
          <t>ezquan</t>
        </is>
      </c>
      <c r="B5127" t="inlineStr">
        <is>
          <t>Fiber + GERD = some possible relief</t>
        </is>
      </c>
      <c r="C5127" t="inlineStr">
        <is>
          <t>Was reading over the internet for more ‘cures’ for lpr (or gerd) and I came across increasing fiber intake, and less pressure on the Esophageal valve.  Me personally, I could comfortably say I get close to 0 fiber per day, and if any nowhere near enough the recommended amount. When it comes to Fruits &amp;amp; veggies I probably eat one tomato a day, and that’s about it. (No tomato does no give me reflux unless it’s tomato sauce).  Anyway, I have this link, you can check it out. I’ve always had stomach issues previously when I was younger (I’m 25 now) and back when I was 15-18 I used to get frequent constipation which I resolved quickly with these fiber bars, surprisingly helped... gonna try getting those bars again, and taking fiber daily (slowly increase the amount over time) because I know that quickly taking too much fiber is a problem if you’re not used to it.  What do you guys think? 
 [source](https://www.ncbi.nlm.nih.gov/pmc/articles/PMC5989243/)</t>
        </is>
      </c>
      <c r="D5127" t="n">
        <v>1</v>
      </c>
      <c r="E5127" t="n">
        <v>21</v>
      </c>
      <c r="F5127">
        <f>HYPERLINK("https://www.reddit.com/r/GERD/comments/ezquan/fiber_gerd_some_possible_relief/")</f>
        <v/>
      </c>
      <c r="G5127" t="inlineStr">
        <is>
          <t>2020-02-06 03:05:42</t>
        </is>
      </c>
      <c r="H5127" t="inlineStr"/>
    </row>
    <row r="5128">
      <c r="A5128" t="inlineStr">
        <is>
          <t>ezsjn4</t>
        </is>
      </c>
      <c r="B5128" t="inlineStr">
        <is>
          <t>Natural remedies to sooth my GERD?</t>
        </is>
      </c>
      <c r="C5128" t="inlineStr">
        <is>
          <t>I've been on a flare up for 2 weeks now, it hasn't ever been this terrible, but I guess i ate something that first day and it just didn't sit right with me unfortunately. My doctor prescribed me a PPI but I keep hearing about all the side effects, I've had horrible nausea for weeks now and it says nausea is a common side effect of the medicine.... I've been taking tums and dramamine to combat the nausea and anxiety, but I feel bad about taking it every day now  and try to limit my usage (its hard, when I get that bloated feeling in my chest even when I haven't eaten, it's hard not to grab a gravol to calm me and my nerves) if this is GERD then it's been ruining my life for weeks now. 
I read that ginger and ginger tea/chamomile tea can sooth symptoms of nausea and other GERD symptoms, I'll have to try this. Please let me know if you have any other natural remedies</t>
        </is>
      </c>
      <c r="D5128" t="n">
        <v>1</v>
      </c>
      <c r="E5128" t="n">
        <v>19</v>
      </c>
      <c r="F5128">
        <f>HYPERLINK("https://www.reddit.com/r/GERD/comments/ezsjn4/natural_remedies_to_sooth_my_gerd/")</f>
        <v/>
      </c>
      <c r="G5128" t="inlineStr">
        <is>
          <t>2020-02-06 05:44:08</t>
        </is>
      </c>
      <c r="H5128" t="inlineStr"/>
    </row>
    <row r="5129">
      <c r="A5129" t="inlineStr">
        <is>
          <t>eztlbm</t>
        </is>
      </c>
      <c r="B5129" t="inlineStr">
        <is>
          <t>Tama galactica's</t>
        </is>
      </c>
      <c r="C5129" t="inlineStr">
        <is>
          <t>Anyone bought tama galactica's(YouTube) ebook and tried her method. She has no symptoms and she has put her diet, supplements and routine in the book. If anyone has tried please share</t>
        </is>
      </c>
      <c r="D5129" t="n">
        <v>1</v>
      </c>
      <c r="E5129" t="n">
        <v>2</v>
      </c>
      <c r="F5129">
        <f>HYPERLINK("https://www.reddit.com/r/GERD/comments/eztlbm/tama_galacticas/")</f>
        <v/>
      </c>
      <c r="G5129" t="inlineStr">
        <is>
          <t>2020-02-06 07:05:49</t>
        </is>
      </c>
      <c r="H5129" t="inlineStr"/>
    </row>
    <row r="5130">
      <c r="A5130" t="inlineStr">
        <is>
          <t>ezuzkh</t>
        </is>
      </c>
      <c r="B5130" t="inlineStr">
        <is>
          <t>Thick Post-Nasal Drip and Saliva</t>
        </is>
      </c>
      <c r="C5130" t="inlineStr">
        <is>
          <t>LPR/GERD sufferer for a few years here. Over the past few weeks, I have had some really thick post-nasal drip and saliva compared to the usual. Drinking lots of water and Mucinex don't seem to help.
Has anyone else experienced this? Did an antihistamine like Claritan or Zyrtec help?</t>
        </is>
      </c>
      <c r="D5130" t="n">
        <v>1</v>
      </c>
      <c r="E5130" t="n">
        <v>6</v>
      </c>
      <c r="F5130">
        <f>HYPERLINK("https://www.reddit.com/r/GERD/comments/ezuzkh/thick_postnasal_drip_and_saliva/")</f>
        <v/>
      </c>
      <c r="G5130" t="inlineStr">
        <is>
          <t>2020-02-06 08:44:19</t>
        </is>
      </c>
      <c r="H5130" t="inlineStr"/>
    </row>
    <row r="5131">
      <c r="A5131" t="inlineStr">
        <is>
          <t>ezvel8</t>
        </is>
      </c>
      <c r="B5131" t="inlineStr">
        <is>
          <t>Too many doctor visits?</t>
        </is>
      </c>
      <c r="C5131" t="inlineStr">
        <is>
          <t>Anyone else just burned out? Maybe it’s just me, but my GP either doesn’t seem to believe me or just throws things at the wall to see what sticks. Off and on for a few years now I’ve had the feeling of something being caught in my throat, a sort of dry cough after eating and this constant feeling of needing to clear my throat. These feelings have also turned into minor anxiety issues like trouble swallowing or feeling like I’m about to have a heart attack/choke.
I’ve done the scope down my throat which found nothing, urea breath test a year ago and such, but nothing seems to be conclusive.
Could it be Silent Reflux? Should I move to seeing a gastro instead of a GP? I recently was advised to get another xray and urea test but I just can’t stand it anymore. I feel like it’s Silent Reflux due to the mucus and anxiety but my GP insists to do these tests or get on anxiety meds...anyone deal with this? I don’t really feel like anxiety meds are the safe/smart move here and H Pylori seems to be a rough road to go down if it even ends up being it...</t>
        </is>
      </c>
      <c r="D5131" t="n">
        <v>1</v>
      </c>
      <c r="E5131" t="n">
        <v>9</v>
      </c>
      <c r="F5131">
        <f>HYPERLINK("https://www.reddit.com/r/GERD/comments/ezvel8/too_many_doctor_visits/")</f>
        <v/>
      </c>
      <c r="G5131" t="inlineStr">
        <is>
          <t>2020-02-06 09:12:07</t>
        </is>
      </c>
      <c r="H5131" t="inlineStr"/>
    </row>
    <row r="5132">
      <c r="A5132" t="inlineStr">
        <is>
          <t>ezvi8p</t>
        </is>
      </c>
      <c r="B5132" t="inlineStr">
        <is>
          <t>Medicine that strengthens LES?</t>
        </is>
      </c>
      <c r="C5132" t="inlineStr">
        <is>
          <t>My GI doctor told me that a weakened LES could be the cause of my acid reflux after I asked him about it. So, he prescribed me Bethanechol 25 mg to take twice a day. He said that this medicine strengthens your LES to allow for the valve to close and to prevent acid from coming up. I was wondering if this medicine is actually effective for closing the LES. I thought the only way to strengthen the LES is through surgery. If that isn’t the case, why aren’t people prescribed this medication instead of doing surgery?
Also has anyone else taken this medicine/similar muscle stimulators?</t>
        </is>
      </c>
      <c r="D5132" t="n">
        <v>1</v>
      </c>
      <c r="E5132" t="n">
        <v>2</v>
      </c>
      <c r="F5132">
        <f>HYPERLINK("https://www.reddit.com/r/GERD/comments/ezvi8p/medicine_that_strengthens_les/")</f>
        <v/>
      </c>
      <c r="G5132" t="inlineStr">
        <is>
          <t>2020-02-06 09:19:05</t>
        </is>
      </c>
      <c r="H5132" t="inlineStr"/>
    </row>
    <row r="5133">
      <c r="A5133" t="inlineStr">
        <is>
          <t>ezvu8a</t>
        </is>
      </c>
      <c r="B5133" t="inlineStr">
        <is>
          <t>I've had daily symptoms for 4 months but have no "trigger foods". But mostly a rant about my lack of progress.</t>
        </is>
      </c>
      <c r="C5133" t="inlineStr">
        <is>
          <t>After my first visit to  a doctor with just heartburn I started with Pepcid. Moved onto Nexium and then omeprazole when I got a prescription for that. It helped for a while until it didn't, then they upped my dose to 20mg 2X per day, it seemed like it helped a little the first day or two but now it's been a week at 2X20mg and I'm just as bad as ever.
&amp;amp;#x200B;
For diet I've been changing a lot trying to find anything that works. I tried a higher fiber diet, I tried eating a ton of probiotic foods, I tried eating low fat, I tried eating low carb. Nothing helps, even water gives me reflux. It's kind of weird becasue a couple of times I have given in and eaten a giant cheeseburger and beer and fries and felt fine, no worse than if I drank a glass of water. It's just constant symptoms with no ups an downs from what I eat. I also tried water fasting for 72 hours and I still felt reflux every time I drank more than a sip of water. I sleep at an angle and on my left side, I don't eat within 3 hours of laying down, I've lost 15 pounds... no improvement. Also tried sipping on alkaline water all day, it's temporary relief each swallow actually but no lasting improvement.
&amp;amp;#x200B;
Symptoms are mild heartburn, but I just always feel unwell there, like something is very wrong. I always feel like my throat is burning and I have a constant feeling of a lump in my throat, constant post nasal drip, also sometimes the back of my throat feels like I just ate a dry cracker or something and there's crumbs stuck back there that I have to swallow.
&amp;amp;#x200B;
I've had an endoscopy and I have the start of barrett's esophagus along with general lower esophageal inflammation. I'm thinking of pushing to get LINX surgery ASAP since nothing I'm doing is working and it seems to just be getting worse every time my body gets used to increased acid reducing drugs. Seems to be a mechanical issue with my LES and nothing else wrong with me. My only hesitation is I'm still about 45 pounds overweight so maybe losing more weight would fix me, and if I can avoid surgery that would be great. But if I were to lose 2 pounds per week that would take me about 6 months to do and I don't think I can go another 6 months feeling like 24/7 all the time. Or I could just do a water fast for a month (I'm a fairly strong, pretty active  6'3" guy so my maintenance calorie intake is already 4k+ calories) and do some more cardio and get it done super fast if I had a doctor monitoring and giving me vitamins and minerals I need, but that's a little extreme and I'm not sure it would help me since I've seen no improvements so far.
&amp;amp;#x200B;
Anyway since right now I apparently have no trigger foods should I just go back to eating whatever? My only real trigger food is coffee, especially coffee with milk like a latte will fuck me up. And I love coffee, I'm a guy with an about $2,000 espresso setup at my house I really like espresso so that's been a big bummer about this.</t>
        </is>
      </c>
      <c r="D5133" t="n">
        <v>1</v>
      </c>
      <c r="E5133" t="n">
        <v>9</v>
      </c>
      <c r="F5133">
        <f>HYPERLINK("https://www.reddit.com/r/GERD/comments/ezvu8a/ive_had_daily_symptoms_for_4_months_but_have_no/")</f>
        <v/>
      </c>
      <c r="G5133" t="inlineStr">
        <is>
          <t>2020-02-06 09:41:01</t>
        </is>
      </c>
      <c r="H5133" t="inlineStr"/>
    </row>
    <row r="5134">
      <c r="A5134" t="inlineStr">
        <is>
          <t>ezw1w5</t>
        </is>
      </c>
      <c r="B5134" t="inlineStr">
        <is>
          <t>GERD and Travel</t>
        </is>
      </c>
      <c r="C5134" t="inlineStr">
        <is>
          <t>I am going to be going on a plane for the first time since my GERD started. Does anyone have any remedies/tips/tricks for being on planes and keeping your GERD/anxiety at bay? 
I have some CBD gummies that I am going to try before boarding to keep me calm but any other tips?</t>
        </is>
      </c>
      <c r="D5134" t="n">
        <v>1</v>
      </c>
      <c r="E5134" t="n">
        <v>1</v>
      </c>
      <c r="F5134">
        <f>HYPERLINK("https://www.reddit.com/r/GERD/comments/ezw1w5/gerd_and_travel/")</f>
        <v/>
      </c>
      <c r="G5134" t="inlineStr">
        <is>
          <t>2020-02-06 09:55:43</t>
        </is>
      </c>
      <c r="H5134" t="inlineStr"/>
    </row>
    <row r="5135">
      <c r="A5135" t="inlineStr">
        <is>
          <t>ezw21t</t>
        </is>
      </c>
      <c r="B5135" t="inlineStr">
        <is>
          <t>Bad breath worry...</t>
        </is>
      </c>
      <c r="C5135" t="inlineStr">
        <is>
          <t>I constantly worry about my breath with acid reflux. I used to take zantac until the recall. I took nexium for years but stopped due to nutrient absorption issues.
I now dont take anything since I had an endoscopy and they only found mild irritation and recommended prilosec if needed. A Bravo study didnt find anything either other than a hypersensitive esophagus but since I hardly really feel a burn, just discomfort, i havent started it yet...
I do drink coffee and I'm trying to stop but I fear I smell of stomach acid since the valve never feels closed and I'm burping all the time. Frustrating that the results came back fine...tho the bravo test was just for 48 hours.
Anyone else struggle with this?</t>
        </is>
      </c>
      <c r="D5135" t="n">
        <v>1</v>
      </c>
      <c r="E5135" t="n">
        <v>2</v>
      </c>
      <c r="F5135">
        <f>HYPERLINK("https://www.reddit.com/r/GERD/comments/ezw21t/bad_breath_worry/")</f>
        <v/>
      </c>
      <c r="G5135" t="inlineStr">
        <is>
          <t>2020-02-06 09:56:02</t>
        </is>
      </c>
      <c r="H5135" t="inlineStr"/>
    </row>
    <row r="5136">
      <c r="A5136" t="inlineStr">
        <is>
          <t>ezx1rf</t>
        </is>
      </c>
      <c r="B5136" t="inlineStr">
        <is>
          <t>Acid Reflux</t>
        </is>
      </c>
      <c r="C5136" t="inlineStr">
        <is>
          <t>Hey everyone, I’m currently trying to find out how one could make the lives of people with Acid Reflux a lot easier
Which is why I have two very simple questions:
1.) As someone with Acid Reflux what are the 2 biggest issues your dealing with ?
2.) Regarding your experience with Acid Reflux, what would you wish for more than anything else ?
Thanks so much in advance - looking forward to reading your answers!</t>
        </is>
      </c>
      <c r="D5136" t="n">
        <v>1</v>
      </c>
      <c r="E5136" t="n">
        <v>0</v>
      </c>
      <c r="F5136">
        <f>HYPERLINK("https://www.reddit.com/r/GERD/comments/ezx1rf/acid_reflux/")</f>
        <v/>
      </c>
      <c r="G5136" t="inlineStr">
        <is>
          <t>2020-02-06 11:00:14</t>
        </is>
      </c>
      <c r="H5136" t="inlineStr"/>
    </row>
    <row r="5137">
      <c r="A5137" t="inlineStr">
        <is>
          <t>ezx2c0</t>
        </is>
      </c>
      <c r="B5137" t="inlineStr">
        <is>
          <t>Acid Reflux</t>
        </is>
      </c>
      <c r="C5137" t="inlineStr">
        <is>
          <t>Hey everyone, I’m currently trying to find out how one could make the lives of people with Acid Reflux a lot easier
Which is why I have two very simple questions:
1.) As someone with Acid Reflux what are the 2 biggest issues your dealing with ?
2.) Regarding your experience with Acid Reflux, what would you wish for more than anything else ?
Thanks so much in advance - looking forward to reading your answers!</t>
        </is>
      </c>
      <c r="D5137" t="n">
        <v>1</v>
      </c>
      <c r="E5137" t="n">
        <v>0</v>
      </c>
      <c r="F5137">
        <f>HYPERLINK("https://www.reddit.com/r/GERD/comments/ezx2c0/acid_reflux/")</f>
        <v/>
      </c>
      <c r="G5137" t="inlineStr">
        <is>
          <t>2020-02-06 11:01:15</t>
        </is>
      </c>
      <c r="H5137" t="inlineStr"/>
    </row>
    <row r="5138">
      <c r="A5138" t="inlineStr">
        <is>
          <t>ezx3fx</t>
        </is>
      </c>
      <c r="B5138" t="inlineStr">
        <is>
          <t>Overcome Acid Reflux</t>
        </is>
      </c>
      <c r="C5138" t="inlineStr">
        <is>
          <t>Hey everyone, I’m currently trying to find out how one could make the lives of people with Acid Reflux a lot easier
Which is why I have two very simple questions:
1.) As someone with Acid Reflux what are the 2 biggest issues your dealing with ?
2.) Regarding your experience with Acid Reflux, what would you wish for more than anything else ?
Thanks so much in advance - looking forward to reading your answers!</t>
        </is>
      </c>
      <c r="D5138" t="n">
        <v>1</v>
      </c>
      <c r="E5138" t="n">
        <v>8</v>
      </c>
      <c r="F5138">
        <f>HYPERLINK("https://www.reddit.com/r/GERD/comments/ezx3fx/overcome_acid_reflux/")</f>
        <v/>
      </c>
      <c r="G5138" t="inlineStr">
        <is>
          <t>2020-02-06 11:03:06</t>
        </is>
      </c>
      <c r="H5138" t="inlineStr"/>
    </row>
    <row r="5139">
      <c r="A5139" t="inlineStr">
        <is>
          <t>ezxff0</t>
        </is>
      </c>
      <c r="B5139" t="inlineStr">
        <is>
          <t>Weird upper stomach / lower chest feeling</t>
        </is>
      </c>
      <c r="C5139" t="inlineStr">
        <is>
          <t>You ever have a sudden feeling of pressure/air stuck inside your upper stomach / lower chest where the esophagus connects? It feels like I need to burp but if I even breathe I hear really intense gurgling inside my esophagus that kinda sounds like burp or air coming up but it doesn't help the feeling in anyway. Its really uncomfortable but it often stops if I manage to burp real loudly. Sometimes it lasts longer. I had this feeling again sunday evening and since then my hiatus has been feeling off, like its harder to take deep breaths. I had a gastroscopy in October of 2016 and the doc said my LES works correctly.</t>
        </is>
      </c>
      <c r="D5139" t="n">
        <v>1</v>
      </c>
      <c r="E5139" t="n">
        <v>9</v>
      </c>
      <c r="F5139">
        <f>HYPERLINK("https://www.reddit.com/r/GERD/comments/ezxff0/weird_upper_stomach_lower_chest_feeling/")</f>
        <v/>
      </c>
      <c r="G5139" t="inlineStr">
        <is>
          <t>2020-02-06 11:24:07</t>
        </is>
      </c>
      <c r="H5139" t="inlineStr"/>
    </row>
    <row r="5140">
      <c r="A5140" t="inlineStr">
        <is>
          <t>ezyl6n</t>
        </is>
      </c>
      <c r="B5140" t="inlineStr">
        <is>
          <t>Is this a side effect of GERD?</t>
        </is>
      </c>
      <c r="C5140" t="inlineStr">
        <is>
          <t>So I’ve just recently started dealing with GERD, about a month or so, getting used to the medicine being super wary of what I eat all of that is becoming normal to me slowly. But recently the back of my tongue has started getting incredibly lumpy and bumpy, making swallowing without a drink near impossible. I can see those black and blue lines that are usually under your tongue on the side, I can provide pictures if needed but everyone is saying it’s GERD but it’s really getting me anxious that it’s something more serious, is this common? Ever since getting diagnosed my anxiety has just peaked and it’s hard to focus, what do you guys say?</t>
        </is>
      </c>
      <c r="D5140" t="n">
        <v>1</v>
      </c>
      <c r="E5140" t="n">
        <v>2</v>
      </c>
      <c r="F5140">
        <f>HYPERLINK("https://www.reddit.com/r/GERD/comments/ezyl6n/is_this_a_side_effect_of_gerd/")</f>
        <v/>
      </c>
      <c r="G5140" t="inlineStr">
        <is>
          <t>2020-02-06 12:35:24</t>
        </is>
      </c>
      <c r="H5140" t="inlineStr"/>
    </row>
    <row r="5141">
      <c r="A5141" t="inlineStr">
        <is>
          <t>f008x5</t>
        </is>
      </c>
      <c r="B5141" t="inlineStr">
        <is>
          <t>Nausea after eating</t>
        </is>
      </c>
      <c r="C5141" t="inlineStr">
        <is>
          <t>I’ve struggled with acid reflux since I was a teenager, but now I have gallstones and it has made the reflux 10x worse. The gallbladder issues have severely limited my diet and at this point I can’t really eat anything. Dry cereal was my go-to safe food for a while (kind of weird I know, but it’s easy on my stomach and fills me up), but now I feel gross after eating it. It’s like nausea.. but only in my throat? My stomach feels okay, but there’s this awful feeling in my throat and it genuinely feels like I might grow up sometimes. I have a phobia of vomiting so I’m having very bad anxiety about this, which I’m sure is only making it worse. Plain popcorn seems to be the only thing that doesn’t bother me too much, so I’m basically living on that at the moment. Is there anything I can do to relieve this? I’m getting my gallbladder removed but he surgery isn’t until April. Help :(</t>
        </is>
      </c>
      <c r="D5141" t="n">
        <v>1</v>
      </c>
      <c r="E5141" t="n">
        <v>0</v>
      </c>
      <c r="F5141">
        <f>HYPERLINK("https://www.reddit.com/r/GERD/comments/f008x5/nausea_after_eating/")</f>
        <v/>
      </c>
      <c r="G5141" t="inlineStr">
        <is>
          <t>2020-02-06 14:20:08</t>
        </is>
      </c>
      <c r="H5141" t="inlineStr"/>
    </row>
    <row r="5142">
      <c r="A5142" t="inlineStr">
        <is>
          <t>f01t9c</t>
        </is>
      </c>
      <c r="B5142" t="inlineStr">
        <is>
          <t>29F, medium sized hiatal hernia and irregular Z- line - what is this and how do I fix it?</t>
        </is>
      </c>
      <c r="C5142" t="inlineStr">
        <is>
          <t>For the last 7 months or so, I've been having stomach issues after eating as well as GI bleeding once. I've had a negative colonoscopy and just recently had an endoscopy. 
8 days later, I got a call about my results that everything came back negative for my biopsy results, but on my patient portal it mentioned an irregular Z line 35 cm from incisors and a medium-sized hiatal hernia.
I'm curious what does this mean if my Z line is irregular? What can I do to fix it and prevent it from getting worse?</t>
        </is>
      </c>
      <c r="D5142" t="n">
        <v>1</v>
      </c>
      <c r="E5142" t="n">
        <v>7</v>
      </c>
      <c r="F5142">
        <f>HYPERLINK("https://www.reddit.com/r/GERD/comments/f01t9c/29f_medium_sized_hiatal_hernia_and_irregular_z/")</f>
        <v/>
      </c>
      <c r="G5142" t="inlineStr">
        <is>
          <t>2020-02-06 16:06:17</t>
        </is>
      </c>
      <c r="H5142" t="inlineStr"/>
    </row>
    <row r="5143">
      <c r="A5143" t="inlineStr">
        <is>
          <t>f02tz0</t>
        </is>
      </c>
      <c r="B5143" t="inlineStr">
        <is>
          <t>Bile in stomach</t>
        </is>
      </c>
      <c r="C5143" t="inlineStr">
        <is>
          <t>Is it ok to have a “little bit” of bile in your stomach??  The doctor said this was normal, but looking online...doesn’t look so normal.</t>
        </is>
      </c>
      <c r="D5143" t="n">
        <v>1</v>
      </c>
      <c r="E5143" t="n">
        <v>3</v>
      </c>
      <c r="F5143">
        <f>HYPERLINK("https://www.reddit.com/r/GERD/comments/f02tz0/bile_in_stomach/")</f>
        <v/>
      </c>
      <c r="G5143" t="inlineStr">
        <is>
          <t>2020-02-06 17:21:37</t>
        </is>
      </c>
      <c r="H5143" t="inlineStr"/>
    </row>
    <row r="5144">
      <c r="A5144" t="inlineStr">
        <is>
          <t>f03x1u</t>
        </is>
      </c>
      <c r="B5144" t="inlineStr">
        <is>
          <t>Alcohol and antacids</t>
        </is>
      </c>
      <c r="C5144" t="inlineStr">
        <is>
          <t>I have a birthday weekend coming up and am planning to drink wine on both days, would antacids help me if I took them before I started drinking? I'm not a heavy drinker. What should I eat and or take to help those days?</t>
        </is>
      </c>
      <c r="D5144" t="n">
        <v>1</v>
      </c>
      <c r="E5144" t="n">
        <v>3</v>
      </c>
      <c r="F5144">
        <f>HYPERLINK("https://www.reddit.com/r/GERD/comments/f03x1u/alcohol_and_antacids/")</f>
        <v/>
      </c>
      <c r="G5144" t="inlineStr">
        <is>
          <t>2020-02-06 18:43:32</t>
        </is>
      </c>
      <c r="H5144" t="inlineStr"/>
    </row>
    <row r="5145">
      <c r="A5145" t="inlineStr">
        <is>
          <t>f04c3a</t>
        </is>
      </c>
      <c r="B5145" t="inlineStr">
        <is>
          <t>Testosterone levels and acid reflux</t>
        </is>
      </c>
      <c r="C5145" t="inlineStr">
        <is>
          <t>Quick story, I got testicular torsion last year around late May, which resulted in a singular orchiectomy (got my right nut removed after it was too late to save it) fast forward the past few months I’ve had a growing cough and a few weeks ago I pretty much confirmed it was due to acid reflux after constantly coughing and finding a bitter and sour taste in my mouth. I got prescribed the Pantoprazole to help but, recently found out after searching that it could be due to testosterone levels. I’m thinking that considering I only have one nut now this is taking a toll on my testosterone levels thus causing an influence on my acid reflux. Anyone have any suggestions on how I should tackle this with a doctor or had a similar situation with testosterone levels and acid reflux?</t>
        </is>
      </c>
      <c r="D5145" t="n">
        <v>1</v>
      </c>
      <c r="E5145" t="n">
        <v>9</v>
      </c>
      <c r="F5145">
        <f>HYPERLINK("https://www.reddit.com/r/GERD/comments/f04c3a/testosterone_levels_and_acid_reflux/")</f>
        <v/>
      </c>
      <c r="G5145" t="inlineStr">
        <is>
          <t>2020-02-06 19:15:41</t>
        </is>
      </c>
      <c r="H5145" t="inlineStr"/>
    </row>
    <row r="5146">
      <c r="A5146" t="inlineStr">
        <is>
          <t>f06fkw</t>
        </is>
      </c>
      <c r="B5146" t="inlineStr">
        <is>
          <t>Acid Reflux and Pregnancy</t>
        </is>
      </c>
      <c r="C5146" t="inlineStr">
        <is>
          <t>Hi! Just found this group, and I need to whine about something. 
Having horrible Acide Reflux sucks enough on its own, but adding pregnancy nausea to it is an absolute sh**show. This is pregnancy #2, I'm 25 weeks, and for both pregnancies I've had extreme nausea and food aversions the whole time. The foods I can eat without making my reflux act up make me feel sick to my stomach, thinking about them or smelling them. The foods that don't trigger the nausea end up making my reflux go absolutely berserk. I'm overweight, but I haven't gained anything except for my normal 3lb fluctuation and at my last ultrasound, they said baby is measuring pretty small. I'm frustrated and would just like to eat some food that doesn't make acid creep up my throat and that my hormones won't reject. 
I'll take a full digestive system replacement after I give birth, please and thank you. Kidding...but only a little. lol</t>
        </is>
      </c>
      <c r="D5146" t="n">
        <v>1</v>
      </c>
      <c r="E5146" t="n">
        <v>2</v>
      </c>
      <c r="F5146">
        <f>HYPERLINK("https://www.reddit.com/r/GERD/comments/f06fkw/acid_reflux_and_pregnancy/")</f>
        <v/>
      </c>
      <c r="G5146" t="inlineStr">
        <is>
          <t>2020-02-06 22:13:27</t>
        </is>
      </c>
      <c r="H5146" t="inlineStr"/>
    </row>
    <row r="5147">
      <c r="A5147" t="inlineStr">
        <is>
          <t>f06hr4</t>
        </is>
      </c>
      <c r="B5147" t="inlineStr">
        <is>
          <t>Stabby pains?</t>
        </is>
      </c>
      <c r="C5147" t="inlineStr">
        <is>
          <t>Does anyone’s heart burn feel like it comes and goes? It’s not a consistent pain but it almost feel like shocking small jolts? I’m having an episode of it and it’s late at night and keeping me up....</t>
        </is>
      </c>
      <c r="D5147" t="n">
        <v>1</v>
      </c>
      <c r="E5147" t="n">
        <v>5</v>
      </c>
      <c r="F5147">
        <f>HYPERLINK("https://www.reddit.com/r/GERD/comments/f06hr4/stabby_pains/")</f>
        <v/>
      </c>
      <c r="G5147" t="inlineStr">
        <is>
          <t>2020-02-06 22:19:35</t>
        </is>
      </c>
      <c r="H5147" t="inlineStr"/>
    </row>
    <row r="5148">
      <c r="A5148" t="inlineStr">
        <is>
          <t>f06n75</t>
        </is>
      </c>
      <c r="B5148" t="inlineStr">
        <is>
          <t>If you suffer from GERD/ acid reflux</t>
        </is>
      </c>
      <c r="C5148" t="inlineStr">
        <is>
          <t>My Gerd was very severe. To the point where I was at the ER almost everyday. I felt like my throat was closing up and I would drown in my acid . I felt like I couldn’t swallow anything without choking and at times would freeze before swallowing . I stopped eating because I feared choking . I had severe anxiety. The meds made me feel sick. If this is you you’re not alone.  There is a cure for severe Gerd to where it can be managed with changing your lifestyle. If you need any advice as to how to do that message me. I have came a long way and now I feel like I can live. The symptoms have gone away . After a while of changing my lifestyle. My diet and my weight, stopped taking meds, that’s all it took.</t>
        </is>
      </c>
      <c r="D5148" t="n">
        <v>1</v>
      </c>
      <c r="E5148" t="n">
        <v>10</v>
      </c>
      <c r="F5148">
        <f>HYPERLINK("https://www.reddit.com/r/GERD/comments/f06n75/if_you_suffer_from_gerd_acid_reflux/")</f>
        <v/>
      </c>
      <c r="G5148" t="inlineStr">
        <is>
          <t>2020-02-06 22:34:10</t>
        </is>
      </c>
      <c r="H5148" t="inlineStr"/>
    </row>
    <row r="5149">
      <c r="A5149" t="inlineStr">
        <is>
          <t>f06qka</t>
        </is>
      </c>
      <c r="B5149" t="inlineStr">
        <is>
          <t>Stop taking meds for gerd/acid reflux</t>
        </is>
      </c>
      <c r="C5149" t="inlineStr">
        <is>
          <t>Cure it naturally !! Trust me! Meds will make you WORSE !!! I been down that path and close to curing mine !!! Message me if you need advice</t>
        </is>
      </c>
      <c r="D5149" t="n">
        <v>1</v>
      </c>
      <c r="E5149" t="n">
        <v>35</v>
      </c>
      <c r="F5149">
        <f>HYPERLINK("https://www.reddit.com/r/GERD/comments/f06qka/stop_taking_meds_for_gerdacid_reflux/")</f>
        <v/>
      </c>
      <c r="G5149" t="inlineStr">
        <is>
          <t>2020-02-06 22:43:22</t>
        </is>
      </c>
      <c r="H5149" t="inlineStr"/>
    </row>
    <row r="5150">
      <c r="A5150" t="inlineStr">
        <is>
          <t>f070bu</t>
        </is>
      </c>
      <c r="B5150" t="inlineStr">
        <is>
          <t>Finally got an estimated date for my endoscopy.</t>
        </is>
      </c>
      <c r="C5150" t="inlineStr">
        <is>
          <t>I have to wait 2 years. 2 WHOLE YEARS.
Whats the damn point?! If it was something serious, by that point it would be too late. 
Sorry I'm just annoyed</t>
        </is>
      </c>
      <c r="D5150" t="n">
        <v>1</v>
      </c>
      <c r="E5150" t="n">
        <v>19</v>
      </c>
      <c r="F5150">
        <f>HYPERLINK("https://www.reddit.com/r/GERD/comments/f070bu/finally_got_an_estimated_date_for_my_endoscopy/")</f>
        <v/>
      </c>
      <c r="G5150" t="inlineStr">
        <is>
          <t>2020-02-06 23:11:42</t>
        </is>
      </c>
      <c r="H5150" t="inlineStr"/>
    </row>
    <row r="5151">
      <c r="A5151" t="inlineStr">
        <is>
          <t>f077av</t>
        </is>
      </c>
      <c r="B5151" t="inlineStr">
        <is>
          <t>Not sure if this is GERD related or not. Taste buds very sensitive.</t>
        </is>
      </c>
      <c r="C5151" t="inlineStr">
        <is>
          <t>I used to drink a lot and consume a lot of sugar and sweetener which made me develop GERD. I also developed really sensitive taste buds. What I mean is when I eat something it tastes too bitter or sweet and makes me sort of cringe. It’s almost painful. It happens with everything I eat, even if the food isn’t particularly sweet.
Anyone else experience this?</t>
        </is>
      </c>
      <c r="D5151" t="n">
        <v>1</v>
      </c>
      <c r="E5151" t="n">
        <v>1</v>
      </c>
      <c r="F5151">
        <f>HYPERLINK("https://www.reddit.com/r/GERD/comments/f077av/not_sure_if_this_is_gerd_related_or_not_taste/")</f>
        <v/>
      </c>
      <c r="G5151" t="inlineStr">
        <is>
          <t>2020-02-06 23:33:23</t>
        </is>
      </c>
      <c r="H5151" t="inlineStr"/>
    </row>
    <row r="5152">
      <c r="A5152" t="inlineStr">
        <is>
          <t>f07ku1</t>
        </is>
      </c>
      <c r="B5152" t="inlineStr">
        <is>
          <t>Still didnt't have my endoscopy result</t>
        </is>
      </c>
      <c r="C5152" t="inlineStr">
        <is>
          <t>It's been 17 days now and I"m still waiting for these results ! . After the endoscopy I left the hospital without authorization because I was angry to have waiting decades before getting my endoscopy 
I read my report on their website and it"s just horrific, they took  7 biopsies   from   evrything   !   what worry me the most is a picture   on which they  written " salmon pink  mucosa ,probably BO  C0M1" 
What does this shit mean ?  why it takes such long time to get results ?</t>
        </is>
      </c>
      <c r="D5152" t="n">
        <v>1</v>
      </c>
      <c r="E5152" t="n">
        <v>2</v>
      </c>
      <c r="F5152">
        <f>HYPERLINK("https://www.reddit.com/r/GERD/comments/f07ku1/still_didntt_have_my_endoscopy_result/")</f>
        <v/>
      </c>
      <c r="G5152" t="inlineStr">
        <is>
          <t>2020-02-07 00:15:43</t>
        </is>
      </c>
      <c r="H5152" t="inlineStr"/>
    </row>
    <row r="5153">
      <c r="A5153" t="inlineStr">
        <is>
          <t>f08kco</t>
        </is>
      </c>
      <c r="B5153" t="inlineStr">
        <is>
          <t>Chamomile tea made my heart rate beat faster? Or was it general anxiety?</t>
        </is>
      </c>
      <c r="C5153" t="inlineStr">
        <is>
          <t>I drank a regular cup of caffeine free chamomile tea for the first time, and half an hour later my heart rate began beating faster and it felt weird in my chest.</t>
        </is>
      </c>
      <c r="D5153" t="n">
        <v>1</v>
      </c>
      <c r="E5153" t="n">
        <v>5</v>
      </c>
      <c r="F5153">
        <f>HYPERLINK("https://www.reddit.com/r/GERD/comments/f08kco/chamomile_tea_made_my_heart_rate_beat_faster_or/")</f>
        <v/>
      </c>
      <c r="G5153" t="inlineStr">
        <is>
          <t>2020-02-07 02:14:48</t>
        </is>
      </c>
      <c r="H5153" t="inlineStr"/>
    </row>
    <row r="5154">
      <c r="A5154" t="inlineStr">
        <is>
          <t>f0as2u</t>
        </is>
      </c>
      <c r="B5154" t="inlineStr">
        <is>
          <t>Losing weight since I started PPI treatment</t>
        </is>
      </c>
      <c r="C5154" t="inlineStr">
        <is>
          <t>I have been diagnosticated GERD and my endoscopy revealed gastritis spread through my stomach with bile reflux, the results of the biopsy havent arrived yet. I have lots of reflux on my throat which improved a bit with the diet change, PPIs and sulcralfate medicine. The trouble is that my sleep is really bad, I'm constantly waking up in the middle of the night, and most recently I feel that my intestines are not absorbing nutrients I have have diarrhea, the stoll is always yellow and you can see remains of good in them like carrot pieces. Does anyone know whats causing this? Should I stop taking PPIs ?</t>
        </is>
      </c>
      <c r="D5154" t="n">
        <v>1</v>
      </c>
      <c r="E5154" t="n">
        <v>3</v>
      </c>
      <c r="F5154">
        <f>HYPERLINK("https://www.reddit.com/r/GERD/comments/f0as2u/losing_weight_since_i_started_ppi_treatment/")</f>
        <v/>
      </c>
      <c r="G5154" t="inlineStr">
        <is>
          <t>2020-02-07 05:54:12</t>
        </is>
      </c>
      <c r="H5154" t="inlineStr"/>
    </row>
    <row r="5155">
      <c r="A5155" t="inlineStr">
        <is>
          <t>f0b3g2</t>
        </is>
      </c>
      <c r="B5155" t="inlineStr">
        <is>
          <t>Small Hiatal hernia and small amount of reflux?</t>
        </is>
      </c>
      <c r="C5155" t="inlineStr">
        <is>
          <t>What do you guys do to get rid of small Hiatal  hernias? My barium swallow showed the small hernia and minimal reflux yet I feel like my acid reflux has gotten so much worse within the past months, maybe due to the hernia? Looking for suggestions thanks!</t>
        </is>
      </c>
      <c r="D5155" t="n">
        <v>1</v>
      </c>
      <c r="E5155" t="n">
        <v>13</v>
      </c>
      <c r="F5155">
        <f>HYPERLINK("https://www.reddit.com/r/GERD/comments/f0b3g2/small_hiatal_hernia_and_small_amount_of_reflux/")</f>
        <v/>
      </c>
      <c r="G5155" t="inlineStr">
        <is>
          <t>2020-02-07 06:19:54</t>
        </is>
      </c>
      <c r="H5155" t="inlineStr"/>
    </row>
    <row r="5156">
      <c r="A5156" t="inlineStr">
        <is>
          <t>f0bqjp</t>
        </is>
      </c>
      <c r="B5156" t="inlineStr">
        <is>
          <t>Need advice - first time symptoms</t>
        </is>
      </c>
      <c r="C5156" t="inlineStr">
        <is>
          <t>Hello all! I’ve recently been having reflux related symptoms and I could sure use some advice to stop this before it turns into something bigger.
I’m 29, F, never had a single heartburn incident in my whole life. And admittedly, I kind of deserve it. I don’t drink or smoke but I have been careless about eating greasy meals late at night, and I tend to eat very fast. 
On this past Sunday night I had a couple pieces of cheese pizza, nothing too crazy. I was instantly hit with some burning acid in my throat (just the back of my throat, not my chest at all) and it subsided before I went to bed. Well, I woke up a couple times during the night and I could taste acid again and intermittently throughout the day Monday. 
I went out then and bought some generic Pepsid AC because my pharmacy was out. I’ve been taking it twice a day, have eliminated everything from my diet except plain rice and yogurt, and have been following the rules about not eating at night and staying upright. I’ve been periodically swigging alkaline water also. These things have helped but I still have a persistent sore throat all day everyday. So I must be still having acid at night without realizing it. Nothing majorly painful, just annoying. 
I went out yesterday and bought a wedge pillow, but disappointingly still woke up in the night tasting acid. It’s never a lot of acid, I’m never choking and gagging on it, just enough that I can taste it and it burns my throat. 
At this point I’m feeling kind of hopeless, my symptoms are so minor I keep thinking it will clear up completely and it hasn’t. Now I’m on day 6 of this and unsure of my next steps? I’ll go to the dr if it lasts another week but I’m afraid they’ll just give me ppi’s. So, good people of reddit, id love to hear any advice you might have? Should I continue the generic pepsid? Switch to a ppi? Do something else entirely? I’m starting to have some bad anxiety about this turning into full blown GERD. 
tl;dr : persistent very small amounts of throat acid for 6 days, never had an incident before, scared!!</t>
        </is>
      </c>
      <c r="D5156" t="n">
        <v>1</v>
      </c>
      <c r="E5156" t="n">
        <v>5</v>
      </c>
      <c r="F5156">
        <f>HYPERLINK("https://www.reddit.com/r/GERD/comments/f0bqjp/need_advice_first_time_symptoms/")</f>
        <v/>
      </c>
      <c r="G5156" t="inlineStr">
        <is>
          <t>2020-02-07 07:10:39</t>
        </is>
      </c>
      <c r="H5156" t="inlineStr"/>
    </row>
    <row r="5157">
      <c r="A5157" t="inlineStr">
        <is>
          <t>f0c0g3</t>
        </is>
      </c>
      <c r="B5157" t="inlineStr">
        <is>
          <t>What is done for high levels of stomach acid?</t>
        </is>
      </c>
      <c r="C5157" t="inlineStr">
        <is>
          <t>My PH test said I have high levels of stomach acid, so my question is what do they do for it? PPIs no longer work for me, what is the next step?</t>
        </is>
      </c>
      <c r="D5157" t="n">
        <v>1</v>
      </c>
      <c r="E5157" t="n">
        <v>0</v>
      </c>
      <c r="F5157">
        <f>HYPERLINK("https://www.reddit.com/r/GERD/comments/f0c0g3/what_is_done_for_high_levels_of_stomach_acid/")</f>
        <v/>
      </c>
      <c r="G5157" t="inlineStr">
        <is>
          <t>2020-02-07 07:30:48</t>
        </is>
      </c>
      <c r="H5157" t="inlineStr"/>
    </row>
    <row r="5158">
      <c r="A5158" t="inlineStr">
        <is>
          <t>f0c3vi</t>
        </is>
      </c>
      <c r="B5158" t="inlineStr">
        <is>
          <t>Is it GERD or something else? Please help :(</t>
        </is>
      </c>
      <c r="C5158" t="inlineStr">
        <is>
          <t>Hi all
This will be my first reddit post, so thank you for reading :)
TLDR: no tests have shown anything, coughing a lot when I eat, causing vocal nodules and sinus infections
I'm a 26 year old, healthy female with a normal BMI. I'm very active, no serious prior health issues, and I'm in grad school. About 2 years ago (at the beginning of grad school) I started to regurgitate in my mouth quite a bit, especially when I would bend over to tie my shoes. I also went out to the bar one night, woke up with a raspy voice, and never got my voice back. I also started having a wet cough when I eat almost anything, and was stuffy about 100% of the time. 
I didn't go to the doctor until a year later due to lack of insurance. When I did, he said I have acid reflux and put me on 20 mg of omeprazole. I also went to the ENT and they told me I have vocal nodules, and a deviated septum. They advised me to use nasal spray, see a voice therapist, and to avoid coughing. I literally can't avoid coughing, so what fucking useless advice.
I had a modified barium swallow test because I felt like maybe the cough was from aspirating. Results were normal.
Had an upper endoscopy done. Results were normal.
The omeprazole didn't stop me from coughing, and so I stopped taking it. A couple of months later, I started having heartburn for the first time. I sent a message to my doctor, and he put me on 40 mg of Pantoprazole instead. The heartburn went away immediately.
I started doing voice therapy during that summer, but with the continued coughing from eating, my nodules had made zero progress by the end. 
Went to see a GI doctor that fall and they told me it wasn't a stomach issue (just from hearing what I've been going through). I went to see an allergist and he said it couldn't possibly be a food allergy. He recommended an elimination diet, which I went on for a while but once I started reintroducing foods, I realized everything made me clear my throat, so I stopped. I went back to the doctor and he advised that I get an xray of my lung to make sure I wasn't coughing from leftover pneumonia, and an esophagram. 
Xray and esophagram came back normal. Only thing found was slight dysphagia and I was advised to maybe swallow more water with my food.
I've been trying to monitor what I eat now. I didn't think it would come to this, but even with the 40mg of pantoprazole I have almost constant heartburn all day, it's gotten progressively worse. I have been able to minimize the coughing by eating very boring foods (tuna, brussel sprouts). This has caused my voice to become very weak.
I know drinks like coffee and wine are supposed to make the reflux worse, but to be honest those drinks dry my system out and usually prevent me from coughing. The only thing is, I'll wake up with a terribly irritated sore throat (it's visibly red and gross looking) and literally feel like I'm coming down with the worst sinus infection. Sometimes, it does lead to a sinus infection. I can't help but wonder if the coughing is some sort of phlegm issue, unrelated to reflux. I don't know if I get the taste of acid in my mouth in the morning, and I don't know what a reflux "flare up" is (I've seen that term a lot on these posts). I have another appointment with a better ENT at the end of the month, but was curious if anybody here has experienced symptoms similar to mine.
Random side note, I ate a lot of gorgonzola cheese before I went to bed last night. Didn't cough, but woke up with throat feeling absolutely fucked.
Thanks!</t>
        </is>
      </c>
      <c r="D5158" t="n">
        <v>1</v>
      </c>
      <c r="E5158" t="n">
        <v>8</v>
      </c>
      <c r="F5158">
        <f>HYPERLINK("https://www.reddit.com/r/GERD/comments/f0c3vi/is_it_gerd_or_something_else_please_help/")</f>
        <v/>
      </c>
      <c r="G5158" t="inlineStr">
        <is>
          <t>2020-02-07 07:37:24</t>
        </is>
      </c>
      <c r="H5158" t="inlineStr"/>
    </row>
    <row r="5159">
      <c r="A5159" t="inlineStr">
        <is>
          <t>f0cuia</t>
        </is>
      </c>
      <c r="B5159" t="inlineStr">
        <is>
          <t>Persistent Chest Pain</t>
        </is>
      </c>
      <c r="C5159" t="inlineStr">
        <is>
          <t>First of all, hello.
I've been experiencing center chest pain for almost 10 days now, the incident that started it was a sudden squeezing sensation I experienced in my chest during work which was immediately followed by hours of burping up gas. I'm familiar with bloating since I get it quite regularly but this time was rather extreme and it's resulted in a persistent chest pain, like my chest is bruised or tight for over a week now.
I've gone to the doctor and they've done an EKG test and a blood test for Cardiac Enzymes and H. Pylori - All of which came back negative/fine.
I've been prescribed Pantoprazole 40mg. I've been on this before but it gave me horrible side-effects after a couple of weeks. I'm not experiencing the classic signs of GERD it seems, (acid reflux, heartburn) I just get excessive gas burping from being bloated. Smithercone helps and feels less like a hammer to my system than Pantoprazole.
My question is: Is this kind of chest pain symptomatic of GERD? I thought it was my heart but the tests say I'm fine. The pain seems to be gone as I wake up but than throughout the day (possible because of eating) it comes back and by the end of the day it feels like a weight/tightness on my chest.
It feels like how your chest feels after a flu except with no cough, bruised or like someone's punched you there. Persistently dull aching and feeling tight.
Thanks,</t>
        </is>
      </c>
      <c r="D5159" t="n">
        <v>1</v>
      </c>
      <c r="E5159" t="n">
        <v>10</v>
      </c>
      <c r="F5159">
        <f>HYPERLINK("https://www.reddit.com/r/GERD/comments/f0cuia/persistent_chest_pain/")</f>
        <v/>
      </c>
      <c r="G5159" t="inlineStr">
        <is>
          <t>2020-02-07 08:29:15</t>
        </is>
      </c>
      <c r="H5159" t="inlineStr"/>
    </row>
    <row r="5160">
      <c r="A5160" t="inlineStr">
        <is>
          <t>f0fmoe</t>
        </is>
      </c>
      <c r="B5160" t="inlineStr">
        <is>
          <t>Maybe GERD?</t>
        </is>
      </c>
      <c r="C5160" t="inlineStr">
        <is>
          <t>Hi, I actually posted on here back in July when I thought I had GERD, had an endoscopy that showed nothing significant, and my doctor thought my stomach was due to anxiety.  So over the past 5 months, I’ve done a lot to get my anxiety under control and I’m feeling mentally really good.
However, I’m still having issues with my stomach and wanted to post in here to see if anyone has anything similar.  My pain starts right where my I imagine my esophagus meets my stomach after I eat and then migrates to the right side.  In the morning I wake up with a really sore chest.  Why I think it might be related to GERD is I’ve been having some post nasal drip and sore throat symptoms recently, especially after I eat.
I’ve tried omneprazole a few times but it didn’t really help.  Zantac and Pepcid complete help a little but also seem to make my stomach burn a lot.  I have a prescription for carafate that I started and then was struggling to take before meals so I stopped but I’m going to try again.  Right now, I’ve been taking FDGard 2x a day (helps a little) and I just started digestive enzymes.  I’ve also tried DGL (gives me a headache), marshmallow root (didn’t really do much I don’t think).  I just started using a wedge pillow and I think it helps a little but it’s so uncomfortable to sleep like that.  I also take 50 mg Zoloft.  
I’m having a HIDA scan next week to see if the gallbladder is an issue.
Anyway, if you read all that and have any suggestions or can relate, let me know, thanks!</t>
        </is>
      </c>
      <c r="D5160" t="n">
        <v>1</v>
      </c>
      <c r="E5160" t="n">
        <v>12</v>
      </c>
      <c r="F5160">
        <f>HYPERLINK("https://www.reddit.com/r/GERD/comments/f0fmoe/maybe_gerd/")</f>
        <v/>
      </c>
      <c r="G5160" t="inlineStr">
        <is>
          <t>2020-02-07 11:39:54</t>
        </is>
      </c>
      <c r="H5160" t="inlineStr"/>
    </row>
    <row r="5161">
      <c r="A5161" t="inlineStr">
        <is>
          <t>f0h8jl</t>
        </is>
      </c>
      <c r="B5161" t="inlineStr">
        <is>
          <t>Carfate and protonix for silent refux</t>
        </is>
      </c>
      <c r="C5161" t="inlineStr">
        <is>
          <t>Just got endoscopy  results today showed gastritis and esophagitis..was on omperazole before endoscopy stopped takin it as no relief and heacahces where unbearable..changed diet over last 2 months and been feeling better .no constant throat clearing after 2 days of baking soda and  alkaline water in nasel bottle sprayed in throat and nose
All i read on ppis say it doesn't help silent refux ..do I bother taking the new meds or just stick with diet ..any suggestions welcome</t>
        </is>
      </c>
      <c r="D5161" t="n">
        <v>1</v>
      </c>
      <c r="E5161" t="n">
        <v>7</v>
      </c>
      <c r="F5161">
        <f>HYPERLINK("https://www.reddit.com/r/GERD/comments/f0h8jl/carfate_and_protonix_for_silent_refux/")</f>
        <v/>
      </c>
      <c r="G5161" t="inlineStr">
        <is>
          <t>2020-02-07 13:28:54</t>
        </is>
      </c>
      <c r="H5161" t="inlineStr"/>
    </row>
    <row r="5162">
      <c r="A5162" t="inlineStr">
        <is>
          <t>f0i4ap</t>
        </is>
      </c>
      <c r="B5162" t="inlineStr">
        <is>
          <t>Avoiding Trigger Foods</t>
        </is>
      </c>
      <c r="C5162" t="inlineStr">
        <is>
          <t>How has it worked for you? Can avoiding trigger foods in the long term really improve things at all? I noticed minimal improvement the last time I tried it, but my GERD wasn't so severe back then that it was worth cutting out every food I liked from my diet. Now, however, It's gotten so bad that even with head elevation while I sleep (practically upright), I'm getting a lot of acid into my lungs, and I'm at risk for pneumonia. I just cut out all trigger foods 2 days ago (except for caffeine, which I've reduced significantly), should I expect any improvement, or should I consider surgery?</t>
        </is>
      </c>
      <c r="D5162" t="n">
        <v>1</v>
      </c>
      <c r="E5162" t="n">
        <v>15</v>
      </c>
      <c r="F5162">
        <f>HYPERLINK("https://www.reddit.com/r/GERD/comments/f0i4ap/avoiding_trigger_foods/")</f>
        <v/>
      </c>
      <c r="G5162" t="inlineStr">
        <is>
          <t>2020-02-07 14:29:02</t>
        </is>
      </c>
      <c r="H5162" t="inlineStr"/>
    </row>
    <row r="5163">
      <c r="A5163" t="inlineStr">
        <is>
          <t>f0ibqr</t>
        </is>
      </c>
      <c r="B5163" t="inlineStr">
        <is>
          <t>Thoughts on Low Fodmap diet?</t>
        </is>
      </c>
      <c r="C5163" t="inlineStr">
        <is>
          <t>I had bad issues with acid reflex and gas being stuck in my chest pretty bad this summer and I think it was from eating apples in the morning and beans from chipotle. I recently discovered something called Low Fodmap diet and the way I understand it is that you eliminate foods that your gut ferments and creates gas. I switched to eating bannanas in morning instead of apples and stopped eating beans...seems like symptoms are better. Any thoughts on Low Fodmap diets?</t>
        </is>
      </c>
      <c r="D5163" t="n">
        <v>1</v>
      </c>
      <c r="E5163" t="n">
        <v>8</v>
      </c>
      <c r="F5163">
        <f>HYPERLINK("https://www.reddit.com/r/GERD/comments/f0ibqr/thoughts_on_low_fodmap_diet/")</f>
        <v/>
      </c>
      <c r="G5163" t="inlineStr">
        <is>
          <t>2020-02-07 14:43:38</t>
        </is>
      </c>
      <c r="H5163" t="inlineStr"/>
    </row>
    <row r="5164">
      <c r="A5164" t="inlineStr">
        <is>
          <t>f0ipv0</t>
        </is>
      </c>
      <c r="B5164" t="inlineStr">
        <is>
          <t>I cant eat anything even on protonix</t>
        </is>
      </c>
      <c r="C5164" t="inlineStr">
        <is>
          <t>Even on protonix my levels are like 5 or 6 . I dont eat spicy citric stuff of coffee. This is absolutely pathetic. All I drink is water and soda in a blue moon. Coughing after everything I eat. Fearing for the worst. Thinking this is an infection or something. Anyone deal with this.?? Coughing heartburn like crazy. Protonix usually dont take this long to kick in. Been 7 days.. this is so painful the severe chestpain and the coughing. I started taking zyretec and nasal sprays for the coughing. But now coughing every meal. Even tried powerbowl at tacobell. I just cant do it. I am in so much pain .  I been trying to lose weight. I lost 30 pounds but never had gerd this so bad.  I thought it was bad in november. Nowhere close to this.. coughing every meal. It's annoying. I am making appt on monday. Then they cant tell me to change my diet or go on pills because I have done that and nothing. Usually protonix works for me. Ughh.. take probotics every other day but try to aviod because they huge pills.</t>
        </is>
      </c>
      <c r="D5164" t="n">
        <v>1</v>
      </c>
      <c r="E5164" t="n">
        <v>3</v>
      </c>
      <c r="F5164">
        <f>HYPERLINK("https://www.reddit.com/r/GERD/comments/f0ipv0/i_cant_eat_anything_even_on_protonix/")</f>
        <v/>
      </c>
      <c r="G5164" t="inlineStr">
        <is>
          <t>2020-02-07 15:12:01</t>
        </is>
      </c>
      <c r="H5164" t="inlineStr"/>
    </row>
    <row r="5165">
      <c r="A5165" t="inlineStr">
        <is>
          <t>f0iw14</t>
        </is>
      </c>
      <c r="B5165" t="inlineStr">
        <is>
          <t>Barrett's esophagus : fear of cancer every time</t>
        </is>
      </c>
      <c r="C5165" t="inlineStr">
        <is>
          <t>Hi, im just 23 and have a short segment barret : c0M2
Short segment are less likely to undergoe neoplastic transformation but it's still possible and it worry me a lot
Im taking ppi now but I dont feel safe on them, I really feel that surgery is my best bet since it reduce reflux event and regurgitation
I really want to get this barrett removed but I have not   dysplasia.
I don't know if in my country (France) they can remove it without dysplasia
I can pay for it with my own money, 5000-6000 $ its not a big price for a permanent peace of mind and a life saved</t>
        </is>
      </c>
      <c r="D5165" t="n">
        <v>1</v>
      </c>
      <c r="E5165" t="n">
        <v>1</v>
      </c>
      <c r="F5165">
        <f>HYPERLINK("https://www.reddit.com/r/GERD/comments/f0iw14/barretts_esophagus_fear_of_cancer_every_time/")</f>
        <v/>
      </c>
      <c r="G5165" t="inlineStr">
        <is>
          <t>2020-02-07 15:24:39</t>
        </is>
      </c>
      <c r="H5165" t="inlineStr"/>
    </row>
    <row r="5166">
      <c r="A5166" t="inlineStr">
        <is>
          <t>f0k1mo</t>
        </is>
      </c>
      <c r="B5166" t="inlineStr">
        <is>
          <t>Does GERD cause issues with breathing?</t>
        </is>
      </c>
      <c r="C5166" t="inlineStr">
        <is>
          <t>Ive been having some breathing issues for the last month or so and have had some occasionally in the past. My throat doesn't hurt but it feels irritated in a way, like every breath is of really cold air and my throat also feels tight a lot. Also multiple times a day I get a bubble feeling in my chest that feels like it takes my breath away for a second and I have to gasp for air. Ive started running recently to try and help my anxiety and am able to breath just fine during my runs which seems odd to me if something really is mechanically wrong/irritated but I don't really know.
Until now Ive been thinking it was just my anxiety (I have had really bad Health anxiety all of 2019 and I've been extra stressed the last 2 months trying to find a new job AND new place to live while dealing with the anxiety) but it just won't go away and most my other symptoms from anxiety have never lasted this long. Im wondering now if its not an anxiety issue but something that's caused by GERD or LPR. I do occasionally have a sour stomach and very rarely some minor heartburn but I found out from my mom that both my dad and some of his siblings and my grandpa have all dealt with acid reflux most these lives so it seems highly likely I have an issue with it as well.
I haven't gotten this checked out by a doctor yet because I can't afford it at the moment but does this sound at all like some form of GERD to you guys?</t>
        </is>
      </c>
      <c r="D5166" t="n">
        <v>1</v>
      </c>
      <c r="E5166" t="n">
        <v>9</v>
      </c>
      <c r="F5166">
        <f>HYPERLINK("https://www.reddit.com/r/GERD/comments/f0k1mo/does_gerd_cause_issues_with_breathing/")</f>
        <v/>
      </c>
      <c r="G5166" t="inlineStr">
        <is>
          <t>2020-02-07 16:53:56</t>
        </is>
      </c>
      <c r="H5166" t="inlineStr"/>
    </row>
    <row r="5167">
      <c r="A5167" t="inlineStr">
        <is>
          <t>f0kxks</t>
        </is>
      </c>
      <c r="B5167" t="inlineStr">
        <is>
          <t>Burning sun dead center of chest day 4</t>
        </is>
      </c>
      <c r="C5167" t="inlineStr">
        <is>
          <t>Have a HH but got flu a week ago I’m in agony day 4 now right below sternum. Can’t be the HH at this point but eating is rough. No idea what’s wrong hope it’s a chest cold somehow fucking with the HH.</t>
        </is>
      </c>
      <c r="D5167" t="n">
        <v>1</v>
      </c>
      <c r="E5167" t="n">
        <v>2</v>
      </c>
      <c r="F5167">
        <f>HYPERLINK("https://www.reddit.com/r/GERD/comments/f0kxks/burning_sun_dead_center_of_chest_day_4/")</f>
        <v/>
      </c>
      <c r="G5167" t="inlineStr">
        <is>
          <t>2020-02-07 18:07:22</t>
        </is>
      </c>
      <c r="H5167" t="inlineStr"/>
    </row>
    <row r="5168">
      <c r="A5168" t="inlineStr">
        <is>
          <t>f0kzcb</t>
        </is>
      </c>
      <c r="B5168" t="inlineStr">
        <is>
          <t>Self discipline when it comes to diet</t>
        </is>
      </c>
      <c r="C5168" t="inlineStr">
        <is>
          <t>How do you guys stick to your diet when it comes to acid reflux? (No spicy, greasy, no caffeine, no sugary foods, etc) I have trouble with staying away from sugary foods because I need sugar to help with my mood. I feel like I have no self discipline and it’s really bad lol. I want to get better but sticking to bland food is making me go crazy and is having a negative effect on my mood. Does anyone have tips for self discipline and sticking to a healthy diet?</t>
        </is>
      </c>
      <c r="D5168" t="n">
        <v>1</v>
      </c>
      <c r="E5168" t="n">
        <v>35</v>
      </c>
      <c r="F5168">
        <f>HYPERLINK("https://www.reddit.com/r/GERD/comments/f0kzcb/self_discipline_when_it_comes_to_diet/")</f>
        <v/>
      </c>
      <c r="G5168" t="inlineStr">
        <is>
          <t>2020-02-07 18:11:39</t>
        </is>
      </c>
      <c r="H5168" t="inlineStr"/>
    </row>
    <row r="5169">
      <c r="A5169" t="inlineStr">
        <is>
          <t>f0l0v5</t>
        </is>
      </c>
      <c r="B5169" t="inlineStr">
        <is>
          <t>Please help.</t>
        </is>
      </c>
      <c r="C5169" t="inlineStr">
        <is>
          <t>I need advice, I need to know what to do.
I'm 17, almost out of high school, but this school year has been hell due to either GERD or Acid Reflux, idk what it is. I have to leave school often, because I gag on my own spit, it makes me almost puke. I have trouble shitting, and not only do I have trouble, I go wayyyyy too often, to where it actually hurts. I've been getting bad grades, I'm tired, this is ruining my daily life. I don't know what to do...would a diet help? It's what I'm gonna start doing pretty much starting tommorow, which basically removes everything I loved to eat.</t>
        </is>
      </c>
      <c r="D5169" t="n">
        <v>1</v>
      </c>
      <c r="E5169" t="n">
        <v>5</v>
      </c>
      <c r="F5169">
        <f>HYPERLINK("https://www.reddit.com/r/GERD/comments/f0l0v5/please_help/")</f>
        <v/>
      </c>
      <c r="G5169" t="inlineStr">
        <is>
          <t>2020-02-07 18:15:10</t>
        </is>
      </c>
      <c r="H5169" t="inlineStr"/>
    </row>
    <row r="5170">
      <c r="A5170" t="inlineStr">
        <is>
          <t>f0lj8l</t>
        </is>
      </c>
      <c r="B5170" t="inlineStr">
        <is>
          <t>Motility issues</t>
        </is>
      </c>
      <c r="C5170" t="inlineStr">
        <is>
          <t>Hey so I’ve been looking into motility issues. Is it possible to just have weak esophageal muscles without anything like Achalasia? Is there just a condition for weak esophageal muscles? Thanks</t>
        </is>
      </c>
      <c r="D5170" t="n">
        <v>1</v>
      </c>
      <c r="E5170" t="n">
        <v>8</v>
      </c>
      <c r="F5170">
        <f>HYPERLINK("https://www.reddit.com/r/GERD/comments/f0lj8l/motility_issues/")</f>
        <v/>
      </c>
      <c r="G5170" t="inlineStr">
        <is>
          <t>2020-02-07 18:58:14</t>
        </is>
      </c>
      <c r="H5170" t="inlineStr"/>
    </row>
    <row r="5171">
      <c r="A5171" t="inlineStr">
        <is>
          <t>f0mzn4</t>
        </is>
      </c>
      <c r="B5171" t="inlineStr">
        <is>
          <t>Do you guys think I have gerd?</t>
        </is>
      </c>
      <c r="C5171" t="inlineStr">
        <is>
          <t xml:space="preserve">
So, it all started about two weeks ago, I woke up with weird stomach pains, went into work popped some tums which didnt really seem to help, started taking some lansoprazole which didnt seem to do much either. 
Fast forward about a week I go to see a PA because my doctor wasnt in, he thought it was my galbladdar and ordered some tests for the following week. 
A day later my mom wanted me to go to the ER to get it checked out because it was making me anxious, blood work came back ok, ultra sound was good, and a cat scan of my stomach came back ok aswell.
Saw my doctor again yesterday and he set me up with a GI specialist to scope my stomach in a couple days.
I dont really get acid up in my throat but I do get things like constipation, sometimes my stomach pains are dull, sometimes they're constant, but regardless of how bad it is I can ALWAYS feel it in my stomach. About a week after this started I'm even starting to get heart/chest pains randomly, I think that's just from anxiety because my EKG came back ok. 
 The only other thing I can really note is I had chic filet the other day and I ordered a spicy chicken sandwich and the next day I felt pretty shitty. 
Do you guys think this sounds like gerd? I know this probably gets asked a lot but its worrying me to death</t>
        </is>
      </c>
      <c r="D5171" t="n">
        <v>1</v>
      </c>
      <c r="E5171" t="n">
        <v>0</v>
      </c>
      <c r="F5171">
        <f>HYPERLINK("https://www.reddit.com/r/GERD/comments/f0mzn4/do_you_guys_think_i_have_gerd/")</f>
        <v/>
      </c>
      <c r="G5171" t="inlineStr">
        <is>
          <t>2020-02-07 21:07:46</t>
        </is>
      </c>
      <c r="H5171" t="inlineStr"/>
    </row>
    <row r="5172">
      <c r="A5172" t="inlineStr">
        <is>
          <t>f0r15c</t>
        </is>
      </c>
      <c r="B5172" t="inlineStr">
        <is>
          <t>Very bad rebound after PPIs, should I go back on them??</t>
        </is>
      </c>
      <c r="C5172" t="inlineStr">
        <is>
          <t>Hi all, 
I'm a 23 year old, healthy and fit man with a very clean diet. I developed bad reflux after slipping on my diet during a holiday, I was drinking a lot and eating poorly.
I took a 2 month course of 40mg PPis in October and November, after stopping then my symptoms just came back. 
I went back to my doctor who gave me another month on 20mg which helped somewhat. 
I ran out out of these last week and oh god, this is the worst GERD I've ever experienced. 
I've got chest pain, shakes, trouble breathing, trouble swallowing and this constant feeling of something stuck in my throat. It's hell. I even thought it was a heart attack at first. 
I can go to the pharma and get another supply of PPis before going back to the doctor, but i feel like it's like an addict using more drugs to deal with withdrawals, what should I do???</t>
        </is>
      </c>
      <c r="D5172" t="n">
        <v>1</v>
      </c>
      <c r="E5172" t="n">
        <v>13</v>
      </c>
      <c r="F5172">
        <f>HYPERLINK("https://www.reddit.com/r/GERD/comments/f0r15c/very_bad_rebound_after_ppis_should_i_go_back_on/")</f>
        <v/>
      </c>
      <c r="G5172" t="inlineStr">
        <is>
          <t>2020-02-08 04:34:13</t>
        </is>
      </c>
      <c r="H5172" t="inlineStr"/>
    </row>
    <row r="5173">
      <c r="A5173" t="inlineStr">
        <is>
          <t>f0rzug</t>
        </is>
      </c>
      <c r="B5173" t="inlineStr">
        <is>
          <t>PPI Spiked Blood Pressure</t>
        </is>
      </c>
      <c r="C5173" t="inlineStr">
        <is>
          <t>After reducing my dose my BP came down from 140/95 to 120/80. 
Go figure!</t>
        </is>
      </c>
      <c r="D5173" t="n">
        <v>1</v>
      </c>
      <c r="E5173" t="n">
        <v>5</v>
      </c>
      <c r="F5173">
        <f>HYPERLINK("https://www.reddit.com/r/GERD/comments/f0rzug/ppi_spiked_blood_pressure/")</f>
        <v/>
      </c>
      <c r="G5173" t="inlineStr">
        <is>
          <t>2020-02-08 06:06:18</t>
        </is>
      </c>
      <c r="H5173" t="inlineStr"/>
    </row>
    <row r="5174">
      <c r="A5174" t="inlineStr">
        <is>
          <t>f0u9xz</t>
        </is>
      </c>
      <c r="B5174" t="inlineStr">
        <is>
          <t>I suspect weak LES</t>
        </is>
      </c>
      <c r="C5174" t="inlineStr">
        <is>
          <t>First post here. 
Mid thirties. Been experiencing food regurgitation almost daily following a meal of any composition for over five years. I've been through several UGI and endoscopy procedures. The UGI confirmed severe reflux, but the endos found nothing outside of mild gastritis. 
As of the moment my specialist appears resigned to have me on omeprazole twice daily indefinitely, despite only mild relief of symptoms.
Given my experiences of the symptoms I'm convinced my problem is largely the result of a weakened LES which is allowing a large volume of food matter to come back up, often without the presence of acid.
More procedures to follow. 
Would the endos have examined the strength of the LES? Do I need to let go of this suspicion?</t>
        </is>
      </c>
      <c r="D5174" t="n">
        <v>1</v>
      </c>
      <c r="E5174" t="n">
        <v>11</v>
      </c>
      <c r="F5174">
        <f>HYPERLINK("https://www.reddit.com/r/GERD/comments/f0u9xz/i_suspect_weak_les/")</f>
        <v/>
      </c>
      <c r="G5174" t="inlineStr">
        <is>
          <t>2020-02-08 09:02:01</t>
        </is>
      </c>
      <c r="H5174" t="inlineStr"/>
    </row>
    <row r="5175">
      <c r="A5175" t="inlineStr">
        <is>
          <t>f0uv6c</t>
        </is>
      </c>
      <c r="B5175" t="inlineStr">
        <is>
          <t>The chestpain part of gerd. I keep putting off the endoscopy and forgetting about my appt.</t>
        </is>
      </c>
      <c r="C5175" t="inlineStr">
        <is>
          <t>I been having memory loss more so I keep forgetting about my appt but I need to find tht out nowt. So sick of having digestive issues. Protonix fiber and probotics and zyretec I am going to do all together and see if this helps me..I have the chest pain and the coughing .. I felt mucous so started the zyrtec nd been taking it consistently now. But the 8th day protonix is not working I know protonix takes forever works back in November took for 3weeks now my acid came back.  Probotics nd fiber imma try doing today.</t>
        </is>
      </c>
      <c r="D5175" t="n">
        <v>1</v>
      </c>
      <c r="E5175" t="n">
        <v>1</v>
      </c>
      <c r="F5175">
        <f>HYPERLINK("https://www.reddit.com/r/GERD/comments/f0uv6c/the_chestpain_part_of_gerd_i_keep_putting_off_the/")</f>
        <v/>
      </c>
      <c r="G5175" t="inlineStr">
        <is>
          <t>2020-02-08 09:43:10</t>
        </is>
      </c>
      <c r="H5175" t="inlineStr"/>
    </row>
    <row r="5176">
      <c r="A5176" t="inlineStr">
        <is>
          <t>f0vpnh</t>
        </is>
      </c>
      <c r="B5176" t="inlineStr">
        <is>
          <t>Burps feel stuck?</t>
        </is>
      </c>
      <c r="C5176" t="inlineStr">
        <is>
          <t>Does anyone else get this feeling? I feel like my burps get stuck in my chest and throat. After eating it’s like things get stuck in my chest as if it doesn’t digest properly. My throat will also feel tight and certain foods make it feel like I have a sore throat. Gi suspects I have Candida since I have a yeast infection, white tongue and anal burning. Any advice on how to improve digestion? I struggle with a lot of bloating as if it feels like things don’t go down properly and digest slowly</t>
        </is>
      </c>
      <c r="D5176" t="n">
        <v>1</v>
      </c>
      <c r="E5176" t="n">
        <v>36</v>
      </c>
      <c r="F5176">
        <f>HYPERLINK("https://www.reddit.com/r/GERD/comments/f0vpnh/burps_feel_stuck/")</f>
        <v/>
      </c>
      <c r="G5176" t="inlineStr">
        <is>
          <t>2020-02-08 10:42:30</t>
        </is>
      </c>
      <c r="H5176" t="inlineStr"/>
    </row>
    <row r="5177">
      <c r="A5177" t="inlineStr">
        <is>
          <t>f0vwde</t>
        </is>
      </c>
      <c r="B5177" t="inlineStr">
        <is>
          <t>What will a barium swallow show?</t>
        </is>
      </c>
      <c r="C5177" t="inlineStr">
        <is>
          <t>I’m going on Monday morning for a Barium swallow. I guess it’s the next step in figuring out what the problem is. 
Will it show a hernia? Or cricopharyngeal spasms?  What else can it possibly tell the doctors?
After 3 months of throat and ear pressure and countless hours of research I’ve come to a theory that I have cricopharyngeal spasms that just don’t go away. But it still doesn’t explain the ear pressure. A few months ago I had a scare with vasovagal presyncopy and have also had random but severe esophageal spasms for the last 7 years. I’m starting to think I have an issue with my vagus nerve. I’ve been dealing with a neck injury/herniated disc for a long time and just curious if it could all be related. 
Sorry I got off topic. Basically just want to know what the barium swallow will tell my doctors. Thanks</t>
        </is>
      </c>
      <c r="D5177" t="n">
        <v>1</v>
      </c>
      <c r="E5177" t="n">
        <v>5</v>
      </c>
      <c r="F5177">
        <f>HYPERLINK("https://www.reddit.com/r/GERD/comments/f0vwde/what_will_a_barium_swallow_show/")</f>
        <v/>
      </c>
      <c r="G5177" t="inlineStr">
        <is>
          <t>2020-02-08 10:56:14</t>
        </is>
      </c>
      <c r="H5177" t="inlineStr"/>
    </row>
    <row r="5178">
      <c r="A5178" t="inlineStr">
        <is>
          <t>f0wenp</t>
        </is>
      </c>
      <c r="B5178" t="inlineStr">
        <is>
          <t>Gerd, diesel car, my story so far</t>
        </is>
      </c>
      <c r="C5178" t="inlineStr">
        <is>
          <t>It all started 10 months ago, where a started my new job which i had a long commute in my diesel car every day. Soon i started feeling sick after my drive to work after that started getting severe heartburn, chest pain, went to the docs, he gave me 20mg omeprazole, been taking it for 8 weeks now. The heartburn has improved alot, but was still getting chest pain( tightness in chest right side only) but recently my chest pain has improved. Now feeling really sick for the last 3 days in a row, have a bitter taste in mouth, is this a side effect of the drug? Ever since taking the drug im also burping alot? It feels like food is going up my chest, like when your about to puke.
Stoped all spicy bad food.
My diet now consists of having brown toast with cheese in the morning.
Rice with chicken breast and mixed steamed veg( carrots, peas, sweetcorn) and the same for dinner. I get very hungry now. Should i be eating more. Really need some different food,is it also a good idea to take vitamin tablets, any help here would be greatly greatly appreciated. 
Had my car checked for problems, they can't find anything wrong with it, got rid of the car anyway.
Is it possible i could have been poisoned by my car?   And also gave up the long commute job.</t>
        </is>
      </c>
      <c r="D5178" t="n">
        <v>1</v>
      </c>
      <c r="E5178" t="n">
        <v>2</v>
      </c>
      <c r="F5178">
        <f>HYPERLINK("https://www.reddit.com/r/GERD/comments/f0wenp/gerd_diesel_car_my_story_so_far/")</f>
        <v/>
      </c>
      <c r="G5178" t="inlineStr">
        <is>
          <t>2020-02-08 11:31:50</t>
        </is>
      </c>
      <c r="H5178" t="inlineStr"/>
    </row>
    <row r="5179">
      <c r="A5179" t="inlineStr">
        <is>
          <t>f0wxei</t>
        </is>
      </c>
      <c r="B5179" t="inlineStr">
        <is>
          <t>What recipes or meals worked best for you?</t>
        </is>
      </c>
      <c r="C5179" t="inlineStr">
        <is>
          <t>Hi, my dad has recently been diagnosed with acid reflux and I am trying to help him out since he is awful at sticking to what doctors are telling him to do. I want to start by helping him cook better meals which won't trigger his reflux so I'd like to start by finding out what other sufferers have tried then adapting things as we go. Many thanks.</t>
        </is>
      </c>
      <c r="D5179" t="n">
        <v>1</v>
      </c>
      <c r="E5179" t="n">
        <v>2</v>
      </c>
      <c r="F5179">
        <f>HYPERLINK("https://www.reddit.com/r/GERD/comments/f0wxei/what_recipes_or_meals_worked_best_for_you/")</f>
        <v/>
      </c>
      <c r="G5179" t="inlineStr">
        <is>
          <t>2020-02-08 12:08:31</t>
        </is>
      </c>
      <c r="H5179" t="inlineStr"/>
    </row>
    <row r="5180">
      <c r="A5180" t="inlineStr">
        <is>
          <t>f0y17y</t>
        </is>
      </c>
      <c r="B5180" t="inlineStr">
        <is>
          <t>Does mild reflux without heartburn increase chance of esophageal cancer?</t>
        </is>
      </c>
      <c r="C5180" t="inlineStr">
        <is>
          <t>21M. I take omeprazole but I can still sometimes feel stomach contents refluxing into my esophagus a few times a day. I think my LES is loose af. It doesn't burn like it used to before I started ppis though, so does it still increase chance of cancer? Is it possible for my LES to be tighter if I lose weight (I'm pretty overweight).</t>
        </is>
      </c>
      <c r="D5180" t="n">
        <v>1</v>
      </c>
      <c r="E5180" t="n">
        <v>5</v>
      </c>
      <c r="F5180">
        <f>HYPERLINK("https://www.reddit.com/r/GERD/comments/f0y17y/does_mild_reflux_without_heartburn_increase/")</f>
        <v/>
      </c>
      <c r="G5180" t="inlineStr">
        <is>
          <t>2020-02-08 13:27:46</t>
        </is>
      </c>
      <c r="H5180" t="inlineStr"/>
    </row>
    <row r="5181">
      <c r="A5181" t="inlineStr">
        <is>
          <t>f1076u</t>
        </is>
      </c>
      <c r="B5181" t="inlineStr">
        <is>
          <t>Any suggestions / recommendations on next step?</t>
        </is>
      </c>
      <c r="C5181" t="inlineStr">
        <is>
          <t>Ill try and make a long story short.
Over the past year I started working out and running and I've managed to lose about 50 pounds along with eating a cleaner diet. I usually keep it pretty simple, rice chicken and beans along with vegetables and fruit. I drink mostly water with some diet coke here and there.
The health problems started about 6 months ago when i began to randomly experience a burning sharp pain in my upper right abdomen that would last for up to an hour, sometimes 2 to 3 times a week randomly. My doctor prescribed omeprazole which I began to take, along with a HIDA and ultrasound, both of which came back clear for gall bladder issues. For the most part the issue which felt like a gallbladder attack has somewhat subsided, although I continue to have discomfort 24/7.
After a few months of omeprazole I began to have non stop chest pain, heart palpation and heartburn worse than I've ever had in my life. I stopped taking it and I still feel just about the same as when I was on the medication. I then went to a specialist and had an endoscopy which revealed nothing major, but diagnosed me with GERD and gave me famotidine to take.
I haven't noticed any improvement since I began the medication. Do I continue racking up the medical bills and try to push and find the underlying issues that are causing this, or accept the diagnosis and live with it? I have tried a change in diet with no noticeable difference. At this point it affects my ability to workout and continue my weight loss. I have little social life as the pain is constant and just makes me want to stay inside all day.</t>
        </is>
      </c>
      <c r="D5181" t="n">
        <v>1</v>
      </c>
      <c r="E5181" t="n">
        <v>2</v>
      </c>
      <c r="F5181">
        <f>HYPERLINK("https://www.reddit.com/r/GERD/comments/f1076u/any_suggestions_recommendations_on_next_step/")</f>
        <v/>
      </c>
      <c r="G5181" t="inlineStr">
        <is>
          <t>2020-02-08 16:03:06</t>
        </is>
      </c>
      <c r="H5181" t="inlineStr"/>
    </row>
    <row r="5182">
      <c r="A5182" t="inlineStr">
        <is>
          <t>f11bca</t>
        </is>
      </c>
      <c r="B5182" t="inlineStr">
        <is>
          <t>Does this sound like gerd?</t>
        </is>
      </c>
      <c r="C5182" t="inlineStr">
        <is>
          <t>I made a post about this over at /r/docs,
But basically for the past few months I've been burping *incessantly*. It doesn't really seem to be related to when I eat, but I often feel short of breath and have a tight chest. I'll sometimes burp up acid or even solid food particles. Sometimes I'll even experience heart palpitations.
Does any of that sound like GERD? I'm just having trouble understanding how excessive burping could lead to me feeling short of breath/having chest tightness/heart palpitations.
I am seeing a GI in a week or so, but I just wanted to make sure there was nothing more serious happening to me like cancer or something. I'm a 25 year old dude with no history or family history of anything.</t>
        </is>
      </c>
      <c r="D5182" t="n">
        <v>1</v>
      </c>
      <c r="E5182" t="n">
        <v>8</v>
      </c>
      <c r="F5182">
        <f>HYPERLINK("https://www.reddit.com/r/GERD/comments/f11bca/does_this_sound_like_gerd/")</f>
        <v/>
      </c>
      <c r="G5182" t="inlineStr">
        <is>
          <t>2020-02-08 17:26:40</t>
        </is>
      </c>
      <c r="H5182" t="inlineStr"/>
    </row>
    <row r="5183">
      <c r="A5183" t="inlineStr">
        <is>
          <t>f11pks</t>
        </is>
      </c>
      <c r="B5183" t="inlineStr">
        <is>
          <t>Black phlegm</t>
        </is>
      </c>
      <c r="C5183" t="inlineStr">
        <is>
          <t>I've had this a few times now and doctors think it's GERD based but I've been coughing black phlegm when I have deep coughs. Supposedly it's acid corrosion causing bleeding in the lungs and then that oxidising and corroding in the acid. Just seeing if anyone else has heard of it. I have pretty severe LPR and haven't spoke to a specialist yet and am unable to go on any medication because I'm either allergic or have been on it on and off for 9 years and it no longer works (I started it when I was still counting my age on my fingers)</t>
        </is>
      </c>
      <c r="D5183" t="n">
        <v>1</v>
      </c>
      <c r="E5183" t="n">
        <v>2</v>
      </c>
      <c r="F5183">
        <f>HYPERLINK("https://www.reddit.com/r/GERD/comments/f11pks/black_phlegm/")</f>
        <v/>
      </c>
      <c r="G5183" t="inlineStr">
        <is>
          <t>2020-02-08 17:57:18</t>
        </is>
      </c>
      <c r="H5183" t="inlineStr"/>
    </row>
    <row r="5184">
      <c r="A5184" t="inlineStr">
        <is>
          <t>f12a26</t>
        </is>
      </c>
      <c r="B5184" t="inlineStr">
        <is>
          <t>Need help</t>
        </is>
      </c>
      <c r="C5184" t="inlineStr">
        <is>
          <t>Hey I’m a 14 year old male and I’m literally driving myself crazy with these symptoms. I have had reflux symptoms including constant burping, regurgitating a sour taste, and a full feeling in my upper abdomen since July last year, then recently difficulty swallowing in my neck area near my Adam’s apple, maybe a little above. I took ppis until mid December which sort of helped but not completely. After 3 weeks off ppis I started having difficulty swallowing in my neck area. To be clear, it’s getting stuck midway up my neck. It feels like when I swallow it goes down slow there and hurts a bit and maybe some stays for a second and gives me a weird feeling of pressure in my neck, which concerns me. I’m freaking out over my health and I’m only a teenager and I hate this. I have an appointment but the wait is months, and I just want to rule out esophageal cancer now because it would calm be down so much. Any ideas on what I could have? My dysphagia is higher up than most people so idk if gerd can cause that, thanks for reading</t>
        </is>
      </c>
      <c r="D5184" t="n">
        <v>1</v>
      </c>
      <c r="E5184" t="n">
        <v>35</v>
      </c>
      <c r="F5184">
        <f>HYPERLINK("https://www.reddit.com/r/GERD/comments/f12a26/need_help/")</f>
        <v/>
      </c>
      <c r="G5184" t="inlineStr">
        <is>
          <t>2020-02-08 18:41:28</t>
        </is>
      </c>
      <c r="H5184" t="inlineStr"/>
    </row>
    <row r="5185">
      <c r="A5185" t="inlineStr">
        <is>
          <t>f13j4l</t>
        </is>
      </c>
      <c r="B5185" t="inlineStr">
        <is>
          <t>Dysphagia &amp;amp; LPR</t>
        </is>
      </c>
      <c r="C5185" t="inlineStr">
        <is>
          <t>After getting an endoscopy &amp;amp; coming out clear (with biopsies) which were requested for EoE, my gastro (two of them) don’t know what’s the cause to my upper dysphagia, basically in the act of swallowing. Best way I can describe it is eating a spoon full of crispyish white rice, and it feeling like it’s just going down so awkwardly on the initiation of swallowing. This had gone on for 2 years before (4 months ago) getting an endoscopy &amp;amp; getting cleared with basically a ‘clean stomach &amp;amp; esophagus’ according to both doctors. What the HELL am I supposed to do in order to eat normally without experiencing this discomfort when eating? Is there anyone else who might’ve had this and got rid of it ? This is probably one of my only symptoms with alleged LPR. I’m getting a barium swallow &amp;amp; after that not sure what to do. Sick of it &amp;amp; I’m only 25</t>
        </is>
      </c>
      <c r="D5185" t="n">
        <v>1</v>
      </c>
      <c r="E5185" t="n">
        <v>1</v>
      </c>
      <c r="F5185">
        <f>HYPERLINK("https://www.reddit.com/r/GERD/comments/f13j4l/dysphagia_lpr/")</f>
        <v/>
      </c>
      <c r="G5185" t="inlineStr">
        <is>
          <t>2020-02-08 20:23:03</t>
        </is>
      </c>
      <c r="H5185" t="inlineStr"/>
    </row>
    <row r="5186">
      <c r="A5186" t="inlineStr">
        <is>
          <t>f14dsj</t>
        </is>
      </c>
      <c r="B5186" t="inlineStr">
        <is>
          <t>Anyone pee frequently or feel like they need to pee more on protonix?</t>
        </is>
      </c>
      <c r="C5186" t="inlineStr">
        <is>
          <t>Finally 9th day it started to work with 2 days of tums on the 7th day. Finally acid levels are balanced. But this med is helping now took away my cough and still got some fixing to do. But my urinary is frequently going and I have that feeling of not emptying enough. Maybe just over thinking it .. if you have this issue what helps u and do u still continue to take the med??</t>
        </is>
      </c>
      <c r="D5186" t="n">
        <v>1</v>
      </c>
      <c r="E5186" t="n">
        <v>7</v>
      </c>
      <c r="F5186">
        <f>HYPERLINK("https://www.reddit.com/r/GERD/comments/f14dsj/anyone_pee_frequently_or_feel_like_they_need_to/")</f>
        <v/>
      </c>
      <c r="G5186" t="inlineStr">
        <is>
          <t>2020-02-08 21:41:00</t>
        </is>
      </c>
      <c r="H5186" t="inlineStr"/>
    </row>
    <row r="5187">
      <c r="A5187" t="inlineStr">
        <is>
          <t>f15iut</t>
        </is>
      </c>
      <c r="B5187" t="inlineStr">
        <is>
          <t>Gallbladder making my reflux worse, need advice</t>
        </is>
      </c>
      <c r="C5187" t="inlineStr">
        <is>
          <t>I’ve had reflux since I was a teenager. Then about a year ago I started having gallbladder problems (was eventually diagnosed with gallstones in august last year) and it has made the reflux so much worse. At this point, nearly everything gives me reflux. A few weeks ago I started getting this awful feeling in my throat. Like nausea, but only in my throat (stomach feels okay)? I also get a bitter taste on the back of my tongue along with the nausea. This happened on and off for weeks, but it has now gotten to the point where it happens every time I eat. Plain popcorn is the only thing that doesn’t bother me too much, but everything else is out. Even just one or two bites and I’m stuck with that awful feeling for hours. I have a phobia of vomiting so this is causing a lot of anxiety. I’m getting my gallbladder removed but there’s still two months until the surgery. I’m barely eating at this point and have lost a ton of weight. Not sure what to do and I’m exhausted. Help!</t>
        </is>
      </c>
      <c r="D5187" t="n">
        <v>1</v>
      </c>
      <c r="E5187" t="n">
        <v>11</v>
      </c>
      <c r="F5187">
        <f>HYPERLINK("https://www.reddit.com/r/GERD/comments/f15iut/gallbladder_making_my_reflux_worse_need_advice/")</f>
        <v/>
      </c>
      <c r="G5187" t="inlineStr">
        <is>
          <t>2020-02-08 23:39:53</t>
        </is>
      </c>
      <c r="H5187" t="inlineStr"/>
    </row>
    <row r="5188">
      <c r="A5188" t="inlineStr">
        <is>
          <t>f18rk6</t>
        </is>
      </c>
      <c r="B5188" t="inlineStr">
        <is>
          <t>Weird symptom with GERD?</t>
        </is>
      </c>
      <c r="C5188" t="inlineStr">
        <is>
          <t>I was formally diagnosed with GERD three years ago, and other than regular symptoms that could all be connected back to it, including breathing issues, there was one symptom that no one could tell me was part of it. 
Shivering, feeling intense cold when I'm having a GERD flare up is very common, and there's never fever. I do not know why, and I asked my doctor, she said that this is not a commonly observed symptom, but I know it's related! I know! 
Everytime I have a flare up, I get breathing issues, I feel acid, my mouth tastes funny, and I get shivers and cold, and I get body ache. Every time. 
Please please tell me if anyone else feels this.</t>
        </is>
      </c>
      <c r="D5188" t="n">
        <v>1</v>
      </c>
      <c r="E5188" t="n">
        <v>4</v>
      </c>
      <c r="F5188">
        <f>HYPERLINK("https://www.reddit.com/r/GERD/comments/f18rk6/weird_symptom_with_gerd/")</f>
        <v/>
      </c>
      <c r="G5188" t="inlineStr">
        <is>
          <t>2020-02-09 05:41:55</t>
        </is>
      </c>
      <c r="H5188" t="inlineStr"/>
    </row>
    <row r="5189">
      <c r="A5189" t="inlineStr">
        <is>
          <t>f1a909</t>
        </is>
      </c>
      <c r="B5189" t="inlineStr">
        <is>
          <t>Do h2 blockers rebound acid?</t>
        </is>
      </c>
      <c r="C5189" t="inlineStr">
        <is>
          <t>I know with ppis if you stop them you get horrible rebound acid. I stopped taking ppis because I was getting horrible stomach pain. regular antacids like tums aren't enough for me though.
Thinking of going with an h2 blocker, which one do you guys recommend and do they also give the rebound acid effect?</t>
        </is>
      </c>
      <c r="D5189" t="n">
        <v>1</v>
      </c>
      <c r="E5189" t="n">
        <v>16</v>
      </c>
      <c r="F5189">
        <f>HYPERLINK("https://www.reddit.com/r/GERD/comments/f1a909/do_h2_blockers_rebound_acid/")</f>
        <v/>
      </c>
      <c r="G5189" t="inlineStr">
        <is>
          <t>2020-02-09 07:40:05</t>
        </is>
      </c>
      <c r="H5189" t="inlineStr"/>
    </row>
    <row r="5190">
      <c r="A5190" t="inlineStr">
        <is>
          <t>f1b53m</t>
        </is>
      </c>
      <c r="B5190" t="inlineStr">
        <is>
          <t>Fed up of waiting biopsy result : 3 weeks now</t>
        </is>
      </c>
      <c r="C5190" t="inlineStr">
        <is>
          <t>3 weeks now that I'm waiting biopsies...
Before the endoscopy My doctor told me that the result will be ready in 1 week 
But now it's 3 weeks, if I knew it I wouldn't have done the endidcopy since I'm an anxious person and really hate to wait for something like this</t>
        </is>
      </c>
      <c r="D5190" t="n">
        <v>1</v>
      </c>
      <c r="E5190" t="n">
        <v>5</v>
      </c>
      <c r="F5190">
        <f>HYPERLINK("https://www.reddit.com/r/GERD/comments/f1b53m/fed_up_of_waiting_biopsy_result_3_weeks_now/")</f>
        <v/>
      </c>
      <c r="G5190" t="inlineStr">
        <is>
          <t>2020-02-09 08:43:06</t>
        </is>
      </c>
      <c r="H5190" t="inlineStr"/>
    </row>
    <row r="5191">
      <c r="A5191" t="inlineStr">
        <is>
          <t>f1cmo5</t>
        </is>
      </c>
      <c r="B5191" t="inlineStr">
        <is>
          <t>2 weeks on PPIs not working could I have hypochlorhydria instead?</t>
        </is>
      </c>
      <c r="C5191" t="inlineStr">
        <is>
          <t>I went to the doctor because I felt nauseous constantly for 2 weeks. They suspected a hiatal hernia and GERD so I got put on 40 mg Esomeprazole for 4 weeks and was recommended to follow a GERD diet. I’ve completely changed my diet so that I’m eating a small meal every 3 hours and nothing that should cause reflux.
I’m 2 weeks in and I still feel nauseous almost every time I eat and for a good hour and half after. My stool is also now yellow. Is this normal should I just give it the rest of the 4 weeks or should I go back? 
I was looking up low acidity and a lot of it makes sense i have asthma and I’ve noticed dry skin and brittle nails. I had my blood checked about a year ago and I don’t know about zinc or B12 but I was low on iron and didn’t really do anything about it?
Has anyone had anything similar to this?</t>
        </is>
      </c>
      <c r="D5191" t="n">
        <v>1</v>
      </c>
      <c r="E5191" t="n">
        <v>10</v>
      </c>
      <c r="F5191">
        <f>HYPERLINK("https://www.reddit.com/r/GERD/comments/f1cmo5/2_weeks_on_ppis_not_working_could_i_have/")</f>
        <v/>
      </c>
      <c r="G5191" t="inlineStr">
        <is>
          <t>2020-02-09 10:22:09</t>
        </is>
      </c>
      <c r="H5191" t="inlineStr"/>
    </row>
    <row r="5192">
      <c r="A5192" t="inlineStr">
        <is>
          <t>f1cvqk</t>
        </is>
      </c>
      <c r="B5192" t="inlineStr">
        <is>
          <t>Anyone else unable to eat 4-5 hours before bed or you get symptoms? I wake up in the middle of night with chest pain and trapped gas feeling bloated and have regurgitation. Also when is best time to take pantoprazole?</t>
        </is>
      </c>
      <c r="C5192" t="inlineStr">
        <is>
          <t>I’ve recently discovered that if I eat within 4-5 hours of bed time that I wake up in the middle of night with what feels like trapped gas in the upper left side of my body (mainly around the sternum, heart area I guess? And my left breast and outer part going towards my arm pit) sometimes the pain is closer to the sternum on the left side, others it’s in the Center of my left breast or below it. And sometimes it’s not even on the left altogether and the right side of my sternum...? Then I get the pain in my stomach upper left side of abdomen that is recently tender to the touch. I’ve had to stop eating past 7 or 8pm to avoid this feeling but then I wake up starving with hunger pangs and acid coming up my throat gurgling and nausea. It seems like a lose lose situation for me. My doctor recently upped my dosage of pantoprazole to twice daily 40mg but said it didn’t matter if I took it before meals? I’ve been taking it about 9am, and 15 mins before supper around 5pm.</t>
        </is>
      </c>
      <c r="D5192" t="n">
        <v>1</v>
      </c>
      <c r="E5192" t="n">
        <v>0</v>
      </c>
      <c r="F5192">
        <f>HYPERLINK("https://www.reddit.com/r/GERD/comments/f1cvqk/anyone_else_unable_to_eat_45_hours_before_bed_or/")</f>
        <v/>
      </c>
      <c r="G5192" t="inlineStr">
        <is>
          <t>2020-02-09 10:39:34</t>
        </is>
      </c>
      <c r="H5192" t="inlineStr"/>
    </row>
    <row r="5193">
      <c r="A5193" t="inlineStr">
        <is>
          <t>f1fciu</t>
        </is>
      </c>
      <c r="B5193" t="inlineStr">
        <is>
          <t>I have tried so many things and I still can't breath properly</t>
        </is>
      </c>
      <c r="C5193" t="inlineStr">
        <is>
          <t xml:space="preserve"> 
My nose is always stuffy, I feel like I am not getting enough oxygen and it has gotten to a point that it's hard for me to function like a normal person.
I do have another two key issues that contribute to this: acid reflux and social anxiety disorder.
I follow a acid reflux diet, so I avoid chocolate, coffee, soda and sweets. Sleep with bed elevated and try not to go to lay down until 3 hours after a meal. I also take pantoprazole 20mg every morning and famotidine whenever needed if heartburn symptoms are severe, I also use a netipot daily to rinse my sinus.
Even doing all this I still have a constant sore throat and nasal congestion. I am honestly feeling hopeless. I tried zyrtec and other allergy medication but it just makes me dizzy and doesn't improve my condition at all.
When I go to social gatherings it's even worse because my anxiety kicks in and my breathing becomes even worse. I am constantly taking deep breaths but my nose is congested so not enough oxygen is coming in. I get dizzy and disoriented. I assume because of lack of oxygen to the brain.
Someone please help me! :(</t>
        </is>
      </c>
      <c r="D5193" t="n">
        <v>1</v>
      </c>
      <c r="E5193" t="n">
        <v>4</v>
      </c>
      <c r="F5193">
        <f>HYPERLINK("https://www.reddit.com/r/GERD/comments/f1fciu/i_have_tried_so_many_things_and_i_still_cant/")</f>
        <v/>
      </c>
      <c r="G5193" t="inlineStr">
        <is>
          <t>2020-02-09 13:22:19</t>
        </is>
      </c>
      <c r="H5193" t="inlineStr"/>
    </row>
    <row r="5194">
      <c r="A5194" t="inlineStr">
        <is>
          <t>f1fevt</t>
        </is>
      </c>
      <c r="B5194" t="inlineStr">
        <is>
          <t>Can anyone else feel their hiatial hernia?</t>
        </is>
      </c>
      <c r="C5194" t="inlineStr">
        <is>
          <t>I’m 19 and hardly know anything about hernias, I do know that most of the time you can feel the bump . I just hardly see anyone saying that they can feel theirs on this sub. Does this mean that my hernia is bigger than most? I have an endoscopy on the 26th, which seems like a really long ways away to me. My doc told me to stop taking my medication so I have, I only take tums when needed but my mood is feeling a lot better. I think PPI’s do a lot more than we think. I didn’t start noticing the bump until I stopped taking the medication.</t>
        </is>
      </c>
      <c r="D5194" t="n">
        <v>1</v>
      </c>
      <c r="E5194" t="n">
        <v>10</v>
      </c>
      <c r="F5194">
        <f>HYPERLINK("https://www.reddit.com/r/GERD/comments/f1fevt/can_anyone_else_feel_their_hiatial_hernia/")</f>
        <v/>
      </c>
      <c r="G5194" t="inlineStr">
        <is>
          <t>2020-02-09 13:26:47</t>
        </is>
      </c>
      <c r="H5194" t="inlineStr"/>
    </row>
    <row r="5195">
      <c r="A5195" t="inlineStr">
        <is>
          <t>f1g9vp</t>
        </is>
      </c>
      <c r="B5195" t="inlineStr">
        <is>
          <t>my life is over.</t>
        </is>
      </c>
      <c r="C5195" t="inlineStr">
        <is>
          <t>22F, obese, diagnosed two/three days ago. The only symptom I've experienced so far is chest pain. It's so bad I thought I was having a heart attack. Trying to lie down with GERD felt like my chest was being weighed down with cinder blocks. I went to the ER and had some tests done. 
Blood was fine.  
Heart was fine.  
EKG, vitals fine.  
Was given a "cocktail" to help alleviate symptoms temporarily. Tasted like nail polish and paint, fucking disgusting. 
Doctor then unofficially diagnosed me with GERD. I haven't gone for a second opinion. In the things I've read about GERD, so many people were wording it in a way that suggested the rest of my life will be spent suffering; not getting to eat whatever they want anymore, fear of eating because of GERD symptoms, suffering no matter what they eat, etc etc. I feel like I will never have a normal life again. Reading [this post](https://www.reddit.com/r/GERD/comments/eyz8xz/i_just_wanna_go_back_to_normal/) especially made me feel like I'm in for 50 years of misery and anxiety. I haven't eaten a proper meal in two days. All I've managed to eat is plain toast. I absolutely refuse to eat anything else, lest I live in fear of triggering the GERD I've managed to keep at bay with medication in the two days since being prescribed it (I don't remember what I'm taking and I'm not going downstairs to look). My favorite food is burgers and fries. Fried food triggers GERD. Guess I'm only allowed the lettuce now. Fried chicken is out too, so there goes that. On top of this, I am [emetophobic](https://en.wikipedia.org/wiki/Emetophobia), so the accounts that included vomiting triggered me even worse.
I'm miserable, terrified, saddened, angry, *starving*, so many things. I've had a few close friends reach out to me, telling me they also have GERD and that it's really not as bad as I've read it to be. That I just need to eat things in moderation, that I just need to trust my meds and be careful. My family thinks I'm going into hysterics too soon because I've only been dealing with this nightmare for two/three days. One of my friends tried to get me optimistic by telling me that once they cleared out a whole Prilosec box in two weeks, they felt fine and haven't had any issues since. But I'm dubious. I'm afraid I'll get dealt a worse card. I just don't know what to do, who to trust, or how to cope. I honestly just wish I were fucking dead. Put a bullet in my goddamn skull. I was supposed to go with my mom and brother to lunch and a casino with my grandfather, but GERD has made me terrified to challenge it, so I decided to stay home and sleep. This disease is already taking everything from me. 
My dad seemed to try to distract me by telling me it's possible that I don't even have GERD, but something else that's just fucking with my system at the moment. Again I'm dubious, but to his credit I haven't gone to anyone for a second opinion. I don't know if anything's in the works on that or not. I honestly spent my diagnosis day crying. I feel like my life is over and I'll never enjoy eating anything again. I don't care that it's too early to know if I'll be living this way forever yet, what I'm dealing with now makes me want to die and envy people who live the way I used to, carefree and just enjoying life.
TL;DR: I'm a new diagnosee and I'm suffering from all sorts of emotions at once. I want to die.</t>
        </is>
      </c>
      <c r="D5195" t="n">
        <v>1</v>
      </c>
      <c r="E5195" t="n">
        <v>23</v>
      </c>
      <c r="F5195">
        <f>HYPERLINK("https://www.reddit.com/r/GERD/comments/f1g9vp/my_life_is_over/")</f>
        <v/>
      </c>
      <c r="G5195" t="inlineStr">
        <is>
          <t>2020-02-09 14:24:39</t>
        </is>
      </c>
      <c r="H5195" t="inlineStr"/>
    </row>
    <row r="5196">
      <c r="A5196" t="inlineStr">
        <is>
          <t>f1hsg6</t>
        </is>
      </c>
      <c r="B5196" t="inlineStr">
        <is>
          <t>Gallbladder and gerd/acid reflux</t>
        </is>
      </c>
      <c r="C5196" t="inlineStr">
        <is>
          <t>Has anyone had gerd symptoms and acid reflux  due to their gallbladder ? And then had their symptoms completely disappear once they had their gallbladder removed ?</t>
        </is>
      </c>
      <c r="D5196" t="n">
        <v>1</v>
      </c>
      <c r="E5196" t="n">
        <v>22</v>
      </c>
      <c r="F5196">
        <f>HYPERLINK("https://www.reddit.com/r/GERD/comments/f1hsg6/gallbladder_and_gerdacid_reflux/")</f>
        <v/>
      </c>
      <c r="G5196" t="inlineStr">
        <is>
          <t>2020-02-09 16:12:58</t>
        </is>
      </c>
      <c r="H5196" t="inlineStr"/>
    </row>
    <row r="5197">
      <c r="A5197" t="inlineStr">
        <is>
          <t>f1iop2</t>
        </is>
      </c>
      <c r="B5197" t="inlineStr">
        <is>
          <t>Advice from experience.</t>
        </is>
      </c>
      <c r="C5197" t="inlineStr">
        <is>
          <t>I’m a slim male in my early 20s and have been struggling with GERD for the past 7 years. I’ve been through several doctors during that time span and have had no luck in getting better. I have had several endoscopies done in the past, the last one was about 3 years ago. 
I bought a wedge to help me sleep and take pantoprazole that was prescribed to me. These past few weeks I’ve been waking up with strong reflux but the one thing that I have never experienced before is this sharp pain on a scale of 1-10 it’s about a 4, on the side of my neck right next to my throat. It’s only on one side of the neck by my Adam’s Apple. This pain comes and goes, but has been going on for about 2 weeks. The stronger reflux has been about 4 weeks at this point. 
Has anyone else experienced this? Is there anything that I should be concerned of?</t>
        </is>
      </c>
      <c r="D5197" t="n">
        <v>1</v>
      </c>
      <c r="E5197" t="n">
        <v>26</v>
      </c>
      <c r="F5197">
        <f>HYPERLINK("https://www.reddit.com/r/GERD/comments/f1iop2/advice_from_experience/")</f>
        <v/>
      </c>
      <c r="G5197" t="inlineStr">
        <is>
          <t>2020-02-09 17:20:33</t>
        </is>
      </c>
      <c r="H5197" t="inlineStr"/>
    </row>
    <row r="5198">
      <c r="A5198" t="inlineStr">
        <is>
          <t>f1j0vl</t>
        </is>
      </c>
      <c r="B5198" t="inlineStr">
        <is>
          <t>Recommend diet to gain weight?</t>
        </is>
      </c>
      <c r="C5198" t="inlineStr">
        <is>
          <t>I (23F) have only 40kg since I was 17. Last week I found out I also got GERD and slightly gastroenteritis. That makes my diet limit to plant-based, luctose/fructose-intolerence. To make it worse, doctor told me to cut down on the amount of food by eating smaller meals. No food after 9pm.
Eating less than before makes me really worried for my weight. I look skinny bone at the moment. Can you share any advice on how to gain weigh without eating fatty food?</t>
        </is>
      </c>
      <c r="D5198" t="n">
        <v>1</v>
      </c>
      <c r="E5198" t="n">
        <v>10</v>
      </c>
      <c r="F5198">
        <f>HYPERLINK("https://www.reddit.com/r/GERD/comments/f1j0vl/recommend_diet_to_gain_weight/")</f>
        <v/>
      </c>
      <c r="G5198" t="inlineStr">
        <is>
          <t>2020-02-09 17:46:44</t>
        </is>
      </c>
      <c r="H5198" t="inlineStr"/>
    </row>
    <row r="5199">
      <c r="A5199" t="inlineStr">
        <is>
          <t>f1kc5z</t>
        </is>
      </c>
      <c r="B5199" t="inlineStr">
        <is>
          <t>LPR/GERD Experience</t>
        </is>
      </c>
      <c r="C5199" t="inlineStr">
        <is>
          <t>Hey all,
I have a very interesting situation on my hands and I figured I could share what I'm currently going through to converse with people on here who are going through the same thing. First-
My Symptoms:
* Uncomfortable Swallowing 
* Tightness in the throat - Neck/Throat area feel heavy, sometimes feel as though there's a band around it.  
* Hoarseness - My voice feels fatigued after talking
* Lump in Throat Sensation
* Chest Sensations (Hurts when I sneeze)
* Hypersalivitation
* Sometimes Jaw Pain
*Sometimes feel out of breath - trouble getting a full breath in
All of this has been going on for about a month now.  Here's what went down.  I have been previously diagnosed with Eosoniphillic Esophagitis (EOE) which caused a lot of food impactions.  Due to this, I was encouraged to get an **Esophageal Dilation** to ultimately stretch it so that I could swallow food easily.  The surgery went all as planned, and I was told that I could go back to eat whatever I wanted afterward.  Everything seemed ok besides a little soreness of the throat but not too much for it to be uncomfortable.
**3 Days later** and it all came down on me on Christmas day.  Tightness in Throat and trouble swallowing were my main symptoms and I was terrified it was so uncomfortable I had to get rushed to the ER to get all of the tests (CT scan &amp;amp; Barium) but they all came back clean.  
Weeks later after no improvement, I went and saw an ENT for my symptoms and he had a laryngoscopy (scope through the nose to the throat) and he reported that he saw a lot of irritation, redness, and swelling.  He indicated that I had LaryngoPharyngeal Reflux (LPR) **and that acid reflux was more free-flowing due to the dilation**.  I was on a PPI &amp;amp; H2 Blocker.    
After about a month with small improvements, I then went and saw an EOE Gastro specialist get another opinion.  She ultimately told me that an EOE patient undergoing a procedure like that should have been dealt with very delicately as their esophagus is very "fragile".   She thinks that the Dilation done caused some sort of an esophageal mucosal injury and it's just going to take a lot of time to heal.  I am currently taking PPI twice a day.
At this point, I'm doing everything that I can to avoid all acidic foods &amp;amp; drinks to keep my reflux under control because this is just absolutely miserable.  I've put a wedge on my pillow at night, avoid late-night eating, not laying down until 3 hours after eating.  Just seems like these symptoms are just not getting resolved fast enough.       
Any Thoughts?  Advice? Questions?  Anything that yall have to say, I sincerely appreciate it.</t>
        </is>
      </c>
      <c r="D5199" t="n">
        <v>1</v>
      </c>
      <c r="E5199" t="n">
        <v>16</v>
      </c>
      <c r="F5199">
        <f>HYPERLINK("https://www.reddit.com/r/GERD/comments/f1kc5z/lprgerd_experience/")</f>
        <v/>
      </c>
      <c r="G5199" t="inlineStr">
        <is>
          <t>2020-02-09 19:29:30</t>
        </is>
      </c>
      <c r="H5199" t="inlineStr"/>
    </row>
    <row r="5200">
      <c r="A5200" t="inlineStr">
        <is>
          <t>f1leph</t>
        </is>
      </c>
      <c r="B5200" t="inlineStr">
        <is>
          <t>chocking on mucas</t>
        </is>
      </c>
      <c r="C5200" t="inlineStr">
        <is>
          <t>anyone ever feel like there chocking on mucas in the back of there thoart?</t>
        </is>
      </c>
      <c r="D5200" t="n">
        <v>1</v>
      </c>
      <c r="E5200" t="n">
        <v>2</v>
      </c>
      <c r="F5200">
        <f>HYPERLINK("https://www.reddit.com/r/GERD/comments/f1leph/chocking_on_mucas/")</f>
        <v/>
      </c>
      <c r="G5200" t="inlineStr">
        <is>
          <t>2020-02-09 20:58:53</t>
        </is>
      </c>
      <c r="H5200" t="inlineStr"/>
    </row>
    <row r="5201">
      <c r="A5201" t="inlineStr">
        <is>
          <t>f1macp</t>
        </is>
      </c>
      <c r="B5201" t="inlineStr">
        <is>
          <t>Constant sour taste in mouth/saliva</t>
        </is>
      </c>
      <c r="C5201" t="inlineStr">
        <is>
          <t>My only symptom right now is the constant sour taste in my mouth/hypersalivation. Actually, it was the only symptom I had before my stomach started burning. My stomach has stopped burning since then but no matter what medicine I take, nothing is helping getting rid of the excess saliva I have. My doctor has given me pantoprazole, dicyclomine, and bethanecol to help with the saliva but nothing is working. I tried searching up remedies but it’s essentially medicine for acid reflux or getting botox. Not many people seem to know the cure to this symptom either. I didn’t think it was going to get this bad. I’m afraid I’ll have to get surgery because I’m pretty sure my LES is weak. I don’t even know what other medicine the GI doctor can give me because nothing seems to stop the amount of saliva I have. I’m tired of having to constantly swallow my saliva and having this sour taste in my mouth. This is torture. I used to have the same symptom as a child and it went away in three months. I don’t know why it’s already been a year and an half and I’m still like this.</t>
        </is>
      </c>
      <c r="D5201" t="n">
        <v>1</v>
      </c>
      <c r="E5201" t="n">
        <v>8</v>
      </c>
      <c r="F5201">
        <f>HYPERLINK("https://www.reddit.com/r/GERD/comments/f1macp/constant_sour_taste_in_mouthsaliva/")</f>
        <v/>
      </c>
      <c r="G5201" t="inlineStr">
        <is>
          <t>2020-02-09 22:19:48</t>
        </is>
      </c>
      <c r="H5201" t="inlineStr"/>
    </row>
    <row r="5202">
      <c r="A5202" t="inlineStr">
        <is>
          <t>f1ndz0</t>
        </is>
      </c>
      <c r="B5202" t="inlineStr">
        <is>
          <t>Came here because of the Zantac ban, left with a working cure</t>
        </is>
      </c>
      <c r="C5202" t="inlineStr">
        <is>
          <t>Just quickly, I wanted to thank this community for helping me. As the title said, I came here looking for info about  Zantac because I was running out and had no-where I could get more, but I appear to be 'cured' of this affliction that has kept me awake or woken we up at night.
Who'd have known that a spoon of Manuka Honey (and I'm not convinced it needs to be that special type) and some probiotics (Kefir) or Acidophilus tablets could essentially kill it stone dead in a matter of a few days!
Thank you all for documenting your experiences, and helping me.</t>
        </is>
      </c>
      <c r="D5202" t="n">
        <v>1</v>
      </c>
      <c r="E5202" t="n">
        <v>27</v>
      </c>
      <c r="F5202">
        <f>HYPERLINK("https://www.reddit.com/r/GERD/comments/f1ndz0/came_here_because_of_the_zantac_ban_left_with_a/")</f>
        <v/>
      </c>
      <c r="G5202" t="inlineStr">
        <is>
          <t>2020-02-10 00:18:35</t>
        </is>
      </c>
      <c r="H5202" t="inlineStr"/>
    </row>
    <row r="5203">
      <c r="A5203" t="inlineStr">
        <is>
          <t>f1nkev</t>
        </is>
      </c>
      <c r="B5203" t="inlineStr">
        <is>
          <t>LPR sufferers, get your allergies checked!</t>
        </is>
      </c>
      <c r="C5203" t="inlineStr">
        <is>
          <t>I’ve been dealing with LPR symptoms for more than 6 months now. After 6 months of PPIs with only marginal improvements, I got tested for allergies and turns out I am allergic to dust mites. I’m only on the 5th days of a month treatment and already see significant improvements in my symptoms. No more throat redness, post nasal drip significantly better, cough disappeared, and my larynx pain is much better. So if you have not fully improved from LPR after a bout of PPIs, visit your ENT for a differential diagnosis. I am not saying LPR, but you could have LPR and something else. Good luck!</t>
        </is>
      </c>
      <c r="D5203" t="n">
        <v>1</v>
      </c>
      <c r="E5203" t="n">
        <v>17</v>
      </c>
      <c r="F5203">
        <f>HYPERLINK("https://www.reddit.com/r/GERD/comments/f1nkev/lpr_sufferers_get_your_allergies_checked/")</f>
        <v/>
      </c>
      <c r="G5203" t="inlineStr">
        <is>
          <t>2020-02-10 00:40:16</t>
        </is>
      </c>
      <c r="H5203" t="inlineStr"/>
    </row>
    <row r="5204">
      <c r="A5204" t="inlineStr">
        <is>
          <t>f1o8uu</t>
        </is>
      </c>
      <c r="B5204" t="inlineStr">
        <is>
          <t>Slouching makes GERD worse?</t>
        </is>
      </c>
      <c r="C5204" t="inlineStr">
        <is>
          <t>I have poor posture, maybe it is my job, sitting on a chair in front of a computer screen for 10 hours per day, I tend to slouch most of the time, I am not obese, but I have a belly of sorts, I noticed that when I slouch, the pressure on my sternum increases, has anyone tried improving their posture and noticed any positive effect on GERD, I will try to work on it and see if it improves anything.</t>
        </is>
      </c>
      <c r="D5204" t="n">
        <v>1</v>
      </c>
      <c r="E5204" t="n">
        <v>6</v>
      </c>
      <c r="F5204">
        <f>HYPERLINK("https://www.reddit.com/r/GERD/comments/f1o8uu/slouching_makes_gerd_worse/")</f>
        <v/>
      </c>
      <c r="G5204" t="inlineStr">
        <is>
          <t>2020-02-10 02:03:20</t>
        </is>
      </c>
      <c r="H5204" t="inlineStr"/>
    </row>
    <row r="5205">
      <c r="A5205" t="inlineStr">
        <is>
          <t>f1og8a</t>
        </is>
      </c>
      <c r="B5205" t="inlineStr">
        <is>
          <t>Severe Gerd and metaplasia : how to get nissen fundoplication ?</t>
        </is>
      </c>
      <c r="C5205" t="inlineStr">
        <is>
          <t>Hi, i'm in my early 20 and 2 month ago I was  spitting blood  and have pain in my back , I went to emergency and they found severe  erosion on my esophagus , they also found bile in my stomach
Today I did another endoscopy to check if it has healed :  it did but it also left  a big spot of barretts esophagus : short segment : 1-2 cm 
No hiatal hernia ! 
I don't really want to take ppi for life because of the contreversy about side effect 
how to get nissen fundoplication ? can my doctor ( gastroenterologist) perform it?</t>
        </is>
      </c>
      <c r="D5205" t="n">
        <v>1</v>
      </c>
      <c r="E5205" t="n">
        <v>6</v>
      </c>
      <c r="F5205">
        <f>HYPERLINK("https://www.reddit.com/r/GERD/comments/f1og8a/severe_gerd_and_metaplasia_how_to_get_nissen/")</f>
        <v/>
      </c>
      <c r="G5205" t="inlineStr">
        <is>
          <t>2020-02-10 02:27:10</t>
        </is>
      </c>
      <c r="H5205" t="inlineStr"/>
    </row>
    <row r="5206">
      <c r="A5206" t="inlineStr">
        <is>
          <t>f1ox74</t>
        </is>
      </c>
      <c r="B5206" t="inlineStr">
        <is>
          <t>Do I have barretts esophagus ?</t>
        </is>
      </c>
      <c r="C5206" t="inlineStr">
        <is>
          <t>Hello, im lost, my GE told me that I have barretss esophagus at my  endoscopy  but the biopsy say otherwise : 
&amp;amp;#x200B;
" mixed squamous mucosa with squamos epithelium , fundic  cardial GLANDULAR , absence of Intestinal metaplasia "  
My GE just gave me result  and didnt told me to follow up or anything 
now im afraid they did a mistake or anything like that  
what do you think</t>
        </is>
      </c>
      <c r="D5206" t="n">
        <v>1</v>
      </c>
      <c r="E5206" t="n">
        <v>4</v>
      </c>
      <c r="F5206">
        <f>HYPERLINK("https://www.reddit.com/r/GERD/comments/f1ox74/do_i_have_barretts_esophagus/")</f>
        <v/>
      </c>
      <c r="G5206" t="inlineStr">
        <is>
          <t>2020-02-10 03:19:13</t>
        </is>
      </c>
      <c r="H5206" t="inlineStr"/>
    </row>
    <row r="5207">
      <c r="A5207" t="inlineStr">
        <is>
          <t>f1sgme</t>
        </is>
      </c>
      <c r="B5207" t="inlineStr">
        <is>
          <t>Experiences with Reglan?</t>
        </is>
      </c>
      <c r="C5207" t="inlineStr">
        <is>
          <t>I got a prescription of this from an ER dr after a bad chest pain GERD attack and honestly with the new protonix script my PCP put me on i’m actually able to sleep at night without the routine of build up and burping and I’m loving Reglan but i’m worried about side effects and long term usage. Has anyone had long experience with this medicine?</t>
        </is>
      </c>
      <c r="D5207" t="n">
        <v>1</v>
      </c>
      <c r="E5207" t="n">
        <v>4</v>
      </c>
      <c r="F5207">
        <f>HYPERLINK("https://www.reddit.com/r/GERD/comments/f1sgme/experiences_with_reglan/")</f>
        <v/>
      </c>
      <c r="G5207" t="inlineStr">
        <is>
          <t>2020-02-10 08:10:52</t>
        </is>
      </c>
      <c r="H5207" t="inlineStr"/>
    </row>
    <row r="5208">
      <c r="A5208" t="inlineStr">
        <is>
          <t>f1sil3</t>
        </is>
      </c>
      <c r="B5208" t="inlineStr">
        <is>
          <t>Completed a motility test and currently undergoing 24 hr ph &amp;amp; impedance monitoring</t>
        </is>
      </c>
      <c r="C5208" t="inlineStr">
        <is>
          <t>I'm spending 24 hours with this tube down my esophagus so feel free to ask questions about either of these tests if you have any.
I read a ton of motility test horror stories on here. It was unpleasant but I didn't think it was that bad. Insertion of the tube was the most unpleasant part but its not painful, just weird and uncomfortable.
The whole thing lasted 11 minutes and I found focusing on my breath was helpful. I did gag/cough but otherwise it was fine.
After that tube was removed I had the second tube inserted. It was a bit easier to take but overall still unpleasant. Now I'm sitting at home watching this monitor track my ph and reflux episodes!
Hoping for some real answers soon.</t>
        </is>
      </c>
      <c r="D5208" t="n">
        <v>1</v>
      </c>
      <c r="E5208" t="n">
        <v>11</v>
      </c>
      <c r="F5208">
        <f>HYPERLINK("https://www.reddit.com/r/GERD/comments/f1sil3/completed_a_motility_test_and_currently/")</f>
        <v/>
      </c>
      <c r="G5208" t="inlineStr">
        <is>
          <t>2020-02-10 08:14:29</t>
        </is>
      </c>
      <c r="H5208" t="inlineStr"/>
    </row>
    <row r="5209">
      <c r="A5209" t="inlineStr">
        <is>
          <t>f1u61s</t>
        </is>
      </c>
      <c r="B5209" t="inlineStr">
        <is>
          <t>Barrett at endoscopy, no barrett at biopsy !</t>
        </is>
      </c>
      <c r="C5209" t="inlineStr">
        <is>
          <t>Hi,  3 weeks ago I did an endoscopy and they found a " salmon pink" mucosa
My gastroenterologist told me it's probably barretts esophagus and it was classified as C0M2
I just received my biopsy result " absence of intestinal metaplasia"
I called My GE 3 times and he finally told me thats not barrett's esophagus  and I don't need to do any follow up
I cant believe it, I was 100% sure to have it...
That's a really good surprise!
Thank to this endoscopy I finally started to take ppi after years of uncontrolled Gerd!
Im planing to get nissen fundoplication since my reflux are really severe</t>
        </is>
      </c>
      <c r="D5209" t="n">
        <v>1</v>
      </c>
      <c r="E5209" t="n">
        <v>4</v>
      </c>
      <c r="F5209">
        <f>HYPERLINK("https://www.reddit.com/r/GERD/comments/f1u61s/barrett_at_endoscopy_no_barrett_at_biopsy/")</f>
        <v/>
      </c>
      <c r="G5209" t="inlineStr">
        <is>
          <t>2020-02-10 10:06:48</t>
        </is>
      </c>
      <c r="H5209" t="inlineStr"/>
    </row>
    <row r="5210">
      <c r="A5210" t="inlineStr">
        <is>
          <t>f1uzxm</t>
        </is>
      </c>
      <c r="B5210" t="inlineStr">
        <is>
          <t>Any GI doc recommendations in So Cal?</t>
        </is>
      </c>
      <c r="C5210" t="inlineStr">
        <is>
          <t>Can anyone recommend a decent GI in Southern California, namely Orange County? Would greatly appreciate it.</t>
        </is>
      </c>
      <c r="D5210" t="n">
        <v>1</v>
      </c>
      <c r="E5210" t="n">
        <v>1</v>
      </c>
      <c r="F5210">
        <f>HYPERLINK("https://www.reddit.com/r/GERD/comments/f1uzxm/any_gi_doc_recommendations_in_so_cal/")</f>
        <v/>
      </c>
      <c r="G5210" t="inlineStr">
        <is>
          <t>2020-02-10 11:01:41</t>
        </is>
      </c>
      <c r="H5210" t="inlineStr"/>
    </row>
    <row r="5211">
      <c r="A5211" t="inlineStr">
        <is>
          <t>f1vcot</t>
        </is>
      </c>
      <c r="B5211" t="inlineStr">
        <is>
          <t>Was taken to ER by Ambulance - No Answers</t>
        </is>
      </c>
      <c r="C5211" t="inlineStr">
        <is>
          <t>Just looking for some feedback here on my situation and to see if this is what I think it is.
For about 5 years now, I'll occasionally wake up a couple of hours after going to sleep with chest pains. Intensity will ebb and flow from mild to extreme and the episode generally lasts about 3 hours, through which I am unable to sleep. For the next day or so, I am wiped. My episodes will recur irregularly, from a couple of weeks apart to 6 months apart.
The pain is centered right under my sternum. It feels like someone has grasped my heart and is squeezing. I get gassy and eventually nauseous. And then in a blink it is all over.
I saw my Dr very early on who prescribed patoprazole. I've had mild reflux all my life, and this med completely removed that. It does not seem to prevent these attacks though.
Last weekend, I had an episode. Started at 1am. By 8am it had not subsided and all of my instincts told me to get help. I couldn't drive so called an ambulance. At the ER, had blood tests, chest x-rays and chest, abdomen and pelvic CT. All came back good. EKG showed no cardiac incidents.
12 hours in the ER and the Dr has no answers other that I have nothing life-threatening going on. Suggests my Dr refer me to GI but doesn't give any other ideas.
Any of this sound familiar to anyone or am I on the wrong track.</t>
        </is>
      </c>
      <c r="D5211" t="n">
        <v>1</v>
      </c>
      <c r="E5211" t="n">
        <v>4</v>
      </c>
      <c r="F5211">
        <f>HYPERLINK("https://www.reddit.com/r/GERD/comments/f1vcot/was_taken_to_er_by_ambulance_no_answers/")</f>
        <v/>
      </c>
      <c r="G5211" t="inlineStr">
        <is>
          <t>2020-02-10 11:24:56</t>
        </is>
      </c>
      <c r="H5211" t="inlineStr"/>
    </row>
    <row r="5212">
      <c r="A5212" t="inlineStr">
        <is>
          <t>f1vla8</t>
        </is>
      </c>
      <c r="B5212" t="inlineStr">
        <is>
          <t>Enflamed esophagus?</t>
        </is>
      </c>
      <c r="C5212" t="inlineStr">
        <is>
          <t>So I’ve been afflicted with afflicted with a hot sensation in my head and I’ve been wondering is it that my stomach or esophagus is enflamed?Some cold water calms it down somewhat but it dosent last for Ling so I’ve been wondering
Anyone who has been confirmed to have an enflamed esophagus how does it feel?can you describe it? Can I do anything for it?</t>
        </is>
      </c>
      <c r="D5212" t="n">
        <v>1</v>
      </c>
      <c r="E5212" t="n">
        <v>0</v>
      </c>
      <c r="F5212">
        <f>HYPERLINK("https://www.reddit.com/r/GERD/comments/f1vla8/enflamed_esophagus/")</f>
        <v/>
      </c>
      <c r="G5212" t="inlineStr">
        <is>
          <t>2020-02-10 11:40:41</t>
        </is>
      </c>
      <c r="H5212" t="inlineStr"/>
    </row>
    <row r="5213">
      <c r="A5213" t="inlineStr">
        <is>
          <t>f1whhl</t>
        </is>
      </c>
      <c r="B5213" t="inlineStr">
        <is>
          <t>Diagnosed with GERD today but I'm skeptical</t>
        </is>
      </c>
      <c r="C5213" t="inlineStr">
        <is>
          <t>Hello,
I am a 36 year old male. I just came back from a visit with a Nurse Practitioner who diagnosed me with GERD and I'm a little skeptical. I was hoping to post my story here and get some insight as to whether or not I might be experiencing GERD.
About 2 and a half weeks ago I had a bad case of the munchies. I overate before bed, stuffing my pie-hole with chocolate peanut butter girl scout cookies and tortilla chips. There's always room for one more tortilla chip. I'm not proud of it, but it's nothing I haven't done before. My recollection is a little fuzzy, I'm sure I went to bed feeling absolutely stuffed, but I don't think any serious symptoms really started until the next day. I woke up feeling full, yet hungry. My stomach was in a lot of pain. I felt bloated, like I had taken all of the world's flatulence upon myself. I thought I was having indigestion. I tried to encourage relief of pressure by burping, farting, moving my bowels. Everything was moving okay, but I was not getting any of the relief I would have expected from those movements if I was suffering typical indigestion.
This continued daily. The pain was radiating all over my abdomen, it felt like I had diverticulitis, a tapeworm, gallstones, kidney stones, stomach ulcers and appendicitis all at once. However, I had no fever, no bruising, no distension, no shortness of breath, nothing that indicated that I was having an emergency that demanded an ER visit. I was spending most of my days groaning and doubled over in pain.
On day 6, I felt a lump in my chest at the bottom of the sternum that I didn't recognize. I partcipated in some google-fu and discovered the Xiphoid process. I'd read about how overeating can cause stress on the xyphoid process where the diaphragm and abdominal muscles are attached and it seemed to describe my symptoms perfectly. I'd been treating my symptoms with care for what I was eating and eating in small quantities so as not to upset my stomach, but I came to be convinced that my symptoms were physical or muscular in nature and started treating things differently. I started taking ibuprofen to combat inflammation and trying to be mindful of the xyphoid process when doing physical activity, so as not to physically irritate it.
I came to be convinced that the pain from the Xiphoid process was radiating throughout my abdomen and the pain was very deceptive. Symptoms do seem to get a little worse when eating, but I'd felt a physical sensation of food passing by the solar plexus/xyphoid process and causing irritation, so I'd chalked it up to that. I felt that this was some kind of muscular inflammation, and after being aware of it realized that it does feel like my abdominal muscles were tightening or cramping up, which may have been causing the sansations of feeling bloated or gassy, etc. Mind that I do have muscle problems to begin with, and I tend to be susceptible to injuries involving muscles and I tend to take longer to heal from them as well.
So it's been two and a half weeks and the symptoms were not really improving much, so I decided to call the doctor. Doctor's not in today so they booked my with a Nurse Practitioner in a neighboring suite. I'd explained what I'd been dealing with and what I'd felt the problem was, and she asked me what I was doing in the office because I was describing muscle pain but it's been two and a half weeks so that would have gone away. I explained that I was in the office because the pain has not improved. She told me that it's impossible to cause the kind of pain related to the Xiphoid process by overeating and told me I was describing GERD to a 'T' and prescribed some Prilosec. 
I came home and looked up GERD and I am certainly very uneducated about GERD but I'm having a very difficult time finding any GERD symptoms that I feel I experience. I get heartburn to an extent I'd consider taking tums maybe once or twice a year. I generally consider myself to have an iron stomach, I can typically eat what I want when I want without issue, though some dairy does tend to go right through me. I quit smoking almost two years ago, I don't drink. I've not had any chest pain or difficulty swallowing. No regurgitation of food or liquids. I've never had a sensation of a lump in my throat. I outgrew my asthma and I don't experience a lump in my throat or a chronic sore throat. I see a whole slew of other symptoms that I don't relate to.
I'm not a big fan of putting drugs in my body that don't need to be there. I'm also concerned that I could end up taking the Prilosec, my muscles will heal in a couple weeks because that's what muscles do, and it looks like a successful trial of Prilosec. I don't know whether to get a second opinion or to give the Prilosec a try. I guess I'm realyl curious if anyone out there could read this story and say something like, 'You know what, that might actually be GERD.'
Thanks for any insight.</t>
        </is>
      </c>
      <c r="D5213" t="n">
        <v>1</v>
      </c>
      <c r="E5213" t="n">
        <v>8</v>
      </c>
      <c r="F5213">
        <f>HYPERLINK("https://www.reddit.com/r/GERD/comments/f1whhl/diagnosed_with_gerd_today_but_im_skeptical/")</f>
        <v/>
      </c>
      <c r="G5213" t="inlineStr">
        <is>
          <t>2020-02-10 12:38:11</t>
        </is>
      </c>
      <c r="H5213" t="inlineStr"/>
    </row>
    <row r="5214">
      <c r="A5214" t="inlineStr">
        <is>
          <t>f1x9te</t>
        </is>
      </c>
      <c r="B5214" t="inlineStr">
        <is>
          <t>Are Drs confused with GERD??</t>
        </is>
      </c>
      <c r="C5214" t="inlineStr">
        <is>
          <t>So.. stay with me, i had a long road to where i currently I am.
I moved to Australia a few months back, and shortly after arriving felt run down. I had a sore throat, and my left ear felt "full", and had a minor sore throat. I found 3 lumps in my neck also, and kinda hit the panic button thinking it was something sinister.
Multiple GP visits later, i was referred to an ENT. He gives me the all clear, says to come back in 2 months to see if my symptoms improve.
2 months later, same position. Still have ear fullness, sore throat, and lumps are still present. US shows lumps are not sinister, and all is good. So.. on to trying to treat the sore throat and ear fullness.
GP prescribes me Nasal steroids and antibiotics. Aside from destroying my stomach - no major improvement, although the nasal steroids seemed to "calm" the ear fullness. In desperation for some progress, I google my symptoms and hear about this "Silent reflux".
This made me think about the fact i get hearburn 4x a week (I thought this was normal), but either way i invested in some Gaviscon, and have been taking it 4x daily. I read all the reflux books (Dr Koufman etc), and have been on a low acid diet for about 5 months now.
Anyway, I go back to the ENT 2 months later, and he basically says "Ah yes, sounds like reflux (I diagnosed myself!!), you should probably see a Gastro Dr.".
Off i go back to my GP, who refers me to a Gastro.
In summary,
1. Sore throat (Cobblestone), ear fullness, post nasal drip.
2. No evidence of allergies (Runny nose, eyes)
3. Nasal steroids helping to control irritation, but not stopping completely.
4. Gaviscon helping to control the heartburn, but isn't helping my throat.
5. Prescribed Tazac, but then told i cant have it any more due to the worldwide shortage. (This made negligible difference anyway).
6. I bought myself some Probioitcs, they have settled my stomach from the antibiotics, but made negligible difference to my throat.
7. Went back to the GP again, prescribed me PPIs and im currently waiting for a Gastro appointment.
8. Ear fullness settled (Still on daily nasal steroids), but the sore throat is still there. Cobblestoned, and lumpy. Heartburn occurs daily if i dont get keep it under control.
Along this road, not a single GP (I've seen 3, getting frustrated with a lack of explanation), or the ENT can give me a clear plan of action, or even help me understand what is going on. Is this a similar experience to what many of you guys/gals have had?</t>
        </is>
      </c>
      <c r="D5214" t="n">
        <v>1</v>
      </c>
      <c r="E5214" t="n">
        <v>25</v>
      </c>
      <c r="F5214">
        <f>HYPERLINK("https://www.reddit.com/r/GERD/comments/f1x9te/are_drs_confused_with_gerd/")</f>
        <v/>
      </c>
      <c r="G5214" t="inlineStr">
        <is>
          <t>2020-02-10 13:29:03</t>
        </is>
      </c>
      <c r="H5214" t="inlineStr"/>
    </row>
    <row r="5215">
      <c r="A5215" t="inlineStr">
        <is>
          <t>f1ya3l</t>
        </is>
      </c>
      <c r="B5215" t="inlineStr">
        <is>
          <t>Constant need to take deep breath while eating</t>
        </is>
      </c>
      <c r="C5215" t="inlineStr">
        <is>
          <t>Does anyone have that? It seems that it happens to me when I'm very sleep-deprived.</t>
        </is>
      </c>
      <c r="D5215" t="n">
        <v>1</v>
      </c>
      <c r="E5215" t="n">
        <v>12</v>
      </c>
      <c r="F5215">
        <f>HYPERLINK("https://www.reddit.com/r/GERD/comments/f1ya3l/constant_need_to_take_deep_breath_while_eating/")</f>
        <v/>
      </c>
      <c r="G5215" t="inlineStr">
        <is>
          <t>2020-02-10 14:34:02</t>
        </is>
      </c>
      <c r="H5215" t="inlineStr"/>
    </row>
    <row r="5216">
      <c r="A5216" t="inlineStr">
        <is>
          <t>f1yi54</t>
        </is>
      </c>
      <c r="B5216" t="inlineStr">
        <is>
          <t>Question for those that have had LPR</t>
        </is>
      </c>
      <c r="C5216" t="inlineStr">
        <is>
          <t>Context - had GERD in November, after a month of treatment, stomach pain and back pain went away.  Significant heartburn from the moment I woke up to when I would go to sleep. Throat was swollen on both sides at various points in time.
Today - stomach / heartburn / back pain is greatly reduced after taking meds, slowly improving over the last 2.5 months.  Feels great, except I feel that my throat isn’t completely healed from the acid coming up most recently a month ago.  I feel the throat has been “scabbing” in those areas where I had globus sensation, and falling off into the esophagus.  It feels annoying and slightly irritated.
Reason to be concerned or just a part of the healing process?</t>
        </is>
      </c>
      <c r="D5216" t="n">
        <v>1</v>
      </c>
      <c r="E5216" t="n">
        <v>1</v>
      </c>
      <c r="F5216">
        <f>HYPERLINK("https://www.reddit.com/r/GERD/comments/f1yi54/question_for_those_that_have_had_lpr/")</f>
        <v/>
      </c>
      <c r="G5216" t="inlineStr">
        <is>
          <t>2020-02-10 14:48:39</t>
        </is>
      </c>
      <c r="H5216" t="inlineStr"/>
    </row>
    <row r="5217">
      <c r="A5217" t="inlineStr">
        <is>
          <t>f1yrdz</t>
        </is>
      </c>
      <c r="B5217" t="inlineStr">
        <is>
          <t>Nausea after meals?</t>
        </is>
      </c>
      <c r="C5217" t="inlineStr">
        <is>
          <t>Does anyone else get nauseous after meals and feel really bloated? Is this part of GERD or maybe something else? I feel like I can’t digest things easily if that makes sense. Main thing that helps me is drinking coffee to get rid of that feeling slightly. I’m at my wits end</t>
        </is>
      </c>
      <c r="D5217" t="n">
        <v>1</v>
      </c>
      <c r="E5217" t="n">
        <v>9</v>
      </c>
      <c r="F5217">
        <f>HYPERLINK("https://www.reddit.com/r/GERD/comments/f1yrdz/nausea_after_meals/")</f>
        <v/>
      </c>
      <c r="G5217" t="inlineStr">
        <is>
          <t>2020-02-10 15:05:35</t>
        </is>
      </c>
      <c r="H5217" t="inlineStr"/>
    </row>
    <row r="5218">
      <c r="A5218" t="inlineStr">
        <is>
          <t>f1yt8h</t>
        </is>
      </c>
      <c r="B5218" t="inlineStr">
        <is>
          <t>Unimpressed with current GI doc</t>
        </is>
      </c>
      <c r="C5218" t="inlineStr">
        <is>
          <t>Any recommendations for a better one in Atlanta? 
I'd like someone that is willing to take the time to give me a holistic approach. I feel like iv been teaching myself everything. 
Her available appointment times are also atrocious.</t>
        </is>
      </c>
      <c r="D5218" t="n">
        <v>1</v>
      </c>
      <c r="E5218" t="n">
        <v>19</v>
      </c>
      <c r="F5218">
        <f>HYPERLINK("https://www.reddit.com/r/GERD/comments/f1yt8h/unimpressed_with_current_gi_doc/")</f>
        <v/>
      </c>
      <c r="G5218" t="inlineStr">
        <is>
          <t>2020-02-10 15:09:09</t>
        </is>
      </c>
      <c r="H5218" t="inlineStr"/>
    </row>
    <row r="5219">
      <c r="A5219" t="inlineStr">
        <is>
          <t>f1zoat</t>
        </is>
      </c>
      <c r="B5219" t="inlineStr">
        <is>
          <t>excessive thirst?</t>
        </is>
      </c>
      <c r="C5219" t="inlineStr">
        <is>
          <t>when my gerd is really bad i get really thirsty. does anyone else feel like that?</t>
        </is>
      </c>
      <c r="D5219" t="n">
        <v>1</v>
      </c>
      <c r="E5219" t="n">
        <v>0</v>
      </c>
      <c r="F5219">
        <f>HYPERLINK("https://www.reddit.com/r/GERD/comments/f1zoat/excessive_thirst/")</f>
        <v/>
      </c>
      <c r="G5219" t="inlineStr">
        <is>
          <t>2020-02-10 16:10:18</t>
        </is>
      </c>
      <c r="H5219" t="inlineStr"/>
    </row>
    <row r="5220">
      <c r="A5220" t="inlineStr">
        <is>
          <t>f1zpmc</t>
        </is>
      </c>
      <c r="B5220" t="inlineStr">
        <is>
          <t>Terrified my GERD symptoms could be something worse...</t>
        </is>
      </c>
      <c r="C5220" t="inlineStr">
        <is>
          <t>I've had acid reflux for 6 months now. I'm a 23 year old male with a very healthy diet and lifestyle which is one of the reasons I'm anxious, why is someone so young and healthy is suddenly suffering with GERD? 
My symptoms are the following 
- feeling like a knot in my upper stomach 
- feeling like something stuck in throat 
- sharp chest pain (comes and goes, maybe once every 2 days)
- trouble breathing or taking a deep breath - feel like my breaths are shallow 
- dizziness, to the point where I have to leave rooms or meals with friends 
- Nausea 
- trouble swallowing - this is the worst and seems to only happen occasionally, when it's bad I can barely even swallow water 
Someone please put my mind at ease, I'm terrified I have some form of cancer.</t>
        </is>
      </c>
      <c r="D5220" t="n">
        <v>1</v>
      </c>
      <c r="E5220" t="n">
        <v>10</v>
      </c>
      <c r="F5220">
        <f>HYPERLINK("https://www.reddit.com/r/GERD/comments/f1zpmc/terrified_my_gerd_symptoms_could_be_something/")</f>
        <v/>
      </c>
      <c r="G5220" t="inlineStr">
        <is>
          <t>2020-02-10 16:13:03</t>
        </is>
      </c>
      <c r="H5220" t="inlineStr"/>
    </row>
    <row r="5221">
      <c r="A5221" t="inlineStr">
        <is>
          <t>f1zxgr</t>
        </is>
      </c>
      <c r="B5221" t="inlineStr">
        <is>
          <t>Fixing dysphagia</t>
        </is>
      </c>
      <c r="C5221" t="inlineStr">
        <is>
          <t>Hey, I’m 14 years old and as far as I know, dysphagia is more common in teens with gerd than adults but does anyone know how to fix dysphagia? It’s my most annoying symptom. H2 blockers help everything else but dysphagia is so annoying. Is it even gerd at this point? I was diagnosed based off symptoms.</t>
        </is>
      </c>
      <c r="D5221" t="n">
        <v>1</v>
      </c>
      <c r="E5221" t="n">
        <v>2</v>
      </c>
      <c r="F5221">
        <f>HYPERLINK("https://www.reddit.com/r/GERD/comments/f1zxgr/fixing_dysphagia/")</f>
        <v/>
      </c>
      <c r="G5221" t="inlineStr">
        <is>
          <t>2020-02-10 16:28:51</t>
        </is>
      </c>
      <c r="H5221" t="inlineStr"/>
    </row>
    <row r="5222">
      <c r="A5222" t="inlineStr">
        <is>
          <t>f1zz88</t>
        </is>
      </c>
      <c r="B5222" t="inlineStr">
        <is>
          <t>I'm allergic to PPI's and Pepcid effects my heart. What next?</t>
        </is>
      </c>
      <c r="C5222" t="inlineStr">
        <is>
          <t>So I have acid reflux. Its not as chronic as other posters in this sub but it definitely is bothersome and effects my sleep. I've heard of cimetidine but never taken it before. Right now I've just been taking tums but I have to take over the max recommended dose on the bottle. I'm not really sure what to do from here.</t>
        </is>
      </c>
      <c r="D5222" t="n">
        <v>1</v>
      </c>
      <c r="E5222" t="n">
        <v>7</v>
      </c>
      <c r="F5222">
        <f>HYPERLINK("https://www.reddit.com/r/GERD/comments/f1zz88/im_allergic_to_ppis_and_pepcid_effects_my_heart/")</f>
        <v/>
      </c>
      <c r="G5222" t="inlineStr">
        <is>
          <t>2020-02-10 16:32:19</t>
        </is>
      </c>
      <c r="H5222" t="inlineStr"/>
    </row>
    <row r="5223">
      <c r="A5223" t="inlineStr">
        <is>
          <t>f21uam</t>
        </is>
      </c>
      <c r="B5223" t="inlineStr">
        <is>
          <t>Trying to figure out cause of another flare up.</t>
        </is>
      </c>
      <c r="C5223" t="inlineStr">
        <is>
          <t>Hey guys, about 2 years ago I had a bad case of acid reflux happen.  I wasn't able to eat for 6 months, agonizing pain, lots of tests done (endoscopy, monomatry, colonoscopy) which showed nothing. I was put on protonix w/ carafate.  Eventually things got better and I've just been on my protonix 40mg once daily.  I wasn't having any symptoms for almost the past year but this past month they've been slowly coming back, and now it's pretty bad again.  The only change I can think of is I started a new birth control that's the mini pill (progesterone only) about a month ago.
Does anyone know if progesterone only could be the culprit of this flare up? 
Along with the usual burning pain through my abdomen I've been having my muscles convulsing in my abdomen and stomach, which is new and pretty painful, along with weakness and shakiness.  I'm scheduling another appointment with my GI, but just wondering if others has experienced these symptoms as well or if possibly something else is going on.</t>
        </is>
      </c>
      <c r="D5223" t="n">
        <v>1</v>
      </c>
      <c r="E5223" t="n">
        <v>2</v>
      </c>
      <c r="F5223">
        <f>HYPERLINK("https://www.reddit.com/r/GERD/comments/f21uam/trying_to_figure_out_cause_of_another_flare_up/")</f>
        <v/>
      </c>
      <c r="G5223" t="inlineStr">
        <is>
          <t>2020-02-10 18:50:03</t>
        </is>
      </c>
      <c r="H5223" t="inlineStr"/>
    </row>
    <row r="5224">
      <c r="A5224" t="inlineStr">
        <is>
          <t>f23ezm</t>
        </is>
      </c>
      <c r="B5224" t="inlineStr">
        <is>
          <t>Did anybody else got weight loss without trying??</t>
        </is>
      </c>
      <c r="C5224" t="inlineStr">
        <is>
          <t>I'm referring to extreme weight loss with even trying</t>
        </is>
      </c>
      <c r="D5224" t="n">
        <v>1</v>
      </c>
      <c r="E5224" t="n">
        <v>15</v>
      </c>
      <c r="F5224">
        <f>HYPERLINK("https://www.reddit.com/r/GERD/comments/f23ezm/did_anybody_else_got_weight_loss_without_trying/")</f>
        <v/>
      </c>
      <c r="G5224" t="inlineStr">
        <is>
          <t>2020-02-10 20:56:08</t>
        </is>
      </c>
      <c r="H5224" t="inlineStr"/>
    </row>
    <row r="5225">
      <c r="A5225" t="inlineStr">
        <is>
          <t>f23kqm</t>
        </is>
      </c>
      <c r="B5225" t="inlineStr">
        <is>
          <t>What does the other side of H pylori look like?</t>
        </is>
      </c>
      <c r="C5225" t="inlineStr">
        <is>
          <t>Hi everyone -- 
I've suffered from GERD on and off my entire life (usually dependent on when I'm going through a stressful phase and stop eating right) but something's been wrong the last few years and it has gotten increasingly worse. Cue joining this sub, and realizing some of my symptoms (i.e. painful gnawing feeling when my stomach is empty) can be signs of ulcers, and the fact that it won't go away can be attributed to H pylori.
Spoke with my doc over the phone and doc said my symptoms sound *very* like ulcers/possible H pylori infection, and to get a blood test as soon as I could. My fingers are almost crossed because knowing the cause will help me root it out. Losing weight and eating clean certainly hasn't helped.
I know people are likelier to use this forum if they're in distress, and the people who have fixed their issues are probably off celebrating, but if anyone *has* successfully cleared out an H pylori infection/allowed ulcers to heal or knows someone who has and happens to be here, can you attest to what kind of changes I can expect? I've felt ill for the last four years and I'm sort of hoping this returns the energy I've been lacking (not to mention my mood).</t>
        </is>
      </c>
      <c r="D5225" t="n">
        <v>1</v>
      </c>
      <c r="E5225" t="n">
        <v>12</v>
      </c>
      <c r="F5225">
        <f>HYPERLINK("https://www.reddit.com/r/GERD/comments/f23kqm/what_does_the_other_side_of_h_pylori_look_like/")</f>
        <v/>
      </c>
      <c r="G5225" t="inlineStr">
        <is>
          <t>2020-02-10 21:09:15</t>
        </is>
      </c>
      <c r="H5225" t="inlineStr"/>
    </row>
    <row r="5226">
      <c r="A5226" t="inlineStr">
        <is>
          <t>f23t6l</t>
        </is>
      </c>
      <c r="B5226" t="inlineStr">
        <is>
          <t>Lessons from GERD</t>
        </is>
      </c>
      <c r="C5226" t="inlineStr">
        <is>
          <t>What are eating habits and other valuable pieces of information that you learned in trying to heal your GERD that most people don’t know of and don’t follow?</t>
        </is>
      </c>
      <c r="D5226" t="n">
        <v>1</v>
      </c>
      <c r="E5226" t="n">
        <v>5</v>
      </c>
      <c r="F5226">
        <f>HYPERLINK("https://www.reddit.com/r/GERD/comments/f23t6l/lessons_from_gerd/")</f>
        <v/>
      </c>
      <c r="G5226" t="inlineStr">
        <is>
          <t>2020-02-10 21:29:55</t>
        </is>
      </c>
      <c r="H5226" t="inlineStr"/>
    </row>
    <row r="5227">
      <c r="A5227" t="inlineStr">
        <is>
          <t>f26ib8</t>
        </is>
      </c>
      <c r="B5227" t="inlineStr">
        <is>
          <t>So constipated on protonix. Getting right sharp pain. Bout to go buy laxatives..</t>
        </is>
      </c>
      <c r="C5227" t="inlineStr">
        <is>
          <t>Since protonix I have had constipation so bad that my right side gets this sharp pain .. I am wicked gasy which I am never.. idk what's wrong with me. Keep trying to go but just farting ..  sharp pain on right wouldnt let me sleep so idk. Maybe just eat alot of fiber on protonix I guess. I cant go wtf. Going to doctor tommrw to make sure nothing that serious but wtf.. this is annoying</t>
        </is>
      </c>
      <c r="D5227" t="n">
        <v>1</v>
      </c>
      <c r="E5227" t="n">
        <v>14</v>
      </c>
      <c r="F5227">
        <f>HYPERLINK("https://www.reddit.com/r/GERD/comments/f26ib8/so_constipated_on_protonix_getting_right_sharp/")</f>
        <v/>
      </c>
      <c r="G5227" t="inlineStr">
        <is>
          <t>2020-02-11 02:24:06</t>
        </is>
      </c>
      <c r="H5227" t="inlineStr"/>
    </row>
    <row r="5228">
      <c r="A5228" t="inlineStr">
        <is>
          <t>f27vgi</t>
        </is>
      </c>
      <c r="B5228" t="inlineStr">
        <is>
          <t>Newly diagnosed. Is stomach pain normal?</t>
        </is>
      </c>
      <c r="C5228" t="inlineStr">
        <is>
          <t>Hi. (25F) I recently went to my doctor for stomach pains and burping/passing wind with some acid. She diagnosed me with GERD and gave me 20mg of Prilosec to take for 8 weeks. Is stomach pains (upper abdomen)normal for people with GERD? The pain seems to subside for a small amount when I eat but will come back. The pains aren’t horrible they’re easily ignorable for the most part, but they’re enough to make me stop and rub my stomach for a bit before continuing whatever i was doing. I don’t think I have any trigger foods but I will cut down/stop eating on commonly suspected foods to see if it will help. I do know that I’m likely to get physically ill when I have high anxiety, which I have currently. (I’m unable to see therapy right now). 
Some kind words, tips on relaxing/dealing with this illness and support would be great. I don’t know where else to turn to in terms of support so I chose here. Thank you in advance for helping.</t>
        </is>
      </c>
      <c r="D5228" t="n">
        <v>1</v>
      </c>
      <c r="E5228" t="n">
        <v>9</v>
      </c>
      <c r="F5228">
        <f>HYPERLINK("https://www.reddit.com/r/GERD/comments/f27vgi/newly_diagnosed_is_stomach_pain_normal/")</f>
        <v/>
      </c>
      <c r="G5228" t="inlineStr">
        <is>
          <t>2020-02-11 04:50:29</t>
        </is>
      </c>
      <c r="H5228" t="inlineStr"/>
    </row>
    <row r="5229">
      <c r="A5229" t="inlineStr">
        <is>
          <t>f28ntg</t>
        </is>
      </c>
      <c r="B5229" t="inlineStr">
        <is>
          <t>Never ending nausea</t>
        </is>
      </c>
      <c r="C5229" t="inlineStr">
        <is>
          <t>... does anyone have almost never ending nausea when the weather is bad? 
Nissen fundoplication/hiatial hernia repair over a year ago but it's loose now... Zofran isn't even curbing it. I gotta find a solution cause it's making me non functional multiple times a day.</t>
        </is>
      </c>
      <c r="D5229" t="n">
        <v>1</v>
      </c>
      <c r="E5229" t="n">
        <v>11</v>
      </c>
      <c r="F5229">
        <f>HYPERLINK("https://www.reddit.com/r/GERD/comments/f28ntg/never_ending_nausea/")</f>
        <v/>
      </c>
      <c r="G5229" t="inlineStr">
        <is>
          <t>2020-02-11 05:57:35</t>
        </is>
      </c>
      <c r="H5229" t="inlineStr"/>
    </row>
    <row r="5230">
      <c r="A5230" t="inlineStr">
        <is>
          <t>f294x2</t>
        </is>
      </c>
      <c r="B5230" t="inlineStr">
        <is>
          <t>Digestive Issues</t>
        </is>
      </c>
      <c r="C5230" t="inlineStr">
        <is>
          <t>Does anyone have pretty bad digestion since your GERD started? I noticed my digestion has been horrible since I first started having the chest pain. I had gotten acid reflux before, but I haven’t noticed any burning since this whole thing started. Now that pain is rarely there, but my digestive issues remain. Right now I’m taking Betaine HCL in the hopes it’s low stomach acid, but it doesn’t really seem to be helping me. I take two with my meals right now, but I woke up with some upper abdominal pain today that hadn’t been there before so I was worried about the supplement. I don’t have any burning feeling however. Any information would be helpful.</t>
        </is>
      </c>
      <c r="D5230" t="n">
        <v>1</v>
      </c>
      <c r="E5230" t="n">
        <v>3</v>
      </c>
      <c r="F5230">
        <f>HYPERLINK("https://www.reddit.com/r/GERD/comments/f294x2/digestive_issues/")</f>
        <v/>
      </c>
      <c r="G5230" t="inlineStr">
        <is>
          <t>2020-02-11 06:35:00</t>
        </is>
      </c>
      <c r="H5230" t="inlineStr"/>
    </row>
    <row r="5231">
      <c r="A5231" t="inlineStr">
        <is>
          <t>f29cm0</t>
        </is>
      </c>
      <c r="B5231" t="inlineStr">
        <is>
          <t>My incredibly long post about what I have learned in dealing with GERD.</t>
        </is>
      </c>
      <c r="C5231" t="inlineStr">
        <is>
          <t>Before I go into detail three things.
1. Go to a doctor. Do not self diagnose yourself or start a over the counter regimen. If the doctor diagnoses you with GERD follow their instructions and prescriptions. If you at any time feel that the prescription medicine is not working for you, contact your doctor. If the doctor is one of those that don't listen, find another doctor. You need a doctor that listens to you because GERD is a condition that changes your life. You need to talk to them about your prescriptions, routines, alternatives, holistic alternatives, symptoms of GERD. I communicate with my doctor once every 1-3 months so she can keep tabs of what I am doing and if she needs to do anything on her part. If you find one of those doctors keep them even if they don't find a solution you are looking for. They will be useful in your other needs. If the general doctor does not find solution then...
2. Find yourself a gastroenterologist. If you have Kaiser ask your general doctor for a referral. I at first relied on my general doctor, but what she was aiming at for me in terms of helping me was not enough. She gave me a 4 week trial of omeprazole and it worked but the rebound messed me up. She provided me with lorezapam for my panic attacks caused by GERD but the "combo" as I would call it of omeprazole and lorezapam was happening every 2-4 weeks. We were at an impasse in making my life manageable. Enter the gastroenterologist and she placed me on an 8 week trial of omeprazole on top of giving me a upper endoscopy. At the same time my general doctor found me to be vitamin D deficient so she gave me 50k supplements to take along with the trial. 
3  Check your sources. The internet is filled with information. Find reputable sources to find information about GERD. However, not all information in this day and age is good. With fake news it is important to judge sources more than ever before. Especially when it comes to your health and well being. Scientific and government sources are a good go to but do your research. What you should definitely be careful with are sites that promise a cure in exchange for money or a product that is 100% guaranteed to work without sufficient scientific/govt backing or a website that says they have the inside scoop on why western medicine is bad or a diet/lifestyle that is guaranteed to cure all without sufficient scientific/govt backing.
Now my recommendations.
Check your body for deficiencies. I had a vitamin D deficiency and it helped make GERD more manageable (at least from what I have seen so far). Vitamin D according to some studies provides muscle   function. In the case of GERD it can potentially help with the LES. For me I work as a teacher so I am in the school from day break to sunset so I do not get enough sunlight. So I take supplements or push myself to drink milk.
Trigger Foods. Your diet has to change for the better. High carbs and fatty foods are a no. Fast food can trigger it. No trigger foods like chocolate, tomato, onion, heavy seasoned foods (hot chicken for example), coffee (if you want it, get it decaf small with a lot of milk) and any food that is high on acidity. 
Find Apps that help with GERD. I use an app called Acid Reflux Helper that gives a list of foods that help, trigger or are neutral towards GERD. There are other apps out there that help manage GERD. Check them out. There are also books in that matter so find yourself one that provides food recipes and suggestions on how to manage.
Happy foods. Foods that have worked for me and do not trigger my GERD: Oatmeal (this is my go to meal in the morning. To make it fun I add bananas, ground flax seed, honey, chia seed, almonds, berries and coconut flakes), bananas, berries, apples, vegetables like spinach and greens, baked potatoes, beans, etc. There are many more that you can find from reputable sources. Some say apple cider vinegar works wonders. 
Positive attitude. Sometimes this condition can bring you down on your knees. The pain and health anxiety it produces is hard. Sometimes you will think that you have found a way to manage it but it comes back. It is important to not give up or be let down by it. Instead try again. Even now that I have found a strong way to manage it. In the back of my mind I know GERD is still there. I know I will have sick days but it can be managed. 
Mindfulness and therapy. It helps to talk about it. This sub helps. Get therapy in regards to it so you can learn ways to deal with the anxiety. Anxiety and GERD have a complex relationship where both can trigger each other. Mindfulness and meditation help if you have health anxiety or think this condition is hell. I go to therapy each week and meditate before going to sleep.
Sleep. Get a lot of sleep. However, don't eat anything 3-4 hours before. GERD will activate as a result. If this happens, take an antacid or take your prescription before bed. GERD can wake you up in the middle of the night. Whats worse it can be disorienting and downright nightmarish when an attack happens in the middle of night. Get a GERD pillow. It makes a difference getting yourself elevated so the acid doesn't go up. Try sleeping on your left side as that too helps. 
Flying. From experience I can tell you that flying has become harder for me. Before GERD, I did not think much of it. If you have panic attacks due to GERD please take your medications with you. For me I always take antacids (first line of defense), omeprazole (severe GERD attack defense) and lorezapam (panic attack defense). Why? Imagine not knowing you had GERD and instead thinking it was due to high blood sugars caused by your pre-diabetes and you are now in a tin can 35,000 feet up in the air for 5 hours from Atlanta to LA. All while you are having a panic attack and feeling very nauseous. You take a bathroom for 30min while the flight attendants don't  know how to help you and want you back in your seat. That happened to me back in New Years 2019. Not fun.
Eating Routine and Jet Lag. With GERD it will be important to change your eating routine. Instead of the regular 3 times a day meals. You now need a 5 meal course two of which are snacks in between. That way the hunger does not activate your GERD. Your portions for your main meal should be smaller and healthier. You should enjoy the taste and chew your food longer. The more chewing the more you help your stomach with digestion. Don't gulp down your water (your new friend by the way) but instead enjoy the sip. Basically enjoy your food by not eating and drinking it quickly. Now since your body has a routine, jet lag messes it up. Eat wise and healthy as your body is in stress mode during jet lag. Stress and anxiety are triggers of GERD and it can go severe easily. Several times I had severe attacks when being in jet lag conditions. Imagine thinking of going to the ER in an unknown city and thinking about if your insurance will cover it. Anyway one thing I saw that helped was stick to the old routine. When I was in New York for a week. I ate Los Angeles time and went to sleep Los Angeles time. Otherwise going back to LA I would have to adjust. If it is more than a week, my suggestion is to adjust your 5 meals slowly and your sleep schedule as well. Making sure you follow the 3-4 hour no eat rule and not to eat trigger foods during this stressful and anxiety ridden time.
What works for me, might not work for you. Prescription medicine, methods and food wise. Some prescription medicine will work for some and for others it will not. This is evident in the sub as you see different methods and prescriptions being shown in it. Some methods like my vitamin D suggestion might work for me but it might not work for you. It is important to know that your body will react differently to GERD than others. For food, some foods will be clear triggers while others are not. For me milk doesn't do anything but for someone else it will trigger it. In the end you will decide what works for you and what doesn't.</t>
        </is>
      </c>
      <c r="D5231" t="n">
        <v>1</v>
      </c>
      <c r="E5231" t="n">
        <v>41</v>
      </c>
      <c r="F5231">
        <f>HYPERLINK("https://www.reddit.com/r/GERD/comments/f29cm0/my_incredibly_long_post_about_what_i_have_learned/")</f>
        <v/>
      </c>
      <c r="G5231" t="inlineStr">
        <is>
          <t>2020-02-11 06:51:40</t>
        </is>
      </c>
      <c r="H5231" t="inlineStr"/>
    </row>
    <row r="5232">
      <c r="A5232" t="inlineStr">
        <is>
          <t>f2b2ex</t>
        </is>
      </c>
      <c r="B5232" t="inlineStr">
        <is>
          <t>I feel like nothing is working, I always feel bad in one way or another</t>
        </is>
      </c>
      <c r="C5232" t="inlineStr">
        <is>
          <t>Hi gerd people, 
I am new to this community, I've had acid reflux for a long time but never in a really significant way , always here and there before bed I would take a tums or two and that's it.
But all of a sudden one day a few weeks ago I wake up choking because of it, I could smell my tums in my throat I kept wheezing all night. I tried for a week to eat better food and see if it gets better, it was never like that so I thought maybe it's a one time thing. But it didn't . 
I live about 1000kms away from my doctor so I went to an after hours clinic the doctor asked me about 3 questions and gave me ppis 2 weeks of 2 a day and 3 weeks of 1 a day.
Since then it's been about one week and a half and I've been eating better, figuring out that somethings make me feel worse than others ( no more chocolate , this is hard) I always seem to feel bad, either nauseous or something in my throat or cough. For example, today I've been up for 6 hours and I ate a yogurt , banana bread, an apple and a plum and I drank some tea and water and I don't feel good.
I just don't understand why I feel bad all the time.
Thanks for reading.</t>
        </is>
      </c>
      <c r="D5232" t="n">
        <v>1</v>
      </c>
      <c r="E5232" t="n">
        <v>4</v>
      </c>
      <c r="F5232">
        <f>HYPERLINK("https://www.reddit.com/r/GERD/comments/f2b2ex/i_feel_like_nothing_is_working_i_always_feel_bad/")</f>
        <v/>
      </c>
      <c r="G5232" t="inlineStr">
        <is>
          <t>2020-02-11 08:50:50</t>
        </is>
      </c>
      <c r="H5232" t="inlineStr"/>
    </row>
    <row r="5233">
      <c r="A5233" t="inlineStr">
        <is>
          <t>f2bchl</t>
        </is>
      </c>
      <c r="B5233" t="inlineStr">
        <is>
          <t>People try acidophillus and ginger or tumeric</t>
        </is>
      </c>
      <c r="C5233" t="inlineStr">
        <is>
          <t>Ive been on lanzoprazole and ginger and acidophilus. The two latter please try them to see if they help you out with reflux. I must say it has improved my symptoms</t>
        </is>
      </c>
      <c r="D5233" t="n">
        <v>1</v>
      </c>
      <c r="E5233" t="n">
        <v>10</v>
      </c>
      <c r="F5233">
        <f>HYPERLINK("https://www.reddit.com/r/GERD/comments/f2bchl/people_try_acidophillus_and_ginger_or_tumeric/")</f>
        <v/>
      </c>
      <c r="G5233" t="inlineStr">
        <is>
          <t>2020-02-11 09:09:12</t>
        </is>
      </c>
      <c r="H5233" t="inlineStr"/>
    </row>
    <row r="5234">
      <c r="A5234" t="inlineStr">
        <is>
          <t>f2e493</t>
        </is>
      </c>
      <c r="B5234" t="inlineStr">
        <is>
          <t>Increasing Stomach Acid - Works or Not?</t>
        </is>
      </c>
      <c r="C5234" t="inlineStr">
        <is>
          <t>So, I’m starting to try that Betaine HCl supplement thing to increase my acid. I’m having a hard time telling if it’s working. I take it during the day, then I chicken out at night and take Gaviscon. I don’t know if that negates the effects or not. Has anyone on here tried it and had success with it? Or stuck with it for a while to no avail? Additionally, I recently started taking Vitamin D, which I’m apparently very deficient in, and I wonder if a lot of people with GERD are D deficient. If anyone who was deficient started taking D and saw a reduction in symptoms, or saw no effect after 4 months of supplementing D, please let me know.</t>
        </is>
      </c>
      <c r="D5234" t="n">
        <v>1</v>
      </c>
      <c r="E5234" t="n">
        <v>22</v>
      </c>
      <c r="F5234">
        <f>HYPERLINK("https://www.reddit.com/r/GERD/comments/f2e493/increasing_stomach_acid_works_or_not/")</f>
        <v/>
      </c>
      <c r="G5234" t="inlineStr">
        <is>
          <t>2020-02-11 12:09:05</t>
        </is>
      </c>
      <c r="H5234" t="inlineStr"/>
    </row>
    <row r="5235">
      <c r="A5235" t="inlineStr">
        <is>
          <t>f2e5k8</t>
        </is>
      </c>
      <c r="B5235" t="inlineStr">
        <is>
          <t>Woke up choking? Wtf?</t>
        </is>
      </c>
      <c r="C5235" t="inlineStr">
        <is>
          <t>Hi. I’m not diagnosed with GERD nor have I really thought about it before today. But last night I went to sleep, and slept on my back. I usually don’t but I was hot. An hour or two after I went to sleep my eyes opened, and for a second I was like “why am I awake?” 
Then I realized I couldn’t breathe. So I sat up. Then I felt something weird in my lungs. So I tried to breathe and I had like a wet wheeze- then I started coughing up gross liquid and (TMI, but) what I think was vomit? 
I couldn’t stop coughing and my lungs were burning so my boyfriend got me some water and I jumped in the shower. I looked up my symptoms and a bunch of stuff about reflux and GERD came up. I suffered wi th reflux when I was maybe 12? But it went away. I noticed I’ve been having a weird cough some days but never woke up like that before. I’m kinda worried it’ll happen again because it majorly sucked. Can I get some advice? Should I see a doctor? My lungs freaking hurt this morning and I can still taste vomit and feel nauseous. My boyfriend and dad think I should wait to see a doctor for a bit.</t>
        </is>
      </c>
      <c r="D5235" t="n">
        <v>1</v>
      </c>
      <c r="E5235" t="n">
        <v>18</v>
      </c>
      <c r="F5235">
        <f>HYPERLINK("https://www.reddit.com/r/GERD/comments/f2e5k8/woke_up_choking_wtf/")</f>
        <v/>
      </c>
      <c r="G5235" t="inlineStr">
        <is>
          <t>2020-02-11 12:11:22</t>
        </is>
      </c>
      <c r="H5235" t="inlineStr"/>
    </row>
    <row r="5236">
      <c r="A5236" t="inlineStr">
        <is>
          <t>f2eega</t>
        </is>
      </c>
      <c r="B5236" t="inlineStr">
        <is>
          <t>Just had my 4th endoscopy. Erosive esophagitis, hypersensitive esophagus, stomach polyps</t>
        </is>
      </c>
      <c r="C5236" t="inlineStr">
        <is>
          <t>Just had an endoscopy, showed I have erosive esophagitis, hypersensitive esophagus and a few stomach polyps, but I was told they were no concern. Has anyone had any of the above? How long did it take the erosive esophagitis to heal?</t>
        </is>
      </c>
      <c r="D5236" t="n">
        <v>1</v>
      </c>
      <c r="E5236" t="n">
        <v>0</v>
      </c>
      <c r="F5236">
        <f>HYPERLINK("https://www.reddit.com/r/GERD/comments/f2eega/just_had_my_4th_endoscopy_erosive_esophagitis/")</f>
        <v/>
      </c>
      <c r="G5236" t="inlineStr">
        <is>
          <t>2020-02-11 12:27:23</t>
        </is>
      </c>
      <c r="H5236" t="inlineStr"/>
    </row>
    <row r="5237">
      <c r="A5237" t="inlineStr">
        <is>
          <t>f2gfxs</t>
        </is>
      </c>
      <c r="B5237" t="inlineStr">
        <is>
          <t>Acid reflux, LPR, or allergies?</t>
        </is>
      </c>
      <c r="C5237" t="inlineStr">
        <is>
          <t>Hello, it’s my first time posting here. Since this subreddit has some info about refluxes, I figured I could post my experience here and ask if I have reflux or not.
9 days before Thanksgiving last year, I had to cough occasionally to get my throat clear. At first I thought it was a cold, and I just let it slide by. Four days before Thanksgiving, the cough is gone, but now new symptoms came. First is that it feels like something is stuck to my throat, but it’s not actually there. I first felt this every time I tried to swallow. I don’t have any difficulty swallowing or any pain while swallowing though. Second is that for the first 8 days, I felt my chest restricting me, to the point that while I can still breathe, I felt like something was suffocating me a little bit. Third is that I have to clear my throat often. Every time I swallow saliva or any food or drink, I have to clear my throat every 5 - 10 minutes. The fourth is that I am burping often, to the point that I have to burp to feel relief from throat and chest temporarily. It’s not a big problem, but it’s getting annoying. The last one, and the most annoying part, is excessive saliva. I have to spit or swallow my saliva every 30 seconds to 5 minutes. It’s getting to the part that it is interfering with every day activities, including sleeping. The only time I actually have excessive saliva is when I have a sore throat, so for the fact that saliva keeps coming back to my mouth without a sore throat really scares me.
Currently, I am still experiencing most of the symptoms except for the tightness in my chest, although I think my throat started to feel a little sore. Not a like sore throat sore, or a sore that is annoying. I’ve seen my PCP and a nurse practitioner since my symptoms began, and my both think that I have acid reflux. I began to take Ranitidine, Levocetirizine, and propranolol and nasal spray until mid January for the last three medicine and February 3 for Ranitidine. Prior to that, I was taking other medicine (buspar, hydroxyzine) because of insomnia and I thought I had anxiety issues. The chest tightness stopped, but the other symptoms remained. I am currently on Omeprazole, but now I have to switch to protonix today. 
I work out almost every day for 33 minutes using a elliptical walk, and I just started to eat a little bit healthier, and taking the medicine, and so far, nothing. All of these symptoms, yet I did not experience heartburn, sour taste, or stomach pain. I googled around and found that there is another reflux called LPR. It listed most or all symptoms that I am experiencing, minus the excessive saliva. I read that LPR is harder to be treated then GERD/acid reflux, so that got me down. I also think that my symptoms may also be due to allergies, not the reflux itself, but I’m not sure.
I experience acid reflux before in college, and doctor gave me medicine and what food to eat, and while I didn’t exactly followed the diet protocol, I did avoid eating any greasy stuff. A week later, I was feeling better and the reflux was gone. In middle school, I had a bad sore throat lasting for nearly seven months, before finding out my sore throat was due to allergies, with evidence being that after I took Claritin for a few days, my sore throat went away. 
Do you think my symptoms are reflux related or allergies related? I would like to find out before I speak with my doctor at the end of February. 
I’m a 25 M by the way.</t>
        </is>
      </c>
      <c r="D5237" t="n">
        <v>1</v>
      </c>
      <c r="E5237" t="n">
        <v>4</v>
      </c>
      <c r="F5237">
        <f>HYPERLINK("https://www.reddit.com/r/GERD/comments/f2gfxs/acid_reflux_lpr_or_allergies/")</f>
        <v/>
      </c>
      <c r="G5237" t="inlineStr">
        <is>
          <t>2020-02-11 14:34:09</t>
        </is>
      </c>
      <c r="H5237" t="inlineStr"/>
    </row>
    <row r="5238">
      <c r="A5238" t="inlineStr">
        <is>
          <t>f2gi23</t>
        </is>
      </c>
      <c r="B5238" t="inlineStr">
        <is>
          <t>Is this heartburn? What does heartburn feel like</t>
        </is>
      </c>
      <c r="C5238" t="inlineStr">
        <is>
          <t>I've been reading a lot of posts about a burning sensation in the abdomen, and I don't have that at all. I've been on protonix for two years on and off and over time, this achey sensation has started right where my heart is. Sometimes the pain is worse, and it seems to be tied to caffeine intake. I notice it sometimes travel into my neck or left arm but I had a chest x-ray done (for my lung) and doctor commented that heart area looked normal. I also workout regularly and don't have any issues. Thoughts?</t>
        </is>
      </c>
      <c r="D5238" t="n">
        <v>1</v>
      </c>
      <c r="E5238" t="n">
        <v>3</v>
      </c>
      <c r="F5238">
        <f>HYPERLINK("https://www.reddit.com/r/GERD/comments/f2gi23/is_this_heartburn_what_does_heartburn_feel_like/")</f>
        <v/>
      </c>
      <c r="G5238" t="inlineStr">
        <is>
          <t>2020-02-11 14:38:11</t>
        </is>
      </c>
      <c r="H5238" t="inlineStr"/>
    </row>
    <row r="5239">
      <c r="A5239" t="inlineStr">
        <is>
          <t>f2glni</t>
        </is>
      </c>
      <c r="B5239" t="inlineStr">
        <is>
          <t>Recurrent sulphur burps.</t>
        </is>
      </c>
      <c r="C5239" t="inlineStr">
        <is>
          <t>Evening folks, I'm looking some help with a recurring problem.
Ever since I was a young one I remember getting an upset the odd time, say once or twice a year. However lately, in the last few months, I think I'm up my 5th bout of it.
Called to my GP and was prescribed some Omeprazole tablets, which I thought was helping out. If I get the bad burps, taking a tablet seems to reduce the gas &amp;amp; burping. 
My question is, I've had my bloods done (all clear) been put on this tablet, but it doesn't seem to sorting the problem. What would the next route be, in your opinion(s)? I'm not really up on these problems, hence I'm asking the experts!</t>
        </is>
      </c>
      <c r="D5239" t="n">
        <v>1</v>
      </c>
      <c r="E5239" t="n">
        <v>11</v>
      </c>
      <c r="F5239">
        <f>HYPERLINK("https://www.reddit.com/r/GERD/comments/f2glni/recurrent_sulphur_burps/")</f>
        <v/>
      </c>
      <c r="G5239" t="inlineStr">
        <is>
          <t>2020-02-11 14:44:42</t>
        </is>
      </c>
      <c r="H5239" t="inlineStr"/>
    </row>
    <row r="5240">
      <c r="A5240" t="inlineStr">
        <is>
          <t>f2hfel</t>
        </is>
      </c>
      <c r="B5240" t="inlineStr">
        <is>
          <t>Should I go back to the doctor?</t>
        </is>
      </c>
      <c r="C5240" t="inlineStr">
        <is>
          <t>Hey, I’m 14 years old and if I had reflux symptoms and h2 blockers got rid of them, but I still have difficulty swallowing should I go back? H2 blockers don’t help the swallowing but help indigestion.</t>
        </is>
      </c>
      <c r="D5240" t="n">
        <v>1</v>
      </c>
      <c r="E5240" t="n">
        <v>7</v>
      </c>
      <c r="F5240">
        <f>HYPERLINK("https://www.reddit.com/r/GERD/comments/f2hfel/should_i_go_back_to_the_doctor/")</f>
        <v/>
      </c>
      <c r="G5240" t="inlineStr">
        <is>
          <t>2020-02-11 15:39:26</t>
        </is>
      </c>
      <c r="H5240" t="inlineStr"/>
    </row>
    <row r="5241">
      <c r="A5241" t="inlineStr">
        <is>
          <t>f2iun4</t>
        </is>
      </c>
      <c r="B5241" t="inlineStr">
        <is>
          <t>Can hiatal hernias ever go away?</t>
        </is>
      </c>
      <c r="C5241" t="inlineStr">
        <is>
          <t>I've recently been diagnosed with one via endoscopy and I believe it's causing my stomach discomfort and acid reflux.
I'd love to hear your experiences.</t>
        </is>
      </c>
      <c r="D5241" t="n">
        <v>1</v>
      </c>
      <c r="E5241" t="n">
        <v>14</v>
      </c>
      <c r="F5241">
        <f>HYPERLINK("https://www.reddit.com/r/GERD/comments/f2iun4/can_hiatal_hernias_ever_go_away/")</f>
        <v/>
      </c>
      <c r="G5241" t="inlineStr">
        <is>
          <t>2020-02-11 17:18:18</t>
        </is>
      </c>
      <c r="H5241" t="inlineStr"/>
    </row>
    <row r="5242">
      <c r="A5242" t="inlineStr">
        <is>
          <t>f2jbt3</t>
        </is>
      </c>
      <c r="B5242" t="inlineStr">
        <is>
          <t>Abdominal Pain</t>
        </is>
      </c>
      <c r="C5242" t="inlineStr">
        <is>
          <t>Hey I had a severe cold for a couple days that caused a lot of sneezing. In addition, I was taking Betaine HCL. I’m feeling like abdominal tightness, but not burning. Is this the muscles being sore or the HCL more likely?</t>
        </is>
      </c>
      <c r="D5242" t="n">
        <v>1</v>
      </c>
      <c r="E5242" t="n">
        <v>1</v>
      </c>
      <c r="F5242">
        <f>HYPERLINK("https://www.reddit.com/r/GERD/comments/f2jbt3/abdominal_pain/")</f>
        <v/>
      </c>
      <c r="G5242" t="inlineStr">
        <is>
          <t>2020-02-11 17:50:54</t>
        </is>
      </c>
      <c r="H5242" t="inlineStr"/>
    </row>
    <row r="5243">
      <c r="A5243" t="inlineStr">
        <is>
          <t>f2jld8</t>
        </is>
      </c>
      <c r="B5243" t="inlineStr">
        <is>
          <t>Baclofen side effects for LPR/GERD</t>
        </is>
      </c>
      <c r="C5243" t="inlineStr">
        <is>
          <t>Hi everyone! I was prescribed baclofen about two months ago, and have been taking it before bed for almost two months, but I had to stop taking it because I felt like it wasn’t making a difference at all. 
It’s been 2 days since I’ve taken it.
The side effects I’ve experienced while I was taking it, and currently now as I’m off it (I think it’s takes a few days to be out of your body) 
Anyway : shaky legs , sometimes walking down stairs my legs would be like having tremors.
When I would get up out of bed my body was shaking mid way.
Pins and needles in hands / feet, or going completely numb for a few minutes.  
Mental side effects such as ‘groggy’ or just mood swings and what not. 
I’m only posting this on here to ask if anyone else had a similar experience ? Won’t be taking this anymore.</t>
        </is>
      </c>
      <c r="D5243" t="n">
        <v>1</v>
      </c>
      <c r="E5243" t="n">
        <v>5</v>
      </c>
      <c r="F5243">
        <f>HYPERLINK("https://www.reddit.com/r/GERD/comments/f2jld8/baclofen_side_effects_for_lprgerd/")</f>
        <v/>
      </c>
      <c r="G5243" t="inlineStr">
        <is>
          <t>2020-02-11 18:09:25</t>
        </is>
      </c>
      <c r="H5243" t="inlineStr"/>
    </row>
    <row r="5244">
      <c r="A5244" t="inlineStr">
        <is>
          <t>f2m3lr</t>
        </is>
      </c>
      <c r="B5244" t="inlineStr">
        <is>
          <t>Constant throat clearing</t>
        </is>
      </c>
      <c r="C5244" t="inlineStr">
        <is>
          <t>Is this possible GERD been dealing with it for a few years.
-constant throat clearing 
-feels like something stuck in throat
-constant mucous 
-sometimes sounds like a gargling when I drink 
-hoarse voice 
-ear popping</t>
        </is>
      </c>
      <c r="D5244" t="n">
        <v>1</v>
      </c>
      <c r="E5244" t="n">
        <v>3</v>
      </c>
      <c r="F5244">
        <f>HYPERLINK("https://www.reddit.com/r/GERD/comments/f2m3lr/constant_throat_clearing/")</f>
        <v/>
      </c>
      <c r="G5244" t="inlineStr">
        <is>
          <t>2020-02-11 21:16:01</t>
        </is>
      </c>
      <c r="H5244" t="inlineStr"/>
    </row>
    <row r="5245">
      <c r="A5245" t="inlineStr">
        <is>
          <t>f2mpvm</t>
        </is>
      </c>
      <c r="B5245" t="inlineStr">
        <is>
          <t>These are my symptoms</t>
        </is>
      </c>
      <c r="C5245" t="inlineStr">
        <is>
          <t>So above my stomach and below my chest, right in the middle always feels like I ate spicy food. I always have the gagging sensation as if I'm sticking a tooth brush deep in there, lots of dry coughing after the gags. What could I possibly have?</t>
        </is>
      </c>
      <c r="D5245" t="n">
        <v>1</v>
      </c>
      <c r="E5245" t="n">
        <v>2</v>
      </c>
      <c r="F5245">
        <f>HYPERLINK("https://www.reddit.com/r/GERD/comments/f2mpvm/these_are_my_symptoms/")</f>
        <v/>
      </c>
      <c r="G5245" t="inlineStr">
        <is>
          <t>2020-02-11 22:08:21</t>
        </is>
      </c>
      <c r="H5245" t="inlineStr"/>
    </row>
    <row r="5246">
      <c r="A5246" t="inlineStr">
        <is>
          <t>f2n3ec</t>
        </is>
      </c>
      <c r="B5246" t="inlineStr">
        <is>
          <t>Irritation daily- esophagus? lungs?</t>
        </is>
      </c>
      <c r="C5246" t="inlineStr">
        <is>
          <t>Hi everyone, 
After developing increasing GERD symptoms over the last couple years (and experimenting with PPI and pepcid) I went to a gastro and they were blase about it (i.e. if 20-40 mg of pepcid works for you just keep doing it, there is no pressing reason do any tests on you.) I asked the Dr about the following symptom but she did not have much to say. The pepcid ac does usually keep me fairly clear of actually feeling heartburn, but often I notice that later in the day some area related to my breathing feels - inflamed. The best way I can describe it is exerting yourself in the cold air and slightly irritating your breathing airways, or having had a bad cold and on the late stages of your airways feeing kind of rough or sore. It is very disturbing and makes me extremely anxious  - I do not ever feel this in the morning, I only start feeling it after about 2 pm. I do still drink some form of coffee in the morning, usually a latte because it is still too depressing and horrible for me to make it through the day without any. I know that I need to eliminate coffee and see if that helps.....but it seems impossible. Has anyone had the sensation I am describing / gotten any clarification on it from a Dr?
&amp;amp;#x200B;
Thanks!</t>
        </is>
      </c>
      <c r="D5246" t="n">
        <v>1</v>
      </c>
      <c r="E5246" t="n">
        <v>7</v>
      </c>
      <c r="F5246">
        <f>HYPERLINK("https://www.reddit.com/r/GERD/comments/f2n3ec/irritation_daily_esophagus_lungs/")</f>
        <v/>
      </c>
      <c r="G5246" t="inlineStr">
        <is>
          <t>2020-02-11 22:42:52</t>
        </is>
      </c>
      <c r="H5246" t="inlineStr"/>
    </row>
    <row r="5247">
      <c r="A5247" t="inlineStr">
        <is>
          <t>f2o6ns</t>
        </is>
      </c>
      <c r="B5247" t="inlineStr">
        <is>
          <t>Can gut flora came back on its own ? I quitted ppis after 3 months without acid rebound, thoughs?</t>
        </is>
      </c>
      <c r="C5247" t="inlineStr">
        <is>
          <t>Hi im a 24 year old male and Im having  a bad case of  LPR , all started after stupid antibiotic use, 4 months and stilll having a sore throat, endoscopy showed nothing no hernia no esophagitis at all not even in a minimal amount , no nothing, ppis made things worse so I Quitted them cold turkey but didn't feel any acid rebound at all, actually feel better without them , any opinions? My lpr started after a cold and antibiotic use prescripted by my dumbself, only symptoms are post nasal drip and sore throat 24/7 and belching all day.</t>
        </is>
      </c>
      <c r="D5247" t="n">
        <v>1</v>
      </c>
      <c r="E5247" t="n">
        <v>1</v>
      </c>
      <c r="F5247">
        <f>HYPERLINK("https://www.reddit.com/r/GERD/comments/f2o6ns/can_gut_flora_came_back_on_its_own_i_quitted_ppis/")</f>
        <v/>
      </c>
      <c r="G5247" t="inlineStr">
        <is>
          <t>2020-02-12 00:32:07</t>
        </is>
      </c>
      <c r="H5247" t="inlineStr"/>
    </row>
    <row r="5248">
      <c r="A5248" t="inlineStr">
        <is>
          <t>f2p0ig</t>
        </is>
      </c>
      <c r="B5248" t="inlineStr">
        <is>
          <t>Gerd destroyed my upper gastrointestinal tract ?</t>
        </is>
      </c>
      <c r="C5248" t="inlineStr">
        <is>
          <t>Hello,   I got my upper endoscopy today because sometimes after eating I was in mild pain 
They found  a lot of erosion in my esophagus and it was bleeding
in my stomach they found some erythema
in my duodenum they found  a severe inflammation  and some blood ! 
I had an horrible diet for  at least one decade, I didnt know it can did so much damage
Are these damage permanent ? I'm 29 years old male</t>
        </is>
      </c>
      <c r="D5248" t="n">
        <v>1</v>
      </c>
      <c r="E5248" t="n">
        <v>12</v>
      </c>
      <c r="F5248">
        <f>HYPERLINK("https://www.reddit.com/r/GERD/comments/f2p0ig/gerd_destroyed_my_upper_gastrointestinal_tract/")</f>
        <v/>
      </c>
      <c r="G5248" t="inlineStr">
        <is>
          <t>2020-02-12 02:03:00</t>
        </is>
      </c>
      <c r="H5248" t="inlineStr"/>
    </row>
    <row r="5249">
      <c r="A5249" t="inlineStr">
        <is>
          <t>f2p75y</t>
        </is>
      </c>
      <c r="B5249" t="inlineStr">
        <is>
          <t>Can you get an endoscopy while having a GERD attack?</t>
        </is>
      </c>
      <c r="C5249" t="inlineStr">
        <is>
          <t>Currently experiencing an attack and have an upper endoscopy scheduled in about 4 hours. It hit me 5 hours ago and while my attacks typically used to last 6 hours, my last one didn't go away for about 12. I'm worried this might get in the way of the endoscopy. Have any of you experienced this before?</t>
        </is>
      </c>
      <c r="D5249" t="n">
        <v>1</v>
      </c>
      <c r="E5249" t="n">
        <v>12</v>
      </c>
      <c r="F5249">
        <f>HYPERLINK("https://www.reddit.com/r/GERD/comments/f2p75y/can_you_get_an_endoscopy_while_having_a_gerd/")</f>
        <v/>
      </c>
      <c r="G5249" t="inlineStr">
        <is>
          <t>2020-02-12 02:22:31</t>
        </is>
      </c>
      <c r="H5249" t="inlineStr"/>
    </row>
    <row r="5250">
      <c r="A5250" t="inlineStr">
        <is>
          <t>f2smqp</t>
        </is>
      </c>
      <c r="B5250" t="inlineStr">
        <is>
          <t>FD Guard - has anyone here tried it?</t>
        </is>
      </c>
      <c r="C5250" t="inlineStr">
        <is>
          <t>I have had LPR for over 15 years and just recently started presenting w nausea. My doctor has recommended trying FD Guard and I have never heard of it. Maybe it’s because I wasn’t dealing with nausea? I’m just wondering, with all of the doctors I have seen, and how many times I’ve seen each one, and how many tests I’ve had done, I’ve never once had a doctor have me try this.
Anyway, it seems like a pretty simple thing to try, but I’m wondering anyone here has tried FD Guard. What was your experience?
Thanks!</t>
        </is>
      </c>
      <c r="D5250" t="n">
        <v>1</v>
      </c>
      <c r="E5250" t="n">
        <v>10</v>
      </c>
      <c r="F5250">
        <f>HYPERLINK("https://www.reddit.com/r/GERD/comments/f2smqp/fd_guard_has_anyone_here_tried_it/")</f>
        <v/>
      </c>
      <c r="G5250" t="inlineStr">
        <is>
          <t>2020-02-12 07:13:35</t>
        </is>
      </c>
      <c r="H5250" t="inlineStr"/>
    </row>
    <row r="5251">
      <c r="A5251" t="inlineStr">
        <is>
          <t>f2szms</t>
        </is>
      </c>
      <c r="B5251" t="inlineStr">
        <is>
          <t>Wondering if it's worth it to ask my doctor for hiatal hernia repair surgery?</t>
        </is>
      </c>
      <c r="C5251" t="inlineStr">
        <is>
          <t>I've recently been diagnosed with a medium-sized hiatal hernia via endoscopy and I believe it's causing my daily stomach discomfort and acid reflux.
I don't think I can bare to keep taking differentH2 blockers and PPIs for the rest of my life, especially since I get side effects from them.
Wondering if there's any other way to keep my symptoms under control.
I would love to hear your experiences if you've had surgery for the hiatal hernia.</t>
        </is>
      </c>
      <c r="D5251" t="n">
        <v>1</v>
      </c>
      <c r="E5251" t="n">
        <v>18</v>
      </c>
      <c r="F5251">
        <f>HYPERLINK("https://www.reddit.com/r/GERD/comments/f2szms/wondering_if_its_worth_it_to_ask_my_doctor_for/")</f>
        <v/>
      </c>
      <c r="G5251" t="inlineStr">
        <is>
          <t>2020-02-12 07:38:18</t>
        </is>
      </c>
      <c r="H5251" t="inlineStr"/>
    </row>
    <row r="5252">
      <c r="A5252" t="inlineStr">
        <is>
          <t>f2u44m</t>
        </is>
      </c>
      <c r="B5252" t="inlineStr">
        <is>
          <t>Started with an acid reflux...</t>
        </is>
      </c>
      <c r="C5252" t="inlineStr">
        <is>
          <t>I've made a post 1 week ago, about my suddent acid reflux and the long lasting symptoms I've had, such as burning stomach, couldnt sleep, abdominal pain. 
2 days after this occured, I went to my pharmacist and prescribed me PPI Nexium for 14 days.
It was working for me, I was able to sleep normally. However, on the 5th day, my symptoms came back and it was really bad. (Could be one of the many side effects of Nexium).
I had to quit work and go to the hospital because of the very severe pain. They did a few tests, but no stool tests, nor any checkups in my stomach... They took a blood sample, pressed on areas from my abdomen, and they checked for heart problems.
The results showed nothing anormal. The doctor prescribed me another PPI, Pantoprazole, which I have ro take for 2 months. It's been a few days and it does seem to help. 
My symptoms seems to come and go, but its less bad with PPIs.
I did some researches, and have very similar symptoms to IBS and Giardiasis. Are those detectable with the tests they did? Could it be just a bad episode of an acid reflux that damaged my stomach? Will my 2 months treatment cure this?
I will check if my symptoms worsen. If so, I will go back to the hospital.</t>
        </is>
      </c>
      <c r="D5252" t="n">
        <v>1</v>
      </c>
      <c r="E5252" t="n">
        <v>6</v>
      </c>
      <c r="F5252">
        <f>HYPERLINK("https://www.reddit.com/r/GERD/comments/f2u44m/started_with_an_acid_reflux/")</f>
        <v/>
      </c>
      <c r="G5252" t="inlineStr">
        <is>
          <t>2020-02-12 08:50:53</t>
        </is>
      </c>
      <c r="H5252" t="inlineStr"/>
    </row>
    <row r="5253">
      <c r="A5253" t="inlineStr">
        <is>
          <t>f2u8c8</t>
        </is>
      </c>
      <c r="B5253" t="inlineStr">
        <is>
          <t>GI visit- Advice</t>
        </is>
      </c>
      <c r="C5253" t="inlineStr">
        <is>
          <t>Hey guys- 
So I finally had my first appt with a GI about GERD, of course he just prescribed me Pepcid (which I found out now I can’t even get because it’s in a national shortage) so I’m going to take something else like it. I have to have a Upper Endoscopy in about a month as well. The dr said first they’d like to test for H.Pylori, and didn’t even mention BE. I also have a swollen tonsil and lymph node and he said that’s probably not related (even though my flare ups consist of throwing up acid for 6 hrs straight). I worry that the GI isn’t understanding of the ENT &amp;amp; GI relationship that I assume should be happening? Shouldn’t these things be hand in hand? Idk but any advice about the endo, how to proceed, questions I should be asking would be helpful. I’m so in debt already from these medical bills, I don’t have the luxury right now of going to the dr for every question. ANY advice is helpful!</t>
        </is>
      </c>
      <c r="D5253" t="n">
        <v>1</v>
      </c>
      <c r="E5253" t="n">
        <v>1</v>
      </c>
      <c r="F5253">
        <f>HYPERLINK("https://www.reddit.com/r/GERD/comments/f2u8c8/gi_visit_advice/")</f>
        <v/>
      </c>
      <c r="G5253" t="inlineStr">
        <is>
          <t>2020-02-12 08:58:34</t>
        </is>
      </c>
      <c r="H5253" t="inlineStr"/>
    </row>
    <row r="5254">
      <c r="A5254" t="inlineStr">
        <is>
          <t>f2uggm</t>
        </is>
      </c>
      <c r="B5254" t="inlineStr">
        <is>
          <t>PSA: CVS [USA] Still Fills Ranitidine 150mg Tablets</t>
        </is>
      </c>
      <c r="C5254" t="inlineStr">
        <is>
          <t>Hi r/GERD. I was a life time user of the ranitidine cool mint OTC pill. When it was taken off the shelves around October 2019 I knew I was going to be in for a rough time. I gave prescription Pepcid a chance for a while but I was experiencing rare side effects so I had to quit. I did some research and some calling and discovered that CVS still fills for ranitidine 150mg. 
The pill is manufactured by Strides Pharma headquartered in India. The pill was relaunched after a voluntary recall in early November 2019.
Here's a link to what the pill looks like:  [https://www.drugs.com/imprints/s-429-25021.html](https://www.drugs.com/imprints/s-429-25021.html) 
And here's news to the article concerning it's relaunch:  [https://economictimes.indiatimes.com/industry/healthcare/biotech/pharmaceuticals/strides-pharma-relaunches-ranitidine-tablets-in-us/articleshow/71968842.cms](https://economictimes.indiatimes.com/industry/healthcare/biotech/pharmaceuticals/strides-pharma-relaunches-ranitidine-tablets-in-us/articleshow/71968842.cms) 
&amp;amp;#x200B;
After just one day of being back on ranitidine I've been able to eat, sleep, and breath normally again so I wanted to share what I know with you.</t>
        </is>
      </c>
      <c r="D5254" t="n">
        <v>1</v>
      </c>
      <c r="E5254" t="n">
        <v>0</v>
      </c>
      <c r="F5254">
        <f>HYPERLINK("https://www.reddit.com/r/GERD/comments/f2uggm/psa_cvs_usa_still_fills_ranitidine_150mg_tablets/")</f>
        <v/>
      </c>
      <c r="G5254" t="inlineStr">
        <is>
          <t>2020-02-12 09:12:33</t>
        </is>
      </c>
      <c r="H5254" t="inlineStr"/>
    </row>
    <row r="5255">
      <c r="A5255" t="inlineStr">
        <is>
          <t>f2v0ua</t>
        </is>
      </c>
      <c r="B5255" t="inlineStr">
        <is>
          <t>Endoscopy tomorrow and I'm nervous...</t>
        </is>
      </c>
      <c r="C5255" t="inlineStr">
        <is>
          <t>Just venting here... I've been suffering from GERD symptoms (as my doctors say) for about 6 months or more now. I'm finally getting an endoscopy tomorrow morning and I guess I'm just nervous. I've never been put under before, I'm also worried they won't find anything. But my symptoms feel so severe. I actually had a panic attack last night, maybe because I'm stressing over this? I was in the middle of trying to eat dinner and i couldn't swallow anymore nor did I want to finish my food. I started freaking out thinking my throat was going to close, everything got really tight. It was bad enough to start producing hives on my face which then made me immediately think I was having an allergic reaction to whatever I was eating. I've been on omeprozole for a few months and also taking buspirone and have a script for lorazepam when things get really bad. I guess I'm just overall worried that the results will come back with either nothing or something minor. I just want some answers...</t>
        </is>
      </c>
      <c r="D5255" t="n">
        <v>1</v>
      </c>
      <c r="E5255" t="n">
        <v>22</v>
      </c>
      <c r="F5255">
        <f>HYPERLINK("https://www.reddit.com/r/GERD/comments/f2v0ua/endoscopy_tomorrow_and_im_nervous/")</f>
        <v/>
      </c>
      <c r="G5255" t="inlineStr">
        <is>
          <t>2020-02-12 09:49:05</t>
        </is>
      </c>
      <c r="H5255" t="inlineStr"/>
    </row>
    <row r="5256">
      <c r="A5256" t="inlineStr">
        <is>
          <t>f2wa00</t>
        </is>
      </c>
      <c r="B5256" t="inlineStr">
        <is>
          <t>Bravo PH Monitoring Test after Endoscopy</t>
        </is>
      </c>
      <c r="C5256" t="inlineStr">
        <is>
          <t>Hey guys and gals,
I've been suffering from symptoms of GERD for about the past decade. I've been on omeprazole for the past 3 years. I finally have good healthcare, so I am trying to pursue getting the Linx procedure or Nissan wrap. My Endoscopy was yesterday, so for the past 11 days I've been off the omeprazole. I was so worried about going off the medicine that I've only been eating sweet potatoes, bread, low-fat chicken soup and oatmeal for the entire 11 days. To my relief I haven't had any heartburn the entire time, though I have had reflux and indigestion when doing some physical activities that require me to bend over a lot. 
So yesterday was the Endoscopy. I was very nervous about it and didn't sleep the night before. But it was fine, nothing to worry about. BUT, no Barret's esophagus, so polyps, no hernia, nothing. Very normal results. Now I have the Bravo PH monitoring pill inside me with the receiver around my neck, and no matter what I eat or drink, I'm not getting heartburn or indigestion. Coffee is usually a HUGE trigger for me, but I drank a big cup this morning and nothing. I ate spicy scrambled eggs for breakfast, and nothing. I don't know if it's from eating such a restrictive diet for 11 days, or if it's from the sedative yesterday or what, but I'm worried now that the Doc is gonna tell me everything is fine, just keep taking omeprazole. I know the heartburn is going to come back. In the past decade it would go away occasionally, but it always comes back. And it's debilitating when it comes back. I already am allergic to fruits and nuts, so I have a restrictive diet as it is, if I also have to avoid tomatoes and onions and spice and caffeine and alcohol and fried foods and eggs and all of the other trigger foods indefinitely, well that really sucks.  Has this happened to anyone else?</t>
        </is>
      </c>
      <c r="D5256" t="n">
        <v>1</v>
      </c>
      <c r="E5256" t="n">
        <v>4</v>
      </c>
      <c r="F5256">
        <f>HYPERLINK("https://www.reddit.com/r/GERD/comments/f2wa00/bravo_ph_monitoring_test_after_endoscopy/")</f>
        <v/>
      </c>
      <c r="G5256" t="inlineStr">
        <is>
          <t>2020-02-12 11:10:10</t>
        </is>
      </c>
      <c r="H5256" t="inlineStr"/>
    </row>
    <row r="5257">
      <c r="A5257" t="inlineStr">
        <is>
          <t>f2xjew</t>
        </is>
      </c>
      <c r="B5257" t="inlineStr">
        <is>
          <t>Foods to dampen heartburn</t>
        </is>
      </c>
      <c r="C5257" t="inlineStr">
        <is>
          <t>I've come off of PPIs and currently boshing ungodly amounts of gaviscon whilst I cope with the rebound. Are there any foods that in people's experience work well for extinguishing the fire?</t>
        </is>
      </c>
      <c r="D5257" t="n">
        <v>1</v>
      </c>
      <c r="E5257" t="n">
        <v>6</v>
      </c>
      <c r="F5257">
        <f>HYPERLINK("https://www.reddit.com/r/GERD/comments/f2xjew/foods_to_dampen_heartburn/")</f>
        <v/>
      </c>
      <c r="G5257" t="inlineStr">
        <is>
          <t>2020-02-12 12:30:12</t>
        </is>
      </c>
      <c r="H5257" t="inlineStr"/>
    </row>
    <row r="5258">
      <c r="A5258" t="inlineStr">
        <is>
          <t>f2xqvc</t>
        </is>
      </c>
      <c r="B5258" t="inlineStr">
        <is>
          <t>Always speak up to your doctors!</t>
        </is>
      </c>
      <c r="C5258" t="inlineStr">
        <is>
          <t>I’ve had what I think is a hiatial hernia for the past 2 years. It started off when I went to my doctor telling him I was experiencing issues relating to GERD. He doesn’t tell me much about what GERD is but diagnoses me with it, he prescribed me ranitidine and told me to eat better food. About 6 months go by and I’m starting to experience major problems relating to my GERD, but due to lack of knowledge on what the condition actually is I have no idea what is actually the problem. This leads to major anxiety, months of wondering what my problem is, constant pain in my chest and anxiety attacks everyday. I went to the ER twice thinking I was having a heart attack, but EKG’s and X-Rays were always fine so both times they said it was anxiety, give me Xanax and pushed me out the door. During this time I also visited my doctor 2-3 times and explained my symptoms, he too thought it was anxiety. This all leads me to believe I am literally going insane, my body doesn’t feel right and I know for a fact it’s not anxiety but still believe it is since no doctor has said otherwise. Daily activity’s were hard to do at this point, constant pain and fear always made things more difficult. This made me completely stop doing what I used to, I know longer hung out with people and just stayed inside all day. This went on for about a year. After doing more research I finally self diagnose my self with what I believe I have, which is a hiatial hernia. I tell my doctor and he literally said “yeah that makes sense” and gave me a referral to a GI. I was pissed, I’ve been telling him my symptoms for 2 years and I have to diagnose myself? If it made sense why didn’t you think about it earlier? You’re a doctor. I still really don’t what I have to this day but my GI also thinks it’s  a hiatial hernia. My endoscopy is next week and I’m extremely excited to finally know what I have. Going to be looking for a new doctor very soon.</t>
        </is>
      </c>
      <c r="D5258" t="n">
        <v>1</v>
      </c>
      <c r="E5258" t="n">
        <v>24</v>
      </c>
      <c r="F5258">
        <f>HYPERLINK("https://www.reddit.com/r/GERD/comments/f2xqvc/always_speak_up_to_your_doctors/")</f>
        <v/>
      </c>
      <c r="G5258" t="inlineStr">
        <is>
          <t>2020-02-12 12:43:35</t>
        </is>
      </c>
      <c r="H5258" t="inlineStr"/>
    </row>
    <row r="5259">
      <c r="A5259" t="inlineStr">
        <is>
          <t>f305zy</t>
        </is>
      </c>
      <c r="B5259" t="inlineStr">
        <is>
          <t>Had Bravo capsule placed in pain</t>
        </is>
      </c>
      <c r="C5259" t="inlineStr">
        <is>
          <t>I had bravo capsule placed 3 days ago and I am in bad pain every time I swallow. Will this go away? Should I push MD to go back in and retrieve it?</t>
        </is>
      </c>
      <c r="D5259" t="n">
        <v>1</v>
      </c>
      <c r="E5259" t="n">
        <v>6</v>
      </c>
      <c r="F5259">
        <f>HYPERLINK("https://www.reddit.com/r/GERD/comments/f305zy/had_bravo_capsule_placed_in_pain/")</f>
        <v/>
      </c>
      <c r="G5259" t="inlineStr">
        <is>
          <t>2020-02-12 15:18:53</t>
        </is>
      </c>
      <c r="H5259" t="inlineStr"/>
    </row>
    <row r="5260">
      <c r="A5260" t="inlineStr">
        <is>
          <t>f30grz</t>
        </is>
      </c>
      <c r="B5260" t="inlineStr">
        <is>
          <t>Negative 24-hr impedence test?</t>
        </is>
      </c>
      <c r="C5260" t="inlineStr">
        <is>
          <t>After suffering for about 9 months with acid reflux (namely heartburn, throat burning sensation on one side), I went to get a 24-hr impendence test done and the results were negative...soooooo.....why am I suffering daily from heartburn? lol.
The stuff I've tried since this started in March 2019:
Prilosec twice a day for 2 months, then Pantoprazole twice a day for 2 months, H2's for the same, Nexium for the same.  D-limonene, L-glutamine, DGL, Slippery elm (actually helps tho), magnesium, nortriptyline.</t>
        </is>
      </c>
      <c r="D5260" t="n">
        <v>1</v>
      </c>
      <c r="E5260" t="n">
        <v>8</v>
      </c>
      <c r="F5260">
        <f>HYPERLINK("https://www.reddit.com/r/GERD/comments/f30grz/negative_24hr_impedence_test/")</f>
        <v/>
      </c>
      <c r="G5260" t="inlineStr">
        <is>
          <t>2020-02-12 15:39:41</t>
        </is>
      </c>
      <c r="H5260" t="inlineStr"/>
    </row>
    <row r="5261">
      <c r="A5261" t="inlineStr">
        <is>
          <t>f33c9m</t>
        </is>
      </c>
      <c r="B5261" t="inlineStr">
        <is>
          <t>LPR diets and general help</t>
        </is>
      </c>
      <c r="C5261" t="inlineStr">
        <is>
          <t>I'm having a really tough time containing LPR symptoms, and im currently taking 2 nexiums per day, yet STILL managing to have acid and mucus in my throat. I managed to heal my vocal chords which in the beginning were terrible, but some how fixed probably because of my wedge pillow im guessing. I get difficulty swallowing in the act of swallowing sometimes, sometimes it completely goes away or days like today if I eat the wrong thing, it feels like SH\*\*. Had a lemon cake from starbucks and..... yeah. Im willing to stick to a diet to just avoid getting ANY symptoms, don't care how bland it is. Or any vitamins/supplement that might help. This has become so annoying rather than painful, its just a pain in the ass at this point. Ruins my mood and I'm a musician &amp;amp; once every now &amp;amp; then it effects my vocals, but mostly just makes me not want to make music and just ruins my mood.  HELP , thank u :). 
My gastro has been ZERO help other than performing an endoscopy &amp;amp; pretty much not doing anything else to help the situation</t>
        </is>
      </c>
      <c r="D5261" t="n">
        <v>1</v>
      </c>
      <c r="E5261" t="n">
        <v>0</v>
      </c>
      <c r="F5261">
        <f>HYPERLINK("https://www.reddit.com/r/GERD/comments/f33c9m/lpr_diets_and_general_help/")</f>
        <v/>
      </c>
      <c r="G5261" t="inlineStr">
        <is>
          <t>2020-02-12 19:09:21</t>
        </is>
      </c>
      <c r="H5261" t="inlineStr"/>
    </row>
    <row r="5262">
      <c r="A5262" t="inlineStr">
        <is>
          <t>f33lyo</t>
        </is>
      </c>
      <c r="B5262" t="inlineStr">
        <is>
          <t>Probiotics made me worse.</t>
        </is>
      </c>
      <c r="C5262" t="inlineStr">
        <is>
          <t>Hi GERD community 
Just sharing something with you. I have been suffering from lpr more than gerd for about 8 months. Otherwise healthy 31 yo male. 
Started taking a pro biotic in November. Didn’t really get better for the 6 weeks that I took it. I switched to a probiotic for ibs In January and over a couple weeks it got so much worse. Weirdly I could taste the gerd/bacteria. I don’t know exactly what I was tasting but it was awful. I’ve been totally off probiotics for 2 weeks now and I’m doing pretty well. I even had a beer a chicken burger and some fries the other day and suffered only a very minor bit of symptoms from it.
The probiotics I was taking were from a reputable brand called Webber naturals which is one of the top brands for vitamins and supplements in Canada. So I kind of doubt it was an inferior product.
Just thought I’d share my experience which is a bit contrary to most of the advise I see on this forum regarding probiotics.</t>
        </is>
      </c>
      <c r="D5262" t="n">
        <v>1</v>
      </c>
      <c r="E5262" t="n">
        <v>6</v>
      </c>
      <c r="F5262">
        <f>HYPERLINK("https://www.reddit.com/r/GERD/comments/f33lyo/probiotics_made_me_worse/")</f>
        <v/>
      </c>
      <c r="G5262" t="inlineStr">
        <is>
          <t>2020-02-12 19:29:44</t>
        </is>
      </c>
      <c r="H5262" t="inlineStr"/>
    </row>
    <row r="5263">
      <c r="A5263" t="inlineStr">
        <is>
          <t>f348kq</t>
        </is>
      </c>
      <c r="B5263" t="inlineStr">
        <is>
          <t>Acid Reflux Issues, burping every 5 seconds, health problems. Please help?</t>
        </is>
      </c>
      <c r="C5263" t="inlineStr">
        <is>
          <t>I've had acid reflux since birth. I've just recently, I'd say 2 months ago, I can remember the day it started even, it was very sudden. I constantly have feeling as though I have a lump in my throat, I burp to relieve it, I have to do so very often, it's almost as common as breathing at this point. I'll burp, I can push with my stomach to relieve some of the gas, or my esophagus, but then it'll sometimes weirdly bubble down to my stomach again. I also have an extremely loud stomach, I believe from gas that will sometimes gurgle and be extremely loud for 5 minutes straight. I take Famotidine, i'm unsure what to do, would gas-x help, should I see a doctor again?</t>
        </is>
      </c>
      <c r="D5263" t="n">
        <v>1</v>
      </c>
      <c r="E5263" t="n">
        <v>6</v>
      </c>
      <c r="F5263">
        <f>HYPERLINK("https://www.reddit.com/r/GERD/comments/f348kq/acid_reflux_issues_burping_every_5_seconds_health/")</f>
        <v/>
      </c>
      <c r="G5263" t="inlineStr">
        <is>
          <t>2020-02-12 20:18:17</t>
        </is>
      </c>
      <c r="H5263" t="inlineStr"/>
    </row>
    <row r="5264">
      <c r="A5264" t="inlineStr">
        <is>
          <t>f36oy6</t>
        </is>
      </c>
      <c r="B5264" t="inlineStr">
        <is>
          <t>Melatonin is a game changer for me</t>
        </is>
      </c>
      <c r="C5264" t="inlineStr">
        <is>
          <t>I take it at night(6 mg) with pantaprazole (40mg) and it help hugely with my Gerd
The only side effect is I really feel groggy at morning, this side effect can be concerning if you have to  drive a car so be careful if you want to try
At 1-2 mg I didn't have this side effect but it's less effective</t>
        </is>
      </c>
      <c r="D5264" t="n">
        <v>1</v>
      </c>
      <c r="E5264" t="n">
        <v>9</v>
      </c>
      <c r="F5264">
        <f>HYPERLINK("https://www.reddit.com/r/GERD/comments/f36oy6/melatonin_is_a_game_changer_for_me/")</f>
        <v/>
      </c>
      <c r="G5264" t="inlineStr">
        <is>
          <t>2020-02-13 00:00:09</t>
        </is>
      </c>
      <c r="H5264" t="inlineStr"/>
    </row>
    <row r="5265">
      <c r="A5265" t="inlineStr">
        <is>
          <t>f376cn</t>
        </is>
      </c>
      <c r="B5265" t="inlineStr">
        <is>
          <t>Swallowing way too much air</t>
        </is>
      </c>
      <c r="C5265" t="inlineStr">
        <is>
          <t>Cough is the most terrible thing for me. But, when I don't have it (thankfully the majority of the time), the worst thing is the need to constantly swallow saliva, like I needed to push back something in my stomach that's trying to get out. Of course, it's mostly air. But then swallowing saliva turns out to be swallowing air, which makes my stomach more full of it and me loop through it the whole day...</t>
        </is>
      </c>
      <c r="D5265" t="n">
        <v>1</v>
      </c>
      <c r="E5265" t="n">
        <v>3</v>
      </c>
      <c r="F5265">
        <f>HYPERLINK("https://www.reddit.com/r/GERD/comments/f376cn/swallowing_way_too_much_air/")</f>
        <v/>
      </c>
      <c r="G5265" t="inlineStr">
        <is>
          <t>2020-02-13 00:52:59</t>
        </is>
      </c>
      <c r="H5265" t="inlineStr"/>
    </row>
    <row r="5266">
      <c r="A5266" t="inlineStr">
        <is>
          <t>f37zm8</t>
        </is>
      </c>
      <c r="B5266" t="inlineStr">
        <is>
          <t>Snacks suggestions</t>
        </is>
      </c>
      <c r="C5266" t="inlineStr">
        <is>
          <t>Hello
Do you have any suggestions for ready or packaged food , snacks like protein bars biscuits like luna or quest but doesn’t cause any gerd symptoms
Thanks !</t>
        </is>
      </c>
      <c r="D5266" t="n">
        <v>1</v>
      </c>
      <c r="E5266" t="n">
        <v>9</v>
      </c>
      <c r="F5266">
        <f>HYPERLINK("https://www.reddit.com/r/GERD/comments/f37zm8/snacks_suggestions/")</f>
        <v/>
      </c>
      <c r="G5266" t="inlineStr">
        <is>
          <t>2020-02-13 02:22:16</t>
        </is>
      </c>
      <c r="H5266" t="inlineStr"/>
    </row>
    <row r="5267">
      <c r="A5267" t="inlineStr">
        <is>
          <t>f385ec</t>
        </is>
      </c>
      <c r="B5267" t="inlineStr">
        <is>
          <t>Light Green/Yellow Stool?</t>
        </is>
      </c>
      <c r="C5267" t="inlineStr">
        <is>
          <t>Does anybody have this issue and have you managed to figure out what’s causing it?
I’ve had light green/yellowish stool for a few months now and I’m not sure why. I’m sure it’s somehow associated with my acid reflux but I’m not exactly sure how?
I’m on PPIs by the way. Stool color doesn’t change depending on how I’m feeling. Flare up or no flare up it stays the same. I was thinking it could be related to the gallbladder?</t>
        </is>
      </c>
      <c r="D5267" t="n">
        <v>1</v>
      </c>
      <c r="E5267" t="n">
        <v>10</v>
      </c>
      <c r="F5267">
        <f>HYPERLINK("https://www.reddit.com/r/GERD/comments/f385ec/light_greenyellow_stool/")</f>
        <v/>
      </c>
      <c r="G5267" t="inlineStr">
        <is>
          <t>2020-02-13 02:40:23</t>
        </is>
      </c>
      <c r="H5267" t="inlineStr"/>
    </row>
    <row r="5268">
      <c r="A5268" t="inlineStr">
        <is>
          <t>f39sjv</t>
        </is>
      </c>
      <c r="B5268" t="inlineStr">
        <is>
          <t>Does it hurt to touch your stomach?</t>
        </is>
      </c>
      <c r="C5268" t="inlineStr">
        <is>
          <t>I googled a bunch but I can’t find anyone else describing this. When I touch the area just under my ribs, even lightly, it feels like acid is being pushed right up my throat immediately. It just feels BAD, not exactly pain but nausea and feeling like it would be a very bad idea to press harder. Using my stomach muscles can also hurt. Is this a normal GERD symptom or a symptom of something else? I never even had heartburn before this came on but I was under the impression that it’s more of an internal pain without external tenderness?</t>
        </is>
      </c>
      <c r="D5268" t="n">
        <v>1</v>
      </c>
      <c r="E5268" t="n">
        <v>2</v>
      </c>
      <c r="F5268">
        <f>HYPERLINK("https://www.reddit.com/r/GERD/comments/f39sjv/does_it_hurt_to_touch_your_stomach/")</f>
        <v/>
      </c>
      <c r="G5268" t="inlineStr">
        <is>
          <t>2020-02-13 05:13:41</t>
        </is>
      </c>
      <c r="H5268" t="inlineStr"/>
    </row>
    <row r="5269">
      <c r="A5269" t="inlineStr">
        <is>
          <t>f39zhq</t>
        </is>
      </c>
      <c r="B5269" t="inlineStr">
        <is>
          <t>Coming off Dexilant</t>
        </is>
      </c>
      <c r="C5269" t="inlineStr">
        <is>
          <t>Hey!
I used to take pantoprazole magnesium once a day but after an endoscopy and celiac diagnosis my doctor switched me to dexilant for two months. I’ve got four pills left and MEGA side effects from the dexilant. Diarrhea, chest pain, extreme gas etc. So I’m going to stop the dexilant just a few days early. 
Being that I switched from my old PPI directly to this, I’ve never tapered off one before. I’ve heard it can be really hard on people, which honestly isn’t really an option for me seeing as I run my own business and there’s no one to fill in for me or delegate to if I’m not feeling well. 
Just wondering if anyone has any tips for coming off PPI’s? I have some Zantac left from before it was pulled. Should I take that? Should I switch back to my old PPI if I’m in too much pain? Should I taper or stop cold turkey? My doc told me all of these were options, so wondering what everyone else has had success with?</t>
        </is>
      </c>
      <c r="D5269" t="n">
        <v>1</v>
      </c>
      <c r="E5269" t="n">
        <v>4</v>
      </c>
      <c r="F5269">
        <f>HYPERLINK("https://www.reddit.com/r/GERD/comments/f39zhq/coming_off_dexilant/")</f>
        <v/>
      </c>
      <c r="G5269" t="inlineStr">
        <is>
          <t>2020-02-13 05:29:45</t>
        </is>
      </c>
      <c r="H5269" t="inlineStr"/>
    </row>
    <row r="5270">
      <c r="A5270" t="inlineStr">
        <is>
          <t>f3chcz</t>
        </is>
      </c>
      <c r="B5270" t="inlineStr">
        <is>
          <t>24 hr ph study</t>
        </is>
      </c>
      <c r="C5270" t="inlineStr">
        <is>
          <t>Anyone else had this 24 hr study before? It stinks lol I’m hopin for some answers from it.</t>
        </is>
      </c>
      <c r="D5270" t="n">
        <v>1</v>
      </c>
      <c r="E5270" t="n">
        <v>25</v>
      </c>
      <c r="F5270">
        <f>HYPERLINK("https://www.reddit.com/r/GERD/comments/f3chcz/24_hr_ph_study/")</f>
        <v/>
      </c>
      <c r="G5270" t="inlineStr">
        <is>
          <t>2020-02-13 08:28:53</t>
        </is>
      </c>
      <c r="H5270" t="inlineStr"/>
    </row>
    <row r="5271">
      <c r="A5271" t="inlineStr">
        <is>
          <t>f3cuvm</t>
        </is>
      </c>
      <c r="B5271" t="inlineStr">
        <is>
          <t>PPI and false negative test of H pylori ?</t>
        </is>
      </c>
      <c r="C5271" t="inlineStr">
        <is>
          <t>Hello, 2 week prior to my endoscopy i  was taking  pantaprazole at  80 mg / day 
My doctor didnt tell me to stop it before endoscopy 
i read somewhere that ppi can hide h pylori, is it true ?  my doctor take biopsy of my stomach and didnt find any bacteria but a mild gastritis</t>
        </is>
      </c>
      <c r="D5271" t="n">
        <v>1</v>
      </c>
      <c r="E5271" t="n">
        <v>3</v>
      </c>
      <c r="F5271">
        <f>HYPERLINK("https://www.reddit.com/r/GERD/comments/f3cuvm/ppi_and_false_negative_test_of_h_pylori/")</f>
        <v/>
      </c>
      <c r="G5271" t="inlineStr">
        <is>
          <t>2020-02-13 08:53:15</t>
        </is>
      </c>
      <c r="H5271" t="inlineStr"/>
    </row>
    <row r="5272">
      <c r="A5272" t="inlineStr">
        <is>
          <t>f3czoi</t>
        </is>
      </c>
      <c r="B5272" t="inlineStr">
        <is>
          <t>Chest and arm</t>
        </is>
      </c>
      <c r="C5272" t="inlineStr">
        <is>
          <t>Been to heart docs. Been to stomach doc. Had a scope last April and said I have a small high hernia and severely irritated esophagus. I am on a PPi but still have to burp all the time. I have been having left chest pains. More like a pinching and left upper arm pain that comes and goes. All heart doctors in the past said there were no worries and I’ve read cig oculi good reports that stomach issues and GERd/esophagus can cause this. Any tips or verification ?</t>
        </is>
      </c>
      <c r="D5272" t="n">
        <v>1</v>
      </c>
      <c r="E5272" t="n">
        <v>11</v>
      </c>
      <c r="F5272">
        <f>HYPERLINK("https://www.reddit.com/r/GERD/comments/f3czoi/chest_and_arm/")</f>
        <v/>
      </c>
      <c r="G5272" t="inlineStr">
        <is>
          <t>2020-02-13 09:02:12</t>
        </is>
      </c>
      <c r="H5272" t="inlineStr"/>
    </row>
    <row r="5273">
      <c r="A5273" t="inlineStr">
        <is>
          <t>f3d1re</t>
        </is>
      </c>
      <c r="B5273" t="inlineStr">
        <is>
          <t>Does Omeprazole make anyone else nauseous?</t>
        </is>
      </c>
      <c r="C5273" t="inlineStr">
        <is>
          <t>I've recently been diagnosed with chronic gastritis and a medium-sized hiatal hernia. 
Was recommended to take Omeprazole but it makes me sick and Pepcid doesn't work either.
Going to consult with a surgeon to repair hernia. Would love to hear about your experiences. Thanks.</t>
        </is>
      </c>
      <c r="D5273" t="n">
        <v>1</v>
      </c>
      <c r="E5273" t="n">
        <v>25</v>
      </c>
      <c r="F5273">
        <f>HYPERLINK("https://www.reddit.com/r/GERD/comments/f3d1re/does_omeprazole_make_anyone_else_nauseous/")</f>
        <v/>
      </c>
      <c r="G5273" t="inlineStr">
        <is>
          <t>2020-02-13 09:05:45</t>
        </is>
      </c>
      <c r="H5273" t="inlineStr"/>
    </row>
    <row r="5274">
      <c r="A5274" t="inlineStr">
        <is>
          <t>f3d2b8</t>
        </is>
      </c>
      <c r="B5274" t="inlineStr">
        <is>
          <t>EVERYONE, PLEASE TRY MELATONIN</t>
        </is>
      </c>
      <c r="C5274" t="inlineStr">
        <is>
          <t>I’ve been doing some reading, and it seems like melatonin could help a lot of gastrointestinal illnesses, including GERD. I’d like everyone on here to try it if possible, 6 mg at night for a week, and report back whether or not there was a reduction of symptoms.</t>
        </is>
      </c>
      <c r="D5274" t="n">
        <v>1</v>
      </c>
      <c r="E5274" t="n">
        <v>8</v>
      </c>
      <c r="F5274">
        <f>HYPERLINK("https://www.reddit.com/r/GERD/comments/f3d2b8/everyone_please_try_melatonin/")</f>
        <v/>
      </c>
      <c r="G5274" t="inlineStr">
        <is>
          <t>2020-02-13 09:06:45</t>
        </is>
      </c>
      <c r="H5274" t="inlineStr"/>
    </row>
    <row r="5275">
      <c r="A5275" t="inlineStr">
        <is>
          <t>f3dhn4</t>
        </is>
      </c>
      <c r="B5275" t="inlineStr">
        <is>
          <t>Endoscopy ?</t>
        </is>
      </c>
      <c r="C5275" t="inlineStr">
        <is>
          <t>So i’ve been having chest pain and heartburn for the past few months and after seeing a cardiologist, my primary care doctor decided I probably have GERD and sent me to a gastroenterologist.  He wants to do an endoscopy on me later this month and i’m not so sure about it...... i’m not fully convinced I have GERD or any sort of acid reflux because GERD meds never gave me any relief.  Is it worth doing or would I be better off canceling it ?  I have pretty severe anxiety too, and tbh i’m pretty sure that’s what’s causing these symptoms.</t>
        </is>
      </c>
      <c r="D5275" t="n">
        <v>1</v>
      </c>
      <c r="E5275" t="n">
        <v>5</v>
      </c>
      <c r="F5275">
        <f>HYPERLINK("https://www.reddit.com/r/GERD/comments/f3dhn4/endoscopy/")</f>
        <v/>
      </c>
      <c r="G5275" t="inlineStr">
        <is>
          <t>2020-02-13 09:34:19</t>
        </is>
      </c>
      <c r="H5275" t="inlineStr"/>
    </row>
    <row r="5276">
      <c r="A5276" t="inlineStr">
        <is>
          <t>f3e5i2</t>
        </is>
      </c>
      <c r="B5276" t="inlineStr">
        <is>
          <t>LPR Treatment</t>
        </is>
      </c>
      <c r="C5276" t="inlineStr">
        <is>
          <t>Hi all -
A bit of a rant, a bit of advice seeking, and a bit of whatever else here.  But some quick background first.
I'm on month four of an LPR flare up.  When this first started my main symptoms were intense reflux and acid burning, sore throat, no voice.  After four months my voice is hoarse, but stronger, I don't have burning but I do still have reflux, and I still can't lay flat to sleep (or even use a wedge, I've been on a couch for months).
My doctor has had me on Nexium 40mg twice a day and I've also been using Flonase.
This is the third flare up LPR I've had in about 10 years - I think stress and a sinus infection triggered it.
The last time it happened I had the same symptoms and it eventually cleared up about about 6 months and the same treatment.
I finally got my PCP to refer me to someone about LPR and I found myself at the ENT yesterday.  It was completely unhelpful.  They want to do a bunch of speech therapy and vocal cord injections to fix my vocal cords.  Which is not my main issue or concern - I want to fix my stomach and acid issue.  I feel the voice is secondary to that.  But no one seems to be listening to me.
Why haven't I gotten referred to a GI? Or an endocope? Or anything like that??
I'm so confused and frustrated and angry.</t>
        </is>
      </c>
      <c r="D5276" t="n">
        <v>1</v>
      </c>
      <c r="E5276" t="n">
        <v>11</v>
      </c>
      <c r="F5276">
        <f>HYPERLINK("https://www.reddit.com/r/GERD/comments/f3e5i2/lpr_treatment/")</f>
        <v/>
      </c>
      <c r="G5276" t="inlineStr">
        <is>
          <t>2020-02-13 10:16:30</t>
        </is>
      </c>
      <c r="H5276" t="inlineStr"/>
    </row>
    <row r="5277">
      <c r="A5277" t="inlineStr">
        <is>
          <t>f3fqvs</t>
        </is>
      </c>
      <c r="B5277" t="inlineStr">
        <is>
          <t>Constant chest pain after endoscopy</t>
        </is>
      </c>
      <c r="C5277" t="inlineStr">
        <is>
          <t>I had my endoscopy on the 28th, and the morning afterwards I started feeling pressure in my chest. It’s been two weeks and the pain still hasn’t subsided. I feel a constant pressure in my chest whenever I eat. I never had chest pain before the endoscopy and now I regret having it because I feel like it didn’t help solve the cause of my acid reflux. I told my doctor last time and he didn’t say anything. Wtf. What am I supposed to do? Should I be worried? I feel like my chest is constantly being irritated.</t>
        </is>
      </c>
      <c r="D5277" t="n">
        <v>1</v>
      </c>
      <c r="E5277" t="n">
        <v>6</v>
      </c>
      <c r="F5277">
        <f>HYPERLINK("https://www.reddit.com/r/GERD/comments/f3fqvs/constant_chest_pain_after_endoscopy/")</f>
        <v/>
      </c>
      <c r="G5277" t="inlineStr">
        <is>
          <t>2020-02-13 11:53:02</t>
        </is>
      </c>
      <c r="H5277" t="inlineStr"/>
    </row>
    <row r="5278">
      <c r="A5278" t="inlineStr">
        <is>
          <t>f3fyih</t>
        </is>
      </c>
      <c r="B5278" t="inlineStr">
        <is>
          <t>Probiotics</t>
        </is>
      </c>
      <c r="C5278" t="inlineStr">
        <is>
          <t>Has anyone tried probiotics as a solution whether its natural or pills .</t>
        </is>
      </c>
      <c r="D5278" t="n">
        <v>1</v>
      </c>
      <c r="E5278" t="n">
        <v>5</v>
      </c>
      <c r="F5278">
        <f>HYPERLINK("https://www.reddit.com/r/GERD/comments/f3fyih/probiotics/")</f>
        <v/>
      </c>
      <c r="G5278" t="inlineStr">
        <is>
          <t>2020-02-13 12:06:53</t>
        </is>
      </c>
      <c r="H5278" t="inlineStr"/>
    </row>
    <row r="5279">
      <c r="A5279" t="inlineStr">
        <is>
          <t>f3g661</t>
        </is>
      </c>
      <c r="B5279" t="inlineStr">
        <is>
          <t>How long do your flare ups last?</t>
        </is>
      </c>
      <c r="C5279" t="inlineStr">
        <is>
          <t>Hello everyone...so I was human and wanted Burger King and I ate it. I'm now in a flare up. I knew it would happen and lesson learned. How long do your flare ups last? I also have gastritis and the burning in my stomach is horrible. Why do I do this to myself? I so hate these diseases.</t>
        </is>
      </c>
      <c r="D5279" t="n">
        <v>1</v>
      </c>
      <c r="E5279" t="n">
        <v>24</v>
      </c>
      <c r="F5279">
        <f>HYPERLINK("https://www.reddit.com/r/GERD/comments/f3g661/how_long_do_your_flare_ups_last/")</f>
        <v/>
      </c>
      <c r="G5279" t="inlineStr">
        <is>
          <t>2020-02-13 12:20:18</t>
        </is>
      </c>
      <c r="H5279" t="inlineStr"/>
    </row>
    <row r="5280">
      <c r="A5280" t="inlineStr">
        <is>
          <t>f3gxjo</t>
        </is>
      </c>
      <c r="B5280" t="inlineStr">
        <is>
          <t>Hoarse Voice Only Symptom (LPR?)</t>
        </is>
      </c>
      <c r="C5280" t="inlineStr">
        <is>
          <t>Hi there.  I've tried searching for this answer on here but didn't come across anyone in my exact situation unless I missed it.  A couple years back I started getting a very hoarse voice to the extent where on occasion almost nothing comes out when trying to talk.  Went to an ENT who did what I believe was an Nasoendoscopy and just said my throat looked enflamed and "thought" I probably had acid reflux.  
What is a bit weird is my hoarse voice is my only symptom I have of any kind of reflux, and it seems to come and go depending on the time of year.  But this "round", it's stayed consistent since around October so I'm laying off coffee and switching to tea for now, and drinking a lot more water.  Has anyone else had the hoarse voice be their only symptom?  Thanks in advance.</t>
        </is>
      </c>
      <c r="D5280" t="n">
        <v>1</v>
      </c>
      <c r="E5280" t="n">
        <v>11</v>
      </c>
      <c r="F5280">
        <f>HYPERLINK("https://www.reddit.com/r/GERD/comments/f3gxjo/hoarse_voice_only_symptom_lpr/")</f>
        <v/>
      </c>
      <c r="G5280" t="inlineStr">
        <is>
          <t>2020-02-13 13:09:38</t>
        </is>
      </c>
      <c r="H5280" t="inlineStr"/>
    </row>
    <row r="5281">
      <c r="A5281" t="inlineStr">
        <is>
          <t>f3hs3i</t>
        </is>
      </c>
      <c r="B5281" t="inlineStr">
        <is>
          <t>Has anyone here with weak esophageal motility had the LINX implant?</t>
        </is>
      </c>
      <c r="C5281" t="inlineStr">
        <is>
          <t>I've been living in GERD hell for years now. Been on  60mg lansoprazole per day for a few years. Still have big problems with reflux and regurgitation. Feel exhausted all the time and generally feel like my body is falling apart at 33 years old. Manometry testing showed a 2.3cm hiatus hernia, small LES muscle with weak pressure, and weak esophageal motility. Had the stretta procedure performed last year and have not had any significant improvement to date. I am now giving serious consideration to the LINX implant. With weak motility i am at higher risk of dysphagia. Has anyone been down this road?</t>
        </is>
      </c>
      <c r="D5281" t="n">
        <v>1</v>
      </c>
      <c r="E5281" t="n">
        <v>16</v>
      </c>
      <c r="F5281">
        <f>HYPERLINK("https://www.reddit.com/r/GERD/comments/f3hs3i/has_anyone_here_with_weak_esophageal_motility_had/")</f>
        <v/>
      </c>
      <c r="G5281" t="inlineStr">
        <is>
          <t>2020-02-13 14:04:22</t>
        </is>
      </c>
      <c r="H5281" t="inlineStr"/>
    </row>
    <row r="5282">
      <c r="A5282" t="inlineStr">
        <is>
          <t>f3ivyk</t>
        </is>
      </c>
      <c r="B5282" t="inlineStr">
        <is>
          <t>What else can I do to heal?</t>
        </is>
      </c>
      <c r="C5282" t="inlineStr">
        <is>
          <t>I am trying to treat my LPR without meds. I have post nasal drip, mucus, shortness of breath and periodic chest pain (only during the day - no symptoms at night). I'm following the Acid Watchers Diet...on week two.  I am sleeping on a wedge pillow, eating earlier at night, drinking alkaline water and eating smaller, more frequent meals.So far I am not seeing any improvement. I have lost 10 lbs) (59 years - 5'5" female 102lbs). My BP has been running very low - today 87/56. I just ordered probiotics and will give them a try. I am very fit and train fairly hard daily (cycling, power walking and weights). I am getting very concerned and frustrated.</t>
        </is>
      </c>
      <c r="D5282" t="n">
        <v>1</v>
      </c>
      <c r="E5282" t="n">
        <v>17</v>
      </c>
      <c r="F5282">
        <f>HYPERLINK("https://www.reddit.com/r/GERD/comments/f3ivyk/what_else_can_i_do_to_heal/")</f>
        <v/>
      </c>
      <c r="G5282" t="inlineStr">
        <is>
          <t>2020-02-13 15:20:10</t>
        </is>
      </c>
      <c r="H5282" t="inlineStr"/>
    </row>
    <row r="5283">
      <c r="A5283" t="inlineStr">
        <is>
          <t>f3kp53</t>
        </is>
      </c>
      <c r="B5283" t="inlineStr">
        <is>
          <t>Tums/GasX worsens the pain?</t>
        </is>
      </c>
      <c r="C5283" t="inlineStr">
        <is>
          <t>Hi all,
I'm going to say a couple of things that may sound counterintuitive or crazy, so bear with me:
1. I was seeing MASSIVE improvement in my symptoms by decreasing FODMAPS, fermentable carbs, etc (see The Fast Track Diet)
2. I'm on 40mg Omeprazole and 40mg Famotidine per day, doctor's orders, but I'm getting a SIBO test next week
3. Got a bottle of TUMS, and a bottle of TUMS/GASX hybrid pills, not because I felt like I really needed them, though I do have moments of acute pain.  I got the pills because they taste freakin' amazing, and I feel like I can't eat candy anymore now that I have GERD.
4. So here I am, popping these delicious TUMS (staying safely below the daily max dose), and realizing that with each passing day I have more and more pain in my chest!  The heartburn is back with a vengeance.  Today I tested it again, and it's almost as if right when I take the TUMS the pain worsens immediately!  
5. What the heck!  
6. My diet hasn't changed--in fact it's leaned even more toward the low FODMAP diet that has led to so much progress.  Does anyone know the science behind why TUMS/GASX might make things worse?  (My theory is that it's not the TUMS, but the GASX in fact that's breaking up gas bubbles in my stomach and sending them up the esophagus little by little with tiny acid/pepsin particles...not sure, but it could be...
Thanks for the insight!  I'm not sure why I wrote this in list form.
Much love,
Gwaine</t>
        </is>
      </c>
      <c r="D5283" t="n">
        <v>1</v>
      </c>
      <c r="E5283" t="n">
        <v>9</v>
      </c>
      <c r="F5283">
        <f>HYPERLINK("https://www.reddit.com/r/GERD/comments/f3kp53/tumsgasx_worsens_the_pain/")</f>
        <v/>
      </c>
      <c r="G5283" t="inlineStr">
        <is>
          <t>2020-02-13 17:36:04</t>
        </is>
      </c>
      <c r="H5283" t="inlineStr"/>
    </row>
    <row r="5284">
      <c r="A5284" t="inlineStr">
        <is>
          <t>f3mc0y</t>
        </is>
      </c>
      <c r="B5284" t="inlineStr">
        <is>
          <t>Swollen rib cage?</t>
        </is>
      </c>
      <c r="C5284" t="inlineStr">
        <is>
          <t>So I’ve been experiencing a burning pain in my left upper quadrant for the last month or so, along with frequent burping and some back pain. I don’t know if it’s a coincidence or not (or if it’s just something I never noticed until now), but I’ve also noticed my left rib cage is a lot more pronounced/sticking out a lot more than the right side almost like it’s swollen. 
My abdominal ultrasound came back normal, but I still have another 2 weeks to go before I get my endoscopy and I’m having a lot of anxiety about my symptoms, which is making my pain feel worse. 
Anyone else experience this rib cage thing? Could it be a hernia?</t>
        </is>
      </c>
      <c r="D5284" t="n">
        <v>1</v>
      </c>
      <c r="E5284" t="n">
        <v>0</v>
      </c>
      <c r="F5284">
        <f>HYPERLINK("https://www.reddit.com/r/GERD/comments/f3mc0y/swollen_rib_cage/")</f>
        <v/>
      </c>
      <c r="G5284" t="inlineStr">
        <is>
          <t>2020-02-13 19:43:51</t>
        </is>
      </c>
      <c r="H5284" t="inlineStr"/>
    </row>
    <row r="5285">
      <c r="A5285" t="inlineStr">
        <is>
          <t>f3mhpi</t>
        </is>
      </c>
      <c r="B5285" t="inlineStr">
        <is>
          <t>Anyone else have a swollen rib cage?</t>
        </is>
      </c>
      <c r="C5285" t="inlineStr">
        <is>
          <t>So I’ve been experiencing a burning pain in my left upper abdomen (on the side of my body) for the past month or so, in addition to having to burp all the time and also some back pain. In the last few days, I’ve noticed that my left rib cage seems to be protruding a lot more than my right side, almost like it’s swollen (that’s the best way I can describe it).
I don’t know if it’s just a coincidence or if maybe I’m even imagining things, but I have a lot of anxiety over it. I had an abdominal ultrasound, which came back normal, but I still have a couple of weeks to go before I get my endoscopy. Anyone else experience this?</t>
        </is>
      </c>
      <c r="D5285" t="n">
        <v>1</v>
      </c>
      <c r="E5285" t="n">
        <v>12</v>
      </c>
      <c r="F5285">
        <f>HYPERLINK("https://www.reddit.com/r/GERD/comments/f3mhpi/anyone_else_have_a_swollen_rib_cage/")</f>
        <v/>
      </c>
      <c r="G5285" t="inlineStr">
        <is>
          <t>2020-02-13 19:57:11</t>
        </is>
      </c>
      <c r="H5285" t="inlineStr"/>
    </row>
    <row r="5286">
      <c r="A5286" t="inlineStr">
        <is>
          <t>f3nxx2</t>
        </is>
      </c>
      <c r="B5286" t="inlineStr">
        <is>
          <t>Transnasal endoscopy ?</t>
        </is>
      </c>
      <c r="C5286" t="inlineStr">
        <is>
          <t>Hey guys I found an ENT doctor that will do a transnasal endoscopy- I’m an anxious person and I refuse to be sedated, but I’m nervous about doing it through my mouth awake
Can try get down as deep through your nose?</t>
        </is>
      </c>
      <c r="D5286" t="n">
        <v>1</v>
      </c>
      <c r="E5286" t="n">
        <v>2</v>
      </c>
      <c r="F5286">
        <f>HYPERLINK("https://www.reddit.com/r/GERD/comments/f3nxx2/transnasal_endoscopy/")</f>
        <v/>
      </c>
      <c r="G5286" t="inlineStr">
        <is>
          <t>2020-02-13 22:04:59</t>
        </is>
      </c>
      <c r="H5286" t="inlineStr"/>
    </row>
    <row r="5287">
      <c r="A5287" t="inlineStr">
        <is>
          <t>f3t5bv</t>
        </is>
      </c>
      <c r="B5287" t="inlineStr">
        <is>
          <t>Gaviscon advanced make things worse for anyone?</t>
        </is>
      </c>
      <c r="C5287" t="inlineStr">
        <is>
          <t>Finally got my delivery from the UK for a bottle of this. Took it before bed last night. Two tablespoons.  Seems to have made my issue worse the next day and I coughed up mucus when I first woke up. 
Anyone else have this seem to happen?  I think most of my issues are with LPR and not heartburn/gerd.</t>
        </is>
      </c>
      <c r="D5287" t="n">
        <v>1</v>
      </c>
      <c r="E5287" t="n">
        <v>4</v>
      </c>
      <c r="F5287">
        <f>HYPERLINK("https://www.reddit.com/r/GERD/comments/f3t5bv/gaviscon_advanced_make_things_worse_for_anyone/")</f>
        <v/>
      </c>
      <c r="G5287" t="inlineStr">
        <is>
          <t>2020-02-14 06:45:43</t>
        </is>
      </c>
      <c r="H5287" t="inlineStr"/>
    </row>
    <row r="5288">
      <c r="A5288" t="inlineStr">
        <is>
          <t>f3t6ev</t>
        </is>
      </c>
      <c r="B5288" t="inlineStr">
        <is>
          <t>Came for an opinion</t>
        </is>
      </c>
      <c r="C5288" t="inlineStr">
        <is>
          <t>I just turned 21 and feel like I’ve had these problems for at least a couple years now, and its gradually gotten slightly worse over time. I don’t have insurance and I’m not the type of person who goes to the doctor, which is why I’ve been blowing this off for a long time. 
First off I have bad bowel habits of normal, diarrhea, constipation, etc and it’s always in flux. I have heartburn and it feels like food moves slowly down my throat, sometimes making swallowing difficult. Most of the time I take a drink of water to help the process. 
I also have this weird pressing sensation against my ribs on my left side as if something is swollen or inflamed.
Some random stomach pains every now and again, not that often. Gas, and sometimes I feel like I need to burp but can’t.
I also had asthma when I was a kid which seemed to go away. I feel like it’s coming back because I’m starting to have a shortness of breath feeling and more mucus in my throat than normal and saw that this can be a symptom of acid reflux. 
Also I don’t eat very well either if that helps any
If anyone can give me any sort of insight on what they think is going on that would be really helpful.
And yes I do realize I should probably go to the doctors
Thanks</t>
        </is>
      </c>
      <c r="D5288" t="n">
        <v>1</v>
      </c>
      <c r="E5288" t="n">
        <v>2</v>
      </c>
      <c r="F5288">
        <f>HYPERLINK("https://www.reddit.com/r/GERD/comments/f3t6ev/came_for_an_opinion/")</f>
        <v/>
      </c>
      <c r="G5288" t="inlineStr">
        <is>
          <t>2020-02-14 06:47:58</t>
        </is>
      </c>
      <c r="H5288" t="inlineStr"/>
    </row>
    <row r="5289">
      <c r="A5289" t="inlineStr">
        <is>
          <t>f3thgf</t>
        </is>
      </c>
      <c r="B5289" t="inlineStr">
        <is>
          <t>Ginger Tea - Issues?</t>
        </is>
      </c>
      <c r="C5289" t="inlineStr">
        <is>
          <t>Everywhere I read ginger tea is amazing for GERD but most times in drink it i feel burning. I have a small HH and reflux and wondering if I’m the exception. I’m taking one tea bag too not overdosing in any way.  Bums me out as I’ve SADLY eliminated caffeine weeks ago and need a tea to drink per habit. Thanks.</t>
        </is>
      </c>
      <c r="D5289" t="n">
        <v>1</v>
      </c>
      <c r="E5289" t="n">
        <v>7</v>
      </c>
      <c r="F5289">
        <f>HYPERLINK("https://www.reddit.com/r/GERD/comments/f3thgf/ginger_tea_issues/")</f>
        <v/>
      </c>
      <c r="G5289" t="inlineStr">
        <is>
          <t>2020-02-14 07:10:58</t>
        </is>
      </c>
      <c r="H5289" t="inlineStr"/>
    </row>
    <row r="5290">
      <c r="A5290" t="inlineStr">
        <is>
          <t>f3trys</t>
        </is>
      </c>
      <c r="B5290" t="inlineStr">
        <is>
          <t>Constant bubble in throat feeling</t>
        </is>
      </c>
      <c r="C5290" t="inlineStr">
        <is>
          <t>Hey all, I've been struggling with a consistent and annoying symptom - it's like a pressure or air bubble feeling in my throat, almost like I constantly need to burp, but I don't actually have to. The only relief comes when I do burp. I've had globus sensation before and it was a different feeling and location. Was diagnosed with GERD a few years ago but endoscopy, barium swallow, and manometry all came up normal. Currently taking two rabeprazole a day to no avail from what I can tell. Looking for any suggestions on what this could be and relief. Would love to be able to drink a beer again but idt that day will ever come. 24/M/140 pounds.</t>
        </is>
      </c>
      <c r="D5290" t="n">
        <v>1</v>
      </c>
      <c r="E5290" t="n">
        <v>9</v>
      </c>
      <c r="F5290">
        <f>HYPERLINK("https://www.reddit.com/r/GERD/comments/f3trys/constant_bubble_in_throat_feeling/")</f>
        <v/>
      </c>
      <c r="G5290" t="inlineStr">
        <is>
          <t>2020-02-14 07:32:02</t>
        </is>
      </c>
      <c r="H5290" t="inlineStr"/>
    </row>
    <row r="5291">
      <c r="A5291" t="inlineStr">
        <is>
          <t>f3vxwi</t>
        </is>
      </c>
      <c r="B5291" t="inlineStr">
        <is>
          <t>Help on fundoplication</t>
        </is>
      </c>
      <c r="C5291" t="inlineStr">
        <is>
          <t>Hi I’m due for op April was all set up for having an anterior wrap done as motility is 40% good 30% poor and 30% none with surgeon as he only does the Dor for everyone because he says it has similar results and the risk if dysphagia isn’t worth it, 
I saw another surgeon today through nhs uk a woman who had become a consultant in last year she said she’d done about 50 ops and she said she would do a floppy nissen and if any swallowing problems a dilation then maybe a 270 toupet if needed. This has really thrown me as the research I’ve done tally’s with what she says but this I’ve read is a skilled op that needs experience, Help!! Heads shot on making a decision, to throw in the research I’ve done in some cases has the toupet and 180 anterior similar in reflux control.</t>
        </is>
      </c>
      <c r="D5291" t="n">
        <v>1</v>
      </c>
      <c r="E5291" t="n">
        <v>5</v>
      </c>
      <c r="F5291">
        <f>HYPERLINK("https://www.reddit.com/r/GERD/comments/f3vxwi/help_on_fundoplication/")</f>
        <v/>
      </c>
      <c r="G5291" t="inlineStr">
        <is>
          <t>2020-02-14 09:58:46</t>
        </is>
      </c>
      <c r="H5291" t="inlineStr"/>
    </row>
    <row r="5292">
      <c r="A5292" t="inlineStr">
        <is>
          <t>f3w33v</t>
        </is>
      </c>
      <c r="B5292" t="inlineStr">
        <is>
          <t>I’m scared I’ll have to get surgery</t>
        </is>
      </c>
      <c r="C5292" t="inlineStr">
        <is>
          <t>I’ve had acid reflux for a year and a half. Recently, it’s gotten worse and my doctor prescribed me Pantoprazole 40 mg twice a day along with other medicine to help with regurgitation. But, it’s not really helping. In fact, it seems to make me more nauseous. My symptoms are currently chest pain (irritation from endoscopy), hypersalivation, sour taste in mouth, and stomach burning. Even when I ate some apples earlier, I felt like my stomach was burning. I’m so scared that there’s no more medication that will get rid of my symptoms. I’m scared I’ll have to get surgery but even then, I might suffer from complications. I’m only 20 years old. I don’t know what to do anymore. I feel like I’m losing my mind from this disease.</t>
        </is>
      </c>
      <c r="D5292" t="n">
        <v>1</v>
      </c>
      <c r="E5292" t="n">
        <v>0</v>
      </c>
      <c r="F5292">
        <f>HYPERLINK("https://www.reddit.com/r/GERD/comments/f3w33v/im_scared_ill_have_to_get_surgery/")</f>
        <v/>
      </c>
      <c r="G5292" t="inlineStr">
        <is>
          <t>2020-02-14 10:08:17</t>
        </is>
      </c>
      <c r="H5292" t="inlineStr"/>
    </row>
    <row r="5293">
      <c r="A5293" t="inlineStr">
        <is>
          <t>f3xzg6</t>
        </is>
      </c>
      <c r="B5293" t="inlineStr">
        <is>
          <t>Melatonin</t>
        </is>
      </c>
      <c r="C5293" t="inlineStr">
        <is>
          <t>The first thing I will say is that melatonin is by no means an "alternative medicine." It's normally produced by the body in sufficient amounts, but for various reasons production can decrease. Recent studies have shown that many functions of the gastrointestinal tract, including the esophagus and lower esophageal sphincter. Many GI issues, including acid reflux and IBS seem to be caused at least in part by low melatonin levels in the body. Caffeine consumption has been shown to cause a decrease in melatonin production over time. 
Page 2 of this study states that melatonin increases the release of a hormone called gastrin, which causes the LES to tighten.  [https://www.ncbi.nlm.nih.gov/pmc/articles/PMC6358381/](https://www.ncbi.nlm.nih.gov/pmc/articles/PMC6358381/) 
Keep in mind that melatonin can make you very drowsy. That being said, I do believe that it has the potential to be a source of relief for many people with a weak LES, especially those who experience many night-time symptoms.</t>
        </is>
      </c>
      <c r="D5293" t="n">
        <v>1</v>
      </c>
      <c r="E5293" t="n">
        <v>13</v>
      </c>
      <c r="F5293">
        <f>HYPERLINK("https://www.reddit.com/r/GERD/comments/f3xzg6/melatonin/")</f>
        <v/>
      </c>
      <c r="G5293" t="inlineStr">
        <is>
          <t>2020-02-14 12:12:05</t>
        </is>
      </c>
      <c r="H5293" t="inlineStr"/>
    </row>
    <row r="5294">
      <c r="A5294" t="inlineStr">
        <is>
          <t>f41k0u</t>
        </is>
      </c>
      <c r="B5294" t="inlineStr">
        <is>
          <t>Diagnosed with GERD two weeks ago...</t>
        </is>
      </c>
      <c r="C5294" t="inlineStr">
        <is>
          <t>Side note: I looked into different types of acid reflux and it seems like mine is closest to “Liver Reflux”.  
Hi all, I just wanted a little place to vent / ask questions about others who have the same condition / symptoms. I’m a 25/F/140lbs. I went to the ER two weeks ago with severe pain in my esophagus and shortness/difficulty breathing. The doctors came to the conclusion that it was GERD and that my esophagus was being damaged from acid reflux. 
I’ve dealt with acid reflux my whole life but this felt very painful and I didn’t have the bile taste or burpy sensations that I normally do. The symptoms went away after four days.  
I woke up this morning with the sensation of something stuck in my throat like a bubble, but not acid. My saliva production feels higher than normal. I called the nurse because I was afraid it was going to worsen again and she told me that the doctor should’ve prescribed me medicine the first time. She set me up with a phone appointment with a doctor. The doctor called and he prescribed me a form of Prilosec for a month routine to help build me back up. 
I’m just worried this is something that will stick with me forever. After looking into GERD, I realize I definitely had a mixture of “no-no” foods yesterday. I definitely had caffeine, chocolate, tomatoes, garlic, onion, and peppermint, along with wine last night at dinner. After dinner I laid down immediately, so that didn’t help either. 
I am not overweight and this is the third episode that I’ve had since the beginning of the year. And it’s only been since the beginning of the year that it’s started.  
I’m still in a lot of pain and discomfort, several hours later. This has affected my ability to go to work and even try to do normal, daily tasks, it hurts so bad.  
I guess my questions would be:  
Have you been able to move past GERD and be “cured”? What foods do you avoid to prevent flare ups? Are there any tricks you have for immediate pain or discomfort relief? Should I go back and get further testing done? What can I expect as far as lifestyle changes?  
Any other info or advice for me would really be appreciated too.
Thanks!</t>
        </is>
      </c>
      <c r="D5294" t="n">
        <v>1</v>
      </c>
      <c r="E5294" t="n">
        <v>8</v>
      </c>
      <c r="F5294">
        <f>HYPERLINK("https://www.reddit.com/r/GERD/comments/f41k0u/diagnosed_with_gerd_two_weeks_ago/")</f>
        <v/>
      </c>
      <c r="G5294" t="inlineStr">
        <is>
          <t>2020-02-14 16:26:21</t>
        </is>
      </c>
      <c r="H5294" t="inlineStr"/>
    </row>
    <row r="5295">
      <c r="A5295" t="inlineStr">
        <is>
          <t>f4296v</t>
        </is>
      </c>
      <c r="B5295" t="inlineStr">
        <is>
          <t>800mg of Tagamet a day 400mg2x anyone else?</t>
        </is>
      </c>
      <c r="C5295" t="inlineStr">
        <is>
          <t>After my most recent endoscopy this week the Dr found erosive esophagitis, hiatal hernia, stomach polyps, surprise surprise. Anyway since my body basically won’t tolerate PPIs anymore after 7 years of daily use I’ve been put on 400mg of Tagamet 2 times daily. Wondering if anyone else is on this high of a dose, if so hows it working for you.</t>
        </is>
      </c>
      <c r="D5295" t="n">
        <v>1</v>
      </c>
      <c r="E5295" t="n">
        <v>0</v>
      </c>
      <c r="F5295">
        <f>HYPERLINK("https://www.reddit.com/r/GERD/comments/f4296v/800mg_of_tagamet_a_day_400mg2x_anyone_else/")</f>
        <v/>
      </c>
      <c r="G5295" t="inlineStr">
        <is>
          <t>2020-02-14 17:21:43</t>
        </is>
      </c>
      <c r="H5295" t="inlineStr"/>
    </row>
    <row r="5296">
      <c r="A5296" t="inlineStr">
        <is>
          <t>f42veb</t>
        </is>
      </c>
      <c r="B5296" t="inlineStr">
        <is>
          <t>methylene blue</t>
        </is>
      </c>
      <c r="C5296" t="inlineStr">
        <is>
          <t>A year ago I accidentally cured my reflux with something that apparently nobody else is using for that purpose. I had bought some ultra pure methyle blue for use in skin care products, of which I took a low dose orally since it's supposed to be a very mild nootropic that helps with memory function. About a week after I started taking it I noticed that my reflux symptoms had become weaker. I started taking it more often, that is after every meal and ended up getting 99% rid of my symptoms.     
The reflux I was suffering from at that point was not by any means moderate or mild. In addition to heartburn and scary chest aches it caused me severe nausea and mental fog, to a degree where it badly affected my ability to focus on even moderately complex tasks. My ability to fall asleep was also affected, on a bad day I often lay awake for several hours before passing out from sheer exhaustion. That was probably the worst part. Bland diet (oat meal, some vegetables/fruits, no nuts, nothing spicy not even mild curry) and moderate exercise improved the symptoms but they quickly came back whenever I ate sweet / fatty food, ate too late (that is, after 6pm), slept irregularly, etc. Pantoprazole 20mg helped a bit but not nearly enough, plus I wasn't looking forward to the thought of having to take it for the rest of my life. Gastroscopy showed some gastritis but no ulcers, no (visible) hernia and no helicobacter either, leaving me clueless on how to proceed. I'm still not sure what the initial cause was, maybe something like SIBO since I sometimes suffer from random bloating.
I took about 5mg/day, in doses of .2 to 1mg. If you're taking SSRI antidepressants you should monitor your blood pressure and avoid any doses higher than 5mg since MB is a MAOI at higher doses - that is, it is a full MAOI at 100mg.</t>
        </is>
      </c>
      <c r="D5296" t="n">
        <v>1</v>
      </c>
      <c r="E5296" t="n">
        <v>4</v>
      </c>
      <c r="F5296">
        <f>HYPERLINK("https://www.reddit.com/r/GERD/comments/f42veb/methylene_blue/")</f>
        <v/>
      </c>
      <c r="G5296" t="inlineStr">
        <is>
          <t>2020-02-14 18:13:00</t>
        </is>
      </c>
      <c r="H5296" t="inlineStr"/>
    </row>
    <row r="5297">
      <c r="A5297" t="inlineStr">
        <is>
          <t>f43j9f</t>
        </is>
      </c>
      <c r="B5297" t="inlineStr">
        <is>
          <t>Is there a gerd recipe sub?</t>
        </is>
      </c>
      <c r="C5297" t="inlineStr">
        <is>
          <t>Title. Just wondering if there is a subreddit for gerd based recipes?</t>
        </is>
      </c>
      <c r="D5297" t="n">
        <v>1</v>
      </c>
      <c r="E5297" t="n">
        <v>7</v>
      </c>
      <c r="F5297">
        <f>HYPERLINK("https://www.reddit.com/r/GERD/comments/f43j9f/is_there_a_gerd_recipe_sub/")</f>
        <v/>
      </c>
      <c r="G5297" t="inlineStr">
        <is>
          <t>2020-02-14 19:09:00</t>
        </is>
      </c>
      <c r="H5297" t="inlineStr"/>
    </row>
    <row r="5298">
      <c r="A5298" t="inlineStr">
        <is>
          <t>f44otz</t>
        </is>
      </c>
      <c r="B5298" t="inlineStr">
        <is>
          <t>Finally got a diagnosis today!</t>
        </is>
      </c>
      <c r="C5298" t="inlineStr">
        <is>
          <t>I’d been dealing with chronic unexplained tonsillitis (which resulted in a tonsillectomy and adenoidectomy late 2019), frequent bouts of “allergies” that produced lots of sinus drainage but no snot out of my nose, constantly plugged up or aching ears with no infection, a weird salty taste in my mouth that comes and goes, a chronic sore throat, feeling like food sometimes won’t go down my throat, difficulty getting a deep breath, nausea. 
I’ve been told by my primary that I just had allergies (even though it’s only sinus drainage to my throat, not out of my nose), that I have a cold, the flu, an irritant in my home. I’ve been told that I have anxiety and nothing is wrong with me physically. My dr recommended a therapist who I saw and who validated my thoughts. I finally got in with a new ENT who diagnosed me with LPR after doing a scope of my sinuses and throat. Every symptom for LPR matches up perfectly and it makes sense as I do have a diet that tends to be more acidic, lots of red sauces and wine and citrus fruits. And chocolate. 
I’m over the moon and so happy to finally know what is going on, that I’m not crazy or dramatic, and that I can likely manage it with a combination of medicine to calm the throat down for a few months and diet change!! It also makes sense because my dentist has asked me if I have acid reflux, because despite my good oral cares, I frequently have weak enamel that requires high fluoride toothpaste. I’ve always told him no because I didn’t know that I did...but it makes sense!</t>
        </is>
      </c>
      <c r="D5298" t="n">
        <v>1</v>
      </c>
      <c r="E5298" t="n">
        <v>8</v>
      </c>
      <c r="F5298">
        <f>HYPERLINK("https://www.reddit.com/r/GERD/comments/f44otz/finally_got_a_diagnosis_today/")</f>
        <v/>
      </c>
      <c r="G5298" t="inlineStr">
        <is>
          <t>2020-02-14 20:50:09</t>
        </is>
      </c>
      <c r="H5298" t="inlineStr"/>
    </row>
    <row r="5299">
      <c r="A5299" t="inlineStr">
        <is>
          <t>f46pn4</t>
        </is>
      </c>
      <c r="B5299" t="inlineStr">
        <is>
          <t>EGD results, schatzki ring, hiatal hernia less than 1cm</t>
        </is>
      </c>
      <c r="C5299" t="inlineStr">
        <is>
          <t>LPR type symptoms have cooled down a bit, but now just dealing with the chest fullness and pain, I think it’s the HH or something I just feel so bloated and full no matter what I eat, even 2 bites, and all this makes me anxiety 100x worse, I wouldn’t have any anxiety worries if I didn’t have a hiatus hernia honestly, knowing it has no cure besides surgery makes me miserable.</t>
        </is>
      </c>
      <c r="D5299" t="n">
        <v>1</v>
      </c>
      <c r="E5299" t="n">
        <v>2</v>
      </c>
      <c r="F5299">
        <f>HYPERLINK("https://www.reddit.com/r/GERD/comments/f46pn4/egd_results_schatzki_ring_hiatal_hernia_less_than/")</f>
        <v/>
      </c>
      <c r="G5299" t="inlineStr">
        <is>
          <t>2020-02-15 00:26:15</t>
        </is>
      </c>
      <c r="H5299" t="inlineStr"/>
    </row>
    <row r="5300">
      <c r="A5300" t="inlineStr">
        <is>
          <t>f48o76</t>
        </is>
      </c>
      <c r="B5300" t="inlineStr">
        <is>
          <t>Does anyone else have trouble getting drunk?</t>
        </is>
      </c>
      <c r="C5300" t="inlineStr">
        <is>
          <t>So this is a pretty weird question, but I figured I’d give it a shot. I technically have bile reflux, so I don’t know if anyone here relates, but ever since I started having reflux issues, it has also been VERY hard for me to get drunk. Obviously, I know we’re not supposed to drink, period, with this disease, but for those of you who still do/did, does anybody else notice this?? I’m not sure if it’s an issue related to reflux or bile in particular - it’s like I can get at most tipsy but not properly drunk, and then I always end up throwing up and getting sick from over-drinking. When my reflux isn’t acting up, though, I don’t have any issues whatsoever getting drunk!! It’s so weird!! Anybody have any insight??</t>
        </is>
      </c>
      <c r="D5300" t="n">
        <v>1</v>
      </c>
      <c r="E5300" t="n">
        <v>4</v>
      </c>
      <c r="F5300">
        <f>HYPERLINK("https://www.reddit.com/r/GERD/comments/f48o76/does_anyone_else_have_trouble_getting_drunk/")</f>
        <v/>
      </c>
      <c r="G5300" t="inlineStr">
        <is>
          <t>2020-02-15 04:16:26</t>
        </is>
      </c>
      <c r="H5300" t="inlineStr"/>
    </row>
    <row r="5301">
      <c r="A5301" t="inlineStr">
        <is>
          <t>f49ltb</t>
        </is>
      </c>
      <c r="B5301" t="inlineStr">
        <is>
          <t>Losing my mind. Doctors don't have an answer. I'm just broken?</t>
        </is>
      </c>
      <c r="C5301" t="inlineStr">
        <is>
          <t>Hi,  
I've been on various PPI inhibitors since I was 14 (I'm 23, male) and have chronically suffered from heartburn, burping, dry mouth, interrupted sleep and constant throat-clearing. Recently, it's started getting worse - or so it feels. Almost definitely this situation has contributed to my raging hypochondria/anxiety/depression, whatever the hell is going on in that bonkers brain of mine.  
I had an endoscopy and manometry done last year, and everything came back normal. This is what really baffled me and the doctors - they're telling me that there's nothing wrong, I have no esophageal damage, all I have is a hiatal hernia - and yet I KNOW there's something wrong because I regularly burp up acid into my throat, my throat is always full of mucus and I'm clearing it every five minutes, and even right now I just have this weird burning sensation in my solar plexus. I always feel like I can't breathe in enough air, and I need to suck in these deep breaths to feel 'satisfied' that my lungs have gotten enough air - for about 2 or 3 minutes before I need to do it again. I'm always taking these little shallow breaths because I'm scared of getting acid into my lungs because of that burning feeling in my chest.  
My doctor prescribed me this nasal spray thing to try, and it helped mildly but it was no miracle cure, it didn't do anything significant. At one time I was prescribed sertraline, but I didn't really feel like that was doing much for me and my girlfriend told me I was becoming very difficult to connect with emotionally - losing care about things.  
I think this acid reflux is legitimately ruining my life and massively inhibiting me from reaching my potential as a person. I feel absolutely crippled and I've felt suicidal about it more than once. I've become overweight, I can't exercise properly because I end up in pain or break out in itchiness if I try to do anything remotely intensive (or my reflux starts burning me), and my career as a voice actor has basically been destroyed by the reflux. I used to have a fantastic voice and now over time I can just hear it becoming more and more clogged and weak because of the mucus in my throat. I can't record for more than an hour at a time without getting horrendous dry mouth and needing to drink a gallon of water.  
I can't eat anything without causing heartburn. Literally anything. I thought maybe I have allergies to something, it's caused by certain foods? No. It's just anything. I can't even DRINK WATER without triggering burps and rumbles in my stomach. I'm all sorts of twisted up about this, because everyone around me expects me to be fine and that if I kick up much of a fuss I'll look like I'm just in histrionics but this is genuinely a living hell and I've been stuck in it for 9 years. What the hell do I do? Why does nothing work? Why can noone give me any answers? How can medicine invent robotic fucking limbs, regenerate cells and cure cancer but we can't figure out why my stomach is murdering me from the inside?</t>
        </is>
      </c>
      <c r="D5301" t="n">
        <v>1</v>
      </c>
      <c r="E5301" t="n">
        <v>21</v>
      </c>
      <c r="F5301">
        <f>HYPERLINK("https://www.reddit.com/r/GERD/comments/f49ltb/losing_my_mind_doctors_dont_have_an_answer_im/")</f>
        <v/>
      </c>
      <c r="G5301" t="inlineStr">
        <is>
          <t>2020-02-15 05:47:42</t>
        </is>
      </c>
      <c r="H5301" t="inlineStr"/>
    </row>
    <row r="5302">
      <c r="A5302" t="inlineStr">
        <is>
          <t>f4a420</t>
        </is>
      </c>
      <c r="B5302" t="inlineStr">
        <is>
          <t>Upper abdomen/stomach pain for three days now...</t>
        </is>
      </c>
      <c r="C5302" t="inlineStr">
        <is>
          <t>If anyone can help me get rid of this pain PLEASE I'LL DO ANYTHING.  Three nights ago I woke up in the middle of the night with terrible stomach pain.  It's happened before but only lasted a day.  This Time I'm on the third day and OVER this debilitating pain.  I don't know what to do, I can't continue to live like this.  
I went to the ER yesterday and got diagnosed with GERD but they didn't do anything for the stomach pain, I thought it would be gone by last night.  NOPE.  I can't sleep because I constantly have to sit up and burp.  I can't eat because I feel full.  There's no way that in three days I haven't burped up an entire stomach's worth of gas, and I haven't eaten anything, so I don't know how to stop the gas from producing in my stomach in the first place.    
HELP I really don't know what to do, I'm panicking I can't keep feeling like this.</t>
        </is>
      </c>
      <c r="D5302" t="n">
        <v>1</v>
      </c>
      <c r="E5302" t="n">
        <v>3</v>
      </c>
      <c r="F5302">
        <f>HYPERLINK("https://www.reddit.com/r/GERD/comments/f4a420/upper_abdomenstomach_pain_for_three_days_now/")</f>
        <v/>
      </c>
      <c r="G5302" t="inlineStr">
        <is>
          <t>2020-02-15 06:30:51</t>
        </is>
      </c>
      <c r="H5302" t="inlineStr"/>
    </row>
    <row r="5303">
      <c r="A5303" t="inlineStr">
        <is>
          <t>f4ab0t</t>
        </is>
      </c>
      <c r="B5303" t="inlineStr">
        <is>
          <t>Just had an Endoscopy ...</t>
        </is>
      </c>
      <c r="C5303" t="inlineStr">
        <is>
          <t>20 (M) 
After a 2 years of hell with GERD+LPR I finally had an endoscopy yesterday 
The doctor who did the procedure said that everything was normal, no ulcers no hernia no damage simply nothing ,I even asked him about the muscle that closes my stomach if its weak and he said it's not
He wrote on the report to continue with 40mg of nexium/esomoprazole and didnt mention anything about diet changes
He told me all of this in like 2 minutes and just left , I tried to ask why am I having all of these symptoms if nothing's wrong but he didnt give me the chance to do so , for the last 2 years I've had swallowing difficulties, food getting stuck/getting down slowly heart burn , bloating ,weight loss because of not eating enough, I went to an ENT last year and he checked my throat with a camera and he found mucus in throat redness in throat and vocal cords 
After all of this this doctor just comes and says everything's NORMAL ???? 
If everything's normal why continue with 40mg of ppi?</t>
        </is>
      </c>
      <c r="D5303" t="n">
        <v>1</v>
      </c>
      <c r="E5303" t="n">
        <v>7</v>
      </c>
      <c r="F5303">
        <f>HYPERLINK("https://www.reddit.com/r/GERD/comments/f4ab0t/just_had_an_endoscopy/")</f>
        <v/>
      </c>
      <c r="G5303" t="inlineStr">
        <is>
          <t>2020-02-15 06:46:13</t>
        </is>
      </c>
      <c r="H5303" t="inlineStr"/>
    </row>
    <row r="5304">
      <c r="A5304" t="inlineStr">
        <is>
          <t>f4afvo</t>
        </is>
      </c>
      <c r="B5304" t="inlineStr">
        <is>
          <t>Gerd and dating</t>
        </is>
      </c>
      <c r="C5304" t="inlineStr">
        <is>
          <t>46F So I'm meeting an online date for the first time tonight....he wants to go for appetizers and drinks. Do I tell him upfront that I have this horrible disease [as well as gastritis] or do I just keep my mouth shut? I am not going to have a drink and eat food that will hurt me for days just to impress some guy. But do I just drink water and not eat and make myself look like an anorexic and explain myself? Oh this is causing such anxiety that I DO NOT NEED. Is this going to be the rest of my life?? What would you guys do?</t>
        </is>
      </c>
      <c r="D5304" t="n">
        <v>1</v>
      </c>
      <c r="E5304" t="n">
        <v>19</v>
      </c>
      <c r="F5304">
        <f>HYPERLINK("https://www.reddit.com/r/GERD/comments/f4afvo/gerd_and_dating/")</f>
        <v/>
      </c>
      <c r="G5304" t="inlineStr">
        <is>
          <t>2020-02-15 06:57:06</t>
        </is>
      </c>
      <c r="H5304" t="inlineStr"/>
    </row>
    <row r="5305">
      <c r="A5305" t="inlineStr">
        <is>
          <t>f4apki</t>
        </is>
      </c>
      <c r="B5305" t="inlineStr">
        <is>
          <t>Lansoprazole 40mg ginger root pill and acidophillus.</t>
        </is>
      </c>
      <c r="C5305" t="inlineStr">
        <is>
          <t>I posted this a few days back. I can now say these have definitely reduced my symptoms. My main issue was difficulty swallowing and now it has basically gone. I can eat most things now. Im not saying this is a silver bullet but however if you are really struggling. It is deffo worth a try guys</t>
        </is>
      </c>
      <c r="D5305" t="n">
        <v>1</v>
      </c>
      <c r="E5305" t="n">
        <v>8</v>
      </c>
      <c r="F5305">
        <f>HYPERLINK("https://www.reddit.com/r/GERD/comments/f4apki/lansoprazole_40mg_ginger_root_pill_and/")</f>
        <v/>
      </c>
      <c r="G5305" t="inlineStr">
        <is>
          <t>2020-02-15 07:17:53</t>
        </is>
      </c>
      <c r="H5305" t="inlineStr"/>
    </row>
    <row r="5306">
      <c r="A5306" t="inlineStr">
        <is>
          <t>f4bfev</t>
        </is>
      </c>
      <c r="B5306" t="inlineStr">
        <is>
          <t>LPR Symptoms Question--Mucus Only While Eating/Drinking?</t>
        </is>
      </c>
      <c r="C5306" t="inlineStr">
        <is>
          <t>For awhile now I've been having a lot of mucus in my throat while eating or drinking. I figured it was LPR since my mom has bad reflux and I can get heartburn from time to time. I've tried the usual suspects (eliminating carbonated stuff, PPIs, H2 blockers) with no effect. What I eat or drink doesn't seem to make a big difference--it can be a granola bar and still do it, but it does seem slightly worse for bigger meals or meals with alcohol or coffee or tea. 
The thing is, it only happens \*while\* I'm consuming the food or drink--it doesn't last. I have 0 problems at bedtime or when I wake up. Is that normal for LPR? Also what sort of doctor do I see to get this figured out?</t>
        </is>
      </c>
      <c r="D5306" t="n">
        <v>1</v>
      </c>
      <c r="E5306" t="n">
        <v>0</v>
      </c>
      <c r="F5306">
        <f>HYPERLINK("https://www.reddit.com/r/GERD/comments/f4bfev/lpr_symptoms_questionmucus_only_while/")</f>
        <v/>
      </c>
      <c r="G5306" t="inlineStr">
        <is>
          <t>2020-02-15 08:10:46</t>
        </is>
      </c>
      <c r="H5306" t="inlineStr"/>
    </row>
    <row r="5307">
      <c r="A5307" t="inlineStr">
        <is>
          <t>f4dmhc</t>
        </is>
      </c>
      <c r="B5307" t="inlineStr">
        <is>
          <t>It turns out vaping weed gives me esophageal spasms</t>
        </is>
      </c>
      <c r="C5307" t="inlineStr">
        <is>
          <t>Took a little bit to figure out the correlation but yep, it’s the vape. Even on a lower temp with ice in a water bong it still gives me spasms 
I’ve been vaping this way for years. Sad to quit but my life is worth more than this. 
If anyone else gets spasms consider quitting vaping!</t>
        </is>
      </c>
      <c r="D5307" t="n">
        <v>1</v>
      </c>
      <c r="E5307" t="n">
        <v>16</v>
      </c>
      <c r="F5307">
        <f>HYPERLINK("https://www.reddit.com/r/GERD/comments/f4dmhc/it_turns_out_vaping_weed_gives_me_esophageal/")</f>
        <v/>
      </c>
      <c r="G5307" t="inlineStr">
        <is>
          <t>2020-02-15 10:42:31</t>
        </is>
      </c>
      <c r="H5307" t="inlineStr"/>
    </row>
    <row r="5308">
      <c r="A5308" t="inlineStr">
        <is>
          <t>f4dphm</t>
        </is>
      </c>
      <c r="B5308" t="inlineStr">
        <is>
          <t>Coming off Dexilant (update)</t>
        </is>
      </c>
      <c r="C5308" t="inlineStr">
        <is>
          <t>Original post: https://www.reddit.com/r/GERD/comments/f39zhq/coming_off_dexilant/?utm_source=share&amp;amp;utm_medium=ios_app&amp;amp;utm_name=iossmf
Just wanted to update that I’ve been doing dexilant every other day as opposed to every day and it’s going very well. My only problem so far is that I actually have more pain and bloating on the days when I take the dexilant. 
I’ve decided (since my doctor won’t return my calls, thanks dude) that I’ll continue with the plan they originally gave me so I don’t cause rebound even though it’s been sucking to take the medication. I’d rather have the pain every other day rather than every day if I get rebound. 
Thank you all for your advice!</t>
        </is>
      </c>
      <c r="D5308" t="n">
        <v>1</v>
      </c>
      <c r="E5308" t="n">
        <v>0</v>
      </c>
      <c r="F5308">
        <f>HYPERLINK("https://www.reddit.com/r/GERD/comments/f4dphm/coming_off_dexilant_update/")</f>
        <v/>
      </c>
      <c r="G5308" t="inlineStr">
        <is>
          <t>2020-02-15 10:48:12</t>
        </is>
      </c>
      <c r="H5308" t="inlineStr"/>
    </row>
    <row r="5309">
      <c r="A5309" t="inlineStr">
        <is>
          <t>f4fdtr</t>
        </is>
      </c>
      <c r="B5309" t="inlineStr">
        <is>
          <t>If I come off Esomeprazole will I get rebound?</t>
        </is>
      </c>
      <c r="C5309" t="inlineStr">
        <is>
          <t>I’m finishing a 4 week course of once a day 40 mg Esomeprazole Thursday.
My doctor put me on it as a trial to see if it helps with symptoms for a suspected hiatal and GERD. Really my only symptom is constant nausea worse at night and while it’s been less intense since I’ve started I’m still nauseous most evenings and I’m not entirely sure that my complete change of diet isn’t to account for feeling slightly better.
So when I go to the doctor next week I want to ask for blood tests and tests to confirm the hiatal hernia and maybe try a different medication if possible like a H2 Blocker instead.
Im wondering though will I get rebound from coming off the esomeprazole if I switch to a H2 Blocker? I have emetophobia so I’m petrified of having more intense nausea that could lead to vomiting.</t>
        </is>
      </c>
      <c r="D5309" t="n">
        <v>1</v>
      </c>
      <c r="E5309" t="n">
        <v>7</v>
      </c>
      <c r="F5309">
        <f>HYPERLINK("https://www.reddit.com/r/GERD/comments/f4fdtr/if_i_come_off_esomeprazole_will_i_get_rebound/")</f>
        <v/>
      </c>
      <c r="G5309" t="inlineStr">
        <is>
          <t>2020-02-15 12:42:55</t>
        </is>
      </c>
      <c r="H5309" t="inlineStr"/>
    </row>
    <row r="5310">
      <c r="A5310" t="inlineStr">
        <is>
          <t>f4firv</t>
        </is>
      </c>
      <c r="B5310" t="inlineStr">
        <is>
          <t>Do ppi side effects go away?</t>
        </is>
      </c>
      <c r="C5310" t="inlineStr">
        <is>
          <t>Started yesterday and had some stomach issues and pain in the stomach? Mostly after eating . Wondering if it go away after taking it for a while? Including burping a lot. Before my symptoms were constant throat clearing, mucous, feeling something stuck in throat, and hoarse voice.</t>
        </is>
      </c>
      <c r="D5310" t="n">
        <v>1</v>
      </c>
      <c r="E5310" t="n">
        <v>6</v>
      </c>
      <c r="F5310">
        <f>HYPERLINK("https://www.reddit.com/r/GERD/comments/f4firv/do_ppi_side_effects_go_away/")</f>
        <v/>
      </c>
      <c r="G5310" t="inlineStr">
        <is>
          <t>2020-02-15 12:52:29</t>
        </is>
      </c>
      <c r="H5310" t="inlineStr"/>
    </row>
    <row r="5311">
      <c r="A5311" t="inlineStr">
        <is>
          <t>f4g0o6</t>
        </is>
      </c>
      <c r="B5311" t="inlineStr">
        <is>
          <t>Is my chronic cough LPR related?</t>
        </is>
      </c>
      <c r="C5311" t="inlineStr">
        <is>
          <t>So I haven’t been diagnosed because I don’t have health insurance at the moment. I am working on that at the moment applying to some government programs to help pay. Anyways, i hope I can get some input on what I may have. I have had a cough for almost 2 months. At first I thought it was cold related, but after cold medication and so much time passing, I figured it wasn’t the case. I am assuming it acid reflux related because 4 years ago I had a cough for about 8 months, multiple doctors couldn’t figure out what it was. One day, I was exercising(I am overweight too) and noticed my cough went away while exercising and remained gone a couple of hours after. After exercising regularly for 2 weeks, my cough was gone completely. I told my doctor about this and said something along the lines of “it was probably an acid reflux condition.” I thought it was odd the doctors couldn’t figure it out because it doesn’t seem like something too uncommon. Anyways, fast forward until a couple of months ago, I have this cough again. Same type of cough. Mostly dry. Oddly enough, I’ve been exercising regularly(4-5 days a week)for 4 months and I still cough. I even cough during exercising which sucks. I’ve been taking prilosec for two weeks, but has not done anything. I tried mylanta, and other things to help with acidic stomach but no change. What I am curious about is that when I eat the “bad” foods, my cough goes away temporarily. Sour/acidic candies and juices. Spicy foods. Alcoholic drinks(not beer). Is this common?  Any input would be appreciated.
TLDR: the bad and not recommended foods are making my chronic cough go away. Is this LPR?</t>
        </is>
      </c>
      <c r="D5311" t="n">
        <v>1</v>
      </c>
      <c r="E5311" t="n">
        <v>3</v>
      </c>
      <c r="F5311">
        <f>HYPERLINK("https://www.reddit.com/r/GERD/comments/f4g0o6/is_my_chronic_cough_lpr_related/")</f>
        <v/>
      </c>
      <c r="G5311" t="inlineStr">
        <is>
          <t>2020-02-15 13:26:06</t>
        </is>
      </c>
      <c r="H5311" t="inlineStr"/>
    </row>
    <row r="5312">
      <c r="A5312" t="inlineStr">
        <is>
          <t>f4g9pf</t>
        </is>
      </c>
      <c r="B5312" t="inlineStr">
        <is>
          <t>Successful Fundoplication Surgery!</t>
        </is>
      </c>
      <c r="C5312" t="inlineStr">
        <is>
          <t>I'm a 34 year old male from Canada - diagnosed with GERD/LPR 6 years ago
My first exposure to GERD/LPR was shortness of breath to the point of feeling like I would pass out.  Several weeks later I experienced multiple other symptoms including feeling of something stuck in my throat, lots of mucus (post nasal drip) in throat, lots of gas, dry mouth, irritation when drinking caffeine or other foods, and then eventually bad heartburn.  I was put on Dexilant (PPIs) to control the symptoms.
It took 2 years of diet modification, taking PPIs, learning about trigger foods, etc to finally feel in a better place. However, I still had challenges with bloating, indigestion (possibly contributed to by PPIs), heart burn while exercising, and even getting a mouth full of canker sores after eating/drinking trigger foods.
Last year my doctor said I should see a specialist/surgeon to see if I was a candidate for surgery.  I was hesitant but went forward with it.  I had a gastroscopy and completed the 24 hour PH and swallowing testing.  This confirmed my hiatal hernia (2cms) and some challenges with swallowing.
The surgeon explained I had 2 options:  1) If I felt it was controllable with meds to continue on that road or 2) if it was affecting my life even with meds to go with surgery to repair.  I chose surgery as I knew that my symptoms were really bad off meds and I didn't want to take PPIs for life.
Jan 2020 I'm in for a toupet fundoplication (270 degree wrap) to repair my hiatal hernia.  What's key here, is that the surgeon recommended doing the partial wrap so that I didn't have major issues with swallowing post-operation.  That's a real concern going through this surgery is to make sure you're still able to swallow and hopefully be able to burp a bit too.  It was laparoscopic surgery completed by a surgeon that had 30+ years of experience with this type of operation.  This was also important for me, knowing I was in good hands.
The operation itself was fairly straightforward and I was only in the hospital for 24 hours.  There was definitely pain and discomfort, but when you think about all of the suffering GERD provides you it's easier to get through.  Pain meds needed for first 1-2 weeks.  First few days were all soups and soft foods.  Your appetite is lower due to a smaller stomach size from the operation.  I was able to get into small solids like chicken noodle soup on day 3-4.  For me it took 1.5 weeks to get back into some more normal foods.  
It's now 5 weeks post-operation, and I'm 2 weeks off my PPIs.  During the withdrawal of PPIs I had some rebound of symptoms, so it's important not to judge too quickly and let yourself heal.  As of today I've had none of the major GERD symptoms I listed above.  There's still some mild heartburn and gassiness if I have something greasy.  I have not ventured yet into the major no foods for me which were: chocolate, caffeine, spicy, dairy.  Those will be tested eventually.
I'm not sure if this is sharing too much or not, but for those not easily queasy you can see a photo of my stomach post-op so you can get an idea of the incisions involved: [https://imgur.com/15T2Wy0](https://imgur.com/15T2Wy0)</t>
        </is>
      </c>
      <c r="D5312" t="n">
        <v>1</v>
      </c>
      <c r="E5312" t="n">
        <v>20</v>
      </c>
      <c r="F5312">
        <f>HYPERLINK("https://www.reddit.com/r/GERD/comments/f4g9pf/successful_fundoplication_surgery/")</f>
        <v/>
      </c>
      <c r="G5312" t="inlineStr">
        <is>
          <t>2020-02-15 13:43:12</t>
        </is>
      </c>
      <c r="H5312" t="inlineStr"/>
    </row>
    <row r="5313">
      <c r="A5313" t="inlineStr">
        <is>
          <t>f4gnxz</t>
        </is>
      </c>
      <c r="B5313" t="inlineStr">
        <is>
          <t>Throwing up acidy saliva??</t>
        </is>
      </c>
      <c r="C5313" t="inlineStr">
        <is>
          <t>Recently I’ve been getting heartburn so bad that stuff starts coming up my esophagus that’s a clear saliva like liquid. I can’t swallow when this happens all I can do is spit up the liquid which has a foul taste and smell which I can only assume is stomach acid. Usually I gag and throw up most of the liquid and bile that’s it no food with it. If I try to swallow or drink water during this hour long episode it makes me wanna throw up and gag more. I don’t have any certain triggers but it comes with an insane heartburn chest pain that’s unbearable. I have my first GI appointment in a week and am on a morning acid reducer, Pepcid and tums when needed. Stomach feels wrecked lately. Anything to help this!?</t>
        </is>
      </c>
      <c r="D5313" t="n">
        <v>1</v>
      </c>
      <c r="E5313" t="n">
        <v>9</v>
      </c>
      <c r="F5313">
        <f>HYPERLINK("https://www.reddit.com/r/GERD/comments/f4gnxz/throwing_up_acidy_saliva/")</f>
        <v/>
      </c>
      <c r="G5313" t="inlineStr">
        <is>
          <t>2020-02-15 14:10:59</t>
        </is>
      </c>
      <c r="H5313" t="inlineStr"/>
    </row>
    <row r="5314">
      <c r="A5314" t="inlineStr">
        <is>
          <t>f4gr4v</t>
        </is>
      </c>
      <c r="B5314" t="inlineStr">
        <is>
          <t>Bowel obstructing/ NG Tube please help me</t>
        </is>
      </c>
      <c r="C5314" t="inlineStr">
        <is>
          <t>Hello guys, 
So yesterday on valentines day, i felt like complete hell. Stomach cramps beyond giving birth! Non stop vomiting!
I go to the ER to now find out, i have an obstructed intestine..? Am i saying it right
The surgery nurse wants to place an ng tube down my throat while im awake
Let me tell u i suffer from anxiety n panic attacks really bad and the main reason i get them cuz i have this thing where i think something is stuck in my throat and im choking!
Fast forward
I finally tried to let her put the ng tube down my throat and no no no it went pst my nostrils to my throat n i cudnt i was chokin n i yanked it out!!
PLEASE I SEE NO WAY IN GETTIN THIS DOWN I RATHER DIE AT THIS POINT THEN TO LET THAT HAPPEN AGAIN?
What can i do? Plz i need help n fast
Thx in advance</t>
        </is>
      </c>
      <c r="D5314" t="n">
        <v>1</v>
      </c>
      <c r="E5314" t="n">
        <v>4</v>
      </c>
      <c r="F5314">
        <f>HYPERLINK("https://www.reddit.com/r/GERD/comments/f4gr4v/bowel_obstructing_ng_tube_please_help_me/")</f>
        <v/>
      </c>
      <c r="G5314" t="inlineStr">
        <is>
          <t>2020-02-15 14:17:24</t>
        </is>
      </c>
      <c r="H5314" t="inlineStr"/>
    </row>
    <row r="5315">
      <c r="A5315" t="inlineStr">
        <is>
          <t>f4gza8</t>
        </is>
      </c>
      <c r="B5315" t="inlineStr">
        <is>
          <t>What my hero dietitian says about GERD</t>
        </is>
      </c>
      <c r="C5315" t="inlineStr">
        <is>
          <t>I was mentally preparing to cut out all types of flavour from my diet (salt, fat, acidic food), however I was given a much better alternative that seems to work so far when I follow it. I thought it would make my $125 go a lot further if anyone here could benefit from her advice. 
Her thoughts are that GERD is being caused by an immune response that results in prolonged inflammation of the stomach and that brings up acid. She wanted to focus first on cutting out known inflammatory ingredients of meals.
First thing she said was cut out oils with a high smoke point (surprisingly huge amount of oil, like canola, peanut, grapeseed, vegetable oil.. I could give you the list). Even butter and olive oil, or frying in animal fat itself would reduce inflammation caused by these oils, which have been high heat treated prior to bottling and when purchased from small eateries have often been heated many times, causing the fat molecules to get damaged and fuck things up.
Second thing, reduce carb intake at meals, if they are eaten in conjunction with fat. E.g. in digestion, glucose based fuel is prioritised as an energy source, so it's going to shut down fat metabolic pathways when I eat enough carbs for fuel, leaving the damaged reheated fats to stick around longer in my stomach and digestive system causing inflammation. She said often people's trigger foods are not due to acidity etc but can be caused by something else inherent.
By the way, low carb is not switching fuel to fat sources such as keto, which is an extreme form of low carb diet. It's just eating less, so cutting out the rice in a lentil and rice curry, or reducing the portions of both lentils and rice as both are high carb. Vegetables are usually lower in carbs.
Third thing, increase protein at every meal. It's always a building block for muscles so it's never wasted when consumed. She said increase intake of cheese, red meat (for low iron), animals, or plant based greens.
I've done a fair bit of damage to my gut, like now I'm totally intolerant to avocados etc, but she said I might be able to reintroduce them at some stage.
My symptoms were pain in the upper abdomen, chest pain, belching, heartburn, feeling like I can't breathe all the time, to relatively manageable symptoms in not very long, and I still don't follow all her advice. If you want the printed sheets she gave me, let me know.
I'll update you when I next go, in case there are some people here who can switch the way they prepare meals and not have to cut out delicious food like cheese. 
When I eat avos I vomit them up violently.</t>
        </is>
      </c>
      <c r="D5315" t="n">
        <v>1</v>
      </c>
      <c r="E5315" t="n">
        <v>32</v>
      </c>
      <c r="F5315">
        <f>HYPERLINK("https://www.reddit.com/r/GERD/comments/f4gza8/what_my_hero_dietitian_says_about_gerd/")</f>
        <v/>
      </c>
      <c r="G5315" t="inlineStr">
        <is>
          <t>2020-02-15 14:33:55</t>
        </is>
      </c>
      <c r="H5315" t="inlineStr"/>
    </row>
    <row r="5316">
      <c r="A5316" t="inlineStr">
        <is>
          <t>f4hr7m</t>
        </is>
      </c>
      <c r="B5316" t="inlineStr">
        <is>
          <t>Can anyone recommend a gerd friendly sauce for my rice?</t>
        </is>
      </c>
      <c r="C5316" t="inlineStr">
        <is>
          <t>I used to loveee teriyaki and sweet and sour sauce, but now i cant have them cos they trigger horrible reflux for me. Can anyone recommend a sauce that you have found gerd friendly?</t>
        </is>
      </c>
      <c r="D5316" t="n">
        <v>1</v>
      </c>
      <c r="E5316" t="n">
        <v>7</v>
      </c>
      <c r="F5316">
        <f>HYPERLINK("https://www.reddit.com/r/GERD/comments/f4hr7m/can_anyone_recommend_a_gerd_friendly_sauce_for_my/")</f>
        <v/>
      </c>
      <c r="G5316" t="inlineStr">
        <is>
          <t>2020-02-15 15:31:12</t>
        </is>
      </c>
      <c r="H5316" t="inlineStr"/>
    </row>
    <row r="5317">
      <c r="A5317" t="inlineStr">
        <is>
          <t>f4i6at</t>
        </is>
      </c>
      <c r="B5317" t="inlineStr">
        <is>
          <t>How to Stop Reflux Attack?</t>
        </is>
      </c>
      <c r="C5317" t="inlineStr">
        <is>
          <t>I have my GERD mostly under control now, through diet and using prevacid/pepsid. Yesterday I ate a dish with pesto sauce for lunch like I often do, but they must’ve put something in it because it set me off having such bad reflux I didn’t eat dinner.
Today I was feeling fine this morning, and then I ate a wrap and cheddar broccoli soup and since my reflux had just been awful again. Maybe it was too much cheese, since there was cheese in the wrap. But I’ve had the same meal before and been ok, so I’m pretty sure I’m more sensitive because of what happened yesterday. Does anyone know how to return to normal after a bad reaction like that, besides waiting? And any way to stop or slow down the current reflux attack?</t>
        </is>
      </c>
      <c r="D5317" t="n">
        <v>1</v>
      </c>
      <c r="E5317" t="n">
        <v>6</v>
      </c>
      <c r="F5317">
        <f>HYPERLINK("https://www.reddit.com/r/GERD/comments/f4i6at/how_to_stop_reflux_attack/")</f>
        <v/>
      </c>
      <c r="G5317" t="inlineStr">
        <is>
          <t>2020-02-15 16:01:30</t>
        </is>
      </c>
      <c r="H5317" t="inlineStr"/>
    </row>
    <row r="5318">
      <c r="A5318" t="inlineStr">
        <is>
          <t>f4j34p</t>
        </is>
      </c>
      <c r="B5318" t="inlineStr">
        <is>
          <t>Stomach pain after eating - following lifting heavy objects.</t>
        </is>
      </c>
      <c r="C5318" t="inlineStr">
        <is>
          <t>I hope I can explain this correctly but I seem to get terrible stomach pain (under my left ribs - close to where the ribs split in the center) after eating but following heavy lifting. I recently shoveled heavy snow (had a decaf latte right before shoveling too btw) and now I have bad pain and heartburn after every meal (unless I eat tiny amounts). This has happened in the past and I have to completely eat bland and small for a long time before feeling better. I am making an appt with my gastro this coming week (haven’t been in a few years) but curious to see if anyone else has this issue?</t>
        </is>
      </c>
      <c r="D5318" t="n">
        <v>1</v>
      </c>
      <c r="E5318" t="n">
        <v>12</v>
      </c>
      <c r="F5318">
        <f>HYPERLINK("https://www.reddit.com/r/GERD/comments/f4j34p/stomach_pain_after_eating_following_lifting_heavy/")</f>
        <v/>
      </c>
      <c r="G5318" t="inlineStr">
        <is>
          <t>2020-02-15 17:10:34</t>
        </is>
      </c>
      <c r="H5318" t="inlineStr"/>
    </row>
    <row r="5319">
      <c r="A5319" t="inlineStr">
        <is>
          <t>f4jtx2</t>
        </is>
      </c>
      <c r="B5319" t="inlineStr">
        <is>
          <t>Scary symptom I've just developed...</t>
        </is>
      </c>
      <c r="C5319" t="inlineStr">
        <is>
          <t>Late at night I've been getting this strange combination of symptoms all at once 
- Dizziness and Light headedness
- Headache 
- Feeling of being unable to swallow 
- Nausea sometimes coupled with shakes/shivers 
I suffer wirh a lot of classical GERD symptoms are am on PPIs  but this has been really scaring me, especially the dizziness. They usually subside after a bit and don't come up during the day. 
Anyone else experience this?</t>
        </is>
      </c>
      <c r="D5319" t="n">
        <v>1</v>
      </c>
      <c r="E5319" t="n">
        <v>2</v>
      </c>
      <c r="F5319">
        <f>HYPERLINK("https://www.reddit.com/r/GERD/comments/f4jtx2/scary_symptom_ive_just_developed/")</f>
        <v/>
      </c>
      <c r="G5319" t="inlineStr">
        <is>
          <t>2020-02-15 18:09:15</t>
        </is>
      </c>
      <c r="H5319" t="inlineStr"/>
    </row>
    <row r="5320">
      <c r="A5320" t="inlineStr">
        <is>
          <t>f4na1r</t>
        </is>
      </c>
      <c r="B5320" t="inlineStr">
        <is>
          <t>My quality of life is now better then in years. Here's what I've changed.</t>
        </is>
      </c>
      <c r="C5320" t="inlineStr">
        <is>
          <t>Hay this suv helped me a lot and I want to share what I have changed to get to a more "normal" life.
I have gerd due to a hatial hernia and had significant symptoms for years. Drinking a beer or eating bad food would lead to huge problems in my throat. I had constant globus feeling and acid problems. I am not overweight.
I already changed my diet which helped a bit (veggie) and I have taken 20 mg ppt. I also reclined my bed with one of these pillows and wouldn't eat after 6pm.
I recently changed my routine in hopes of improving my symptoms. It helped a lot, I can now drink a beer if I want to without any big issues ( for almost 5 months now). Not sure which one helped me the most but here's the list
I now take the ppt every day at the exact same time.
I have reclined the whole bed not just the upper part by a lot.
I eat mastic gum if I have issues or drink beer or eat something acidic.
Before bed I use gaviscon advance.
TBH I think the last two were the biggest change but I don't know for sure.
I hope it stays this way. 
Don't give up! I have never thought I could get this quality of life back without surgery.</t>
        </is>
      </c>
      <c r="D5320" t="n">
        <v>1</v>
      </c>
      <c r="E5320" t="n">
        <v>33</v>
      </c>
      <c r="F5320">
        <f>HYPERLINK("https://www.reddit.com/r/GERD/comments/f4na1r/my_quality_of_life_is_now_better_then_in_years/")</f>
        <v/>
      </c>
      <c r="G5320" t="inlineStr">
        <is>
          <t>2020-02-15 23:18:10</t>
        </is>
      </c>
      <c r="H5320" t="inlineStr"/>
    </row>
    <row r="5321">
      <c r="A5321" t="inlineStr">
        <is>
          <t>f4nqzj</t>
        </is>
      </c>
      <c r="B5321" t="inlineStr">
        <is>
          <t>I took alcatzer cool mint heartburn never again. Had little bit of acid reflex. And it turned into severe heartburn and severe acid reflex after I took it.</t>
        </is>
      </c>
      <c r="C5321" t="inlineStr">
        <is>
          <t>Never again. Made my throat feel good for 1 min . Then 15 minutes later hit and me and my friend had excruciating heartburn. . So it wasnt just me. Made both our acid reflex worse.  That's sad.. the mint in it is not good. Same with tums now they made tums with lemon and blueberry flavored. Hello highly acidic flavors people know not to touch. Maybe get someone new who dont know the high acidic foods. But hate the chest pain and acid reflex it brings and now left side stomach pain which was normal on blood work so far. My bowls have this wierd dark color I never seen before and it freaking me out. And i was on protonix but went back off. But now going back on . Had to find out wat was causing my constipation first. And my doctor wont switch me to nothing else even tho it only half works</t>
        </is>
      </c>
      <c r="D5321" t="n">
        <v>1</v>
      </c>
      <c r="E5321" t="n">
        <v>0</v>
      </c>
      <c r="F5321">
        <f>HYPERLINK("https://www.reddit.com/r/GERD/comments/f4nqzj/i_took_alcatzer_cool_mint_heartburn_never_again/")</f>
        <v/>
      </c>
      <c r="G5321" t="inlineStr">
        <is>
          <t>2020-02-16 00:09:45</t>
        </is>
      </c>
      <c r="H5321" t="inlineStr"/>
    </row>
    <row r="5322">
      <c r="A5322" t="inlineStr">
        <is>
          <t>f4o76y</t>
        </is>
      </c>
      <c r="B5322" t="inlineStr">
        <is>
          <t>I’ve had GERD literally my whole life and just found out about it last week</t>
        </is>
      </c>
      <c r="C5322" t="inlineStr">
        <is>
          <t>So I read some stories here and it seems a lot of you guys wanted to “go back to normal” or could drink most anything before your teens/20’s.
I didn’t even know what GERD was a few weeks ago, I’ve had acid reflux my whole life but just never thought it was a big deal, because it was my life. Puking acid into my throat after every normal and having a hard time sleeping was just a norm. 
After finding this out, I am just astonished. THIS IS WHERE THE BAD BREATH COMES FROM! That just was crazy to me. I always thought my hygiene was just awful so I always rinsed with so much mouthwash a lot to just avoid people noticing. 
I’ve also never really had anxiety about this, UNTIL I found this subreddit or researched online.
I’m just pleased to know surgeries have such a high success rate.
Anyways, I just felt I needed to share some stuff because I find it so funny that I’ve dealt with this my whole life and only now am I understanding it. I’m not trying to take away from everyone else who experiences it either, I just am baffled about finding this out.
Thanks for reading everyone.</t>
        </is>
      </c>
      <c r="D5322" t="n">
        <v>1</v>
      </c>
      <c r="E5322" t="n">
        <v>0</v>
      </c>
      <c r="F5322">
        <f>HYPERLINK("https://www.reddit.com/r/GERD/comments/f4o76y/ive_had_gerd_literally_my_whole_life_and_just/")</f>
        <v/>
      </c>
      <c r="G5322" t="inlineStr">
        <is>
          <t>2020-02-16 01:01:35</t>
        </is>
      </c>
      <c r="H5322" t="inlineStr"/>
    </row>
    <row r="5323">
      <c r="A5323" t="inlineStr">
        <is>
          <t>f4oc59</t>
        </is>
      </c>
      <c r="B5323" t="inlineStr">
        <is>
          <t>Has anyone here tried non-surgical means of healing a hiatal hernia?</t>
        </is>
      </c>
      <c r="C5323" t="inlineStr">
        <is>
          <t>I've been doing a bit of research and have found a variety of naturopaths, myoskeletal therapists and chiropracters talking about improving or healing hiatal hernias through bodywork.
Sounds like, essentially, they are able to manipulate the portion of the stomach that's penetrated through the LES back into position below the LES.
An example of the technique is shown in the first few minutes of the video [here](https://erikdalton.com/blog/hiatal-hernia-acid-reflux-gerd/).
Has anyone tried this kind of therapy, and if so, how did it go for you?</t>
        </is>
      </c>
      <c r="D5323" t="n">
        <v>1</v>
      </c>
      <c r="E5323" t="n">
        <v>7</v>
      </c>
      <c r="F5323">
        <f>HYPERLINK("https://www.reddit.com/r/GERD/comments/f4oc59/has_anyone_here_tried_nonsurgical_means_of/")</f>
        <v/>
      </c>
      <c r="G5323" t="inlineStr">
        <is>
          <t>2020-02-16 01:17:44</t>
        </is>
      </c>
      <c r="H5323" t="inlineStr"/>
    </row>
    <row r="5324">
      <c r="A5324" t="inlineStr">
        <is>
          <t>f4outk</t>
        </is>
      </c>
      <c r="B5324" t="inlineStr">
        <is>
          <t>Gerd with anxiety? Need advice</t>
        </is>
      </c>
      <c r="C5324" t="inlineStr">
        <is>
          <t>As a 22 (fit and never sick before) year old male i started to have my first ever panic attack at midnight a month ago and was feeling frightened after that. To be fair, I was reading the news and was thinking about scary stuff. I have never had a panic attack before and locked myself in my room having constant negative and anxious thoughts, thinking I am dying. Googling symptoms certainly did NOT make things better for me and I stayed at home for 3 weeks without going outside due to extreme miserable thoughts, nauseau and demotivation. During this time i visited my doctor 4 times and had 1 visit to the ER due to a panic attack in my car. The doc tested my temp, blood pressure, level of oxygen and throat everytime, which were all fine. I also tested for h pylori because its known in the family and that also came negative. Blood test only showed a vitamine d defficiency.
However after 2 weeks of the panic attack i started noticing difficulty swallowing, burping, globus sensation, constant chest pain, stomach growling at night and slight heartburn. The worst thing for me is drinking water. I start feeling dizzy after drinking 1 cup and cant lay down because then i will not be able to burp. Swallowing food and saliva also goes down really slowly and sometimes gets stuck in my throat. Even 1 small sip of water will make me burp.
However, as my doctor had diagnosed me with anxiety, I  decided to pick my life back up. I went to the gym again, socialized, went to work and did not feel anxious for a couple of days. Even tho i dont feel anxious every single symptom except nauseau still persist. Does anyone have any tips on how to overcome this, because it is getting really annoying.
I would like to get rid of this nightmare asap. Should I perhaps do an endoscopy just in case?</t>
        </is>
      </c>
      <c r="D5324" t="n">
        <v>1</v>
      </c>
      <c r="E5324" t="n">
        <v>8</v>
      </c>
      <c r="F5324">
        <f>HYPERLINK("https://www.reddit.com/r/GERD/comments/f4outk/gerd_with_anxiety_need_advice/")</f>
        <v/>
      </c>
      <c r="G5324" t="inlineStr">
        <is>
          <t>2020-02-16 02:17:14</t>
        </is>
      </c>
      <c r="H5324" t="inlineStr"/>
    </row>
    <row r="5325">
      <c r="A5325" t="inlineStr">
        <is>
          <t>f4r57o</t>
        </is>
      </c>
      <c r="B5325" t="inlineStr">
        <is>
          <t>Has anyone got an endoscopy done?</t>
        </is>
      </c>
      <c r="C5325" t="inlineStr">
        <is>
          <t>I've been taking PPIs on and off for the last few years since i turned 20, for my hiccups post heartburn. The doctor has recommended i get an endoscopy done. 
Having seen my grandfather go through this cycle of tests and eventually pass away with stomach cancer, I'm a bit scared about going through with this. Having said that, due to it being an issue that runs in my family, i know i have to get this done.  
How is this process like? The doc says it's only 5 minutes but the thought of a pipe down my throat, it all feels depressing..</t>
        </is>
      </c>
      <c r="D5325" t="n">
        <v>1</v>
      </c>
      <c r="E5325" t="n">
        <v>14</v>
      </c>
      <c r="F5325">
        <f>HYPERLINK("https://www.reddit.com/r/GERD/comments/f4r57o/has_anyone_got_an_endoscopy_done/")</f>
        <v/>
      </c>
      <c r="G5325" t="inlineStr">
        <is>
          <t>2020-02-16 06:12:58</t>
        </is>
      </c>
      <c r="H5325" t="inlineStr"/>
    </row>
    <row r="5326">
      <c r="A5326" t="inlineStr">
        <is>
          <t>f4t17n</t>
        </is>
      </c>
      <c r="B5326" t="inlineStr">
        <is>
          <t>Primary Hyperparathyroidism and Gerd</t>
        </is>
      </c>
      <c r="C5326" t="inlineStr">
        <is>
          <t>I've probably had GERD since the inception of the parathyroid problem, ongoing now for at least 6 years. I did the barium, endoscopes and have been alternating between globus sensation, to dysphagia where my throat would spasm, to now where my chest feels like it's been raked with a fork. Raw and pummeled. Everyone on the hyperparathyroid groups says that the symptoms abate after surgery. I don't know why parathyroid hormone or even elevated calcium would cause such distress. Maybe there's someone who can explain this and till my surgery how to live when I feel breathless, hoarse and so out of it? I don't eat fried foods, nothing seems to be a trigger, it's just a continual pain in chest and throat. Aside from throwing a medication at it, would really like to address this from the root cause and to try at least to calm things down in a more natural way.</t>
        </is>
      </c>
      <c r="D5326" t="n">
        <v>1</v>
      </c>
      <c r="E5326" t="n">
        <v>0</v>
      </c>
      <c r="F5326">
        <f>HYPERLINK("https://www.reddit.com/r/GERD/comments/f4t17n/primary_hyperparathyroidism_and_gerd/")</f>
        <v/>
      </c>
      <c r="G5326" t="inlineStr">
        <is>
          <t>2020-02-16 08:34:38</t>
        </is>
      </c>
      <c r="H5326" t="inlineStr"/>
    </row>
    <row r="5327">
      <c r="A5327" t="inlineStr">
        <is>
          <t>f4t9v7</t>
        </is>
      </c>
      <c r="B5327" t="inlineStr">
        <is>
          <t>Okay , here's what helped me...</t>
        </is>
      </c>
      <c r="C5327" t="inlineStr">
        <is>
          <t>My symtoms:
- constant scratchy/burning pain that can be felt sort of at the last place you feel your food/ water touch before it enters your stomach.Only hindered by actually eating as if the food kinda lubricates the irritated part. . 
-Reflux 
What didn'thelp : ssris, tums , diet change , lesser meal portions . 
What helped :FASTING FOR 48 HOURS. 
 this will seem overly simplistic , dumb etc. to some but i truly believe there is a real benefit to just not eating and giving your body a real break from food to reset itself . Please try it.</t>
        </is>
      </c>
      <c r="D5327" t="n">
        <v>1</v>
      </c>
      <c r="E5327" t="n">
        <v>7</v>
      </c>
      <c r="F5327">
        <f>HYPERLINK("https://www.reddit.com/r/GERD/comments/f4t9v7/okay_heres_what_helped_me/")</f>
        <v/>
      </c>
      <c r="G5327" t="inlineStr">
        <is>
          <t>2020-02-16 08:51:18</t>
        </is>
      </c>
      <c r="H5327" t="inlineStr"/>
    </row>
    <row r="5328">
      <c r="A5328" t="inlineStr">
        <is>
          <t>f4u1ly</t>
        </is>
      </c>
      <c r="B5328" t="inlineStr">
        <is>
          <t>[Fun] If you could be a super hero based on your GERD/LPR symptoms: who would you be?</t>
        </is>
      </c>
      <c r="C5328" t="inlineStr">
        <is>
          <t>I would be either:
(I) **Buuuuuuuurpman!** [https://youtu.be/alXW\_hS0gSo?t=46](https://youtu.be/alXW_hS0gSo?t=46)
(who is able to burp acid on his enemies after eating any of his trigger foods)
...or:
&amp;amp;#x200B;
(II) **Captain Dysphagia**
(who swallows his enemies but then has the sensation of they have stucked on his throat, they spend so annoyingly long time there in the end they turn less-evil)</t>
        </is>
      </c>
      <c r="D5328" t="n">
        <v>1</v>
      </c>
      <c r="E5328" t="n">
        <v>1</v>
      </c>
      <c r="F5328">
        <f>HYPERLINK("https://www.reddit.com/r/GERD/comments/f4u1ly/fun_if_you_could_be_a_super_hero_based_on_your/")</f>
        <v/>
      </c>
      <c r="G5328" t="inlineStr">
        <is>
          <t>2020-02-16 09:43:02</t>
        </is>
      </c>
      <c r="H5328" t="inlineStr"/>
    </row>
    <row r="5329">
      <c r="A5329" t="inlineStr">
        <is>
          <t>f4u1v4</t>
        </is>
      </c>
      <c r="B5329" t="inlineStr">
        <is>
          <t>Strange inflammation</t>
        </is>
      </c>
      <c r="C5329" t="inlineStr">
        <is>
          <t>Hello! For about a month I started to have a somewhat strong gastritis, I went to the doctor and I prescribed pantoprazole for 14 days and it has improved a lot, my colon is almost not inflamed, the pain came back a little in the afternoon two days ago , but it is certainly improving
My bowel movements have been regularized from up to 7 liquid/mushy a day to 3-4 more normal ones
Yesterday was a day with minimal symptoms, a little stomach ache after eating and that feeling of something stuck in the pit of my stomach, but at bedtime I began to feel that it inflated like a balloon, I thought they were gases, I walked a little to free them and I forgot
Today I woke up and noticed that the inflammation continued, but it is located under my ribs, towards the center but to the right side, if I take a deep breath I can feel a little discomfort under my right lung, I guess it is the liver or my vesicle</t>
        </is>
      </c>
      <c r="D5329" t="n">
        <v>1</v>
      </c>
      <c r="E5329" t="n">
        <v>5</v>
      </c>
      <c r="F5329">
        <f>HYPERLINK("https://www.reddit.com/r/GERD/comments/f4u1v4/strange_inflammation/")</f>
        <v/>
      </c>
      <c r="G5329" t="inlineStr">
        <is>
          <t>2020-02-16 09:43:31</t>
        </is>
      </c>
      <c r="H5329" t="inlineStr"/>
    </row>
    <row r="5330">
      <c r="A5330" t="inlineStr">
        <is>
          <t>f4w21u</t>
        </is>
      </c>
      <c r="B5330" t="inlineStr">
        <is>
          <t>Best way to sooth my throat ?</t>
        </is>
      </c>
      <c r="C5330" t="inlineStr">
        <is>
          <t>Just noticed that over the past few months my throat got worse and worse, now it’s an irritating pain below my Adam’s apple. I’m guessing that’s where everything gets caught up? Have to cough or clearly throat after every meal
Multiple times
Are their any remedies to make things go right threw my throat and to my stomach easier? Not sure why this is happening all of the sudden. If there is anything to take or help the situation please advise me, thanks -all</t>
        </is>
      </c>
      <c r="D5330" t="n">
        <v>1</v>
      </c>
      <c r="E5330" t="n">
        <v>5</v>
      </c>
      <c r="F5330">
        <f>HYPERLINK("https://www.reddit.com/r/GERD/comments/f4w21u/best_way_to_sooth_my_throat/")</f>
        <v/>
      </c>
      <c r="G5330" t="inlineStr">
        <is>
          <t>2020-02-16 11:52:00</t>
        </is>
      </c>
      <c r="H5330" t="inlineStr"/>
    </row>
    <row r="5331">
      <c r="A5331" t="inlineStr">
        <is>
          <t>f4yqsi</t>
        </is>
      </c>
      <c r="B5331" t="inlineStr">
        <is>
          <t>Need help with severe gerd</t>
        </is>
      </c>
      <c r="C5331" t="inlineStr">
        <is>
          <t>Can anyone help me with controlling my severe gerd or have had a similar experience? 
My onset of gerd happened a few months ago very suddenly! I was eating and I got a bad lump in throat feeling and lots of regurgitation. 
Im assuming mine came from bad diet such as coffee and fatty foods. I lost a whole bunch of weight and I am now maintaining a healthy weight, ive also been on prevacid 30mg ppi for 1 month now and I have cut out spicy foods, carbonated drinks, caffeine and citrus for the past month also. 
However, my symptoms are still present! Definitely not as bad as before but still bad. 
I have
* thick mucus in the morning (sometimes bloody) 
* regurgitation of foods and drinks sometimes
* heavy feeling in chest when lying down
* gurgling in throat after swallowing
* frequent burping
* bad taste in mouth 
* chest pain sometimes 
Ive had an endoscopy and swallow test to rule out all the major things. The doctors say its just gerd and a few contractions in my food pipe. 
I feel like ive done so much like losing weight and cutting out most foods and even sleeping on a wedge but yet? Im still suffering. Its getting really sad and I feel hopeless</t>
        </is>
      </c>
      <c r="D5331" t="n">
        <v>1</v>
      </c>
      <c r="E5331" t="n">
        <v>3</v>
      </c>
      <c r="F5331">
        <f>HYPERLINK("https://www.reddit.com/r/GERD/comments/f4yqsi/need_help_with_severe_gerd/")</f>
        <v/>
      </c>
      <c r="G5331" t="inlineStr">
        <is>
          <t>2020-02-16 14:49:26</t>
        </is>
      </c>
      <c r="H5331" t="inlineStr"/>
    </row>
    <row r="5332">
      <c r="A5332" t="inlineStr">
        <is>
          <t>f50ci0</t>
        </is>
      </c>
      <c r="B5332" t="inlineStr">
        <is>
          <t>First GI appointment coming up.. any tips?</t>
        </is>
      </c>
      <c r="C5332" t="inlineStr">
        <is>
          <t>o i have my first gastro appt coming up in the next week.  
Symptoms so far;  
\- Persistent irritated throat - Not majorly sore, but dry, sometimes mucousy and very uncomfortable. Sometimes it feels like my airways are also dry and irritated too. - Heartburn every day if not managed with Gaviscon. - Currently on a low acid diet (No citrus, no tomatoes, onion, garlic or irritants. 1 x green tea a day, 1 x decaf coffee a day).  - Been taking probiotics for the lats month. - Prescribed Nexium (20mg) by my GP, but havent taken it yet. Wanted to see if the probiotics made a difference.  
I've been taking antihistamines/steroid nasal spray daily too, making zero difference.  
How would you approach your GI appt? I want to get the best out of it, but feel like im chasing my tail with Drs right now. I see so much different information on the internet my mind is boggled too.  
Cheers</t>
        </is>
      </c>
      <c r="D5332" t="n">
        <v>1</v>
      </c>
      <c r="E5332" t="n">
        <v>5</v>
      </c>
      <c r="F5332">
        <f>HYPERLINK("https://www.reddit.com/r/GERD/comments/f50ci0/first_gi_appointment_coming_up_any_tips/")</f>
        <v/>
      </c>
      <c r="G5332" t="inlineStr">
        <is>
          <t>2020-02-16 16:50:05</t>
        </is>
      </c>
      <c r="H5332" t="inlineStr"/>
    </row>
    <row r="5333">
      <c r="A5333" t="inlineStr">
        <is>
          <t>f50ehd</t>
        </is>
      </c>
      <c r="B5333" t="inlineStr">
        <is>
          <t>Pain in stomach when eating</t>
        </is>
      </c>
      <c r="C5333" t="inlineStr">
        <is>
          <t>This is a new symptom for me. I’ve been having some sharp/stabbing pains in my stomach above my belly button that come and go, but today the pain has come on when I eat. Right after I swallow and the food hits my stomach I get the sharp pain. Is this normal with GERD? I’m getting an endoscopy soon, but I’m worried about this stopping me from eating. I’m already so underweight. Just want to know if anyone else has this and what I should do about it.</t>
        </is>
      </c>
      <c r="D5333" t="n">
        <v>1</v>
      </c>
      <c r="E5333" t="n">
        <v>7</v>
      </c>
      <c r="F5333">
        <f>HYPERLINK("https://www.reddit.com/r/GERD/comments/f50ehd/pain_in_stomach_when_eating/")</f>
        <v/>
      </c>
      <c r="G5333" t="inlineStr">
        <is>
          <t>2020-02-16 16:54:22</t>
        </is>
      </c>
      <c r="H5333" t="inlineStr"/>
    </row>
    <row r="5334">
      <c r="A5334" t="inlineStr">
        <is>
          <t>f50rir</t>
        </is>
      </c>
      <c r="B5334" t="inlineStr">
        <is>
          <t>Hiatal Hernia and Gastric Bypass surgery at the same time?</t>
        </is>
      </c>
      <c r="C5334" t="inlineStr">
        <is>
          <t>Hi all. I have a diagnosed Hiatal hernia and delayed stomach emptying. I have suffered from GERD and delayed stomach emptying symptoms for years. My doc wants to both repair the hernia and essentially remove part of my stomach within one surgery. Has anyone ever had both surgeries at the same time? Any thoughts to having both? Thanks!</t>
        </is>
      </c>
      <c r="D5334" t="n">
        <v>1</v>
      </c>
      <c r="E5334" t="n">
        <v>5</v>
      </c>
      <c r="F5334">
        <f>HYPERLINK("https://www.reddit.com/r/GERD/comments/f50rir/hiatal_hernia_and_gastric_bypass_surgery_at_the/")</f>
        <v/>
      </c>
      <c r="G5334" t="inlineStr">
        <is>
          <t>2020-02-16 17:22:55</t>
        </is>
      </c>
      <c r="H5334" t="inlineStr"/>
    </row>
    <row r="5335">
      <c r="A5335" t="inlineStr">
        <is>
          <t>f51amc</t>
        </is>
      </c>
      <c r="B5335" t="inlineStr">
        <is>
          <t>How do people feel about going to the chiropractor for release of a hiatal hernia</t>
        </is>
      </c>
      <c r="C5335" t="inlineStr">
        <is>
          <t>I have a chiro who has success stories and swears he can pull the stomach back down and into its original spot from herniating, but logically I feel like it would just go back up eventually, especially from weight lifting, straining, and the opening in the diaphragm won’t get any smaller so the ease of it going back up will be the same as before the manipulation</t>
        </is>
      </c>
      <c r="D5335" t="n">
        <v>1</v>
      </c>
      <c r="E5335" t="n">
        <v>8</v>
      </c>
      <c r="F5335">
        <f>HYPERLINK("https://www.reddit.com/r/GERD/comments/f51amc/how_do_people_feel_about_going_to_the/")</f>
        <v/>
      </c>
      <c r="G5335" t="inlineStr">
        <is>
          <t>2020-02-16 18:03:15</t>
        </is>
      </c>
      <c r="H5335" t="inlineStr"/>
    </row>
    <row r="5336">
      <c r="A5336" t="inlineStr">
        <is>
          <t>f51xov</t>
        </is>
      </c>
      <c r="B5336" t="inlineStr">
        <is>
          <t>Oh, it was this all along...</t>
        </is>
      </c>
      <c r="C5336" t="inlineStr">
        <is>
          <t>Anyone go along, treating "gerd" with PPIs etc, only to find out much later that it was something else and once they figured that out and treated the other "thing", you got better?</t>
        </is>
      </c>
      <c r="D5336" t="n">
        <v>1</v>
      </c>
      <c r="E5336" t="n">
        <v>7</v>
      </c>
      <c r="F5336">
        <f>HYPERLINK("https://www.reddit.com/r/GERD/comments/f51xov/oh_it_was_this_all_along/")</f>
        <v/>
      </c>
      <c r="G5336" t="inlineStr">
        <is>
          <t>2020-02-16 18:51:31</t>
        </is>
      </c>
      <c r="H5336" t="inlineStr"/>
    </row>
    <row r="5337">
      <c r="A5337" t="inlineStr">
        <is>
          <t>f522yo</t>
        </is>
      </c>
      <c r="B5337" t="inlineStr">
        <is>
          <t>Found a sustainable cure for my GERD</t>
        </is>
      </c>
      <c r="C5337" t="inlineStr">
        <is>
          <t>I’ve had GERD for over a decade - and it’s finally gone (90% at least). 
It started getting severe this year - 9 out of 10 nights I’d go to sleep with acid in my throat or be woken up by it. I’d take tums or pepcid daily. I tried many things: fasting for 72+ hours, cutting out dairy, alcohol, coffee, all caffeine, fruits, cutting out fatty foods and meat altogether. I research antibiotics and other medical interventions. Nothing worked. 
Here was the magic cure for me: zero processed sugar or grains. All I eat now is Greek yogurt, meat, seafood, vegetables, whole grain oatmeal, apples, almonds. All organic if possible. I drink black coffee and tea and have an occasional rx bar. Zero candy, chips, rice, wheat, bread, cereal, ice cream or anything processed. 
Hopefully this will work for you. FWIW, my heritage is Italian.</t>
        </is>
      </c>
      <c r="D5337" t="n">
        <v>1</v>
      </c>
      <c r="E5337" t="n">
        <v>57</v>
      </c>
      <c r="F5337">
        <f>HYPERLINK("https://www.reddit.com/r/GERD/comments/f522yo/found_a_sustainable_cure_for_my_gerd/")</f>
        <v/>
      </c>
      <c r="G5337" t="inlineStr">
        <is>
          <t>2020-02-16 19:02:42</t>
        </is>
      </c>
      <c r="H5337" t="inlineStr"/>
    </row>
    <row r="5338">
      <c r="A5338" t="inlineStr">
        <is>
          <t>f52es6</t>
        </is>
      </c>
      <c r="B5338" t="inlineStr">
        <is>
          <t>My tongue feels weird?</t>
        </is>
      </c>
      <c r="C5338" t="inlineStr">
        <is>
          <t>I’ve had mild reflux for several, but it has gotten a lot worse lately (pretty sure my gallstones are to thank for that). Sometimes after eating I get this weird feeling/taste on the sides of my tongue. Antacids don’t really help, I just have to wait for it to go away. Is this caused by reflux?</t>
        </is>
      </c>
      <c r="D5338" t="n">
        <v>1</v>
      </c>
      <c r="E5338" t="n">
        <v>2</v>
      </c>
      <c r="F5338">
        <f>HYPERLINK("https://www.reddit.com/r/GERD/comments/f52es6/my_tongue_feels_weird/")</f>
        <v/>
      </c>
      <c r="G5338" t="inlineStr">
        <is>
          <t>2020-02-16 19:28:19</t>
        </is>
      </c>
      <c r="H5338" t="inlineStr"/>
    </row>
    <row r="5339">
      <c r="A5339" t="inlineStr">
        <is>
          <t>f53av5</t>
        </is>
      </c>
      <c r="B5339" t="inlineStr">
        <is>
          <t>Has anyone else noticed worse symptoms when drinking cold drinks?</t>
        </is>
      </c>
      <c r="C5339" t="inlineStr">
        <is>
          <t>This never really entered my mind before, but I usually drink pretty cold water throughout the day, but for the past couple of days I had room temp water instead &amp;amp; noticed less symptoms overall.  Is there any real correlation here or is this just a coincidence?</t>
        </is>
      </c>
      <c r="D5339" t="n">
        <v>1</v>
      </c>
      <c r="E5339" t="n">
        <v>6</v>
      </c>
      <c r="F5339">
        <f>HYPERLINK("https://www.reddit.com/r/GERD/comments/f53av5/has_anyone_else_noticed_worse_symptoms_when/")</f>
        <v/>
      </c>
      <c r="G5339" t="inlineStr">
        <is>
          <t>2020-02-16 20:41:46</t>
        </is>
      </c>
      <c r="H5339" t="inlineStr"/>
    </row>
    <row r="5340">
      <c r="A5340" t="inlineStr">
        <is>
          <t>f53eje</t>
        </is>
      </c>
      <c r="B5340" t="inlineStr">
        <is>
          <t>Not sure if I have GERD or not</t>
        </is>
      </c>
      <c r="C5340" t="inlineStr">
        <is>
          <t>Ever since I was around 14 (i'm now 26) i've been able to make myself burp easily and had this strange habit do these little burps daily because the felt kinda good in my throat. I know its odd and i'm ashamed to admit it but I did this pretty much daily for over 10 years always trying to kick the habit. 
Well about a month ago I was sitting down and I burped only this time the little air bubble or whatever it was got stuck in my throat. It almost feels like a piece of food or a ball and it switches from the right side to the left side of my throat sometimes. It's been constant for about a week no without any signs of getting better. I've been in extreme discomfort and its effecting my quality of life big time I've been having panic attacks daily. When I swallow I can feel it go away for a second and then it comes right back. It feels like a burp so when I make myself burp it goes away for a split second then comes right back. 
The other day I started flexing my throat muscles so much to the point where I almost puked to try to get it out but I just got some of that acid taste in my mouth. I've had a bit of acid reflux in the past but nothing crazy. I get heartburn often. My diet is very poor I binge eat sugar quite a bit and drink a lot of coffee with almost no fruits or vegetables. I'm 6'6 180 lbs
I scheduled an appointment with an ENT but I feel like its more of an stomach problem so idk. Any advice would be greatly appreciated this is terrible</t>
        </is>
      </c>
      <c r="D5340" t="n">
        <v>1</v>
      </c>
      <c r="E5340" t="n">
        <v>0</v>
      </c>
      <c r="F5340">
        <f>HYPERLINK("https://www.reddit.com/r/GERD/comments/f53eje/not_sure_if_i_have_gerd_or_not/")</f>
        <v/>
      </c>
      <c r="G5340" t="inlineStr">
        <is>
          <t>2020-02-16 20:50:18</t>
        </is>
      </c>
      <c r="H5340" t="inlineStr"/>
    </row>
    <row r="5341">
      <c r="A5341" t="inlineStr">
        <is>
          <t>f556dw</t>
        </is>
      </c>
      <c r="B5341" t="inlineStr">
        <is>
          <t>I feel 95% healed but how do I get to 100%?</t>
        </is>
      </c>
      <c r="C5341" t="inlineStr">
        <is>
          <t>Hi Ya’ll I just wanted to ask if anyone could offer suggestions to where I could go from where I’m currently at. I have no symptoms or GERD or LPR. I got it back in 2018 and didn’t feel better until somewhere in 2018. My symptoms were typical symptoms, but the one that drove me crazy was the constant spitting, dry mouth, and loss of voice. I eventually was able to get past that and I feel very little discomfort. 
My only discomfort I currently have is that there was a red irritated ring at the back of my throat at the opening of the esophagus. It was very large and red when it started but gradually I was able to improve it and the constant throat clearing by staying on the diet as much as I could. 
Nowadays it’s smaller and much lighter shade. It gets sore and dry on one side if I talk consistently or for long periods. When I breath while and sometimes after I brush my teeth I feel a distinct cool breeze. Sometimes a slight breeze when the weather is cool and dry. Currently I’m able to eat whatever I want with no GERD symptoms. I wonder though if eating normal foods again is prolonging it. 
Doctors don’t seem to mention it. So I don’t know if it’s any real reason to be concerned. It’s more like it’s a mild inconvenience. Back in December I tried going on the GERD diet again. I lasted 3 weeks. My bf and I went on a road trip with his friends and I broke my diet. Shortly after the trip I noticed a great improvement. It was less red compared to how it looked during the trip. Not much has changed since then. 
I’m not sure if perhaps it’s just an exposure thing. Like maybe if I restrict myself it will heal faster but I’m also occasionally able to treat myself? I’m honestly not sure what else I could do. It’s a very slow process and I would like to know if I could help it somehow. At one point I questioned if it was just a permanent scar.If anyone has had any similar experiences please share. I would appreciate it.</t>
        </is>
      </c>
      <c r="D5341" t="n">
        <v>1</v>
      </c>
      <c r="E5341" t="n">
        <v>15</v>
      </c>
      <c r="F5341">
        <f>HYPERLINK("https://www.reddit.com/r/GERD/comments/f556dw/i_feel_95_healed_but_how_do_i_get_to_100/")</f>
        <v/>
      </c>
      <c r="G5341" t="inlineStr">
        <is>
          <t>2020-02-16 23:29:09</t>
        </is>
      </c>
      <c r="H5341" t="inlineStr"/>
    </row>
    <row r="5342">
      <c r="A5342" t="inlineStr">
        <is>
          <t>f55elh</t>
        </is>
      </c>
      <c r="B5342" t="inlineStr">
        <is>
          <t>You will heal!!!</t>
        </is>
      </c>
      <c r="C5342" t="inlineStr">
        <is>
          <t>Guys!
Only 2 months ago I had trouble swallowing, chest pain, indigestion, phobia of endoscopy, unexplained weight loss, etc.
I am writing to say that you will eventually heal. Be patient. A lot of people who post negative stuff actually never come back to say how life will change for the better.
Best of luck all!</t>
        </is>
      </c>
      <c r="D5342" t="n">
        <v>1</v>
      </c>
      <c r="E5342" t="n">
        <v>7</v>
      </c>
      <c r="F5342">
        <f>HYPERLINK("https://www.reddit.com/r/GERD/comments/f55elh/you_will_heal/")</f>
        <v/>
      </c>
      <c r="G5342" t="inlineStr">
        <is>
          <t>2020-02-16 23:52:26</t>
        </is>
      </c>
      <c r="H5342" t="inlineStr"/>
    </row>
    <row r="5343">
      <c r="A5343" t="inlineStr">
        <is>
          <t>f59jvy</t>
        </is>
      </c>
      <c r="B5343" t="inlineStr">
        <is>
          <t>GERD or something else?</t>
        </is>
      </c>
      <c r="C5343" t="inlineStr">
        <is>
          <t>Female, 24, 5”3, 128lbs
I’ve been suffering with pain in between my shoulder blades whenever I’ve eaten and sometimes drunk for the last 5 days now. 
Sometimes it feels like I need to burp but I can’t, it gets stuck and I get pains up my throat/neck. 
I’ve been taking antacids once a day for 5 days but nothing seems to be easing the pain when I eat. 
I have just gotten over glandular fever (mono) and wasn’t eating for weeks and have just started eating again, but this pain makes me not want to eat due to the pain.
I have seen my doctor who felt my abdomen  and back and said it doesn’t seem concerning and to take more antacids but it’s not budging. Has anyone else had this? 
Thank you.</t>
        </is>
      </c>
      <c r="D5343" t="n">
        <v>1</v>
      </c>
      <c r="E5343" t="n">
        <v>6</v>
      </c>
      <c r="F5343">
        <f>HYPERLINK("https://www.reddit.com/r/GERD/comments/f59jvy/gerd_or_something_else/")</f>
        <v/>
      </c>
      <c r="G5343" t="inlineStr">
        <is>
          <t>2020-02-17 06:34:29</t>
        </is>
      </c>
      <c r="H5343" t="inlineStr"/>
    </row>
    <row r="5344">
      <c r="A5344" t="inlineStr">
        <is>
          <t>f5aetd</t>
        </is>
      </c>
      <c r="B5344" t="inlineStr">
        <is>
          <t>Still no relief from phlegm throat. I would appreciate some advice here, please.</t>
        </is>
      </c>
      <c r="C5344" t="inlineStr">
        <is>
          <t>I recently have been diagnosed with LPR after having 'normal' GERD for ages. I've always had a slightly hoarse voice and phlegm issues but about a month ago its gotten much worse, to the point I can barely speak at work without a cracked voice and constantly clearing my throat. So far my doctor has moved me to a PPI, quit soda, limit tea/coffee to 1 (or half) a serving a day, sleep on a wedge pillow, etc but nothing is helping and its driving me crazy. I eat no breakfast, no dairy, etc so it doesn't seem to be related to food intake in the morning. I eat dinner at 6:30pm at the latest and eat nothing after. If I drink, its just water and only a little. I feel like I'm running through all these hoops and its not helping.
Is there anything else I can try or has worked for you? Its crazy how much phlegm I have and how badly it affects my voice. I'm either constantly clearing my throat or swallowing down mucus. Worse, musinex doesn't seem to help much or not at all. Pseudoephradrine helped more, but then I feel super wired, like I'm on 4 cups of coffee all day and honestly can't take this stuff anymore as I don't remotely feel normal or like myself on it.</t>
        </is>
      </c>
      <c r="D5344" t="n">
        <v>1</v>
      </c>
      <c r="E5344" t="n">
        <v>8</v>
      </c>
      <c r="F5344">
        <f>HYPERLINK("https://www.reddit.com/r/GERD/comments/f5aetd/still_no_relief_from_phlegm_throat_i_would/")</f>
        <v/>
      </c>
      <c r="G5344" t="inlineStr">
        <is>
          <t>2020-02-17 07:36:03</t>
        </is>
      </c>
      <c r="H5344" t="inlineStr"/>
    </row>
    <row r="5345">
      <c r="A5345" t="inlineStr">
        <is>
          <t>f5bldf</t>
        </is>
      </c>
      <c r="B5345" t="inlineStr">
        <is>
          <t>someone calm me down about complications of heartburn and barrets and cancer</t>
        </is>
      </c>
      <c r="C5345" t="inlineStr">
        <is>
          <t>I'd start off by saying im young and get reflux most days it's not severe or bothersome really and happens usually after eating or sometime if I lie down it lasts for a few seconds then goes so I don't really need to take medication as it goes very very quickly but I read alot of stories on here about people getting these complications like barrets and it scares me can someone give me some reassurance please as I am a hypochondriac too so my anxiety is through the roof, will I get barrets or cancer because of this? I'm sorry if I'm over exaggerating I just need someone to calm me down thats all thank you!</t>
        </is>
      </c>
      <c r="D5345" t="n">
        <v>1</v>
      </c>
      <c r="E5345" t="n">
        <v>6</v>
      </c>
      <c r="F5345">
        <f>HYPERLINK("https://www.reddit.com/r/GERD/comments/f5bldf/someone_calm_me_down_about_complications_of/")</f>
        <v/>
      </c>
      <c r="G5345" t="inlineStr">
        <is>
          <t>2020-02-17 08:52:15</t>
        </is>
      </c>
      <c r="H5345" t="inlineStr"/>
    </row>
    <row r="5346">
      <c r="A5346" t="inlineStr">
        <is>
          <t>f5ghu5</t>
        </is>
      </c>
      <c r="B5346" t="inlineStr">
        <is>
          <t>Intermittent fasting with hiatal hernia</t>
        </is>
      </c>
      <c r="C5346" t="inlineStr">
        <is>
          <t xml:space="preserve"> 
I've seen some success stories on this sub for people with acid reflux/hiatal hernia curing themselves with Intermittent fasting.
I started IF 2 weeks days ago mainly for weight loss. I'm following the 20:4 routine and have lost almost 2 kgs in 2 weeks.
I mostly have night time heart burn for which i take pepcid and use a wedge pillow
My question is Does intermittent fasting help with Gerd/heartburn for people with Hiatal Hernia?
I want to stop using the medication and wedge pillow because they both have negative side effects long term.
Any and all feedback is welcome :)</t>
        </is>
      </c>
      <c r="D5346" t="n">
        <v>1</v>
      </c>
      <c r="E5346" t="n">
        <v>9</v>
      </c>
      <c r="F5346">
        <f>HYPERLINK("https://www.reddit.com/r/GERD/comments/f5ghu5/intermittent_fasting_with_hiatal_hernia/")</f>
        <v/>
      </c>
      <c r="G5346" t="inlineStr">
        <is>
          <t>2020-02-17 13:57:11</t>
        </is>
      </c>
      <c r="H5346" t="inlineStr"/>
    </row>
    <row r="5347">
      <c r="A5347" t="inlineStr">
        <is>
          <t>f5inko</t>
        </is>
      </c>
      <c r="B5347" t="inlineStr">
        <is>
          <t>Shortness of breath?</t>
        </is>
      </c>
      <c r="C5347" t="inlineStr">
        <is>
          <t>I am having an attack of heartburn tonight. I ate a spicy chicken wrap for lunch and am paying for it! I have indigestion and quite a bit of burping with some acid regurgitatation too. I am also having some shortness of breath and weirdly some sweating. Can those be symptoms as well. I'm trying to tell myself that it's just acid reflex/ heartburn and not a heart attack I guess. I'm pretty sure it's not but it's got my anxiety going pretty good tonight.</t>
        </is>
      </c>
      <c r="D5347" t="n">
        <v>1</v>
      </c>
      <c r="E5347" t="n">
        <v>9</v>
      </c>
      <c r="F5347">
        <f>HYPERLINK("https://www.reddit.com/r/GERD/comments/f5inko/shortness_of_breath/")</f>
        <v/>
      </c>
      <c r="G5347" t="inlineStr">
        <is>
          <t>2020-02-17 16:21:30</t>
        </is>
      </c>
      <c r="H5347" t="inlineStr"/>
    </row>
    <row r="5348">
      <c r="A5348" t="inlineStr">
        <is>
          <t>f5izdh</t>
        </is>
      </c>
      <c r="B5348" t="inlineStr">
        <is>
          <t>Generic Zantac back on shelves in Canada</t>
        </is>
      </c>
      <c r="C5348" t="inlineStr">
        <is>
          <t>Is anyone else noticing that pharmacies and stores are back to selling generic Zantac (in Canada)? I follow the news on this recall daily and up until today when I went into a local Rexall I had no idea I could once again get my fix of ranitidine.</t>
        </is>
      </c>
      <c r="D5348" t="n">
        <v>1</v>
      </c>
      <c r="E5348" t="n">
        <v>6</v>
      </c>
      <c r="F5348">
        <f>HYPERLINK("https://www.reddit.com/r/GERD/comments/f5izdh/generic_zantac_back_on_shelves_in_canada/")</f>
        <v/>
      </c>
      <c r="G5348" t="inlineStr">
        <is>
          <t>2020-02-17 16:44:02</t>
        </is>
      </c>
      <c r="H5348" t="inlineStr"/>
    </row>
    <row r="5349">
      <c r="A5349" t="inlineStr">
        <is>
          <t>f5lxst</t>
        </is>
      </c>
      <c r="B5349" t="inlineStr">
        <is>
          <t>Vomit Help?</t>
        </is>
      </c>
      <c r="C5349" t="inlineStr">
        <is>
          <t>Seriously, how can I calm down or even stop the vomit burps, vomit hiccups, vomit coughs, ect. I'm so tired of throwing up. I'm taking Carafate 4x a day and Omeprazole twice a day. Help? I'm almost 30 and If I'm not throwing up all over myself like a baby spitting up, I'm constantly on the look out for things I can rinse my mouth out in. I've started carrying a tongue scraper and antacids because it's the only way to get that post vomit burn to go away.</t>
        </is>
      </c>
      <c r="D5349" t="n">
        <v>1</v>
      </c>
      <c r="E5349" t="n">
        <v>10</v>
      </c>
      <c r="F5349">
        <f>HYPERLINK("https://www.reddit.com/r/GERD/comments/f5lxst/vomit_help/")</f>
        <v/>
      </c>
      <c r="G5349" t="inlineStr">
        <is>
          <t>2020-02-17 20:20:27</t>
        </is>
      </c>
      <c r="H5349" t="inlineStr"/>
    </row>
    <row r="5350">
      <c r="A5350" t="inlineStr">
        <is>
          <t>f5mlax</t>
        </is>
      </c>
      <c r="B5350" t="inlineStr">
        <is>
          <t>Does anyone deal with this? If you don't swallow after awhile you can't breathe?</t>
        </is>
      </c>
      <c r="C5350" t="inlineStr">
        <is>
          <t>I know short breath is a common symptom of gerd but does anyone here have it where if they don't swallow after awhile you can't breathe? Like the acid gets into the lung airway and you physically HAVE to swallow or you'll suffocate? Well I just found that out recently. I tried not swallowing any saliva on purpose and after about 20 seconds I started feeling like I was choking and couldn't breathe. I think it's the source of my sleep problems I've been having as well. I thought it was sleep apnea but after realizing that we naturally don't swallow as we sleep I can imagine this waking me up plenty of times during the night even if I'm not aware of it.</t>
        </is>
      </c>
      <c r="D5350" t="n">
        <v>1</v>
      </c>
      <c r="E5350" t="n">
        <v>1</v>
      </c>
      <c r="F5350">
        <f>HYPERLINK("https://www.reddit.com/r/GERD/comments/f5mlax/does_anyone_deal_with_this_if_you_dont_swallow/")</f>
        <v/>
      </c>
      <c r="G5350" t="inlineStr">
        <is>
          <t>2020-02-17 21:13:06</t>
        </is>
      </c>
      <c r="H5350" t="inlineStr"/>
    </row>
    <row r="5351">
      <c r="A5351" t="inlineStr">
        <is>
          <t>f5nf73</t>
        </is>
      </c>
      <c r="B5351" t="inlineStr">
        <is>
          <t>How long it last?</t>
        </is>
      </c>
      <c r="C5351" t="inlineStr">
        <is>
          <t>I'm in GERD 3 years now. Please help.</t>
        </is>
      </c>
      <c r="D5351" t="n">
        <v>1</v>
      </c>
      <c r="E5351" t="n">
        <v>2</v>
      </c>
      <c r="F5351">
        <f>HYPERLINK("https://www.reddit.com/r/GERD/comments/f5nf73/how_long_it_last/")</f>
        <v/>
      </c>
      <c r="G5351" t="inlineStr">
        <is>
          <t>2020-02-17 22:25:04</t>
        </is>
      </c>
      <c r="H5351" t="inlineStr"/>
    </row>
    <row r="5352">
      <c r="A5352" t="inlineStr">
        <is>
          <t>f5ocom</t>
        </is>
      </c>
      <c r="B5352" t="inlineStr">
        <is>
          <t>Involuntary half swallow when falling asleep at night.</t>
        </is>
      </c>
      <c r="C5352" t="inlineStr">
        <is>
          <t>Been having a few throat issues lately, enlarged glands, pain, stiff neck probable GERD. It's being investigated at the mo. 
Recently just as I drop off to sleep, occasionally, and for no reason, my esophagus at the bottom contracts like a swallow. It's literally just at the bottom of the throat it's not a full swallow. I get the click sound in the ears you get when you swallow normally. It's painless and lasts as long as s swallow just weird like a reflex. Don't get it in the day, it's literally as I drop off to sleep and it wakes me as it feels weird.  Anyone else had this?</t>
        </is>
      </c>
      <c r="D5352" t="n">
        <v>1</v>
      </c>
      <c r="E5352" t="n">
        <v>1</v>
      </c>
      <c r="F5352">
        <f>HYPERLINK("https://www.reddit.com/r/GERD/comments/f5ocom/involuntary_half_swallow_when_falling_asleep_at/")</f>
        <v/>
      </c>
      <c r="G5352" t="inlineStr">
        <is>
          <t>2020-02-17 23:54:44</t>
        </is>
      </c>
      <c r="H5352" t="inlineStr"/>
    </row>
    <row r="5353">
      <c r="A5353" t="inlineStr">
        <is>
          <t>f5qg1s</t>
        </is>
      </c>
      <c r="B5353" t="inlineStr">
        <is>
          <t>Eggs suddenly causing intense acid reflux</t>
        </is>
      </c>
      <c r="C5353" t="inlineStr">
        <is>
          <t>I'm 19 and go to the gym. I lift heavy so I need to hit around 110 g of protein everyday. I eat 2 boiled whole eggs and 1 egg white in morning and then again in the evening daily. This was causing me no problems until last week. 
Last week after lunch, I ate nothing for 3 hours and then ate 3 eggs. After a couple of hours I had extreme acid reflux and I felt like my chest was burning. 
At that time I didn't realise the eggs were causing it. Yesterday,  again after eating 3 eggs as an evening snack, my chest starting burning and I had acid reflux. 
Why do you think this is happening now? I've been eating eggs this way for the past 5 months and they've never caused an issue? Is it because of the 3 hour break after lunch? Should I eat something else with the eggs to prevent this?</t>
        </is>
      </c>
      <c r="D5353" t="n">
        <v>1</v>
      </c>
      <c r="E5353" t="n">
        <v>9</v>
      </c>
      <c r="F5353">
        <f>HYPERLINK("https://www.reddit.com/r/GERD/comments/f5qg1s/eggs_suddenly_causing_intense_acid_reflux/")</f>
        <v/>
      </c>
      <c r="G5353" t="inlineStr">
        <is>
          <t>2020-02-18 03:33:31</t>
        </is>
      </c>
      <c r="H5353" t="inlineStr"/>
    </row>
    <row r="5354">
      <c r="A5354" t="inlineStr">
        <is>
          <t>f5qr64</t>
        </is>
      </c>
      <c r="B5354" t="inlineStr">
        <is>
          <t>Which is better?</t>
        </is>
      </c>
      <c r="C5354" t="inlineStr">
        <is>
          <t>On mornings I normally do breakfast oats and I just wanna know which is better,should I eat it as a solid or liquid? I sometimes do both but my GERD acts up so irregularly I never know which one is doing it so I want to know from others experiences which one would you suggest?</t>
        </is>
      </c>
      <c r="D5354" t="n">
        <v>1</v>
      </c>
      <c r="E5354" t="n">
        <v>5</v>
      </c>
      <c r="F5354">
        <f>HYPERLINK("https://www.reddit.com/r/GERD/comments/f5qr64/which_is_better/")</f>
        <v/>
      </c>
      <c r="G5354" t="inlineStr">
        <is>
          <t>2020-02-18 04:02:58</t>
        </is>
      </c>
      <c r="H5354" t="inlineStr"/>
    </row>
    <row r="5355">
      <c r="A5355" t="inlineStr">
        <is>
          <t>f5qt1g</t>
        </is>
      </c>
      <c r="B5355" t="inlineStr">
        <is>
          <t>I miss alcohol.</t>
        </is>
      </c>
      <c r="C5355" t="inlineStr">
        <is>
          <t>Last time I had a glass of wine and I got diarrhea for 3 days. Before that I had beer and I was regurgitating. I am miserable.</t>
        </is>
      </c>
      <c r="D5355" t="n">
        <v>1</v>
      </c>
      <c r="E5355" t="n">
        <v>18</v>
      </c>
      <c r="F5355">
        <f>HYPERLINK("https://www.reddit.com/r/GERD/comments/f5qt1g/i_miss_alcohol/")</f>
        <v/>
      </c>
      <c r="G5355" t="inlineStr">
        <is>
          <t>2020-02-18 04:07:21</t>
        </is>
      </c>
      <c r="H5355" t="inlineStr"/>
    </row>
    <row r="5356">
      <c r="A5356" t="inlineStr">
        <is>
          <t>f5s796</t>
        </is>
      </c>
      <c r="B5356" t="inlineStr">
        <is>
          <t>Excess use of Mylanta causing side effects?</t>
        </is>
      </c>
      <c r="C5356" t="inlineStr">
        <is>
          <t>I will preface this by saying this is not good behavior and I don't defend or encourage this behavior. Lol.
I get these weird episodes of dry eyes, excessive tiredness, and brain fog that appear to be extremely random. I've ruled out allergies, allergy meds, and several other causes. I've had basic bloodwork done and mentioned all of this to my doc. Just a shrug and "make sure you drink lots of water." Then I wondered something.....
I buy 355ML bottles of Mylanta or an equivalent generic, and drink it pretty frequently. It's the only thing that really helps (long story, not a fan of PPIs). I did some math yesterday and determined that bottle should last me almost 9 days, if I'm taking the max dose every day. Most of the time I kill a bottle in 4, and I take it consistently.
Could I be aluminum slash magnesium overdosing myself with this, causing these sides? Haha, don't try this at home.</t>
        </is>
      </c>
      <c r="D5356" t="n">
        <v>1</v>
      </c>
      <c r="E5356" t="n">
        <v>1</v>
      </c>
      <c r="F5356">
        <f>HYPERLINK("https://www.reddit.com/r/GERD/comments/f5s796/excess_use_of_mylanta_causing_side_effects/")</f>
        <v/>
      </c>
      <c r="G5356" t="inlineStr">
        <is>
          <t>2020-02-18 06:00:07</t>
        </is>
      </c>
      <c r="H5356" t="inlineStr"/>
    </row>
    <row r="5357">
      <c r="A5357" t="inlineStr">
        <is>
          <t>f5tuvt</t>
        </is>
      </c>
      <c r="B5357" t="inlineStr">
        <is>
          <t>Getting better.</t>
        </is>
      </c>
      <c r="C5357" t="inlineStr">
        <is>
          <t>So ive had endoscopy and the results are out. Gastritis and GERD. I've been given some antibiotics, nexium, gaviscon to take for about two weeks and see the doctor afterwards. I've seen a lot of improvement, reflux has minimized, the foul smell of food I used to have in my breath has gone down well enough. I'm happy with the progress, I've also reduced how much good I take at a time since the doctor asked me to eat in small quantities only and make sure to relax and chew the food well for easy digestion. Also, he's asked me to avoid spicy foods, dairy products, alcohol and pepper. The endoscopy went great, I was anxious before, but as soon as it started I felt relaxed. Thanks to everyone and I hope that this goes away for good cos the bad breath has affected my relationship so much, now I hope to gain some confidence from this progress.</t>
        </is>
      </c>
      <c r="D5357" t="n">
        <v>1</v>
      </c>
      <c r="E5357" t="n">
        <v>8</v>
      </c>
      <c r="F5357">
        <f>HYPERLINK("https://www.reddit.com/r/GERD/comments/f5tuvt/getting_better/")</f>
        <v/>
      </c>
      <c r="G5357" t="inlineStr">
        <is>
          <t>2020-02-18 07:57:08</t>
        </is>
      </c>
      <c r="H5357" t="inlineStr"/>
    </row>
    <row r="5358">
      <c r="A5358" t="inlineStr">
        <is>
          <t>f5vwux</t>
        </is>
      </c>
      <c r="B5358" t="inlineStr">
        <is>
          <t>Itching and occasionally sore throat?</t>
        </is>
      </c>
      <c r="C5358" t="inlineStr">
        <is>
          <t>Hello!
I haven't exactly had a proper diagnose yet, in fact I'm currently waiting for an endoscopy as we speak. However, I'm quite certain I definitely have  some soft of acid reflux going on, judging by the other symptoms like burning in my throat and slight swallowing problems I've experienced.
However, the most noticeable symptom I've linked to being caused by this is the occasional sore and itchy throat I seem to have developed.
 The itch is an annoying feeling for sure, it's somewhere in the back of my mouth or throat. It doesnt make me cough, but if I do it sure does help keep it away for a little while before coming back.
The fact that it's the most noticeable symptom might just be because I'm constantly aware of it however. 
Anyone else experienced something like this?</t>
        </is>
      </c>
      <c r="D5358" t="n">
        <v>1</v>
      </c>
      <c r="E5358" t="n">
        <v>2</v>
      </c>
      <c r="F5358">
        <f>HYPERLINK("https://www.reddit.com/r/GERD/comments/f5vwux/itching_and_occasionally_sore_throat/")</f>
        <v/>
      </c>
      <c r="G5358" t="inlineStr">
        <is>
          <t>2020-02-18 10:05:40</t>
        </is>
      </c>
      <c r="H5358" t="inlineStr"/>
    </row>
    <row r="5359">
      <c r="A5359" t="inlineStr">
        <is>
          <t>f5xqqj</t>
        </is>
      </c>
      <c r="B5359" t="inlineStr">
        <is>
          <t>I think my meds gave me kidney stones</t>
        </is>
      </c>
      <c r="C5359" t="inlineStr">
        <is>
          <t>Yup. So I’ve been using omeprazole since January. Maybe once or twice a week for GERD. It definitely helps. But now I randomly have a 4mm kidney stone and a bleeding cyst on my ovary. I dont know if the cyst has anything to do with it but they both came at the same time and both causing me INTENSE pain. Man, I would 10/10 bargain with the devil to end this pain. I eat healthy. I workout. I’m not sure what else could cause the stones besides the medicine or maybe eating too much chocolate. Hopefully when I pee it out the urologist can examine it and I’m seeing him tomorrow. So we will see .... but has anyone heard of kidney issues/stones because of their PPI? Or had a personal experience?</t>
        </is>
      </c>
      <c r="D5359" t="n">
        <v>1</v>
      </c>
      <c r="E5359" t="n">
        <v>10</v>
      </c>
      <c r="F5359">
        <f>HYPERLINK("https://www.reddit.com/r/GERD/comments/f5xqqj/i_think_my_meds_gave_me_kidney_stones/")</f>
        <v/>
      </c>
      <c r="G5359" t="inlineStr">
        <is>
          <t>2020-02-18 12:01:35</t>
        </is>
      </c>
      <c r="H5359" t="inlineStr"/>
    </row>
    <row r="5360">
      <c r="A5360" t="inlineStr">
        <is>
          <t>f5xzyj</t>
        </is>
      </c>
      <c r="B5360" t="inlineStr">
        <is>
          <t>Going to gastro doctor again</t>
        </is>
      </c>
      <c r="C5360" t="inlineStr">
        <is>
          <t>I’ve been on idk how many acid pills and have had how many scopes done but I’ve been having upper belly pain and soreness with burping and I don’t even wanna eat because I feel nauseous which makes it worse because I have a phobia of vomit . I know they are going to say it’s my anxiety . Just frustrating .</t>
        </is>
      </c>
      <c r="D5360" t="n">
        <v>1</v>
      </c>
      <c r="E5360" t="n">
        <v>8</v>
      </c>
      <c r="F5360">
        <f>HYPERLINK("https://www.reddit.com/r/GERD/comments/f5xzyj/going_to_gastro_doctor_again/")</f>
        <v/>
      </c>
      <c r="G5360" t="inlineStr">
        <is>
          <t>2020-02-18 12:17:44</t>
        </is>
      </c>
      <c r="H5360" t="inlineStr"/>
    </row>
    <row r="5361">
      <c r="A5361" t="inlineStr">
        <is>
          <t>f5ymli</t>
        </is>
      </c>
      <c r="B5361" t="inlineStr">
        <is>
          <t>Gaviscon Cherry Chewables - shortage?</t>
        </is>
      </c>
      <c r="C5361" t="inlineStr">
        <is>
          <t>It seems all drug stores are sold out of these.  They only have the nasty mint liquid.  I used to get the cherry chewable on Amazon for like $8.50, now they're sold out and it's all 3rd party for $13/bottle.
Kind of a bummer.  These work wonders for me.  The liquid is pretty awful and doesn't work as well for me.  I need that cherry foam!</t>
        </is>
      </c>
      <c r="D5361" t="n">
        <v>1</v>
      </c>
      <c r="E5361" t="n">
        <v>1</v>
      </c>
      <c r="F5361">
        <f>HYPERLINK("https://www.reddit.com/r/GERD/comments/f5ymli/gaviscon_cherry_chewables_shortage/")</f>
        <v/>
      </c>
      <c r="G5361" t="inlineStr">
        <is>
          <t>2020-02-18 12:57:10</t>
        </is>
      </c>
      <c r="H5361" t="inlineStr"/>
    </row>
    <row r="5362">
      <c r="A5362" t="inlineStr">
        <is>
          <t>f5zcvm</t>
        </is>
      </c>
      <c r="B5362" t="inlineStr">
        <is>
          <t>I'm getting an endoscopy next week and I'm TERRIFIED of being sedated -- If you've had one before, what was your experience like?</t>
        </is>
      </c>
      <c r="C5362" t="inlineStr">
        <is>
          <t>I (22F) have been suffering from LPR/GERD symptoms for the past year. My latest test was a barium swallow that showed I had severe acid reflux, and therefore they recommended an endoscopy as my next step.
Rationally I *know* that having the procedure done will be beneficial for me. I want relief from my symptoms and the endoscopy can perhaps give the doctors a better idea on how to treat me. However, I suffer from severe anxiety and I am absolutely petrified of being sedated. It's always been one of my biggest fears.
Even though they aren't fully 'putting me under' and they're just using a sedative (from what I understand), I have never liked feeling 'out of it.' I don't even like alcohol or weed because I hate not feeling fully in control or present, so the idea of being legitimately drugged out is terrifying to me.
I've been reading other people's experiences online, and a lot of people say they don't even remember the procedure. But, what about when the procedure is over? Am I going to feel loopy and drugged for hours afterwards?
I so just want to call and cancel because I'm afraid of either having a full-blown panic attack or something going terribly wrong, but I know I'll regret it if I do.
To people who have had the procedure done, is it as bad as I'm making it out to be?</t>
        </is>
      </c>
      <c r="D5362" t="n">
        <v>1</v>
      </c>
      <c r="E5362" t="n">
        <v>61</v>
      </c>
      <c r="F5362">
        <f>HYPERLINK("https://www.reddit.com/r/GERD/comments/f5zcvm/im_getting_an_endoscopy_next_week_and_im/")</f>
        <v/>
      </c>
      <c r="G5362" t="inlineStr">
        <is>
          <t>2020-02-18 13:42:46</t>
        </is>
      </c>
      <c r="H5362" t="inlineStr"/>
    </row>
    <row r="5363">
      <c r="A5363" t="inlineStr">
        <is>
          <t>f5ziac</t>
        </is>
      </c>
      <c r="B5363" t="inlineStr">
        <is>
          <t>Could medication for GERD lower iron levels?</t>
        </is>
      </c>
      <c r="C5363" t="inlineStr">
        <is>
          <t>Female 26 UK 
In 2018 I was having bad dizzy spells where the room would spin really fast 
After going to the doctor I was told I had iron deficiency anemia. I managed to keep my iron levels stable nearly 2 years 
I went to the doctor on the 10th of this month about the GERD and was prescribed omeprazole 20mg and it doesn’t seem to be making much of a difference in regards to the reflux issues but since taking it on 10th till now I’ve been feeling quite dizzy
On Sunday I fainted and today I had a bad dizzy spell where the room was spinning. I have had foods with iron in it so I’m unsure that it could be the anemia. 
Could the omeprazole be causing the dizziness? 
Has anyone had anything similar to this?</t>
        </is>
      </c>
      <c r="D5363" t="n">
        <v>1</v>
      </c>
      <c r="E5363" t="n">
        <v>10</v>
      </c>
      <c r="F5363">
        <f>HYPERLINK("https://www.reddit.com/r/GERD/comments/f5ziac/could_medication_for_gerd_lower_iron_levels/")</f>
        <v/>
      </c>
      <c r="G5363" t="inlineStr">
        <is>
          <t>2020-02-18 13:52:11</t>
        </is>
      </c>
      <c r="H5363" t="inlineStr"/>
    </row>
    <row r="5364">
      <c r="A5364" t="inlineStr">
        <is>
          <t>f5zxdi</t>
        </is>
      </c>
      <c r="B5364" t="inlineStr">
        <is>
          <t>Has anyone had this happen?</t>
        </is>
      </c>
      <c r="C5364" t="inlineStr">
        <is>
          <t>I’ve never been diagnosed with GERD, but I’ve always had issues with heartburn and gas. This morning, I burped and it tasted just god awful. It was a taste I’ve never tasted before. A few minutes later I bent down to get something from the fridge and stomach acid just poured like a waterfall from my nose and didn’t stop until I stood up. It was the same disgusting, rotten taste. It isn’t exactly the taste of stomach acid, but much more putrid. Thanks in advance.</t>
        </is>
      </c>
      <c r="D5364" t="n">
        <v>1</v>
      </c>
      <c r="E5364" t="n">
        <v>6</v>
      </c>
      <c r="F5364">
        <f>HYPERLINK("https://www.reddit.com/r/GERD/comments/f5zxdi/has_anyone_had_this_happen/")</f>
        <v/>
      </c>
      <c r="G5364" t="inlineStr">
        <is>
          <t>2020-02-18 14:18:14</t>
        </is>
      </c>
      <c r="H5364" t="inlineStr"/>
    </row>
    <row r="5365">
      <c r="A5365" t="inlineStr">
        <is>
          <t>f60l5p</t>
        </is>
      </c>
      <c r="B5365" t="inlineStr">
        <is>
          <t>Not sure how serious it is</t>
        </is>
      </c>
      <c r="C5365" t="inlineStr">
        <is>
          <t>Hi, I was recently told I have acid reflux. I was gjven a prescription for 14 days of omiprozole and asked me to come back again if I have more symptoms. I keep having slight pinching kind of pain in the front of my stomach and in my back close almost everyday just before i go for lunch/dinner. I tried to change my lifestyle as much as possible. I quit coffee, tea, chocolate based products, alcohol, tomatoes etc. I am not sure how serious this issue is and how quickly should I go for further medications. Please share ur opinion</t>
        </is>
      </c>
      <c r="D5365" t="n">
        <v>1</v>
      </c>
      <c r="E5365" t="n">
        <v>2</v>
      </c>
      <c r="F5365">
        <f>HYPERLINK("https://www.reddit.com/r/GERD/comments/f60l5p/not_sure_how_serious_it_is/")</f>
        <v/>
      </c>
      <c r="G5365" t="inlineStr">
        <is>
          <t>2020-02-18 14:59:00</t>
        </is>
      </c>
      <c r="H5365" t="inlineStr"/>
    </row>
    <row r="5366">
      <c r="A5366" t="inlineStr">
        <is>
          <t>f6143l</t>
        </is>
      </c>
      <c r="B5366" t="inlineStr">
        <is>
          <t>Low acid coffee recommendations for Reflux esophagitis?</t>
        </is>
      </c>
      <c r="C5366" t="inlineStr">
        <is>
          <t>I know coffee is definitely on the no-go list for most GERD and esophagitis. But I need it to move my digestive system along while I’m taking PPIs again. Looking for suggestions of low acidic coffee. Like to drink iced. Have read cold brew is much lower in acid, but looking for brands in particular please.</t>
        </is>
      </c>
      <c r="D5366" t="n">
        <v>1</v>
      </c>
      <c r="E5366" t="n">
        <v>4</v>
      </c>
      <c r="F5366">
        <f>HYPERLINK("https://www.reddit.com/r/GERD/comments/f6143l/low_acid_coffee_recommendations_for_reflux/")</f>
        <v/>
      </c>
      <c r="G5366" t="inlineStr">
        <is>
          <t>2020-02-18 15:32:51</t>
        </is>
      </c>
      <c r="H5366" t="inlineStr"/>
    </row>
    <row r="5367">
      <c r="A5367" t="inlineStr">
        <is>
          <t>f61cxz</t>
        </is>
      </c>
      <c r="B5367" t="inlineStr">
        <is>
          <t>Has my acid turned into anxiety?</t>
        </is>
      </c>
      <c r="C5367" t="inlineStr">
        <is>
          <t>Long story short.... had acid reflux very bad last year. Went on some PPIs and it has drastically gotten better!!! Almost NO episodes.
However, now I have severe anxiety when eating sometimes. Because I had those “choking” feelings when I had bad acid reflux, I am not sooo anxiety ridden when I eat chunky food or things like chips. 
Sometimes I feel like I can feel the food going down or feel like it gets stuck even though I’m not choking.
Is this my anxiety ridden mind or still some acid problems?  
Has anyone else experienced this?</t>
        </is>
      </c>
      <c r="D5367" t="n">
        <v>1</v>
      </c>
      <c r="E5367" t="n">
        <v>6</v>
      </c>
      <c r="F5367">
        <f>HYPERLINK("https://www.reddit.com/r/GERD/comments/f61cxz/has_my_acid_turned_into_anxiety/")</f>
        <v/>
      </c>
      <c r="G5367" t="inlineStr">
        <is>
          <t>2020-02-18 15:49:19</t>
        </is>
      </c>
      <c r="H5367" t="inlineStr"/>
    </row>
    <row r="5368">
      <c r="A5368" t="inlineStr">
        <is>
          <t>f61ely</t>
        </is>
      </c>
      <c r="B5368" t="inlineStr">
        <is>
          <t>Anyone ever try Esoph Cool by Life Extension?</t>
        </is>
      </c>
      <c r="C5368" t="inlineStr">
        <is>
          <t>It has good reviews on Amazon and I'm open to trying it. Just wondering if anyone on here found it helpful for them.</t>
        </is>
      </c>
      <c r="D5368" t="n">
        <v>1</v>
      </c>
      <c r="E5368" t="n">
        <v>1</v>
      </c>
      <c r="F5368">
        <f>HYPERLINK("https://www.reddit.com/r/GERD/comments/f61ely/anyone_ever_try_esoph_cool_by_life_extension/")</f>
        <v/>
      </c>
      <c r="G5368" t="inlineStr">
        <is>
          <t>2020-02-18 15:52:30</t>
        </is>
      </c>
      <c r="H5368" t="inlineStr"/>
    </row>
    <row r="5369">
      <c r="A5369" t="inlineStr">
        <is>
          <t>f625nz</t>
        </is>
      </c>
      <c r="B5369" t="inlineStr">
        <is>
          <t>could this be GERD?</t>
        </is>
      </c>
      <c r="C5369" t="inlineStr">
        <is>
          <t>The symptom I had which started a while ago was:
after I swallow there would be a gurgling in my esophagus
Then recently this started:
\- PAIN after I eat in throat and behind left nipple
\- throat is sore
\- AIR HUNGER, wtf maybe anxiety
\- sometimes when I eat I have to swallow again because the food doesn't go entirely down
getting to where I don't want to eat anymore.</t>
        </is>
      </c>
      <c r="D5369" t="n">
        <v>1</v>
      </c>
      <c r="E5369" t="n">
        <v>0</v>
      </c>
      <c r="F5369">
        <f>HYPERLINK("https://www.reddit.com/r/GERD/comments/f625nz/could_this_be_gerd/")</f>
        <v/>
      </c>
      <c r="G5369" t="inlineStr">
        <is>
          <t>2020-02-18 16:43:08</t>
        </is>
      </c>
      <c r="H5369" t="inlineStr"/>
    </row>
    <row r="5370">
      <c r="A5370" t="inlineStr">
        <is>
          <t>f66esw</t>
        </is>
      </c>
      <c r="B5370" t="inlineStr">
        <is>
          <t>Fecal transplant a possible cure? ,( For those with gerd/lpr caused by an antibiotic and no mechanical issues )</t>
        </is>
      </c>
      <c r="C5370" t="inlineStr">
        <is>
          <t>My lpr is thar bad that im considering everything in this moment</t>
        </is>
      </c>
      <c r="D5370" t="n">
        <v>1</v>
      </c>
      <c r="E5370" t="n">
        <v>3</v>
      </c>
      <c r="F5370">
        <f>HYPERLINK("https://www.reddit.com/r/GERD/comments/f66esw/fecal_transplant_a_possible_cure_for_those_with/")</f>
        <v/>
      </c>
      <c r="G5370" t="inlineStr">
        <is>
          <t>2020-02-18 22:03:56</t>
        </is>
      </c>
      <c r="H5370" t="inlineStr"/>
    </row>
    <row r="5371">
      <c r="A5371" t="inlineStr">
        <is>
          <t>f67r63</t>
        </is>
      </c>
      <c r="B5371" t="inlineStr">
        <is>
          <t>Could this be a GERD cough and not a lingering bronchitis cough?</t>
        </is>
      </c>
      <c r="C5371" t="inlineStr">
        <is>
          <t>I have been off and on sick since NYE, including bronchitis which I was prescribed antibiotics for in mid January.  The antibiotics helped me with all my symptoms, but my cough lingered (dry cough).
Afterwards, some days my cough was there, other days it was not and I could go do stuff. A couple weeks ago it felt really bad again and then I went into the doctor a third time, in which he prescribed steroids that I haven't yet taken due to some of the horror stories (but still might).
However, I have suffered from some silent reflux issues in the past, but never a cough due to it, and am starting to wonder if that is what is really going on here (or maybe bronchitis and reflux can feed into each other?).
What is strange is I have no issue sleeping which I thought was the main factor for a reflux cough, that when you lay down it gets worse and you have to sleep at an angle - this is not the case for me, I can sleep with no coughing at all sleeping flat, but it is walking around and being active or at night time causes a flare up.
It also doesn't seem to flare up based on acidic foods, or eating before bed, I can't quite put my finger on why some days are so much worse than others.  I can eat big meals with acidic content and have no real coughing issues or reflux symptoms, and the next day it is super flared up when I may have actually eaten bland, it just doesn't feel consistent.
The cough is dry, and the biggest issue is that it is mostly a CONSTANT itchy tickle in my throat that I cannot relieve that makes my breathing super annoying. No wheezing, no lung issues, all in my throat with the most frustrating tickle. I also feel like there is food or gunk stuck in there but can't tell if that is just a globus sensation due to the irritation.
Does this sound familiar for anyone? Does anyone else find that GERD can either create bronchitis or vice versa?</t>
        </is>
      </c>
      <c r="D5371" t="n">
        <v>1</v>
      </c>
      <c r="E5371" t="n">
        <v>3</v>
      </c>
      <c r="F5371">
        <f>HYPERLINK("https://www.reddit.com/r/GERD/comments/f67r63/could_this_be_a_gerd_cough_and_not_a_lingering/")</f>
        <v/>
      </c>
      <c r="G5371" t="inlineStr">
        <is>
          <t>2020-02-19 00:15:38</t>
        </is>
      </c>
      <c r="H5371" t="inlineStr"/>
    </row>
    <row r="5372">
      <c r="A5372" t="inlineStr">
        <is>
          <t>f6dz69</t>
        </is>
      </c>
      <c r="B5372" t="inlineStr">
        <is>
          <t>Nervous about endoscopy</t>
        </is>
      </c>
      <c r="C5372" t="inlineStr">
        <is>
          <t>Not really nervous about the procedure itself. More uncomfortable with being put under. I've never been put under before and I'm just curious about the after effects. Basically, how it feels once you wake up. I really hate the feeling of any mind-altering substance. Alcohol, weed, whatever. Does it feel like that once you wake up? Or do you just feel tired? I was told they were going to use propofol, if that makes a difference.</t>
        </is>
      </c>
      <c r="D5372" t="n">
        <v>1</v>
      </c>
      <c r="E5372" t="n">
        <v>30</v>
      </c>
      <c r="F5372">
        <f>HYPERLINK("https://www.reddit.com/r/GERD/comments/f6dz69/nervous_about_endoscopy/")</f>
        <v/>
      </c>
      <c r="G5372" t="inlineStr">
        <is>
          <t>2020-02-19 09:24:31</t>
        </is>
      </c>
      <c r="H5372" t="inlineStr"/>
    </row>
    <row r="5373">
      <c r="A5373" t="inlineStr">
        <is>
          <t>f6eygy</t>
        </is>
      </c>
      <c r="B5373" t="inlineStr">
        <is>
          <t>Sinus and reflux</t>
        </is>
      </c>
      <c r="C5373" t="inlineStr">
        <is>
          <t>I have sinus flare up right now and i’m not sure if its related to my acid reflux and if it what can i do to help calm things down.
I’m eating clean avoiding trigger food taking my medication but I think I have seasonal sinus and I can’t take pandol so if there is any natural remedies that won’t trigger symptoms thanks!</t>
        </is>
      </c>
      <c r="D5373" t="n">
        <v>1</v>
      </c>
      <c r="E5373" t="n">
        <v>12</v>
      </c>
      <c r="F5373">
        <f>HYPERLINK("https://www.reddit.com/r/GERD/comments/f6eygy/sinus_and_reflux/")</f>
        <v/>
      </c>
      <c r="G5373" t="inlineStr">
        <is>
          <t>2020-02-19 10:27:28</t>
        </is>
      </c>
      <c r="H5373" t="inlineStr"/>
    </row>
    <row r="5374">
      <c r="A5374" t="inlineStr">
        <is>
          <t>f6fynj</t>
        </is>
      </c>
      <c r="B5374" t="inlineStr">
        <is>
          <t>Very confused about Digestive Enzymes</t>
        </is>
      </c>
      <c r="C5374" t="inlineStr">
        <is>
          <t>My Doctor said to give digestive enzymes a go so I picked up some without really looking into it 😬. 
I just read there though that they contain Betaine HCI? Is that not going to increase stomach acid and counteract my PPI? I’ve already taken 2 today 1 at lunch and 1 on the way home now before my dinner? I felt quite sick at lunch but it wasn’t out of the ordinary as it’s my biggest meal but now I’m anxious I’ve made a big mistake and will be up all night I’m only able to eat porridge and an apple for dinner. 
Do all digestive enzymes increase stomach acid or are there a specific type for GERD?
Background in case relevant: I have a suspected hiatal hernia and GERD have been nauseous pretty much consistently for 2 months. Was put on 40mg Esomeprazole for 4 weeks to see if it helped I’m better on it but still nauseous most days.</t>
        </is>
      </c>
      <c r="D5374" t="n">
        <v>1</v>
      </c>
      <c r="E5374" t="n">
        <v>6</v>
      </c>
      <c r="F5374">
        <f>HYPERLINK("https://www.reddit.com/r/GERD/comments/f6fynj/very_confused_about_digestive_enzymes/")</f>
        <v/>
      </c>
      <c r="G5374" t="inlineStr">
        <is>
          <t>2020-02-19 11:31:59</t>
        </is>
      </c>
      <c r="H5374" t="inlineStr"/>
    </row>
    <row r="5375">
      <c r="A5375" t="inlineStr">
        <is>
          <t>f6h72n</t>
        </is>
      </c>
      <c r="B5375" t="inlineStr">
        <is>
          <t>GERD Cough</t>
        </is>
      </c>
      <c r="C5375" t="inlineStr">
        <is>
          <t>Does anyone have any tricks to relief GERD cough? I have had a dry, unproductive cough, with the constant tickle in my throat for about three weeks. Started a course of Prilosec on Sunday morning, no relief yet. I have a doctors appointment in a few days, but hoping for some relief in the meantime.</t>
        </is>
      </c>
      <c r="D5375" t="n">
        <v>1</v>
      </c>
      <c r="E5375" t="n">
        <v>2</v>
      </c>
      <c r="F5375">
        <f>HYPERLINK("https://www.reddit.com/r/GERD/comments/f6h72n/gerd_cough/")</f>
        <v/>
      </c>
      <c r="G5375" t="inlineStr">
        <is>
          <t>2020-02-19 12:53:30</t>
        </is>
      </c>
      <c r="H5375" t="inlineStr"/>
    </row>
    <row r="5376">
      <c r="A5376" t="inlineStr">
        <is>
          <t>f6j99c</t>
        </is>
      </c>
      <c r="B5376" t="inlineStr">
        <is>
          <t>Gerd friendly recommendations from Trader Joe's?</t>
        </is>
      </c>
      <c r="C5376" t="inlineStr">
        <is>
          <t>Planning to go to TJ's tomorrow, its a long drive for me so I don't go often, I do love it though. What are your favorite gerd friendly things to get there?</t>
        </is>
      </c>
      <c r="D5376" t="n">
        <v>1</v>
      </c>
      <c r="E5376" t="n">
        <v>13</v>
      </c>
      <c r="F5376">
        <f>HYPERLINK("https://www.reddit.com/r/GERD/comments/f6j99c/gerd_friendly_recommendations_from_trader_joes/")</f>
        <v/>
      </c>
      <c r="G5376" t="inlineStr">
        <is>
          <t>2020-02-19 15:09:50</t>
        </is>
      </c>
      <c r="H5376" t="inlineStr"/>
    </row>
    <row r="5377">
      <c r="A5377" t="inlineStr">
        <is>
          <t>f6joyb</t>
        </is>
      </c>
      <c r="B5377" t="inlineStr">
        <is>
          <t>Got my results back after endoscopy: I have h pylori</t>
        </is>
      </c>
      <c r="C5377" t="inlineStr">
        <is>
          <t>Pretty relieved right now. I see a lot of people talking about how their results show nothing or even worse, chronic gastritis or an unnamed food intolerance. Was expecting the worst when I got a call today and turns out I have h pylori, and they caught it before it did any damage. Unfortunately can’t take the antibiotics today because it’s too late (you have to take 4 strong pills throughout the day) but my issues should be mostly resolved in a week... just thought I’d share some somewhat good news with everyone. Maybe I can actually go back to eating how I used to (but healthier) now.</t>
        </is>
      </c>
      <c r="D5377" t="n">
        <v>1</v>
      </c>
      <c r="E5377" t="n">
        <v>0</v>
      </c>
      <c r="F5377">
        <f>HYPERLINK("https://www.reddit.com/r/GERD/comments/f6joyb/got_my_results_back_after_endoscopy_i_have_h/")</f>
        <v/>
      </c>
      <c r="G5377" t="inlineStr">
        <is>
          <t>2020-02-19 15:39:38</t>
        </is>
      </c>
      <c r="H5377" t="inlineStr"/>
    </row>
    <row r="5378">
      <c r="A5378" t="inlineStr">
        <is>
          <t>f6m6cw</t>
        </is>
      </c>
      <c r="B5378" t="inlineStr">
        <is>
          <t>Did anyone get more mucus from PPIs</t>
        </is>
      </c>
      <c r="C5378" t="inlineStr">
        <is>
          <t>Did anyone get more mucus from PPIs I’m about one week on it?  And I’m all stuffed up and it’s even harder to talk or to clear it.</t>
        </is>
      </c>
      <c r="D5378" t="n">
        <v>1</v>
      </c>
      <c r="E5378" t="n">
        <v>3</v>
      </c>
      <c r="F5378">
        <f>HYPERLINK("https://www.reddit.com/r/GERD/comments/f6m6cw/did_anyone_get_more_mucus_from_ppis/")</f>
        <v/>
      </c>
      <c r="G5378" t="inlineStr">
        <is>
          <t>2020-02-19 18:41:11</t>
        </is>
      </c>
      <c r="H5378" t="inlineStr"/>
    </row>
    <row r="5379">
      <c r="A5379" t="inlineStr">
        <is>
          <t>f6mspq</t>
        </is>
      </c>
      <c r="B5379" t="inlineStr">
        <is>
          <t>Gastroenterologist recommendations in Los Angeles, CA area?</t>
        </is>
      </c>
      <c r="C5379" t="inlineStr">
        <is>
          <t>If you've got a good one, please let me know their contact info. The one I just saw was absolutely useless. I'm in Santa Monica, but willing to drive a bit. Many thanks.</t>
        </is>
      </c>
      <c r="D5379" t="n">
        <v>1</v>
      </c>
      <c r="E5379" t="n">
        <v>10</v>
      </c>
      <c r="F5379">
        <f>HYPERLINK("https://www.reddit.com/r/GERD/comments/f6mspq/gastroenterologist_recommendations_in_los_angeles/")</f>
        <v/>
      </c>
      <c r="G5379" t="inlineStr">
        <is>
          <t>2020-02-19 19:27:43</t>
        </is>
      </c>
      <c r="H5379" t="inlineStr"/>
    </row>
    <row r="5380">
      <c r="A5380" t="inlineStr">
        <is>
          <t>f6muuo</t>
        </is>
      </c>
      <c r="B5380" t="inlineStr">
        <is>
          <t>Heartburn over a month after endoscopy</t>
        </is>
      </c>
      <c r="C5380" t="inlineStr">
        <is>
          <t>So I went to the GI a little over a month ago, to have an endoscopy. Prior to this, I never experienced heart burn, or any symptoms of GERD. I was warned that after the endoscopy I would feel discomfort in my throat and stomach, and potentially heartburn. However, it’s been some time and ever since the endoscopy, I was diagnosed with GERD and now experience heartburn. Has this happened to anyone? Seems a little sketchy to me that up until the endoscopy I didn’t experience any heartburn/GERD symptoms</t>
        </is>
      </c>
      <c r="D5380" t="n">
        <v>1</v>
      </c>
      <c r="E5380" t="n">
        <v>19</v>
      </c>
      <c r="F5380">
        <f>HYPERLINK("https://www.reddit.com/r/GERD/comments/f6muuo/heartburn_over_a_month_after_endoscopy/")</f>
        <v/>
      </c>
      <c r="G5380" t="inlineStr">
        <is>
          <t>2020-02-19 19:32:04</t>
        </is>
      </c>
      <c r="H5380" t="inlineStr"/>
    </row>
    <row r="5381">
      <c r="A5381" t="inlineStr">
        <is>
          <t>f6ny1p</t>
        </is>
      </c>
      <c r="B5381" t="inlineStr">
        <is>
          <t>Zyrtec and GERD</t>
        </is>
      </c>
      <c r="C5381" t="inlineStr">
        <is>
          <t>Background: I am a 37 yo male. I lead a pretty healthy life: I exercise daily and eat a vegan-like diet (I’ll eat eggs or other animal products a couple times a month). I am not overweight. About 8 years ago, I moved to a country with pretty bad air quality. I’ve had bouts of heartburn in the past—They usually don’t last very long. I also take Zyrtec when nasal allergy symptoms are present.
About 5 weeks ago, I laid down to go to bed I and experienced pretty excruciating GERD symptoms. I thought I was having a heart attack. I went to the doctor the next day. He put me on a PPI. Eventually, I felt a little better but symptoms remained. At this time I also adjusted my diet and stopped drinking alcohol and caffeine.
After a couple of weeks, we took a family vacation to Guam. During the trip, the symptoms almost completely went away (I was still taking the PPI). Of course, my diet was terrible on vacation: alcohol, snacks, fried food. When we returned home, the symptoms came back. I became pretty discouraged and frustrated. I kept taking the PPI but the symptoms still remained. Up until yesterday, I was thinking an endoscope was necessary. 
Yesterday, I had some allergy symptoms (itchy throat, sneezing, etc) and took a zyrtec. Today has been my first day of almost no GERD (95% symptom free). I didn’t believe it at first, so I decided to not take the PPI to see what would happen. Still the symptoms stayed away. Then I drank a cup of coffee. Nothing. Then one more. Nothing. 
I decided to look on the internet for similar situations but found nothing. I actually saw some posts about Zyrtec causing heartburn.
So, I’m curious if anyone has heard similar stories. Is this just a coincidence? Should I continue with the PPI and go get an endoscope? I am ecstatic that the symptoms are gone but I am also in disbelief.</t>
        </is>
      </c>
      <c r="D5381" t="n">
        <v>1</v>
      </c>
      <c r="E5381" t="n">
        <v>10</v>
      </c>
      <c r="F5381">
        <f>HYPERLINK("https://www.reddit.com/r/GERD/comments/f6ny1p/zyrtec_and_gerd/")</f>
        <v/>
      </c>
      <c r="G5381" t="inlineStr">
        <is>
          <t>2020-02-19 20:58:28</t>
        </is>
      </c>
      <c r="H5381" t="inlineStr"/>
    </row>
    <row r="5382">
      <c r="A5382" t="inlineStr">
        <is>
          <t>f6om1j</t>
        </is>
      </c>
      <c r="B5382" t="inlineStr">
        <is>
          <t>What if it left untreated</t>
        </is>
      </c>
      <c r="C5382" t="inlineStr">
        <is>
          <t>I have nausea and when i get too much anxious i vomit sometimes. 
I experience heart burn randomly and don't do nothing at all for it.
I can't eat much i feel nauseated, i stopped eating spicy food.
What is my disease? 
My psychiatrist says i have anxiety and anxiety causes nausea and vomiting and that is to some degree true but what can i do for this heart burn they are really frequent please help.</t>
        </is>
      </c>
      <c r="D5382" t="n">
        <v>1</v>
      </c>
      <c r="E5382" t="n">
        <v>21</v>
      </c>
      <c r="F5382">
        <f>HYPERLINK("https://www.reddit.com/r/GERD/comments/f6om1j/what_if_it_left_untreated/")</f>
        <v/>
      </c>
      <c r="G5382" t="inlineStr">
        <is>
          <t>2020-02-19 21:56:12</t>
        </is>
      </c>
      <c r="H5382" t="inlineStr"/>
    </row>
    <row r="5383">
      <c r="A5383" t="inlineStr">
        <is>
          <t>f6oxtp</t>
        </is>
      </c>
      <c r="B5383" t="inlineStr">
        <is>
          <t>Every morning</t>
        </is>
      </c>
      <c r="C5383" t="inlineStr">
        <is>
          <t>When i wake up i feel acid reflux in my throat i couldn't eat</t>
        </is>
      </c>
      <c r="D5383" t="n">
        <v>1</v>
      </c>
      <c r="E5383" t="n">
        <v>18</v>
      </c>
      <c r="F5383">
        <f>HYPERLINK("https://www.reddit.com/r/GERD/comments/f6oxtp/every_morning/")</f>
        <v/>
      </c>
      <c r="G5383" t="inlineStr">
        <is>
          <t>2020-02-19 22:26:04</t>
        </is>
      </c>
      <c r="H5383" t="inlineStr"/>
    </row>
    <row r="5384">
      <c r="A5384" t="inlineStr">
        <is>
          <t>f6q26g</t>
        </is>
      </c>
      <c r="B5384" t="inlineStr">
        <is>
          <t>Anyone have some pain in stomach and oesophagus after endoscopy?</t>
        </is>
      </c>
      <c r="C5384" t="inlineStr">
        <is>
          <t>Just had it done yesterday, and was asleep for it, felt fine afterwards. But after the sedative wore off and I was home I feel a bit sore in the stomach. Some reflux feeling. And when I drink water I can feel a sting in the oesophagus and stomach, probably where they took the biopsies. 
I can stand it, it's not severe, but just reading around it seems most people don't experience this at all.</t>
        </is>
      </c>
      <c r="D5384" t="n">
        <v>1</v>
      </c>
      <c r="E5384" t="n">
        <v>7</v>
      </c>
      <c r="F5384">
        <f>HYPERLINK("https://www.reddit.com/r/GERD/comments/f6q26g/anyone_have_some_pain_in_stomach_and_oesophagus/")</f>
        <v/>
      </c>
      <c r="G5384" t="inlineStr">
        <is>
          <t>2020-02-20 00:21:24</t>
        </is>
      </c>
      <c r="H5384" t="inlineStr"/>
    </row>
    <row r="5385">
      <c r="A5385" t="inlineStr">
        <is>
          <t>f6veyd</t>
        </is>
      </c>
      <c r="B5385" t="inlineStr">
        <is>
          <t>Doctor thinks I have GERD but i'm not entirely sure</t>
        </is>
      </c>
      <c r="C5385" t="inlineStr">
        <is>
          <t>Hi everyone, 
I have had a myriad of health issues in the last few months which has lead me to having to use NSAID's and muscles relaxers on and off. I recently switched to a high dose naproxen and began to develop what I though was a chest cold. My symptoms are labored/shortness of breath, extreme fatigue, occasional chest pain, a non-productive cough and a slight wheeze when I exhale and a slight rasp in my voice. I went on extra strength mucinex about a 2 weeks ago, and after 10 days nothing changed so I went to my GP. 
She though it was GERD due to burping occasionally relieving my symptoms and put me on 20mg of ozemperole and have been on it for 4 days. I am on a gluten free, low carb, low sugar diet to begin with and cannot pinpoint any trigger foods that i have eaten in the last 2 weeks that would cause this. Prior to going on the diet about 4 months ago I used to get classic acid reflux symptoms after eating certain tomato sauces. 
I really don't know what to do to ask for a second opinion or what to do to be able to feel like i can at least breathe again. This whole this has only made my anxiety worse and i'm frustrated. 
Does anyone have any advice or clues? Any and all help is greatly appreciated!</t>
        </is>
      </c>
      <c r="D5385" t="n">
        <v>1</v>
      </c>
      <c r="E5385" t="n">
        <v>12</v>
      </c>
      <c r="F5385">
        <f>HYPERLINK("https://www.reddit.com/r/GERD/comments/f6veyd/doctor_thinks_i_have_gerd_but_im_not_entirely_sure/")</f>
        <v/>
      </c>
      <c r="G5385" t="inlineStr">
        <is>
          <t>2020-02-20 08:21:11</t>
        </is>
      </c>
      <c r="H5385" t="inlineStr"/>
    </row>
    <row r="5386">
      <c r="A5386" t="inlineStr">
        <is>
          <t>f6wjxe</t>
        </is>
      </c>
      <c r="B5386" t="inlineStr">
        <is>
          <t>Whitish/yellow tongue, mucus feeling in throat, excessive swallowing, bad taste occasionally, white thick mucus/saliva, nasal drip.</t>
        </is>
      </c>
      <c r="C5386" t="inlineStr">
        <is>
          <t>For the last 6 months or so I’ve been battling mainly these symptoms. It started as me noticing a bad taste in the back of my throat (that gross mothball smell/taste). Progressed into the symptoms I listed in title. Sometimes I’ll hack up a bit of mucus in the morning.  The most annoying thing is feeling like something is stuck in my throat, or that my throat feels overly dry.  Have already been misdiagnosed with thrush and sinus infection. Amoxicillin did nothing, however fluid was present in my middle ear. 
I don’t notice any heartburn and I’d say I burp a moderate amount of time.  Anyone with similar symptoms? I’m wondering if I should see a GI or ENT??</t>
        </is>
      </c>
      <c r="D5386" t="n">
        <v>2</v>
      </c>
      <c r="E5386" t="n">
        <v>1</v>
      </c>
      <c r="F5386">
        <f>HYPERLINK("https://www.reddit.com/r/GERD/comments/f6wjxe/whitishyellow_tongue_mucus_feeling_in_throat/")</f>
        <v/>
      </c>
      <c r="G5386" t="inlineStr">
        <is>
          <t>2020-02-20 09:37:31</t>
        </is>
      </c>
      <c r="H5386" t="inlineStr"/>
    </row>
    <row r="5387">
      <c r="A5387" t="inlineStr">
        <is>
          <t>f6wyhm</t>
        </is>
      </c>
      <c r="B5387" t="inlineStr">
        <is>
          <t>Free Consultation</t>
        </is>
      </c>
      <c r="C5387" t="inlineStr">
        <is>
          <t>“Hello everyone, love being in the group and getting to know everyone!
I’m about to start my own small business as a consultant for Acid Reflux. I’m going to help people overcome their flare ups from Acid Reflux. I’d like to find one or two more test clients to perfect my method. I won’t be asking for anything but constructive feedback or recommendations. If your interested comment below!</t>
        </is>
      </c>
      <c r="D5387" t="n">
        <v>1</v>
      </c>
      <c r="E5387" t="n">
        <v>1</v>
      </c>
      <c r="F5387">
        <f>HYPERLINK("https://www.reddit.com/r/GERD/comments/f6wyhm/free_consultation/")</f>
        <v/>
      </c>
      <c r="G5387" t="inlineStr">
        <is>
          <t>2020-02-20 10:04:30</t>
        </is>
      </c>
      <c r="H5387" t="inlineStr"/>
    </row>
    <row r="5388">
      <c r="A5388" t="inlineStr">
        <is>
          <t>f6yjpv</t>
        </is>
      </c>
      <c r="B5388" t="inlineStr">
        <is>
          <t>What exactly causes this left side chest pain/pressure?</t>
        </is>
      </c>
      <c r="C5388" t="inlineStr">
        <is>
          <t>I know it's definitely related to GERD for me because I was prescribed Lansoprazole almost a month ago and as long as I take it everyday, I usually don't experience this symptom at all. Is it really just simply the acid causing that tightness/pressure feeling? It scares the hell outta me cus the pain is located right where my heart is and it seems to be the worst when I'm trying to sleep. 
Like I said though, as long as I take these meds then it's fine most of the time. But can anyone explain exactly what's happening? Or even relate? Thank you in advance!</t>
        </is>
      </c>
      <c r="D5388" t="n">
        <v>2</v>
      </c>
      <c r="E5388" t="n">
        <v>25</v>
      </c>
      <c r="F5388">
        <f>HYPERLINK("https://www.reddit.com/r/GERD/comments/f6yjpv/what_exactly_causes_this_left_side_chest/")</f>
        <v/>
      </c>
      <c r="G5388" t="inlineStr">
        <is>
          <t>2020-02-20 11:48:35</t>
        </is>
      </c>
      <c r="H5388" t="inlineStr"/>
    </row>
    <row r="5389">
      <c r="A5389" t="inlineStr">
        <is>
          <t>f6yww8</t>
        </is>
      </c>
      <c r="B5389" t="inlineStr">
        <is>
          <t>Do you find that losing weight is easier when paying attention to your GERD?</t>
        </is>
      </c>
      <c r="C5389" t="inlineStr">
        <is>
          <t>I know that avoiding overeating and eating close to bedtime are huge for relaxing GERD symptoms. Have you found that losing weight, intentional or unintentional, is more manageable when you really pay attention to these tactics and focus on alleviating your symptoms?
Today I wanted to have an extra cup of soup with my lunch but I didn't because I knew it would make me really full and could trigger acid reflux. Then I thought about how this is a 2-for-1: lower symptoms and possibly lose some weight!</t>
        </is>
      </c>
      <c r="D5389" t="n">
        <v>1</v>
      </c>
      <c r="E5389" t="n">
        <v>17</v>
      </c>
      <c r="F5389">
        <f>HYPERLINK("https://www.reddit.com/r/GERD/comments/f6yww8/do_you_find_that_losing_weight_is_easier_when/")</f>
        <v/>
      </c>
      <c r="G5389" t="inlineStr">
        <is>
          <t>2020-02-20 12:12:19</t>
        </is>
      </c>
      <c r="H5389" t="inlineStr"/>
    </row>
    <row r="5390">
      <c r="A5390" t="inlineStr">
        <is>
          <t>f6zpen</t>
        </is>
      </c>
      <c r="B5390" t="inlineStr">
        <is>
          <t>Ranitidine</t>
        </is>
      </c>
      <c r="C5390" t="inlineStr">
        <is>
          <t>I’m dying without it. Famotidine just isn’t cutting it. Why doesn’t anybody have any information on it? Pharmacies keep telling me they aren’t given any information on it and the FDA seems to give very limited details like once a month. What’s taking so long? Does anyone here know anything? I’ve heard of a couple people finding it in the states. I’ve looked everywhere (in Canada, Greater Toronto Area).</t>
        </is>
      </c>
      <c r="D5390" t="n">
        <v>1</v>
      </c>
      <c r="E5390" t="n">
        <v>7</v>
      </c>
      <c r="F5390">
        <f>HYPERLINK("https://www.reddit.com/r/GERD/comments/f6zpen/ranitidine/")</f>
        <v/>
      </c>
      <c r="G5390" t="inlineStr">
        <is>
          <t>2020-02-20 13:03:28</t>
        </is>
      </c>
      <c r="H5390" t="inlineStr"/>
    </row>
    <row r="5391">
      <c r="A5391" t="inlineStr">
        <is>
          <t>f70u4d</t>
        </is>
      </c>
      <c r="B5391" t="inlineStr">
        <is>
          <t>Timing and famotidine</t>
        </is>
      </c>
      <c r="C5391" t="inlineStr">
        <is>
          <t>My doctor recommended famotidine twice a day for a month and then once a day for two weeks, and then we'll see how my acid reflux feels after that.  (Alongside a bajillion foods to avoid and lifestyle changes.)
I'm at the point where I'm going down to taking the famotidine once a day.  Does anyone have any thoughts on whether I should take it in the morning or the evening?  Or if it really matters?  I have some daytime acid reflux issues, but my main problem is acid reflux at night, so I was thinking at night but just wanted to see if anyone had experience or thoughts on this.</t>
        </is>
      </c>
      <c r="D5391" t="n">
        <v>1</v>
      </c>
      <c r="E5391" t="n">
        <v>10</v>
      </c>
      <c r="F5391">
        <f>HYPERLINK("https://www.reddit.com/r/GERD/comments/f70u4d/timing_and_famotidine/")</f>
        <v/>
      </c>
      <c r="G5391" t="inlineStr">
        <is>
          <t>2020-02-20 14:16:10</t>
        </is>
      </c>
      <c r="H5391" t="inlineStr"/>
    </row>
    <row r="5392">
      <c r="A5392" t="inlineStr">
        <is>
          <t>f71bi8</t>
        </is>
      </c>
      <c r="B5392" t="inlineStr">
        <is>
          <t>Anyone have the feeling of a hard heartbeat</t>
        </is>
      </c>
      <c r="C5392" t="inlineStr">
        <is>
          <t>Hey Guys, 
I have a weird thing when I get Heartburn.  It basically only happens at night.  Basically I get a feeling of my heart beating really hard.  Like I feel it all throughout my body not even specifically my heart.  I feel it in my back, my side, the right side of my chest. It doesn't feel like it's going fast per say but just hard and very noticeable.  And the location moves around.  
My wife is a doctor and she checked my pulse when this was happening and she said it was completely normal.  The anxiety of this when it happens keeps me awake at night.  
Any thoughts?</t>
        </is>
      </c>
      <c r="D5392" t="n">
        <v>1</v>
      </c>
      <c r="E5392" t="n">
        <v>7</v>
      </c>
      <c r="F5392">
        <f>HYPERLINK("https://www.reddit.com/r/GERD/comments/f71bi8/anyone_have_the_feeling_of_a_hard_heartbeat/")</f>
        <v/>
      </c>
      <c r="G5392" t="inlineStr">
        <is>
          <t>2020-02-20 14:48:59</t>
        </is>
      </c>
      <c r="H5392" t="inlineStr"/>
    </row>
    <row r="5393">
      <c r="A5393" t="inlineStr">
        <is>
          <t>f71w82</t>
        </is>
      </c>
      <c r="B5393" t="inlineStr">
        <is>
          <t>Tips for Delayed Gastric Emptying</t>
        </is>
      </c>
      <c r="C5393" t="inlineStr">
        <is>
          <t>Hi all,
My GI has suggested that the cause of my GERD might be delayed gastric emptying, which in turn might be caused by anxiety.  I’ve brought anxiety under control with various methods, but I feel like gastric emptying is still an issue.  Does anyone have lifestyle tips to promote proper digestion?  Does anyone have experience with GERD caused by delayed gastric emptying or gastroparesis?  Thank you in advance!
Gwaine</t>
        </is>
      </c>
      <c r="D5393" t="n">
        <v>1</v>
      </c>
      <c r="E5393" t="n">
        <v>17</v>
      </c>
      <c r="F5393">
        <f>HYPERLINK("https://www.reddit.com/r/GERD/comments/f71w82/tips_for_delayed_gastric_emptying/")</f>
        <v/>
      </c>
      <c r="G5393" t="inlineStr">
        <is>
          <t>2020-02-20 15:28:39</t>
        </is>
      </c>
      <c r="H5393" t="inlineStr"/>
    </row>
    <row r="5394">
      <c r="A5394" t="inlineStr">
        <is>
          <t>f73qvx</t>
        </is>
      </c>
      <c r="B5394" t="inlineStr">
        <is>
          <t>Help me!</t>
        </is>
      </c>
      <c r="C5394" t="inlineStr">
        <is>
          <t>I typically struggle with acid reflux and heartburn. I recently just went to the doctors to get some medications because I was feeling my heart burn increase such as awful tastes in my mouth and burning. I thought I had a food positioning a few days ago but I only puked once so I’m thinking it was acid reflex related because I had the worst heart burn the past two days where my whole chest hurts and nothing is helping me! Is this normal?!</t>
        </is>
      </c>
      <c r="D5394" t="n">
        <v>1</v>
      </c>
      <c r="E5394" t="n">
        <v>5</v>
      </c>
      <c r="F5394">
        <f>HYPERLINK("https://www.reddit.com/r/GERD/comments/f73qvx/help_me/")</f>
        <v/>
      </c>
      <c r="G5394" t="inlineStr">
        <is>
          <t>2020-02-20 17:45:29</t>
        </is>
      </c>
      <c r="H5394" t="inlineStr"/>
    </row>
    <row r="5395">
      <c r="A5395" t="inlineStr">
        <is>
          <t>f73xjv</t>
        </is>
      </c>
      <c r="B5395" t="inlineStr">
        <is>
          <t>Nerve Damage in Throat</t>
        </is>
      </c>
      <c r="C5395" t="inlineStr">
        <is>
          <t>After 20+ years of Chronic acid reflux. I can no longer feel the left side of my throat. My throat is shot. I'm in pain 90% of the time and the only relief I find is when I am eating the diet of a monk with virtually no joyful banquets with alcohol and plenty of red meat.
The right side of my throat is hanging on for dear life. When I talk sometimes it literally is painful. The nerve Damage shoots up to my right ear that literally tickles in a violating way that is really crappy. I also have mild tennitus now in my 30s and can't help but wonder if it's from all the acid damage, or just my TMJ.
I've tried everything. I've had more endoscopies than you can count on one hand. Doctors give me PPI which help, but my own lack of self controls kills the progress I make. 
I've finally stopped beer, stopped eating out at restraunts, etc. I'm losing weight which is great if I like to have an effortless six pack but get twigly quick.
I have these weird spasms in my throat every now and then. I believe it's the nerves dying. I used to get them on the left side of my throat but now that it's dead I can't feel them there....only on the right. They lead to this coughing fits.....the most dry cough you will ever have.
Now I guess it's time to go full blown military diet least this crap gets worse. I will probably die of esophageal cancer heaven forbid but it's true.</t>
        </is>
      </c>
      <c r="D5395" t="n">
        <v>1</v>
      </c>
      <c r="E5395" t="n">
        <v>17</v>
      </c>
      <c r="F5395">
        <f>HYPERLINK("https://www.reddit.com/r/GERD/comments/f73xjv/nerve_damage_in_throat/")</f>
        <v/>
      </c>
      <c r="G5395" t="inlineStr">
        <is>
          <t>2020-02-20 17:59:44</t>
        </is>
      </c>
      <c r="H5395" t="inlineStr"/>
    </row>
    <row r="5396">
      <c r="A5396" t="inlineStr">
        <is>
          <t>f74884</t>
        </is>
      </c>
      <c r="B5396" t="inlineStr">
        <is>
          <t>Stinging in upper abdomen?</t>
        </is>
      </c>
      <c r="C5396" t="inlineStr">
        <is>
          <t>Sometimes if I’m having my “GERD” symptoms (I use quotations because it’s just always pressure in my chest/upper stomach and it feeling like my burps are being blocked) I get these random spasms of almost like stinging feelings in my mid/left upper abdomen, like right under my ribs and sternum. It doesn’t happen too often but it’s pretty uncomfortable when it does happen. Does anyone have any idea what it could be? Or experience the same thing?</t>
        </is>
      </c>
      <c r="D5396" t="n">
        <v>1</v>
      </c>
      <c r="E5396" t="n">
        <v>7</v>
      </c>
      <c r="F5396">
        <f>HYPERLINK("https://www.reddit.com/r/GERD/comments/f74884/stinging_in_upper_abdomen/")</f>
        <v/>
      </c>
      <c r="G5396" t="inlineStr">
        <is>
          <t>2020-02-20 18:22:50</t>
        </is>
      </c>
      <c r="H5396" t="inlineStr"/>
    </row>
    <row r="5397">
      <c r="A5397" t="inlineStr">
        <is>
          <t>f75q4b</t>
        </is>
      </c>
      <c r="B5397" t="inlineStr">
        <is>
          <t>Ended up in the ER with my chest on fire and cramping</t>
        </is>
      </c>
      <c r="C5397" t="inlineStr">
        <is>
          <t>Hey guys.  Very new here.  So Wednesday at 2 aM I woke up with the most intense burning in my chest and such intense abdominal cramps I couldn’t stand up.  Long story short we went to the ER because it kept getting worse.   I have never felt pain like this.  I could many stand up due to my stomach.  They ran ekgs blood work etc.  I was dehydrated and they gave me a GI cocktail and morphine    Both helped immensely.  Issue is I’m not hungry and I’m cramping all the time.  Like gas cramps.  I just feel yucky but not throwing up yucky. I ate a bowl of cereal and it just was gross.  I got down some milkshake.   What the heck is going on!   I randomly turn green and my stomach churns but I’m not like nauseated.  It’s so weird!  Doctor prescribed 40 mg of Prilosec.   This is just crazy.  Any advice or stories are greatly appreciated.  Oh and the night this happened I ate a loaded sub from subway.   No vomiting or diarrhea either so not sure how I was dehydrated!   Thanks!!</t>
        </is>
      </c>
      <c r="D5397" t="n">
        <v>1</v>
      </c>
      <c r="E5397" t="n">
        <v>9</v>
      </c>
      <c r="F5397">
        <f>HYPERLINK("https://www.reddit.com/r/GERD/comments/f75q4b/ended_up_in_the_er_with_my_chest_on_fire_and/")</f>
        <v/>
      </c>
      <c r="G5397" t="inlineStr">
        <is>
          <t>2020-02-20 20:20:41</t>
        </is>
      </c>
      <c r="H5397" t="inlineStr"/>
    </row>
    <row r="5398">
      <c r="A5398" t="inlineStr">
        <is>
          <t>f75rhx</t>
        </is>
      </c>
      <c r="B5398" t="inlineStr">
        <is>
          <t>I can't stand the feeling of something being stuck in my throat</t>
        </is>
      </c>
      <c r="C5398" t="inlineStr">
        <is>
          <t>I can no longer afford health insurance which means I can't afford my prescription. I've just been taking the OTC stuff but it doesn't seem to be working. The prescription strength didn't work very well either. 
But very recently I started feeling like something is stuck in my throat ALL OF THE TIME. I take a drink of water and it hurts like something is being pushed down. I feel the water go down but the feeling of something being in my throat remains. This is all day long and it's worse if I'm hungry.
I had an upper endoscopy last year and that showed nothing. I was surprised because I felt I had something in my throat when I went in for the procedure then, too. I'm thinking of going to the walk in ENT soon and maybe they'll have some ideas. I seriously can't stand it any longer and I am so angry that no doctor has given me a solution other than take the stupid pills that don't do anything.
Does anyone have any idea for remedies? I was taking pre prevacid but I accidentally bought nexium so I'm finishing that bottle right now.</t>
        </is>
      </c>
      <c r="D5398" t="n">
        <v>1</v>
      </c>
      <c r="E5398" t="n">
        <v>3</v>
      </c>
      <c r="F5398">
        <f>HYPERLINK("https://www.reddit.com/r/GERD/comments/f75rhx/i_cant_stand_the_feeling_of_something_being_stuck/")</f>
        <v/>
      </c>
      <c r="G5398" t="inlineStr">
        <is>
          <t>2020-02-20 20:23:59</t>
        </is>
      </c>
      <c r="H5398" t="inlineStr"/>
    </row>
    <row r="5399">
      <c r="A5399" t="inlineStr">
        <is>
          <t>f75xxy</t>
        </is>
      </c>
      <c r="B5399" t="inlineStr">
        <is>
          <t>Does anyone else not have any specific triggers?</t>
        </is>
      </c>
      <c r="C5399" t="inlineStr">
        <is>
          <t>I've been miserable since the end of December.  Chest pain, stomach discomfort, anxiety, heart palpitations, all the usual.  Currently taking 40mg omeprazole, which kind of helps, sort of.  What's making me crazy is I can't seem to find any rhyme or reason to it.  I can't make any connection to any particular trigger foods.  Sometimes I eat things that should be bland and safe and wind up feeling like shit.  Other times, I eat something acid-y or spicy that I shouldn't and I'm just peachy afterward.  I try to sleep elevated, but sometimes I wind up laying flat during the night and wake up just fine.  Stress seems to make it worse, but I've had some of my worst flare ups sitting upright, playing video games on a Sunday morning.
The only thing that seems somewhat consistent is that eating anything is better than not eating.  I'd been avoiding food because I feel so lousy, but I've discovered that eating something, even when I feel like hot garbage, tends to leave me feeling better than if I have an empty stomach.  Other than that, it seems fairly random, which is frustrating because I don't feel like I have any control over it.</t>
        </is>
      </c>
      <c r="D5399" t="n">
        <v>1</v>
      </c>
      <c r="E5399" t="n">
        <v>9</v>
      </c>
      <c r="F5399">
        <f>HYPERLINK("https://www.reddit.com/r/GERD/comments/f75xxy/does_anyone_else_not_have_any_specific_triggers/")</f>
        <v/>
      </c>
      <c r="G5399" t="inlineStr">
        <is>
          <t>2020-02-20 20:39:35</t>
        </is>
      </c>
      <c r="H5399" t="inlineStr"/>
    </row>
    <row r="5400">
      <c r="A5400" t="inlineStr">
        <is>
          <t>f778ri</t>
        </is>
      </c>
      <c r="B5400" t="inlineStr">
        <is>
          <t>I’m not sure what’s wrong with me?</t>
        </is>
      </c>
      <c r="C5400" t="inlineStr">
        <is>
          <t>Hey all, not sure if this is the right place to put this but I figured I’d give it shot.
I’m 24 for reference, but for the past two weeks I’ve been suffering really bad nausea when I lie down and try to sleep, I’m actually still awake at 1:30 am right now because I couldn’t sleep. I’ve never really had any issues like this before, but my dad has gerd and I didn’t know if it was genetic. I’ve been trying to not eat more than 2 hours before I go to sleep, but it hasn’t really worked. I don’t know what other things could be causing nightly nausea, I don’t have the flu or anything like that, I’ve already been to the dr, and no anti nausea meds have helped me really at all.
TLDR: been nauseous at night time, would like some insights</t>
        </is>
      </c>
      <c r="D5400" t="n">
        <v>1</v>
      </c>
      <c r="E5400" t="n">
        <v>0</v>
      </c>
      <c r="F5400">
        <f>HYPERLINK("https://www.reddit.com/r/GERD/comments/f778ri/im_not_sure_whats_wrong_with_me/")</f>
        <v/>
      </c>
      <c r="G5400" t="inlineStr">
        <is>
          <t>2020-02-20 22:38:32</t>
        </is>
      </c>
      <c r="H5400" t="inlineStr"/>
    </row>
    <row r="5401">
      <c r="A5401" t="inlineStr">
        <is>
          <t>f7a4fx</t>
        </is>
      </c>
      <c r="B5401" t="inlineStr">
        <is>
          <t>Please Help it's disrupting my life</t>
        </is>
      </c>
      <c r="C5401" t="inlineStr">
        <is>
          <t>Hey guys so a few weeks ago I got a bad bout of indigestion which made my stomach feel swollen and bloated although I wasn't in any pain and I did not puke. Since then there hasn't been a minute where my stomach hasn't felt full.
 I don't have any triggering foods or anything that would cause acidity however I just feel so full that I feel like I'm gonna puke even though I haven't had anything. I don't feel any burning in my chest and I don't really  burp much or get gassy. another weird symptom I noticed is that the feeling of fullness normally comes after I'm standing up and is eased when I'm lying down The doctor put me on rabeprazole and domperidone for a week which didn't help significantly. I take vsl 3 for my IBS and peppermint oil once a day.
 I use to be someone who could digest practically anything however, since the past few weeks it seems like I can't digest anything. I'm really worried and I just don't know what to do. It's honestly coming in the way of my life as a high school student. Any advice is appreciated.</t>
        </is>
      </c>
      <c r="D5401" t="n">
        <v>1</v>
      </c>
      <c r="E5401" t="n">
        <v>5</v>
      </c>
      <c r="F5401">
        <f>HYPERLINK("https://www.reddit.com/r/GERD/comments/f7a4fx/please_help_its_disrupting_my_life/")</f>
        <v/>
      </c>
      <c r="G5401" t="inlineStr">
        <is>
          <t>2020-02-21 04:03:52</t>
        </is>
      </c>
      <c r="H5401" t="inlineStr"/>
    </row>
    <row r="5402">
      <c r="A5402" t="inlineStr">
        <is>
          <t>f7aqek</t>
        </is>
      </c>
      <c r="B5402" t="inlineStr">
        <is>
          <t>LPR success story!</t>
        </is>
      </c>
      <c r="C5402" t="inlineStr">
        <is>
          <t>I just wanted to share my story with you guys since I'm sure I will give someone hope and relief. 
My globus started in 11/2019, so few months ago. It would come and go but feeling was horrible. After week or 2 I visited a doctor who without endoscopy gave me month of PPI treatment. I experienced zero relief in that month. In meantime i developed other symptoms as throat clearing, mucus that won't go away(bit different feeling than globus), clicky throat while swallowing. 3 days after I stopped PPI i experienced horrible heartburn. I must say I never had heartburn before(maybe few times in my lifetime). I also started researching about GERD/LPR a lot. I've bought AWD book and it really helped me understand what's happening.
I knew exactly why I got this LPR. I was eating GERD triggers every. single. day. Fried, fast food, pizza, coke, coffee, smoked weed - this was my life. 
Well, since PPI's didn't help I decided to fully change my diet. I stopped smoking weed(which I was mixing with tobacco btw), I stopped all GERD triggers instantly. I started eating more vegetables, more fruit(bananas), more nuts(almonds, pistaccios). I drink only water and occasionally chamomile tea. I'm having regular meals. I'm having breakfast every day(I didn't eat breakfast for like 10 years at all - my breakfast before was cup or 2 of coffee and a joint lol). I'm walking at least 10k steps every day. 
I'm feeling really good now. I must say that I still have some post nasal drip, some mucus in the morning but all my other symptoms are gone! And without meds. Oh I almost forgot maybe most important thing - i'm taking probiotic capsule with breakfast and dinner - and I think that also helps a lot.</t>
        </is>
      </c>
      <c r="D5402" t="n">
        <v>1</v>
      </c>
      <c r="E5402" t="n">
        <v>32</v>
      </c>
      <c r="F5402">
        <f>HYPERLINK("https://www.reddit.com/r/GERD/comments/f7aqek/lpr_success_story/")</f>
        <v/>
      </c>
      <c r="G5402" t="inlineStr">
        <is>
          <t>2020-02-21 04:58:14</t>
        </is>
      </c>
      <c r="H5402" t="inlineStr"/>
    </row>
    <row r="5403">
      <c r="A5403" t="inlineStr">
        <is>
          <t>f7b8ku</t>
        </is>
      </c>
      <c r="B5403" t="inlineStr">
        <is>
          <t>Constant irritation in my LES area</t>
        </is>
      </c>
      <c r="C5403" t="inlineStr">
        <is>
          <t>I would like to know if you can relate to my experience of getting an irritated, cramped feeling around the LES area especially when I'm bloated, reflux is triggered and when I eat something that's hard to digest. Is this something that will just fade away when I follow the right diet for my GERD?</t>
        </is>
      </c>
      <c r="D5403" t="n">
        <v>1</v>
      </c>
      <c r="E5403" t="n">
        <v>20</v>
      </c>
      <c r="F5403">
        <f>HYPERLINK("https://www.reddit.com/r/GERD/comments/f7b8ku/constant_irritation_in_my_les_area/")</f>
        <v/>
      </c>
      <c r="G5403" t="inlineStr">
        <is>
          <t>2020-02-21 05:41:10</t>
        </is>
      </c>
      <c r="H5403" t="inlineStr"/>
    </row>
    <row r="5404">
      <c r="A5404" t="inlineStr">
        <is>
          <t>f7cg6x</t>
        </is>
      </c>
      <c r="B5404" t="inlineStr">
        <is>
          <t>Sleepless Nights with GERD</t>
        </is>
      </c>
      <c r="C5404" t="inlineStr">
        <is>
          <t>This week I found out I have GERD. I’ve started changing my diet a few years ago not knowing why I didn’t feel right. Last week I caught a nasty virus which gave me a burning sensation up my esophagus. It’s been a long week of not eating too much and trying to figure out what’s happening. When I saw my doctor this week she immediately thought it was GERD. After reading up on the symptoms I believe this is definitely what I have. 
 The biggest problem I’m having is sleep. I’m so tired because it’s hard to get a good night sleep. I’ve read up on wedge pillows. But I’m not sure which is best for me. I’m more of a side sleeper. 
If anyone has any recommendations for a good wedge pillow, I’d love to read about it.</t>
        </is>
      </c>
      <c r="D5404" t="n">
        <v>1</v>
      </c>
      <c r="E5404" t="n">
        <v>9</v>
      </c>
      <c r="F5404">
        <f>HYPERLINK("https://www.reddit.com/r/GERD/comments/f7cg6x/sleepless_nights_with_gerd/")</f>
        <v/>
      </c>
      <c r="G5404" t="inlineStr">
        <is>
          <t>2020-02-21 07:13:06</t>
        </is>
      </c>
      <c r="H5404" t="inlineStr"/>
    </row>
    <row r="5405">
      <c r="A5405" t="inlineStr">
        <is>
          <t>f7cqnb</t>
        </is>
      </c>
      <c r="B5405" t="inlineStr">
        <is>
          <t>Input?</t>
        </is>
      </c>
      <c r="C5405" t="inlineStr">
        <is>
          <t>Hi, so my GERD symptoms just started about 4 days ago, I was vomiting and have the sensation of something stuck in my throat. It got a little better by taking Pepcid and Tums.
Well now I still have the something stuck in my throat feeling, chest pains and a little bit of pain in my stomach, when sitting down.
Since 4 days ago I been eating a bland diet and I just started Prilosec OTC 20mg yesterday. Hopefully it works.
Am I doing the right thing? I went to my doctor a couple of years ago for chest pain and she said it was acid reflux and just suggested Prilosec and watch what I eat. BTW: I was on Amoxcillin for a sinus infection before this.</t>
        </is>
      </c>
      <c r="D5405" t="n">
        <v>1</v>
      </c>
      <c r="E5405" t="n">
        <v>3</v>
      </c>
      <c r="F5405">
        <f>HYPERLINK("https://www.reddit.com/r/GERD/comments/f7cqnb/input/")</f>
        <v/>
      </c>
      <c r="G5405" t="inlineStr">
        <is>
          <t>2020-02-21 07:33:15</t>
        </is>
      </c>
      <c r="H5405" t="inlineStr"/>
    </row>
    <row r="5406">
      <c r="A5406" t="inlineStr">
        <is>
          <t>f7ct76</t>
        </is>
      </c>
      <c r="B5406" t="inlineStr">
        <is>
          <t>Prilosec OTC &amp;amp; Probiotic?</t>
        </is>
      </c>
      <c r="C5406" t="inlineStr">
        <is>
          <t>Is it ok to take Prilosec OTC and a Probotic?</t>
        </is>
      </c>
      <c r="D5406" t="n">
        <v>1</v>
      </c>
      <c r="E5406" t="n">
        <v>3</v>
      </c>
      <c r="F5406">
        <f>HYPERLINK("https://www.reddit.com/r/GERD/comments/f7ct76/prilosec_otc_probiotic/")</f>
        <v/>
      </c>
      <c r="G5406" t="inlineStr">
        <is>
          <t>2020-02-21 07:38:20</t>
        </is>
      </c>
      <c r="H5406" t="inlineStr"/>
    </row>
    <row r="5407">
      <c r="A5407" t="inlineStr">
        <is>
          <t>f7fwva</t>
        </is>
      </c>
      <c r="B5407" t="inlineStr">
        <is>
          <t>Best painkiller/treatment for caffeine withdrawal headaches?</t>
        </is>
      </c>
      <c r="C5407" t="inlineStr">
        <is>
          <t>I know they’re gonna be bad tomorrow. Any advice?</t>
        </is>
      </c>
      <c r="D5407" t="n">
        <v>1</v>
      </c>
      <c r="E5407" t="n">
        <v>13</v>
      </c>
      <c r="F5407">
        <f>HYPERLINK("https://www.reddit.com/r/GERD/comments/f7fwva/best_painkillertreatment_for_caffeine_withdrawal/")</f>
        <v/>
      </c>
      <c r="G5407" t="inlineStr">
        <is>
          <t>2020-02-21 11:07:35</t>
        </is>
      </c>
      <c r="H5407" t="inlineStr"/>
    </row>
    <row r="5408">
      <c r="A5408" t="inlineStr">
        <is>
          <t>f7gi3i</t>
        </is>
      </c>
      <c r="B5408" t="inlineStr">
        <is>
          <t>“Ball” like pain below sternum</t>
        </is>
      </c>
      <c r="C5408" t="inlineStr">
        <is>
          <t>Hi all,
I woke up this morning and it  feels like there is a knot or ball just below my sternum. (There is no actual mass there) If I press on that area with some force, it hurts a lot.
I have a small hiatal hernia, is this where it would be located ?  Does anyone else have this experience.</t>
        </is>
      </c>
      <c r="D5408" t="n">
        <v>1</v>
      </c>
      <c r="E5408" t="n">
        <v>4</v>
      </c>
      <c r="F5408">
        <f>HYPERLINK("https://www.reddit.com/r/GERD/comments/f7gi3i/ball_like_pain_below_sternum/")</f>
        <v/>
      </c>
      <c r="G5408" t="inlineStr">
        <is>
          <t>2020-02-21 11:48:05</t>
        </is>
      </c>
      <c r="H5408" t="inlineStr"/>
    </row>
    <row r="5409">
      <c r="A5409" t="inlineStr">
        <is>
          <t>f7h15q</t>
        </is>
      </c>
      <c r="B5409" t="inlineStr">
        <is>
          <t>Diet changes and silent reflux</t>
        </is>
      </c>
      <c r="C5409" t="inlineStr">
        <is>
          <t>Hello, I was recently diagnosed with silent reflux and it was recommended I change my diet. Apparently antacids make that stuff easier to eat without symptoms but will still damage the esophagus and make the problem worse. 
So I'm looking for some tips on cutting out/reducing what are probably my favorite foodstuffs: coffee, chocolate, wine, cheese, acidic fruits and vegetables, etc. Any tips for getting rid of this stuff (gradually or cold turkey?) or recommendations for substitutions for some of these things are greatly appreciated :)</t>
        </is>
      </c>
      <c r="D5409" t="n">
        <v>1</v>
      </c>
      <c r="E5409" t="n">
        <v>14</v>
      </c>
      <c r="F5409">
        <f>HYPERLINK("https://www.reddit.com/r/GERD/comments/f7h15q/diet_changes_and_silent_reflux/")</f>
        <v/>
      </c>
      <c r="G5409" t="inlineStr">
        <is>
          <t>2020-02-21 12:23:06</t>
        </is>
      </c>
      <c r="H5409" t="inlineStr"/>
    </row>
    <row r="5410">
      <c r="A5410" t="inlineStr">
        <is>
          <t>f7i11l</t>
        </is>
      </c>
      <c r="B5410" t="inlineStr">
        <is>
          <t>Aluvra/Nectar Clinical Trial</t>
        </is>
      </c>
      <c r="C5410" t="inlineStr">
        <is>
          <t>Hey Gang,
Anyone familiar or know anyone participating in the Aluvra/Nectar clinical trial? I heard about this recently, and today I was contacted by a clinic that is participating in the trial to ask if I was interested.
Here's a link to the trial: [https://www.nectarstudy.com/](https://www.nectarstudy.com/)</t>
        </is>
      </c>
      <c r="D5410" t="n">
        <v>1</v>
      </c>
      <c r="E5410" t="n">
        <v>2</v>
      </c>
      <c r="F5410">
        <f>HYPERLINK("https://www.reddit.com/r/GERD/comments/f7i11l/aluvranectar_clinical_trial/")</f>
        <v/>
      </c>
      <c r="G5410" t="inlineStr">
        <is>
          <t>2020-02-21 13:29:17</t>
        </is>
      </c>
      <c r="H5410" t="inlineStr"/>
    </row>
    <row r="5411">
      <c r="A5411" t="inlineStr">
        <is>
          <t>f7i84f</t>
        </is>
      </c>
      <c r="B5411" t="inlineStr">
        <is>
          <t>Hoping to hear about your GI experience!</t>
        </is>
      </c>
      <c r="C5411" t="inlineStr">
        <is>
          <t>Happy Friday, r/GERD!
[Oshi Health](https://www.oshihealth.com/)'s UX Team is currently looking for patients with GERD as well as other GI chronic diseases to learn more about your experiences with receiving GI care. We created a short survey hoping to capture some of the missing pieces of information in our user research. It should only take about 8 minutes to complete. 
If you are interested in helping us, please fill out the following form:
[Survey Link](https://www.surveymonkey.com/r/S57F2KJ)
We would really appreciate the extra feedback.  
Thank you so much for your help,  
UX Team at Oshi Health</t>
        </is>
      </c>
      <c r="D5411" t="n">
        <v>1</v>
      </c>
      <c r="E5411" t="n">
        <v>3</v>
      </c>
      <c r="F5411">
        <f>HYPERLINK("https://www.reddit.com/r/GERD/comments/f7i84f/hoping_to_hear_about_your_gi_experience/")</f>
        <v/>
      </c>
      <c r="G5411" t="inlineStr">
        <is>
          <t>2020-02-21 13:42:15</t>
        </is>
      </c>
      <c r="H5411" t="inlineStr"/>
    </row>
    <row r="5412">
      <c r="A5412" t="inlineStr">
        <is>
          <t>f7javr</t>
        </is>
      </c>
      <c r="B5412" t="inlineStr">
        <is>
          <t>Esophagitis but with no pain?!!</t>
        </is>
      </c>
      <c r="C5412" t="inlineStr">
        <is>
          <t>Recently I did an upper endoscopy due to a suspicion of inflammation in the digestive tract and an inflammation of the esophagus was noticed and esophagitis was confirmed with heavy ulceration after taking a tissue sample and the doctor said from the looks of it, it's probably old.
The thing is I was suffering no pain from it and I rarely feel a heartburn (I used to have GERD years ago but not anymore).
nevertheless I took PPI for about a month, but I am wandering now if I should do another endoscopy to check if it's gone as I can't rely on symptoms since I didn't had any to begin with, and i know there can be a risk of developing cancer if left untreated.
p.s. the endoscopy report also states that I have a very slight case of sliding hernia.</t>
        </is>
      </c>
      <c r="D5412" t="n">
        <v>1</v>
      </c>
      <c r="E5412" t="n">
        <v>7</v>
      </c>
      <c r="F5412">
        <f>HYPERLINK("https://www.reddit.com/r/GERD/comments/f7javr/esophagitis_but_with_no_pain/")</f>
        <v/>
      </c>
      <c r="G5412" t="inlineStr">
        <is>
          <t>2020-02-21 14:55:02</t>
        </is>
      </c>
      <c r="H5412" t="inlineStr"/>
    </row>
    <row r="5413">
      <c r="A5413" t="inlineStr">
        <is>
          <t>f7ky1d</t>
        </is>
      </c>
      <c r="B5413" t="inlineStr">
        <is>
          <t>Please help</t>
        </is>
      </c>
      <c r="C5413" t="inlineStr">
        <is>
          <t>Hello I've been taking Omeprazole 40mg for seven days and I'm wondering how long will it take for it to help my symptoms. I'm not having a lot of heartburn but I'm still burping a lot, my mouth taste bitter, spitting up foam and it feels like there's a lump in my throat. I experienced GERD back in  2018 it skipped 2019 but now it's back again. Please help! I already live with depression and anxiety and GERD is making me miserable.</t>
        </is>
      </c>
      <c r="D5413" t="n">
        <v>1</v>
      </c>
      <c r="E5413" t="n">
        <v>10</v>
      </c>
      <c r="F5413">
        <f>HYPERLINK("https://www.reddit.com/r/GERD/comments/f7ky1d/please_help/")</f>
        <v/>
      </c>
      <c r="G5413" t="inlineStr">
        <is>
          <t>2020-02-21 16:54:29</t>
        </is>
      </c>
      <c r="H5413" t="inlineStr"/>
    </row>
    <row r="5414">
      <c r="A5414" t="inlineStr">
        <is>
          <t>f7lihb</t>
        </is>
      </c>
      <c r="B5414" t="inlineStr">
        <is>
          <t>GERD and sensitivity to perfumes?</t>
        </is>
      </c>
      <c r="C5414" t="inlineStr">
        <is>
          <t>I feel like fragrances quickly create a lot more mucus in my throat? Anyone else getting this?</t>
        </is>
      </c>
      <c r="D5414" t="n">
        <v>1</v>
      </c>
      <c r="E5414" t="n">
        <v>1</v>
      </c>
      <c r="F5414">
        <f>HYPERLINK("https://www.reddit.com/r/GERD/comments/f7lihb/gerd_and_sensitivity_to_perfumes/")</f>
        <v/>
      </c>
      <c r="G5414" t="inlineStr">
        <is>
          <t>2020-02-21 17:39:35</t>
        </is>
      </c>
      <c r="H5414" t="inlineStr"/>
    </row>
    <row r="5415">
      <c r="A5415" t="inlineStr">
        <is>
          <t>f7ns72</t>
        </is>
      </c>
      <c r="B5415" t="inlineStr">
        <is>
          <t>Going down the rabbit hole, please join me...</t>
        </is>
      </c>
      <c r="C5415" t="inlineStr">
        <is>
          <t>Perhaps even add some input here. I'm going to do my best to keep it succinct.
I'm 40. Had a tonsillectomy Dec. 1, 2019. Didn't experience any Gerd like symptoms. In middle of January, caught a bronchitis type of cold. Ended up on antibiotics twice with a round of steroids; not happy about that. Anyhow, my last antibiotic was 2/7. Right around then, I started experiencing this sour/rancid taste in the back of my throat. It's intermittent. Sometimes not noticeable, sometimes completely present. I've quit coffee 4 days ago to see if it helps. 
My ENT thought it was Gerd, but put me on a rinse of Nystatin since I had concerns of Candida overgrowth from all the antibiotics I took in the past 12 months. 
If you're still reading, thank you. Ok, so here are my guesses:
1. It is Candida - anyone familiar with the taste in their mouth from this?
2. It's Gerd or perhaps I have an issue with my esophagus sphincter now because of the tonsillectomy - is that possible?
3. One of my toncills is slightly infected? Though I don't feel pain, albeit I feel some slight inflammation or a tickle - I could be wrong about my description here. 
I'm seeing a gastroenterologist this coming week - if there's any insight you think I should add to the conversation, please let me know. 
I'm extremely reluctant to go on PPIs and Antacids, I'm of the belief that they can cause more long term issues. 
Any input would be extremely appreciated. I know a lot of people come to this forum with their own struggles and issues, and if you happen to be one of them, I wish you good health.</t>
        </is>
      </c>
      <c r="D5415" t="n">
        <v>1</v>
      </c>
      <c r="E5415" t="n">
        <v>20</v>
      </c>
      <c r="F5415">
        <f>HYPERLINK("https://www.reddit.com/r/GERD/comments/f7ns72/going_down_the_rabbit_hole_please_join_me/")</f>
        <v/>
      </c>
      <c r="G5415" t="inlineStr">
        <is>
          <t>2020-02-21 20:49:25</t>
        </is>
      </c>
      <c r="H5415" t="inlineStr"/>
    </row>
    <row r="5416">
      <c r="A5416" t="inlineStr">
        <is>
          <t>f7nvw5</t>
        </is>
      </c>
      <c r="B5416" t="inlineStr">
        <is>
          <t>How long for ppi to work?</t>
        </is>
      </c>
      <c r="C5416" t="inlineStr">
        <is>
          <t>When do you know if there working because I’m not getting any relief and it’s going to be a week on them?</t>
        </is>
      </c>
      <c r="D5416" t="n">
        <v>1</v>
      </c>
      <c r="E5416" t="n">
        <v>6</v>
      </c>
      <c r="F5416">
        <f>HYPERLINK("https://www.reddit.com/r/GERD/comments/f7nvw5/how_long_for_ppi_to_work/")</f>
        <v/>
      </c>
      <c r="G5416" t="inlineStr">
        <is>
          <t>2020-02-21 20:58:38</t>
        </is>
      </c>
      <c r="H5416" t="inlineStr"/>
    </row>
    <row r="5417">
      <c r="A5417" t="inlineStr">
        <is>
          <t>f7o456</t>
        </is>
      </c>
      <c r="B5417" t="inlineStr">
        <is>
          <t>Can feel heart easier? Heart beating harder?</t>
        </is>
      </c>
      <c r="C5417" t="inlineStr">
        <is>
          <t>Hey guys! I was recently diagnosed with gerd/acid reflux and don’t find I have stomach issues aside from some cramps a few days and they’re very light and haven’t had them since but since it’s started I’ve often felt my heartbeat as if it’s closer to my skin or beating harder, is this a common thing? Makes me very worried.  Not beating faster or different it seems just easier to find.</t>
        </is>
      </c>
      <c r="D5417" t="n">
        <v>1</v>
      </c>
      <c r="E5417" t="n">
        <v>6</v>
      </c>
      <c r="F5417">
        <f>HYPERLINK("https://www.reddit.com/r/GERD/comments/f7o456/can_feel_heart_easier_heart_beating_harder/")</f>
        <v/>
      </c>
      <c r="G5417" t="inlineStr">
        <is>
          <t>2020-02-21 21:19:10</t>
        </is>
      </c>
      <c r="H5417" t="inlineStr"/>
    </row>
    <row r="5418">
      <c r="A5418" t="inlineStr">
        <is>
          <t>f7okoq</t>
        </is>
      </c>
      <c r="B5418" t="inlineStr">
        <is>
          <t>Probiotics + PPI?</t>
        </is>
      </c>
      <c r="C5418" t="inlineStr">
        <is>
          <t>Help, I’m taking pantoprazole 40 mg and it was working before with my hypersalivation but now it stopped working. I see some posts on here saying to take probiotics with the ppi. When should I take it and what brand? Will it help with other symptoms like chest pain, sour taste in mouth, stomach burning? I have gastritis and GERD.</t>
        </is>
      </c>
      <c r="D5418" t="n">
        <v>1</v>
      </c>
      <c r="E5418" t="n">
        <v>0</v>
      </c>
      <c r="F5418">
        <f>HYPERLINK("https://www.reddit.com/r/GERD/comments/f7okoq/probiotics_ppi/")</f>
        <v/>
      </c>
      <c r="G5418" t="inlineStr">
        <is>
          <t>2020-02-21 22:04:12</t>
        </is>
      </c>
      <c r="H5418" t="inlineStr"/>
    </row>
    <row r="5419">
      <c r="A5419" t="inlineStr">
        <is>
          <t>f7oqqt</t>
        </is>
      </c>
      <c r="B5419" t="inlineStr">
        <is>
          <t>I Had GERD / Acid Reflux for 5 years and Beat It (Kinda) AMA</t>
        </is>
      </c>
      <c r="C5419" t="inlineStr">
        <is>
          <t>ill try to answer all your questions when I have time. It's pretty bad but it's not the worst thing out there, trust me. It seems like the worst thing ever but I've had worse. My symptoms got better for sure now I only get like 10% of the symptoms which are not the best appetite and a stomach that still hurts almost every morning but I'm used to it at this point.
Mods can pin this if you want, I'm no doctor but I've done my research and been through this shit for sure.</t>
        </is>
      </c>
      <c r="D5419" t="n">
        <v>1</v>
      </c>
      <c r="E5419" t="n">
        <v>25</v>
      </c>
      <c r="F5419">
        <f>HYPERLINK("https://www.reddit.com/r/GERD/comments/f7oqqt/i_had_gerd_acid_reflux_for_5_years_and_beat_it/")</f>
        <v/>
      </c>
      <c r="G5419" t="inlineStr">
        <is>
          <t>2020-02-21 22:21:42</t>
        </is>
      </c>
      <c r="H5419" t="inlineStr"/>
    </row>
    <row r="5420">
      <c r="A5420" t="inlineStr">
        <is>
          <t>f7pfp1</t>
        </is>
      </c>
      <c r="B5420" t="inlineStr">
        <is>
          <t>Warm water method</t>
        </is>
      </c>
      <c r="C5420" t="inlineStr">
        <is>
          <t>Has anyone noticed a difference by doing the warm water fix exercise? I think it has another name, which I can't recall, but supposedly this is for hiatal hernias.
While you are still in bed, just after waking, drink a glass of slightly warm or room temperature water. This will relax the stomach muscles and the diaphragm and put some weight in the stomach.
Stand up, while lifting your arms straight out from your sides bend your elbows, so your hands touch your chest. This opens the hiatus and stretches the diaphragm.
Rise up on your toes as high as possible, while quickly dropping on your heels. Doing this several times in a row will allow the weight of the water to pull the stomach down.
Standing with your arms up, take a few short, quick breaths with your mouth open for about 15 seconds. The panting will help to tighten the diaphragm back up and close the hole.</t>
        </is>
      </c>
      <c r="D5420" t="n">
        <v>1</v>
      </c>
      <c r="E5420" t="n">
        <v>0</v>
      </c>
      <c r="F5420">
        <f>HYPERLINK("https://www.reddit.com/r/GERD/comments/f7pfp1/warm_water_method/")</f>
        <v/>
      </c>
      <c r="G5420" t="inlineStr">
        <is>
          <t>2020-02-21 23:36:04</t>
        </is>
      </c>
      <c r="H5420" t="inlineStr"/>
    </row>
    <row r="5421">
      <c r="A5421" t="inlineStr">
        <is>
          <t>f7pxb4</t>
        </is>
      </c>
      <c r="B5421" t="inlineStr">
        <is>
          <t>How often do you experience acid reflux?</t>
        </is>
      </c>
      <c r="C5421" t="inlineStr">
        <is>
          <t>Hi there, GERD-sufferer of 12 years here. Personally, I've got acid reflux fifty to twohundred times a-day. Is this normal?</t>
        </is>
      </c>
      <c r="D5421" t="n">
        <v>1</v>
      </c>
      <c r="E5421" t="n">
        <v>2</v>
      </c>
      <c r="F5421">
        <f>HYPERLINK("https://www.reddit.com/r/GERD/comments/f7pxb4/how_often_do_you_experience_acid_reflux/")</f>
        <v/>
      </c>
      <c r="G5421" t="inlineStr">
        <is>
          <t>2020-02-22 00:32:43</t>
        </is>
      </c>
      <c r="H5421" t="inlineStr"/>
    </row>
    <row r="5422">
      <c r="A5422" t="inlineStr">
        <is>
          <t>f7q1ic</t>
        </is>
      </c>
      <c r="B5422" t="inlineStr">
        <is>
          <t>Tips on getting off dexilant 60mg without rebound symptoms</t>
        </is>
      </c>
      <c r="C5422" t="inlineStr">
        <is>
          <t>Has anyone been successful getting off Dexilant 60mg? If so, could you share your story on how you successfully tapered down without experiencing rebound symptoms (use of OTC meds etc.), as well as how long it took you to get off it?
Long story short, the GP misdiagnosed my gut problem with gastritis early last year and I've been on dexilant for 10 months ever since. Back then, I never experienced what heartburn or nausea felt like so I just assumed whatever I was feeling was symptoms of gastritis. 
After finally getting referred to a specialist (waited a year since I'm so "young"), I recently underwent both a gastroscopy and colonoscopy to confirm the misdiagnosis. Now my specialist wants me off the meds - the problem is, I've tried tapering off back in November (doctors told me to take it every other day), which led to rebound symptoms and made me go through hell.
Any tips or word of advice would be helpful!</t>
        </is>
      </c>
      <c r="D5422" t="n">
        <v>1</v>
      </c>
      <c r="E5422" t="n">
        <v>1</v>
      </c>
      <c r="F5422">
        <f>HYPERLINK("https://www.reddit.com/r/GERD/comments/f7q1ic/tips_on_getting_off_dexilant_60mg_without_rebound/")</f>
        <v/>
      </c>
      <c r="G5422" t="inlineStr">
        <is>
          <t>2020-02-22 00:47:06</t>
        </is>
      </c>
      <c r="H5422" t="inlineStr"/>
    </row>
    <row r="5423">
      <c r="A5423" t="inlineStr">
        <is>
          <t>f7sfeo</t>
        </is>
      </c>
      <c r="B5423" t="inlineStr">
        <is>
          <t>Easier to sleep on right side</t>
        </is>
      </c>
      <c r="C5423" t="inlineStr">
        <is>
          <t>When I try to sleep on my left side I sometimes get a slight chest pain where the top of my stomach is I think.  Anyone else?</t>
        </is>
      </c>
      <c r="D5423" t="n">
        <v>1</v>
      </c>
      <c r="E5423" t="n">
        <v>12</v>
      </c>
      <c r="F5423">
        <f>HYPERLINK("https://www.reddit.com/r/GERD/comments/f7sfeo/easier_to_sleep_on_right_side/")</f>
        <v/>
      </c>
      <c r="G5423" t="inlineStr">
        <is>
          <t>2020-02-22 05:18:59</t>
        </is>
      </c>
      <c r="H5423" t="inlineStr"/>
    </row>
    <row r="5424">
      <c r="A5424" t="inlineStr">
        <is>
          <t>f7ssi7</t>
        </is>
      </c>
      <c r="B5424" t="inlineStr">
        <is>
          <t>Does Pre-workout cause heart burn?</t>
        </is>
      </c>
      <c r="C5424" t="inlineStr">
        <is>
          <t>I took c4 yesterday at around 5:30pm and have been feeling like shit since then especially this burning sensation on the left chest and being anxious all the time which is causing my heartbeat to always stay around 120.
-And now its almost 7:20pm on the next day, this heart burn is not going away. I thought the side effects of pre-workout lasts for only about 6 hours or so at max.</t>
        </is>
      </c>
      <c r="D5424" t="n">
        <v>1</v>
      </c>
      <c r="E5424" t="n">
        <v>3</v>
      </c>
      <c r="F5424">
        <f>HYPERLINK("https://www.reddit.com/r/GERD/comments/f7ssi7/does_preworkout_cause_heart_burn/")</f>
        <v/>
      </c>
      <c r="G5424" t="inlineStr">
        <is>
          <t>2020-02-22 05:54:00</t>
        </is>
      </c>
      <c r="H5424" t="inlineStr"/>
    </row>
    <row r="5425">
      <c r="A5425" t="inlineStr">
        <is>
          <t>f7tvu3</t>
        </is>
      </c>
      <c r="B5425" t="inlineStr">
        <is>
          <t>Having A GERD Flare Up. Must Take Antibiotics For Unrelated Infection</t>
        </is>
      </c>
      <c r="C5425" t="inlineStr">
        <is>
          <t>Flare up started earlier this week. Have now developed unrelated infection requiring Augmentin. I currently take 20 mg of Famotidine a day. Dr didn’t have any suggestions other than maintain strict life style changes. 
Anyone have similar experience and/or suggestions?
Thanks in advance!</t>
        </is>
      </c>
      <c r="D5425" t="n">
        <v>1</v>
      </c>
      <c r="E5425" t="n">
        <v>0</v>
      </c>
      <c r="F5425">
        <f>HYPERLINK("https://www.reddit.com/r/GERD/comments/f7tvu3/having_a_gerd_flare_up_must_take_antibiotics_for/")</f>
        <v/>
      </c>
      <c r="G5425" t="inlineStr">
        <is>
          <t>2020-02-22 07:22:59</t>
        </is>
      </c>
      <c r="H5425" t="inlineStr"/>
    </row>
    <row r="5426">
      <c r="A5426" t="inlineStr">
        <is>
          <t>f7u2s8</t>
        </is>
      </c>
      <c r="B5426" t="inlineStr">
        <is>
          <t>Thought on pepcid/ppi use and my side effects?</t>
        </is>
      </c>
      <c r="C5426" t="inlineStr">
        <is>
          <t>So I had a gastritis/gerd flareup on christmas day. Acid reflux, stomach pain, etc.
My doctor prescribed famotidine 20mg twice a day. Within a  couple weeks things were better but I was still dealing with acid reflux whenever I ate food. 
My doctor upped me to 40mg twice a day. All symptoms went away for 2 days. Third day I started to have bad heartburn and chest/stomach pressure alongside acid reflux. 
I went back to just 20mg twice a day and heartburn went away that day but acid reflux was still present.
Was on that about 2 weeks before I woke up one day and decided to stop taking famotidine and tried a zegerid 20mg in the morning. An hour later I ate my normal breakfast with almost 0 symptoms. 
I have sense been taking a zegerid once in the am the past 4 days and things are better but it seems like I still have very slight acid reflux now.
I have no idea what to make of all of this. My diet hasnt changed at all in over 4 weeks. Same meals everyday. 
Thoughts? 
My doctors have done just about every test possible except for a ph test and only thing they found over the past 6 months was gastritis of the stomach.</t>
        </is>
      </c>
      <c r="D5426" t="n">
        <v>1</v>
      </c>
      <c r="E5426" t="n">
        <v>0</v>
      </c>
      <c r="F5426">
        <f>HYPERLINK("https://www.reddit.com/r/GERD/comments/f7u2s8/thought_on_pepcidppi_use_and_my_side_effects/")</f>
        <v/>
      </c>
      <c r="G5426" t="inlineStr">
        <is>
          <t>2020-02-22 07:37:57</t>
        </is>
      </c>
      <c r="H5426" t="inlineStr"/>
    </row>
    <row r="5427">
      <c r="A5427" t="inlineStr">
        <is>
          <t>f7u6gk</t>
        </is>
      </c>
      <c r="B5427" t="inlineStr">
        <is>
          <t>How often are PPIs successful for someone who had his very first acid reflux ever and didnt take anything against it for 3 days.</t>
        </is>
      </c>
      <c r="C5427" t="inlineStr">
        <is>
          <t>Hello, some of you have seen my posts in this thread probably before. Everyone seems so vague about the topic, even the doctors and pharmacists, which bothers me a lot.
It happened during the 26th january over night. My first heartburn ever. It was really scary for me. I had eaten a lot of junk/fatty food throughout the day, kinda more than usual... Also I had a lot of stress &amp;amp; lacked a lot of sleep the previous week.
The symptoms such as sore throat and pain was getting worst. My pharmacist prescribed me Nexium 14-Days. After 5 days, I had a lot of pain (side effects of nexium). We went to the hospital as I thought I was about to die, they did a few tests and prescribed me Pantoprazole for 2 months.
It's been 2 weeks now and even tho the side effects sucks sometimes, It does seems to get better. Also, sometimes it does seem like I have reflux, but I think it's just abdominal pain from the PPI's side effects. I'm very careful on my diet, so no reason for an acid reflux.
Could it just be that the one episode of acid reflux, untreated for 3 days, damaged my stomach really badly? What are the chances of me getting out of this just fine after the 2 months? Doctors told me that after 2 months everything will be back to normal again for me, just to be more careful on what I eat, but i'm reading a lot of stories where people have been stuck on the medicine for many years.
I know everyone's differenf but I really need to know whats coming my way, for my mental health. I need odds, numbers, success story if any.</t>
        </is>
      </c>
      <c r="D5427" t="n">
        <v>1</v>
      </c>
      <c r="E5427" t="n">
        <v>0</v>
      </c>
      <c r="F5427">
        <f>HYPERLINK("https://www.reddit.com/r/GERD/comments/f7u6gk/how_often_are_ppis_successful_for_someone_who_had/")</f>
        <v/>
      </c>
      <c r="G5427" t="inlineStr">
        <is>
          <t>2020-02-22 07:45:36</t>
        </is>
      </c>
      <c r="H5427" t="inlineStr"/>
    </row>
    <row r="5428">
      <c r="A5428" t="inlineStr">
        <is>
          <t>f7udhh</t>
        </is>
      </c>
      <c r="B5428" t="inlineStr">
        <is>
          <t>Low stomach acid how did you fix it? No help Betain/hcl</t>
        </is>
      </c>
      <c r="C5428" t="inlineStr">
        <is>
          <t>Hi, 
&amp;amp;#x200B;
I am not sure if I have low or high stomach acid but I def suspect low since I have a hard time breaking down protein,candida,ibs,sibo. The antibiotic Xifaxan unfortunely destroyed my digestion. I now get very tired everytime I eat.
I've tried 2 brands of betain hcl now with no success. It just makes me feel bloated. 
And apple cider vinegar just slows my digestion down. How did you guys fix this and are you supposed to feel instant relief on betain/hcl?</t>
        </is>
      </c>
      <c r="D5428" t="n">
        <v>1</v>
      </c>
      <c r="E5428" t="n">
        <v>0</v>
      </c>
      <c r="F5428">
        <f>HYPERLINK("https://www.reddit.com/r/GERD/comments/f7udhh/low_stomach_acid_how_did_you_fix_it_no_help/")</f>
        <v/>
      </c>
      <c r="G5428" t="inlineStr">
        <is>
          <t>2020-02-22 08:00:15</t>
        </is>
      </c>
      <c r="H5428" t="inlineStr"/>
    </row>
    <row r="5429">
      <c r="A5429" t="inlineStr">
        <is>
          <t>f7ue9n</t>
        </is>
      </c>
      <c r="B5429" t="inlineStr">
        <is>
          <t>Low stomach acid how do you fix it?</t>
        </is>
      </c>
      <c r="C5429" t="inlineStr">
        <is>
          <t>&amp;amp;#x200B;
Hi,
I am not sure if I have low or high stomach acid but I def suspect low since I have a hard time breaking down protein,candida,ibs,sibo. I also have a uncormtable feeling from my throat when I eat.
The antibiotic Xifaxan unfortunely destroyed my digestion. I also get very tired everytime I eat.
I've tried 2 brands of betain hcl now with no success. It just makes me feel bloated.
And apple cider vinegar just slows my digestion down. How did you guys fix this and are you supposed to feel instant relief on betain/hcl?</t>
        </is>
      </c>
      <c r="D5429" t="n">
        <v>1</v>
      </c>
      <c r="E5429" t="n">
        <v>23</v>
      </c>
      <c r="F5429">
        <f>HYPERLINK("https://www.reddit.com/r/GERD/comments/f7ue9n/low_stomach_acid_how_do_you_fix_it/")</f>
        <v/>
      </c>
      <c r="G5429" t="inlineStr">
        <is>
          <t>2020-02-22 08:01:46</t>
        </is>
      </c>
      <c r="H5429" t="inlineStr"/>
    </row>
    <row r="5430">
      <c r="A5430" t="inlineStr">
        <is>
          <t>f7uo3d</t>
        </is>
      </c>
      <c r="B5430" t="inlineStr">
        <is>
          <t>Anyone Tried “EsoPH” treatment?</t>
        </is>
      </c>
      <c r="C5430" t="inlineStr">
        <is>
          <t>I was at the pharmacy and saw this box behind the counter branded EsoPH and it caught my eye. I looked it up and read their website and it’s got me obsessing over getting it because of the way it’s supposed to work. I’ve read reviews on amazon and all seem to be legit and say it works wonders. 
I just wanted to see if anyone in this community has tried it and has anything to say about it working or not working.
Or maybe you can even look it up and try it and hopefully it will help! I’m getting it this weekend and I can update my experience with it over the week.</t>
        </is>
      </c>
      <c r="D5430" t="n">
        <v>1</v>
      </c>
      <c r="E5430" t="n">
        <v>16</v>
      </c>
      <c r="F5430">
        <f>HYPERLINK("https://www.reddit.com/r/GERD/comments/f7uo3d/anyone_tried_esoph_treatment/")</f>
        <v/>
      </c>
      <c r="G5430" t="inlineStr">
        <is>
          <t>2020-02-22 08:21:13</t>
        </is>
      </c>
      <c r="H5430" t="inlineStr"/>
    </row>
    <row r="5431">
      <c r="A5431" t="inlineStr">
        <is>
          <t>f7uqre</t>
        </is>
      </c>
      <c r="B5431" t="inlineStr">
        <is>
          <t>Can laryngeal sensory neuropathy (LSN) cause laryngitis/voice issues?</t>
        </is>
      </c>
      <c r="C5431" t="inlineStr">
        <is>
          <t>LSN can mimic the effects of LPR, but I’m not too sure exactly what symptoms LSN can directly be responsible for since it is sensory related
I’m going to an ENT and GI in a few weeks, but I figured I’d ask it here to see if anyone’s had experience with LSN and any treatments prescribed for it.</t>
        </is>
      </c>
      <c r="D5431" t="n">
        <v>1</v>
      </c>
      <c r="E5431" t="n">
        <v>2</v>
      </c>
      <c r="F5431">
        <f>HYPERLINK("https://www.reddit.com/r/GERD/comments/f7uqre/can_laryngeal_sensory_neuropathy_lsn_cause/")</f>
        <v/>
      </c>
      <c r="G5431" t="inlineStr">
        <is>
          <t>2020-02-22 08:26:26</t>
        </is>
      </c>
      <c r="H5431" t="inlineStr"/>
    </row>
    <row r="5432">
      <c r="A5432" t="inlineStr">
        <is>
          <t>f7xt8l</t>
        </is>
      </c>
      <c r="B5432" t="inlineStr">
        <is>
          <t>Acid reflux won’t go away after 3 hours</t>
        </is>
      </c>
      <c r="C5432" t="inlineStr">
        <is>
          <t>My LPR started 3 hours ago after I ate a veggie burger I suppose too fast and too much. 
I took a mallox, it didn’t help, after 2 hours I drank a glass of water with baking soda, still nothing and I have the same symptoms; constant tightness and lump in my neck, lots of saliva, heartburn, and sometimes pressure in the stomach. I can’t swallow anything and I have difficulty talking. 
Anyone that has some advice or anything that could help relieve the symptoms? Thank you</t>
        </is>
      </c>
      <c r="D5432" t="n">
        <v>1</v>
      </c>
      <c r="E5432" t="n">
        <v>0</v>
      </c>
      <c r="F5432">
        <f>HYPERLINK("https://www.reddit.com/r/GERD/comments/f7xt8l/acid_reflux_wont_go_away_after_3_hours/")</f>
        <v/>
      </c>
      <c r="G5432" t="inlineStr">
        <is>
          <t>2020-02-22 11:56:35</t>
        </is>
      </c>
      <c r="H5432" t="inlineStr"/>
    </row>
    <row r="5433">
      <c r="A5433" t="inlineStr">
        <is>
          <t>f7y56p</t>
        </is>
      </c>
      <c r="B5433" t="inlineStr">
        <is>
          <t>Does anyone else have blurry vision?</t>
        </is>
      </c>
      <c r="C5433" t="inlineStr">
        <is>
          <t>Blurred vision gives me a lot of anxiety and it’s extremely frustrating. I know it’s not anxiety that’s causing it either, my anxiety comes after my vision starts to become blurry. Usually blurred vision from anxiety is accompanied by heavy breathing or a panic attack, which is a rare occasion for me. It’s horrible that all my symptoms relate to anxiety, I feel like I have anxiety 24/7 and it’s really hard to live a normal life now. I have an endoscopy on Wednesday, hope it goes well!</t>
        </is>
      </c>
      <c r="D5433" t="n">
        <v>1</v>
      </c>
      <c r="E5433" t="n">
        <v>8</v>
      </c>
      <c r="F5433">
        <f>HYPERLINK("https://www.reddit.com/r/GERD/comments/f7y56p/does_anyone_else_have_blurry_vision/")</f>
        <v/>
      </c>
      <c r="G5433" t="inlineStr">
        <is>
          <t>2020-02-22 12:19:05</t>
        </is>
      </c>
      <c r="H5433" t="inlineStr"/>
    </row>
    <row r="5434">
      <c r="A5434" t="inlineStr">
        <is>
          <t>f7ywsa</t>
        </is>
      </c>
      <c r="B5434" t="inlineStr">
        <is>
          <t>Trapped gas in esophagus leading to pain in center of back ?</t>
        </is>
      </c>
      <c r="C5434" t="inlineStr">
        <is>
          <t>Hello all, 
I’m m20 and have been diagnosed with GERD, LPR, gastritis, and esophagitis, also would wager I have a hiatal hernia. 
For the past couple days I have had this sharp pain in my back, and haven’t been able to stop burping. It gets worse when i take a deep breath. Has anyone dealt with this ? I theorize it could be trapped gas in my esophagus maybe due to it being narrow, or maybe food stuck in my esophagus? Gas x hasn’t helped me at all. If anyone has any ideas or suggestions, please let me know. Thanks.</t>
        </is>
      </c>
      <c r="D5434" t="n">
        <v>1</v>
      </c>
      <c r="E5434" t="n">
        <v>3</v>
      </c>
      <c r="F5434">
        <f>HYPERLINK("https://www.reddit.com/r/GERD/comments/f7ywsa/trapped_gas_in_esophagus_leading_to_pain_in/")</f>
        <v/>
      </c>
      <c r="G5434" t="inlineStr">
        <is>
          <t>2020-02-22 13:10:57</t>
        </is>
      </c>
      <c r="H5434" t="inlineStr"/>
    </row>
    <row r="5435">
      <c r="A5435" t="inlineStr">
        <is>
          <t>f80npe</t>
        </is>
      </c>
      <c r="B5435" t="inlineStr">
        <is>
          <t>Seasonal GERD/LPR</t>
        </is>
      </c>
      <c r="C5435" t="inlineStr">
        <is>
          <t>Has anyone else noticed that you get GERD at the same time every year? My two worse attacks are both during Feb and I'm wondering if it is allergy related.</t>
        </is>
      </c>
      <c r="D5435" t="n">
        <v>1</v>
      </c>
      <c r="E5435" t="n">
        <v>7</v>
      </c>
      <c r="F5435">
        <f>HYPERLINK("https://www.reddit.com/r/GERD/comments/f80npe/seasonal_gerdlpr/")</f>
        <v/>
      </c>
      <c r="G5435" t="inlineStr">
        <is>
          <t>2020-02-22 15:15:05</t>
        </is>
      </c>
      <c r="H5435" t="inlineStr"/>
    </row>
    <row r="5436">
      <c r="A5436" t="inlineStr">
        <is>
          <t>f81hat</t>
        </is>
      </c>
      <c r="B5436" t="inlineStr">
        <is>
          <t>Do you really have GERD?</t>
        </is>
      </c>
      <c r="C5436" t="inlineStr">
        <is>
          <t>I've been lurking on this sub for quite some time. I've read a ton of your posts and comments.
**Yet, I haven't been able to ignore the fact that a lot of people self-diagnose with GERD.**
Like wtf. only a GI performing and endoscopy can tell that - period. Any GI giving a GERD diagnosis without an endoscopy is just making your life miserable. Maybe you don't need your PPIs, just a change of diet. Especially if they seem to slow down your motility, make you feel like shit and solve the problem just 50% until the symptoms relapse.
The main culprit is: GERD symptoms are common with almost all the gut problems, since it's a linear system filled with a lot nerves and muscles and occupying a lot of space in your upper body. I'm sorry to say this but the vibe of this community is pushing people to self-diagnose and think of GERD as a handicap and reflux automatically as GERD.
And now, I'm going to leave here a link of an actual internal medicine physician and ex-HIV researcher from UCLA who now patented his own *(surprisingly scientific, I swear)* field of alternative medicine revolving around the autonomic nervous system. I tried to rule him out as pseudo-scientific for the past few days but can't find anything incriminating. And I tried, a lot. No scientific body **tried his specific methods** , true, but no scientific body **wrote anything incriminating against him**.  The article in question is pasted down bellow - I recommend reading more before jumping to conclusions and watching his YouTube clips too, because he simply doesn't sound and act like your typical quack.  
 [https://www.nemechekconsultativemedicine.com/blog/stomach-acid-hunger/](https://www.nemechekconsultativemedicine.com/blog/stomach-acid-hunger/) 
have a nice weekend fellow belching redditors</t>
        </is>
      </c>
      <c r="D5436" t="n">
        <v>1</v>
      </c>
      <c r="E5436" t="n">
        <v>21</v>
      </c>
      <c r="F5436">
        <f>HYPERLINK("https://www.reddit.com/r/GERD/comments/f81hat/do_you_really_have_gerd/")</f>
        <v/>
      </c>
      <c r="G5436" t="inlineStr">
        <is>
          <t>2020-02-22 16:16:33</t>
        </is>
      </c>
      <c r="H5436" t="inlineStr"/>
    </row>
    <row r="5437">
      <c r="A5437" t="inlineStr">
        <is>
          <t>f81hlp</t>
        </is>
      </c>
      <c r="B5437" t="inlineStr">
        <is>
          <t>I just wanna live like everybody else :(</t>
        </is>
      </c>
      <c r="C5437" t="inlineStr">
        <is>
          <t>Sorry to bring such negativity but i just cant help it. 
I'm a young guy. But a year ago one night... it just began. ONE NIGHT
Is it a result of something building up 
Or God just really hates me? 
It really sucks 😩😫😓</t>
        </is>
      </c>
      <c r="D5437" t="n">
        <v>1</v>
      </c>
      <c r="E5437" t="n">
        <v>38</v>
      </c>
      <c r="F5437">
        <f>HYPERLINK("https://www.reddit.com/r/GERD/comments/f81hlp/i_just_wanna_live_like_everybody_else/")</f>
        <v/>
      </c>
      <c r="G5437" t="inlineStr">
        <is>
          <t>2020-02-22 16:17:15</t>
        </is>
      </c>
      <c r="H5437" t="inlineStr"/>
    </row>
    <row r="5438">
      <c r="A5438" t="inlineStr">
        <is>
          <t>f82mzj</t>
        </is>
      </c>
      <c r="B5438" t="inlineStr">
        <is>
          <t>I am scared.... please help :(</t>
        </is>
      </c>
      <c r="C5438" t="inlineStr">
        <is>
          <t>Hello guys, 
So starting 3 weeks ago I started to get a vague upper stomach pain (kinda under my breasts) .... in the beginning I didn’t have any appetite but I have been eating in the past week. The vague stomach pain comes and goes, and sometimes it radiates to my back and gets worse when I start walking. Everytime I walk I feel like there is pressure on my chest and stomach. The pain isn’t bad, kind of like a dull pain. It goes away when I sleep, and when I wake up it takes an hour to start again. I searched online for hours and I am afraid I might have cancer (specifically pancreatic cancer) Bc I saw online that there are cases that the only symptoms are dull pain that radiates to back and dry cough. 
Right now I have dry cough, dull pain and feeling tired (especially when I walk and I feel pressure). The days that the stomach pain goes away I get more chest pressure and trouble breathing. I have been to the ER for my chest pressure and they told me my heart was fine and it is probably anxiety. But stomach symptoms started a week later.
I have no other symptoms except dry cough, dull upper stomach pain and tiredness that really kicks in when I leave the house...... on my moms side almost everyone had cancer (not stomach cancer but liver, kidney and ovarian) and now I am super scared that I might have cancer...... and I can’t stop thinking about it. I am 21 one years old and I am overweight but I have been on a diet and under control recently. I have no history of diabetes or blood pressure, cholesterol or anything. 
I am super scared about this, and concerned as the pain doesn’t leave. The pain isn’t bad more pressure than pain but it’s still there. I have a appointment with a gastroenterologist in 4 days. But my worry doesn’t go away. 
Have any of you experienced anything like this? Please help :((</t>
        </is>
      </c>
      <c r="D5438" t="n">
        <v>1</v>
      </c>
      <c r="E5438" t="n">
        <v>9</v>
      </c>
      <c r="F5438">
        <f>HYPERLINK("https://www.reddit.com/r/GERD/comments/f82mzj/i_am_scared_please_help/")</f>
        <v/>
      </c>
      <c r="G5438" t="inlineStr">
        <is>
          <t>2020-02-22 17:46:03</t>
        </is>
      </c>
      <c r="H5438" t="inlineStr"/>
    </row>
    <row r="5439">
      <c r="A5439" t="inlineStr">
        <is>
          <t>f838rx</t>
        </is>
      </c>
      <c r="B5439" t="inlineStr">
        <is>
          <t>Jaw pain?</t>
        </is>
      </c>
      <c r="C5439" t="inlineStr">
        <is>
          <t>Any one also get jaw pain when your GERD is acting up?! My left side of my jaw is aching tonight but my acid reflex is causing me to burp up my lunch and some acid. Wondering if that could be causing the jaw pain.</t>
        </is>
      </c>
      <c r="D5439" t="n">
        <v>1</v>
      </c>
      <c r="E5439" t="n">
        <v>2</v>
      </c>
      <c r="F5439">
        <f>HYPERLINK("https://www.reddit.com/r/GERD/comments/f838rx/jaw_pain/")</f>
        <v/>
      </c>
      <c r="G5439" t="inlineStr">
        <is>
          <t>2020-02-22 18:34:53</t>
        </is>
      </c>
      <c r="H5439" t="inlineStr"/>
    </row>
    <row r="5440">
      <c r="A5440" t="inlineStr">
        <is>
          <t>f84ctk</t>
        </is>
      </c>
      <c r="B5440" t="inlineStr">
        <is>
          <t>New symptom of “somethings stuck in my throat but there’s nothing in there” any tips to help the annoyance?</t>
        </is>
      </c>
      <c r="C5440" t="inlineStr">
        <is>
          <t>29 f
So I’ve basically had GERD for ... years. Mine comes and goes with severity, I’ve always had the cough and gas pains after I eat are just gross sometimes, Sometimes I hurt all the way down into that little sphincter that goes into your stomach (I can’t ever remember the damn name)
I also have anxiety which makes it worse 🙄
Anyways long story short after a bout of kidney stones this last year and doctors giving me non stop anti inflammatories (and me periodically smoking at night to cope with having a kidney stone stuck for a month straight)
I’ve developed a “somethings in my throat but there’s nothing in there” feeling along with the familiar burning. For the past two weeks, I have an ENT and he looked into my throat recently during a sinus check and didn’t find anything interesting so I’m pretty sure I don’t have throat cancer but ya know.. never know. 
Anyhow how the heck do I treat this feeling in my throat? Its making me hack like crazy because it’s just weird and I want it out of my throat. I 
haven’t taken medication in years because my diet was able to keep it tamed so I’m not educated on what works best or what’s new. 
Any suggestions, tips?</t>
        </is>
      </c>
      <c r="D5440" t="n">
        <v>1</v>
      </c>
      <c r="E5440" t="n">
        <v>2</v>
      </c>
      <c r="F5440">
        <f>HYPERLINK("https://www.reddit.com/r/GERD/comments/f84ctk/new_symptom_of_somethings_stuck_in_my_throat_but/")</f>
        <v/>
      </c>
      <c r="G5440" t="inlineStr">
        <is>
          <t>2020-02-22 20:08:54</t>
        </is>
      </c>
      <c r="H5440" t="inlineStr"/>
    </row>
    <row r="5441">
      <c r="A5441" t="inlineStr">
        <is>
          <t>f85qpu</t>
        </is>
      </c>
      <c r="B5441" t="inlineStr">
        <is>
          <t>Can someone please help me/give advice?</t>
        </is>
      </c>
      <c r="C5441" t="inlineStr">
        <is>
          <t>(Sorry it’s so long and scattered, first time posting on reddit)
I’ve been having symptoms since the beginning of Feb, either the 1st or 2nd and they have been driving me crazy. It first started with the feeling of a lump in my throat when I swallowed. (FYI I’m 18, M, Hispanic, pretty skinny 5’10/130) was something I tried to ignore until the third or fourth day, when I went to a friends house, ate a piece of pizza, a Parmesan breadstick, and smoked some weed. Maybe 10 min after I started regurgitating the food I just ate, i could feel it coming back up but I just keep swallowing it back down (pretty gross I know) I also kept feeling saliva come back up on the roof of my mouth and it kept happening to the point where I ended up just going to the bathroom and puking it out. 
Stopped smoking weed after that. Afterwards went home I started doing research and reading on GERD and LPR and really started scaring myself. I have really bad anxiety so it made me jump to the worst conclusions. I went and saw my doctor after some days and talked to him about what had happened. The days prior to my appointment I experienced mild abdominal pain/some heartburn, and pain around my ribs here and there but nothing really consistent. Doc told me to get on Omeprazole and try it for a month and recommended I go through counseling to see if it was just anxiety. The next three days after that I developed flu like symptoms (dry cough, sore throat, fatigue, etc) and stopped taking the omeprazole as I read online of the risks and that scared me a ton. 
Fast forward almost a week after the flu like symptoms (btw scheduled an appointment with GI but that’s not until a month from now) and I ended up going to ER since my anxiety was through the roof and I also had a fever. They did tests in the ER but came back and told me I only had the flu which could make acid reflux worse. 
That was two days ago, now I’m trying to fix my diet, got a wedge pillow, but now I keep losing weight as I’m already not eating right, anxiety and stress, all of that. Have been waking up with an extremely dry mouth, still have a dry cough that has been a little worse and I still have the abdominal pain that happens more frequently now. I did notice that at times I get pain on my back around my right shoulder blade after eating. Also still have the lump feeling but it comes and goes throughout the day and it’s a different feeling each time, sometimes feels like a piece of food, something kind of sharp and sometimes just like a lump/burp I can’t get out. 
Oh I also want to mention that I skateboard pretty often and I don’t know if that’s something that I could still continue as I’ve heard that heavy cardio could make it worse. Please help a brotha out I feel so stuck and like I’m only going to get worse. Thanks!</t>
        </is>
      </c>
      <c r="D5441" t="n">
        <v>1</v>
      </c>
      <c r="E5441" t="n">
        <v>0</v>
      </c>
      <c r="F5441">
        <f>HYPERLINK("https://www.reddit.com/r/GERD/comments/f85qpu/can_someone_please_help_megive_advice/")</f>
        <v/>
      </c>
      <c r="G5441" t="inlineStr">
        <is>
          <t>2020-02-22 22:21:59</t>
        </is>
      </c>
      <c r="H5441" t="inlineStr"/>
    </row>
    <row r="5442">
      <c r="A5442" t="inlineStr">
        <is>
          <t>f879cd</t>
        </is>
      </c>
      <c r="B5442" t="inlineStr">
        <is>
          <t>Oatmeal gives me acid reflux</t>
        </is>
      </c>
      <c r="C5442" t="inlineStr">
        <is>
          <t>Whenever I eat plain oatmeal I get bad acid reflux. That is strange to me, because I have read from many places that it shouldn't give you reflux.
However if I mix protein powder in to the oatmeal, it doesn''t give me reflux.
Why does this happen? Anyone have similar issue?</t>
        </is>
      </c>
      <c r="D5442" t="n">
        <v>1</v>
      </c>
      <c r="E5442" t="n">
        <v>12</v>
      </c>
      <c r="F5442">
        <f>HYPERLINK("https://www.reddit.com/r/GERD/comments/f879cd/oatmeal_gives_me_acid_reflux/")</f>
        <v/>
      </c>
      <c r="G5442" t="inlineStr">
        <is>
          <t>2020-02-23 01:18:52</t>
        </is>
      </c>
      <c r="H5442" t="inlineStr"/>
    </row>
    <row r="5443">
      <c r="A5443" t="inlineStr">
        <is>
          <t>f88aup</t>
        </is>
      </c>
      <c r="B5443" t="inlineStr">
        <is>
          <t>Have had GERD for years. Went to ER last month for chest pain, turned out just to be GERD still. Now I'm sitting in the parking lot of the ER.</t>
        </is>
      </c>
      <c r="C5443" t="inlineStr">
        <is>
          <t xml:space="preserve">
Have had GERD for years. Went to ER last month for chest pain, turned out just to be GERD still. 
Now I'm sitting in the parking lot of the ER. Just waiting to see if my symptoms worsen or if it's just GERD again. 
I think it's just GERD. My ER physician last time said that GERD can feel a lot like a heart attack. I wish it didn't.
I've had a ton of stress this past week, more than I've had in years, and I've neglected taking my omeprazole because of it. So, could be both.
Also I read that colder weather could make GERD worse and my house is currently set to 65 F.
Just looking for discussion, tips, etc.</t>
        </is>
      </c>
      <c r="D5443" t="n">
        <v>1</v>
      </c>
      <c r="E5443" t="n">
        <v>18</v>
      </c>
      <c r="F5443">
        <f>HYPERLINK("https://www.reddit.com/r/GERD/comments/f88aup/have_had_gerd_for_years_went_to_er_last_month_for/")</f>
        <v/>
      </c>
      <c r="G5443" t="inlineStr">
        <is>
          <t>2020-02-23 03:26:44</t>
        </is>
      </c>
      <c r="H5443" t="inlineStr"/>
    </row>
    <row r="5444">
      <c r="A5444" t="inlineStr">
        <is>
          <t>f88llz</t>
        </is>
      </c>
      <c r="B5444" t="inlineStr">
        <is>
          <t>Need some advice</t>
        </is>
      </c>
      <c r="C5444" t="inlineStr">
        <is>
          <t>I have been having gerd/lpr symptoms for the past few weeks and my doctor has given ppi for now and am hoping that it helps some time soon. My symptoms are throat pain when swallowing , irritated throat , cough 
and frequent belching/burping. I have been on a very restricted diet for the past few weeks and it does help with the pain or other wise I see the pain increase when I swallow.. also I have lost few kgs in the past few weeks which could be because of stress or restricted food... Am worried if this could be symptoms of anything else ... Any thoughts?</t>
        </is>
      </c>
      <c r="D5444" t="n">
        <v>1</v>
      </c>
      <c r="E5444" t="n">
        <v>1</v>
      </c>
      <c r="F5444">
        <f>HYPERLINK("https://www.reddit.com/r/GERD/comments/f88llz/need_some_advice/")</f>
        <v/>
      </c>
      <c r="G5444" t="inlineStr">
        <is>
          <t>2020-02-23 04:01:25</t>
        </is>
      </c>
      <c r="H5444" t="inlineStr"/>
    </row>
    <row r="5445">
      <c r="A5445" t="inlineStr">
        <is>
          <t>f89sd0</t>
        </is>
      </c>
      <c r="B5445" t="inlineStr">
        <is>
          <t>Stuffed/Runny Nose</t>
        </is>
      </c>
      <c r="C5445" t="inlineStr">
        <is>
          <t>Hi,
Got an appointment coming up with Doctor but was looking for some advice. Its been over a month that I have been waking up with burning at the top of my mouth. It has been getting better/less frequent as I am watching what I eat close to bed. One of the things I noticed is a persistent stuffy nose. Always worst in the morning. Its not constantly running but just feels stuffed. I can deal with it, but the most irritating thing is that its always there. I'm not sick at this time. I've seen some posts that say this could be possible but just wanted to see if anyone had a similar experience and any ways to relieve this. Thanks in advance!</t>
        </is>
      </c>
      <c r="D5445" t="n">
        <v>1</v>
      </c>
      <c r="E5445" t="n">
        <v>3</v>
      </c>
      <c r="F5445">
        <f>HYPERLINK("https://www.reddit.com/r/GERD/comments/f89sd0/stuffedrunny_nose/")</f>
        <v/>
      </c>
      <c r="G5445" t="inlineStr">
        <is>
          <t>2020-02-23 06:01:17</t>
        </is>
      </c>
      <c r="H5445" t="inlineStr"/>
    </row>
    <row r="5446">
      <c r="A5446" t="inlineStr">
        <is>
          <t>f8amf1</t>
        </is>
      </c>
      <c r="B5446" t="inlineStr">
        <is>
          <t>Does this sound like GERD?</t>
        </is>
      </c>
      <c r="C5446" t="inlineStr">
        <is>
          <t>Sorry if this is a no brainer and definitely GERD/acid reflux. I’ve never experienced any of this and don’t know of anyone who has. 
One week ago I woke up with really bad chest pain. Later I figured it only happened when I would swallow foods, certain foods were just discomfortable but others hurt worse. I’ve never had heartburn before so I figured that is what it was. After reading about my symptoms, it sounded like acid reflux. I went to the Urgent Care on Friday and they said the same thing. My question is though, does that sound right? To only have chest pain (behind breast bone) for a few short seconds only when I swallow foods? If so, a change in my diet would help this? It’s been a week and I just want some relief. 
Also, they prescribed me Pantoprazole 40mg. I haven’t taken it yet, just because I’ve read it’s done little to nothing and takes a while to work. 
ALSO, the only minor change in my life before this happened was taking Doxycycline Hyclate 100mg for 5 days. I haven’t taken that since. I’ve read that this drug can cause problems within the esophagus, I’m not 100% positive on that though.</t>
        </is>
      </c>
      <c r="D5446" t="n">
        <v>1</v>
      </c>
      <c r="E5446" t="n">
        <v>4</v>
      </c>
      <c r="F5446">
        <f>HYPERLINK("https://www.reddit.com/r/GERD/comments/f8amf1/does_this_sound_like_gerd/")</f>
        <v/>
      </c>
      <c r="G5446" t="inlineStr">
        <is>
          <t>2020-02-23 07:10:41</t>
        </is>
      </c>
      <c r="H5446" t="inlineStr"/>
    </row>
    <row r="5447">
      <c r="A5447" t="inlineStr">
        <is>
          <t>f8e3d2</t>
        </is>
      </c>
      <c r="B5447" t="inlineStr">
        <is>
          <t>So last night made me end up in the hospital</t>
        </is>
      </c>
      <c r="C5447" t="inlineStr">
        <is>
          <t>Okay, so I have had a past with acid reflux with varying issues depending on the time. Anywhere from belching to nausea to now, I spit a lot (I don't know why if anyone can please help me with that) Anyway, last night I did not eat anything out of the ordinary. I follow a pretty restricted diet (ps. it does not cut off things that you should not eat in acid reflex such as tomato sauce etc..) so I am very aware of what I eat.
But last night I drank one mikes hard lemonade and 2 sips of rum and I started to feel something happen to my throat. At first, it was just pain. where I couldn't sip on anything anymore, then later that night I thought I was having an allergic reaction because my throat felt so closed and was in so much pain like I've never felt before I was actually so scared. I thought it was an allergic reaction so I went to the hospital and the doctor told me it was the GERD and from the alcohol, though I am a bit wary that this happened from the alcohol as I barely drank last night and this has NEVER happened to me. I have never felt anything like that, especially from alcohol. 
&amp;amp;#x200B;
So I honestly just wanna know wtf happened? Why did I have such a severe reaction all of a sudden and what should I do now?
&amp;amp;#x200B;
tl;dr- alcohol possibly caused my throat to close and it never happened before and I just wanna know why something so severe like that is happening all of a sudden cause alcohol has never triggered my reflux like that before.</t>
        </is>
      </c>
      <c r="D5447" t="n">
        <v>1</v>
      </c>
      <c r="E5447" t="n">
        <v>4</v>
      </c>
      <c r="F5447">
        <f>HYPERLINK("https://www.reddit.com/r/GERD/comments/f8e3d2/so_last_night_made_me_end_up_in_the_hospital/")</f>
        <v/>
      </c>
      <c r="G5447" t="inlineStr">
        <is>
          <t>2020-02-23 11:10:02</t>
        </is>
      </c>
      <c r="H5447" t="inlineStr"/>
    </row>
    <row r="5448">
      <c r="A5448" t="inlineStr">
        <is>
          <t>f8eokr</t>
        </is>
      </c>
      <c r="B5448" t="inlineStr">
        <is>
          <t>How to heal esophagus from esophagitis?</t>
        </is>
      </c>
      <c r="C5448" t="inlineStr">
        <is>
          <t>[Gastroenterologist] Treating Eosinophilic Esophagitis?
Has anyone had a normal endoscopy after EoE treatment?
Is this just GERD?
I was diagnosed with EoE recently, about a year ago. 
But I have suspicions it might just be GERD/Esophagitis from a couple of things:
a) heavy drinking 
b) eating large meals at once
c) eating right before bed 
d) dehydration, just not getting enough water in combined with exercise, and routine use of the steam room 
e) relying heavily on carbonated drinks as source of nutrition i.e. lacroix 
Have any of you cured your EoE? 
I frequently feel like what feels like a canker sore, but in my esophagus in the chest area. 
On one hand it’s hard to doubt the biopsy diagnosis, but on the other hand it seems like there’s a lot to explore as far as addressing these handful of items before resorting to medicine and other treatment options. 
Endoscopy showed Esophagitis and ridged esophagus. 
What’s the timeline for a damaged esophagus to heal? 
Male
23yo
185lbs
6’00”</t>
        </is>
      </c>
      <c r="D5448" t="n">
        <v>3</v>
      </c>
      <c r="E5448" t="n">
        <v>15</v>
      </c>
      <c r="F5448">
        <f>HYPERLINK("https://www.reddit.com/r/GERD/comments/f8eokr/how_to_heal_esophagus_from_esophagitis/")</f>
        <v/>
      </c>
      <c r="G5448" t="inlineStr">
        <is>
          <t>2020-02-23 11:48:29</t>
        </is>
      </c>
      <c r="H5448" t="inlineStr"/>
    </row>
    <row r="5449">
      <c r="A5449" t="inlineStr">
        <is>
          <t>f8gjel</t>
        </is>
      </c>
      <c r="B5449" t="inlineStr">
        <is>
          <t>Is it GERD/LPR?</t>
        </is>
      </c>
      <c r="C5449" t="inlineStr">
        <is>
          <t>Hi all, my symptoms began about a month ago when I had about three days of a stomach bug. It started as a persistent "lump" in my throat that was definitely worsened from anxiety. I felt that I was also having increased mucus in the throat, and my throat would feel bone dry at times. I've had this lump in my throat intermittently, maybe once or twice a week, since this past summer but have only had it daily x1 month.
PCP told me that it's probably GERD and postnasal drip, but at this time I had one episode of heartburn. I'm a 21 y/o female and I've maybe had heartburn twice before in my life than I can remember. Over the past month, I was also treated for "bronchitis" with a z-pack, and I took PPIs for about a week. Also taking zyrtec and flonase once a day, though I started PPIs again in the last few days. My symptoms have been daily, though they seem to differ from day to day. Some days I experience only a lump in the throat/discomfort when swallowing. Sometimes it is the feeling that my throat is incredibly dry, and I have the constant urge to cough or clear my throat that is very hard to ignore. When it gets really bad, I have the feeling that I recently choked and I need to cough up liquid or something. On occasion, I get the feeling that I can't breathe right even though I'm able to take deep breaths and exhale fully.
Just over the past few days have I discovered LPR, and feel that my symptoms may fit. I currently don't like taking PPIs because they make me feel nauseous sometimes, and give me the feeling that something is backing up in my throat (even when I haven't eaten). I have an appointment with ENT in a few days, and it's someone who did a fellowship in laryngology so I'm feeling pretty hopeful. Over the past two days I've been drinking alkaline water, have adjusted my diet to the "acid watcher diet" (though I'm not as strict), and drink chamomile tea with when my symptoms are unbearable and I need some relief. 
Do you guys have any similar experiences, thoughts, suggestions? I just want to feel better. My anxiety makes me feel like I need to run to the ER at times, and while I'm working on recognizing that this isn't an emergency, I still want to have some relief from my symptoms.
&amp;amp;#x200B;
Also for anyone else new to LPR: I found this incredible website. I suggest you give it a quick read, I think it has a lot of good suggestions/knowledge.</t>
        </is>
      </c>
      <c r="D5449" t="n">
        <v>1</v>
      </c>
      <c r="E5449" t="n">
        <v>5</v>
      </c>
      <c r="F5449">
        <f>HYPERLINK("https://www.reddit.com/r/GERD/comments/f8gjel/is_it_gerdlpr/")</f>
        <v/>
      </c>
      <c r="G5449" t="inlineStr">
        <is>
          <t>2020-02-23 13:49:39</t>
        </is>
      </c>
      <c r="H5449" t="inlineStr"/>
    </row>
    <row r="5450">
      <c r="A5450" t="inlineStr">
        <is>
          <t>f8hay8</t>
        </is>
      </c>
      <c r="B5450" t="inlineStr">
        <is>
          <t>Is it possible that LPR could be causing all of this? Can you relate?</t>
        </is>
      </c>
      <c r="C5450" t="inlineStr">
        <is>
          <t xml:space="preserve"> I keep having these episodes of strange and reoccurring painful tonsils/throat &amp;amp; extreme Swallowing pain every couple of weeks. I’m having another “episode” today. 
Here are some [pictures ](https://imgur.com/a/bfEPunA) of what my throat looks like right now. 
It’s worth mentioning that I’ve never been diagnosed but decided I had LPR a couple years ago. At the time I was nauseous *constantly* and would burp and (ew, I’m sorry) throw up a little in my mouth all the time. I changed my diet a little, got prescribed zantac and would take it occasionally and started taking probiotics and the nausea, constant burping and half-throwing up went away. I kind of figured I’d just fixed it, at least enough for it to no longer cause major problems. But I still wake up with an acidic taste in my mouth. And I *rarely* ever get heartburn sensation. 
On to what I’ve been experiencing for a while now: 
Every couple of weeks my ears will get very achy and within hours or when I wake up the next day it hurts SO much to swallow. Most of the time my neck is also so stiff and painful that it actually hurts to hold it up. Not the case this time. I’ve had occasions where I was actually drooling into a cup because it hurt so much to swallow. I also start running a fever. My throat itself doesn’t hurt, it just hurts really bad to swallow. No achy body, no congestion besides the nasal drip that I already have constantly. The back of my nose hurts as well-like where my nose meets my throat it feels like. Also have a small cough but mainly it’s clearing my throat, and i normally have a clearing throat cough, just not as frequent in a day- doesn’t feel like it comes from my chest. It doesn’t last more than 3 days. Ibuprofen helps a lot, but as soon as it wears off the swallowing hurts bad again. This morning when I looked at my throat I saw 2 very small white dots on my tonsil. When I went to take the picture a couple hours later and after ibuprofen-they were gone. The symptoms don’t stay around long enough for me to visit a doctor while they can actually see them (bad health insurance, can’t see a doctor same day or next day.) So, today I decided to start taking pictures. I feel like I’m going crazy. I share a house with boyfriend and he never gets ill when this happens to me. I just wanna know if my throat/tonsils even look normal or if they indicate something. The symptoms/3 day used to happen less frequently and now they’ve happened twice in the past month and a half.
EXTRA INFO:
I have serious ear issues. They are constantly clogging (for lack of a better term) and are extremely sensitive to small pressure or altitude changes. I live in CO and a trip to the grocery store often causes my ears to clog. I can feel the fluid in them, draining, moving around, tickling my ears. Other times they clog in a way where I can hear my own voice and breathing echoed but outside noises sound normal. A couple months ago I came down with some kind of cold or flu and went outside to take out the trash and upon entering my house my ears suddenly clogged. That night one of my eardrums burst (confirmed by a doctor.) It was the first day of the illness. I have to take extreme measures when I fly on planes. Allergy medications, sudafed and steroid nose spray do not help.
Doctors just keep telling me I have allergies, but the last apt I went to I did some blood allergy tests and they all came back negative. Also, no allergy medications, steroids or even decongestants do anything. I’m at a loss here. 
Idk, I’m kind of desperate for answers at this point. Thank you so much for reading and for any info you can offer me!</t>
        </is>
      </c>
      <c r="D5450" t="n">
        <v>1</v>
      </c>
      <c r="E5450" t="n">
        <v>9</v>
      </c>
      <c r="F5450">
        <f>HYPERLINK("https://www.reddit.com/r/GERD/comments/f8hay8/is_it_possible_that_lpr_could_be_causing_all_of/")</f>
        <v/>
      </c>
      <c r="G5450" t="inlineStr">
        <is>
          <t>2020-02-23 14:43:08</t>
        </is>
      </c>
      <c r="H5450" t="inlineStr"/>
    </row>
    <row r="5451">
      <c r="A5451" t="inlineStr">
        <is>
          <t>f8j6px</t>
        </is>
      </c>
      <c r="B5451" t="inlineStr">
        <is>
          <t>Delayed symptoms</t>
        </is>
      </c>
      <c r="C5451" t="inlineStr">
        <is>
          <t>I’m curious if anyone else has delayed symptoms when eating a trigger food. My reaction is shortness of breath. I’ve never gotten traditional reflux symptoms. I’m finding it difficult to identify what I react to because I don’t get symptoms until hours later and by then I’ve usually eaten another meal or snack. I’ve been on 40mg of pantolrazole a day for 5 weeks. Does anyone else have delayed symptoms?</t>
        </is>
      </c>
      <c r="D5451" t="n">
        <v>1</v>
      </c>
      <c r="E5451" t="n">
        <v>7</v>
      </c>
      <c r="F5451">
        <f>HYPERLINK("https://www.reddit.com/r/GERD/comments/f8j6px/delayed_symptoms/")</f>
        <v/>
      </c>
      <c r="G5451" t="inlineStr">
        <is>
          <t>2020-02-23 17:03:28</t>
        </is>
      </c>
      <c r="H5451" t="inlineStr"/>
    </row>
    <row r="5452">
      <c r="A5452" t="inlineStr">
        <is>
          <t>f8jrzp</t>
        </is>
      </c>
      <c r="B5452" t="inlineStr">
        <is>
          <t>Does GERD ever feel like a heart attack? Burning/Stabbing pain in your chest? Bad enough that it goes to your back?</t>
        </is>
      </c>
      <c r="C5452" t="inlineStr">
        <is>
          <t>I made a post in /r/AskDocs but I wanted to ask everyone here. 
About seven hours ago I had a big lobster bisque soup and some fries. About two hours later I started experiencing the worst burning/stabbing sensation I’ve ever had in my chest. Here is where I felt it -
https://i.imgur.com/KAgKevX.jpg
I immediately took Zantac (150), TUMS (1,000mg), and Gaviscon (1 tablespoon). 
It was so bad that my wife needed to finish our drive home. The entire way I pushed on my chest because the severity of the pain was sharp and burning. 
It came in waves. I was belching. I could even feel the pain into my upper back area. We got home and I had to stand to make it a little better. Sitting (even though I was upright) hurt...so standing it was. 
Is the area I’m pointing to in my picture where heart attack pain occurs? I don’t have any other known symptoms (slight jaw discomfort because I was clenching it in pain) and my left hand only felt a bit numb because I’ve was tense holding onto my chest and not relaxing. 
Right now I feel better out of the car and walking around acter a few hours...but I’m really concerned because I’ve never experienced what I just experienced. 
**I’m just wondering if anyone else in here with GERD has experience sharp/burning chest pain that radiates to your back?**</t>
        </is>
      </c>
      <c r="D5452" t="n">
        <v>1</v>
      </c>
      <c r="E5452" t="n">
        <v>42</v>
      </c>
      <c r="F5452">
        <f>HYPERLINK("https://www.reddit.com/r/GERD/comments/f8jrzp/does_gerd_ever_feel_like_a_heart_attack/")</f>
        <v/>
      </c>
      <c r="G5452" t="inlineStr">
        <is>
          <t>2020-02-23 17:48:52</t>
        </is>
      </c>
      <c r="H5452" t="inlineStr"/>
    </row>
    <row r="5453">
      <c r="A5453" t="inlineStr">
        <is>
          <t>f8kmui</t>
        </is>
      </c>
      <c r="B5453" t="inlineStr">
        <is>
          <t>Lpr chest pain</t>
        </is>
      </c>
      <c r="C5453" t="inlineStr">
        <is>
          <t>Anyone ever got chest pain from lpr? I usually don’t ever experience chest pain at all since I have LPR not gerd, but yesterday after eating spicy ass chicken, and carelessly eating without chewing properly, I got chest pain, like every few hours it last for like 3 seconds and goes away, feels like a chest spasm</t>
        </is>
      </c>
      <c r="D5453" t="n">
        <v>1</v>
      </c>
      <c r="E5453" t="n">
        <v>0</v>
      </c>
      <c r="F5453">
        <f>HYPERLINK("https://www.reddit.com/r/GERD/comments/f8kmui/lpr_chest_pain/")</f>
        <v/>
      </c>
      <c r="G5453" t="inlineStr">
        <is>
          <t>2020-02-23 18:55:01</t>
        </is>
      </c>
      <c r="H5453" t="inlineStr"/>
    </row>
    <row r="5454">
      <c r="A5454" t="inlineStr">
        <is>
          <t>f8ktcy</t>
        </is>
      </c>
      <c r="B5454" t="inlineStr">
        <is>
          <t>Long term med use</t>
        </is>
      </c>
      <c r="C5454" t="inlineStr">
        <is>
          <t>I’ve had this since I was 14 years old. Sometime the pain is so intense I have to lay on a heating bad just to get some relief. I’m 27 and have been on and off ppis since I was 14. I have triggers for sure but sometimes I wake up in pain so I’m lost. I don’t want to be in medication forever but I don’t know if I will ever feel ok for more than a couple of days at a time :/ this suckksss</t>
        </is>
      </c>
      <c r="D5454" t="n">
        <v>1</v>
      </c>
      <c r="E5454" t="n">
        <v>12</v>
      </c>
      <c r="F5454">
        <f>HYPERLINK("https://www.reddit.com/r/GERD/comments/f8ktcy/long_term_med_use/")</f>
        <v/>
      </c>
      <c r="G5454" t="inlineStr">
        <is>
          <t>2020-02-23 19:08:59</t>
        </is>
      </c>
      <c r="H5454" t="inlineStr"/>
    </row>
    <row r="5455">
      <c r="A5455" t="inlineStr">
        <is>
          <t>f8l0u0</t>
        </is>
      </c>
      <c r="B5455" t="inlineStr">
        <is>
          <t>going natural, curious your experience?</t>
        </is>
      </c>
      <c r="C5455" t="inlineStr">
        <is>
          <t>Im curious for those of you who have been on PPIs and successfully got off them. Ive been on priolsec for around 8 years, I decided to stop sick of these pills. Im finally taking my health seriously. Ive lost over 55lbs and will probably need to lose another 50 before Im done. Ive got my blood pressure back under control naturally (eating clean, dumped all bad foods, caffeine etc and I quit drinking 5 months ago). I tried weaning off prilosec when i quit drinking and had really bad rebound acid and sharp pains in my stomach. i decided to wait a while before trying again to give my system time without alcohol to get ready for another major change.
I'm now 100% off priolsec for 7 days definitely had rebound acid initially but i think ive got
it under control. I did a ton of research online before trying this. I take two Now brand papayas+ digestive enzymes before i eat and after dinner if i feel acid i take licorice root chewable (gross but seems to work).  If I continue to have acid ill take another licorice. This whole process seems to be working!!!
After i quit prilosec i started having heart palpitations that seem to come when i eat food but as Ive gone on this journey they've lessened but they're still there(Im only in my first week). Im glad to read that others experienced this, I believe my stomach is spasming and annoying my vagus nerve a bit since my stomach had been essentially asleep for 8 years. I read some Harvard studies online that the cells on the stomach lining in your stomach having a roughly 54day life cycle so it takes a bit for them to regenerate to handle normal acid levels after you stop PPIs. 
Im super curious if others had success going the route I am? Keto has literally saved my life and I cant say more about it, carbs seem to ruin
my stomach. My energy levels on keto are so steady its amazing. I really appreciate all your stories on here its nice to know Im not alone!
Thanks!</t>
        </is>
      </c>
      <c r="D5455" t="n">
        <v>1</v>
      </c>
      <c r="E5455" t="n">
        <v>0</v>
      </c>
      <c r="F5455">
        <f>HYPERLINK("https://www.reddit.com/r/GERD/comments/f8l0u0/going_natural_curious_your_experience/")</f>
        <v/>
      </c>
      <c r="G5455" t="inlineStr">
        <is>
          <t>2020-02-23 19:25:29</t>
        </is>
      </c>
      <c r="H5455" t="inlineStr"/>
    </row>
    <row r="5456">
      <c r="A5456" t="inlineStr">
        <is>
          <t>f8lp5v</t>
        </is>
      </c>
      <c r="B5456" t="inlineStr">
        <is>
          <t>Connection to time of year?</t>
        </is>
      </c>
      <c r="C5456" t="inlineStr">
        <is>
          <t>I was looking up the test results from my latest trip to the ER for chest pain/heart palpitations/etc.  The closest hospital is a different network from my regular doctor, so the only test results that show up are from my various trips to the ER.  I've been three times for basically the same thing, in 2013, 2019, and 2020.  The dates were Jan. 19, Jan. 23, and Feb. 17, all in the same late winter period.  I know for sure that some of my other bouts with acid reflux-type symptoms started or worsened in the winter in other years as well, even if they didn't send me running to the ER.
The question is, what does it mean?  Vitamin D deficiency?  Reduced exercise?  Stress/depression triggered by lack of sunlight?  It seems way to consistent to be just a coincidence.</t>
        </is>
      </c>
      <c r="D5456" t="n">
        <v>1</v>
      </c>
      <c r="E5456" t="n">
        <v>4</v>
      </c>
      <c r="F5456">
        <f>HYPERLINK("https://www.reddit.com/r/GERD/comments/f8lp5v/connection_to_time_of_year/")</f>
        <v/>
      </c>
      <c r="G5456" t="inlineStr">
        <is>
          <t>2020-02-23 20:18:59</t>
        </is>
      </c>
      <c r="H5456" t="inlineStr"/>
    </row>
    <row r="5457">
      <c r="A5457" t="inlineStr">
        <is>
          <t>f8pbuy</t>
        </is>
      </c>
      <c r="B5457" t="inlineStr">
        <is>
          <t>Dry mouth leads to EOE &amp;amp; GERD</t>
        </is>
      </c>
      <c r="C5457" t="inlineStr">
        <is>
          <t>I wonder if some psychotropics lead to these conditions, either because of dry mouth or low motility, bc of the effects on the vagus ?? That’s what it feels like 
https://www.mdedge.com/psychiatry/article/64550/depression/psychotropic-induced-dry-mouth-dont-overlook-potentially-serious</t>
        </is>
      </c>
      <c r="D5457" t="n">
        <v>1</v>
      </c>
      <c r="E5457" t="n">
        <v>1</v>
      </c>
      <c r="F5457">
        <f>HYPERLINK("https://www.reddit.com/r/GERD/comments/f8pbuy/dry_mouth_leads_to_eoe_gerd/")</f>
        <v/>
      </c>
      <c r="G5457" t="inlineStr">
        <is>
          <t>2020-02-24 02:25:55</t>
        </is>
      </c>
      <c r="H5457" t="inlineStr"/>
    </row>
    <row r="5458">
      <c r="A5458" t="inlineStr">
        <is>
          <t>f8q5yl</t>
        </is>
      </c>
      <c r="B5458" t="inlineStr">
        <is>
          <t>Feeling sick lying on RHS?</t>
        </is>
      </c>
      <c r="C5458" t="inlineStr">
        <is>
          <t>I know it’s better to sleep on your left hand side for GERD and even just in general but does anyone else feel instantly nauseated by lying on your right side? 
I used to roll around a lot at night and now I have to focus on stopping myself from rolling onto my right.</t>
        </is>
      </c>
      <c r="D5458" t="n">
        <v>1</v>
      </c>
      <c r="E5458" t="n">
        <v>0</v>
      </c>
      <c r="F5458">
        <f>HYPERLINK("https://www.reddit.com/r/GERD/comments/f8q5yl/feeling_sick_lying_on_rhs/")</f>
        <v/>
      </c>
      <c r="G5458" t="inlineStr">
        <is>
          <t>2020-02-24 03:55:11</t>
        </is>
      </c>
      <c r="H5458" t="inlineStr"/>
    </row>
    <row r="5459">
      <c r="A5459" t="inlineStr">
        <is>
          <t>f8sb55</t>
        </is>
      </c>
      <c r="B5459" t="inlineStr">
        <is>
          <t>Your Acid Reflux Flare Ups in 2020</t>
        </is>
      </c>
      <c r="C5459" t="inlineStr">
        <is>
          <t>What is everyone’s goal when it comes to overcoming Acid Reflux for the next year and what are you guys doing to achieve that at the moment? Let’s start a conversation!</t>
        </is>
      </c>
      <c r="D5459" t="n">
        <v>1</v>
      </c>
      <c r="E5459" t="n">
        <v>0</v>
      </c>
      <c r="F5459">
        <f>HYPERLINK("https://www.reddit.com/r/GERD/comments/f8sb55/your_acid_reflux_flare_ups_in_2020/")</f>
        <v/>
      </c>
      <c r="G5459" t="inlineStr">
        <is>
          <t>2020-02-24 06:53:07</t>
        </is>
      </c>
      <c r="H5459" t="inlineStr"/>
    </row>
    <row r="5460">
      <c r="A5460" t="inlineStr">
        <is>
          <t>f8sdn1</t>
        </is>
      </c>
      <c r="B5460" t="inlineStr">
        <is>
          <t>Overcoming Your Acid Reflux in 2020</t>
        </is>
      </c>
      <c r="C5460" t="inlineStr">
        <is>
          <t>What is everyone’s goal when it comes to overcoming Acid Reflux for the next year and what are you guys doing to achieve that at the moment? Let’s start a conversation!</t>
        </is>
      </c>
      <c r="D5460" t="n">
        <v>1</v>
      </c>
      <c r="E5460" t="n">
        <v>28</v>
      </c>
      <c r="F5460">
        <f>HYPERLINK("https://www.reddit.com/r/GERD/comments/f8sdn1/overcoming_your_acid_reflux_in_2020/")</f>
        <v/>
      </c>
      <c r="G5460" t="inlineStr">
        <is>
          <t>2020-02-24 06:58:05</t>
        </is>
      </c>
      <c r="H5460" t="inlineStr"/>
    </row>
    <row r="5461">
      <c r="A5461" t="inlineStr">
        <is>
          <t>f8smv6</t>
        </is>
      </c>
      <c r="B5461" t="inlineStr">
        <is>
          <t>I dont know if I have too much acid, too low, or a hernia - help. I have no health insurance and no job</t>
        </is>
      </c>
      <c r="C5461" t="inlineStr">
        <is>
          <t>Hoping someone with knowledge will help me here.
Ive tried digestive enzymes and broccoli sprouts and that worked for a week but the problem came back. Ive tried Pepcid and tums and it didnt really help at all.
A little about me.
Im 30. Male. Skinny.
Ive been sedentary for the past 7 years doing work on computer (now currently unemployed).
I was obsessed with orange juice and drank about 2 huge glasses (about 30-40 oz./ day?) daily for 4 years.  These GERD like symptoms started about 6 months ago so I quit orange juice. I also rushed to the ER one morning because I thought I was having a heart attack and paid $800 for a shot of stomach soother (like a white pepto bismol) and an xray. The liquid felt amazing and then the chest xray showed no signs of any heart attack.
Theories to my symptoms: I dont know if the symptoms happened because I 'abused' orange juice for so many years straight, causing my stomach to get used to producing less acid due to the high acidity of OJ.
Theory 2: Sitting down a lot weakened my diaphram or LES.
Theory 3: Too much acid production overflowing?
Theory 4: Hiatal hernia.
Theory 5: Stomach ulcers?
Each diagnosis would require a different treatment.
My one friend told me to do an elimination diet. Im thinking of just drinking Gaviscon (just ordered) every night I need it.
I want to cry every night it sucks.</t>
        </is>
      </c>
      <c r="D5461" t="n">
        <v>1</v>
      </c>
      <c r="E5461" t="n">
        <v>9</v>
      </c>
      <c r="F5461">
        <f>HYPERLINK("https://www.reddit.com/r/GERD/comments/f8smv6/i_dont_know_if_i_have_too_much_acid_too_low_or_a/")</f>
        <v/>
      </c>
      <c r="G5461" t="inlineStr">
        <is>
          <t>2020-02-24 07:15:09</t>
        </is>
      </c>
      <c r="H5461" t="inlineStr"/>
    </row>
    <row r="5462">
      <c r="A5462" t="inlineStr">
        <is>
          <t>f8t7f8</t>
        </is>
      </c>
      <c r="B5462" t="inlineStr">
        <is>
          <t>Experiences with Sucralfate (Carafate)?</t>
        </is>
      </c>
      <c r="C5462" t="inlineStr">
        <is>
          <t>I’m asking because I think, after 3 weeks of 4x/day use, I am getting some benefit. It seems to calm down the frequency and severity of my throat burn. The problem is a couple of side effects, the worst of which is insomnia and the second worst constipation. Also, it’s complicated to schedule doses around meals and PPIs. I will continue until I’ve taken it a full month and then decide if it is worth it long term. Also a little concerned about absorbing aluminum. Anyone else taken it short or long term, and any thoughts?</t>
        </is>
      </c>
      <c r="D5462" t="n">
        <v>1</v>
      </c>
      <c r="E5462" t="n">
        <v>21</v>
      </c>
      <c r="F5462">
        <f>HYPERLINK("https://www.reddit.com/r/GERD/comments/f8t7f8/experiences_with_sucralfate_carafate/")</f>
        <v/>
      </c>
      <c r="G5462" t="inlineStr">
        <is>
          <t>2020-02-24 07:54:04</t>
        </is>
      </c>
      <c r="H5462" t="inlineStr"/>
    </row>
    <row r="5463">
      <c r="A5463" t="inlineStr">
        <is>
          <t>f8tr3q</t>
        </is>
      </c>
      <c r="B5463" t="inlineStr">
        <is>
          <t>Famotodine</t>
        </is>
      </c>
      <c r="C5463" t="inlineStr">
        <is>
          <t>Hi all...is anyone taking famotodine only (without a PPI) and having good results?  I'm taking 40 mg once a day and feel it doesn't do enough and I don't want to go back on pantoprazole. Thanks for reading.</t>
        </is>
      </c>
      <c r="D5463" t="n">
        <v>1</v>
      </c>
      <c r="E5463" t="n">
        <v>26</v>
      </c>
      <c r="F5463">
        <f>HYPERLINK("https://www.reddit.com/r/GERD/comments/f8tr3q/famotodine/")</f>
        <v/>
      </c>
      <c r="G5463" t="inlineStr">
        <is>
          <t>2020-02-24 08:31:11</t>
        </is>
      </c>
      <c r="H5463" t="inlineStr"/>
    </row>
    <row r="5464">
      <c r="A5464" t="inlineStr">
        <is>
          <t>f8uswd</t>
        </is>
      </c>
      <c r="B5464" t="inlineStr">
        <is>
          <t>What's wrong with me??</t>
        </is>
      </c>
      <c r="C5464" t="inlineStr">
        <is>
          <t>For the past week or so, I've been getting intense burning all throughout my chest and neck and a ton of stomach related problems. It's gotten to where it makes me nauseous and makes me feel like I'm gonna throw up, but I never do. I've been taking Prilosec for the past couple days and I'm hoping and praying that it works, but I'm scared it won't. I've had heartburn in the past but never THIS bad. It just feels like it's never gonna go away, and I want my life back 😭</t>
        </is>
      </c>
      <c r="D5464" t="n">
        <v>1</v>
      </c>
      <c r="E5464" t="n">
        <v>8</v>
      </c>
      <c r="F5464">
        <f>HYPERLINK("https://www.reddit.com/r/GERD/comments/f8uswd/whats_wrong_with_me/")</f>
        <v/>
      </c>
      <c r="G5464" t="inlineStr">
        <is>
          <t>2020-02-24 09:37:18</t>
        </is>
      </c>
      <c r="H5464" t="inlineStr"/>
    </row>
    <row r="5465">
      <c r="A5465" t="inlineStr">
        <is>
          <t>f8uxnx</t>
        </is>
      </c>
      <c r="B5465" t="inlineStr">
        <is>
          <t>Has anyone else experienced constipation after getting a Linx implant?</t>
        </is>
      </c>
      <c r="C5465" t="inlineStr">
        <is>
          <t>I had the Linx surgery about a year ago, and since then I've been chronically constipated pretty much all the time. My bowel movements are regular, 1-2 times a day, but they are generally dry and hard to pass. I've also been experiencing quite a bit of gas (swallowed air?), which might be related. Has anyone else had this happen?</t>
        </is>
      </c>
      <c r="D5465" t="n">
        <v>1</v>
      </c>
      <c r="E5465" t="n">
        <v>4</v>
      </c>
      <c r="F5465">
        <f>HYPERLINK("https://www.reddit.com/r/GERD/comments/f8uxnx/has_anyone_else_experienced_constipation_after/")</f>
        <v/>
      </c>
      <c r="G5465" t="inlineStr">
        <is>
          <t>2020-02-24 09:45:38</t>
        </is>
      </c>
      <c r="H5465" t="inlineStr"/>
    </row>
    <row r="5466">
      <c r="A5466" t="inlineStr">
        <is>
          <t>f8vksp</t>
        </is>
      </c>
      <c r="B5466" t="inlineStr">
        <is>
          <t>Venting and questions about PPI.</t>
        </is>
      </c>
      <c r="C5466" t="inlineStr">
        <is>
          <t>Hi, fellow Acid Reflux suffer, I just need to get this off of my chest. I've seemingly had Acid Reflux for a long time, it started with random burps (no matter what I did, whether stand or bend or simple walk I would burp and still I burp). And well I ignored it for a long time thought it was ok and didn't pay any attention to it a really long time. (I'm stupid) Until recently, where it became worse after antibiotics, now I feel like something liquidy about to come out of my mouth every time no matter what I do, plus the annoying burping so I made an appointment, and had an endoscopy exactly on Wednesday. They said my stomach is alright but my esophagus is inflammed (kill me) then I got PPI prescribed and I don't know should I take it? I heard a lot of negative things about PPI I just cant take the burping and gag feeling anymore. It's killing me.</t>
        </is>
      </c>
      <c r="D5466" t="n">
        <v>1</v>
      </c>
      <c r="E5466" t="n">
        <v>7</v>
      </c>
      <c r="F5466">
        <f>HYPERLINK("https://www.reddit.com/r/GERD/comments/f8vksp/venting_and_questions_about_ppi/")</f>
        <v/>
      </c>
      <c r="G5466" t="inlineStr">
        <is>
          <t>2020-02-24 10:25:12</t>
        </is>
      </c>
      <c r="H5466" t="inlineStr"/>
    </row>
    <row r="5467">
      <c r="A5467" t="inlineStr">
        <is>
          <t>f8vt7v</t>
        </is>
      </c>
      <c r="B5467" t="inlineStr">
        <is>
          <t>Will I ever sleep again? LPR, Reflux, GERD, or something else?</t>
        </is>
      </c>
      <c r="C5467" t="inlineStr">
        <is>
          <t>So I started doing this thing a few years ago at night where I would jolt awake with the sensation of something in my throat and I if I didn’t get up and swallow it down then couldn’t breathe or the ~something~ was going to bubble up and out (aka vomit) What I can compare it to the most is a trapped burp. I could chew a tums up quickly would feel almost instantly better and go back to sleep. This only happened a few times a year or month at most, so really not too bothersome. 
Fast forward to now. I had surgery back in September 2019 and was unable to walk for about 6 weeks, I was instructed to take two baby aspirin a day. Well they wrecked my stomach. I was nauseous a lot and could only take one a day sometimes or would have to skip a day or so. After I was able to walk again and discontinued  my nausea and appetite improved by about 80 percent, however I would still get nauseous more then I used to. 
About two weeks ago I started jolting awake with that feeling I described above nightly, and now it has evolved into not being able to deeply sleep. It seems when my throat starts to relax so I can do more than doze off that something comes up and I have to change positions and swallow. 
As long as I’m up doing stuff or get up to read I don’t notice it as much, although the sensation can still be present. I never have burning or a bitter taste in my mouth, but i do recall for years having what I thought was a lump of snot from allergies in my throat, now I’m thinking maybe not. 
I brought it up to my doctor and she gave me a PPI to take for 4 weeks thinking the aspirin may have just did a number on me. I started taking them a few days ago and I think it’s helping during the day, but it’s almost WORSE at night. Thinking of switching it and taking them with dinner. 
Has anyone else gone through something similar? Will I ever sleep again?</t>
        </is>
      </c>
      <c r="D5467" t="n">
        <v>1</v>
      </c>
      <c r="E5467" t="n">
        <v>3</v>
      </c>
      <c r="F5467">
        <f>HYPERLINK("https://www.reddit.com/r/GERD/comments/f8vt7v/will_i_ever_sleep_again_lpr_reflux_gerd_or/")</f>
        <v/>
      </c>
      <c r="G5467" t="inlineStr">
        <is>
          <t>2020-02-24 10:39:45</t>
        </is>
      </c>
      <c r="H5467" t="inlineStr"/>
    </row>
    <row r="5468">
      <c r="A5468" t="inlineStr">
        <is>
          <t>f8yv6b</t>
        </is>
      </c>
      <c r="B5468" t="inlineStr">
        <is>
          <t>Possible Acid Refulx?</t>
        </is>
      </c>
      <c r="C5468" t="inlineStr">
        <is>
          <t>(23m) I started showing some symptoms around November such as gagging, trouble swallowing, top part of throat moving up and down, and voice change. Like sometimes the top part of my neck would feel empty when I touch around that area and hoarseness in voice, and sometimes it feels like part of my throat reaches all the way there and my voice sounds deeper. I noticed things started to get a lot worse because I never treated it. The symptoms I’m experiencing right now are post nasal drip, mucus, gagging, voice change/hoarseness, lump in throat, throat moving, difficulty swallowing food and medication, itchy throat, and something poking throat feeling. I visited my primary doctor last month or so and I told him I was experiencing gag reflex and he did say that’s a symptom of acid reflux. He gave me medication but I never took them because I didn’t want to mix them with my other medication I’m taking for other things. I had an X-ray and ct scan done few days ago and everything came back normal. I’m not sure if ct scans show GERD. I ate a lot of large meals in the past for years especially right before going to bed. Like I used to eat a large pizza, or pasta or something like that by myself every night and go to bed few hours later. And I’m sitting on my recliner for hours and hours every single day so that probably had an affect on this.</t>
        </is>
      </c>
      <c r="D5468" t="n">
        <v>1</v>
      </c>
      <c r="E5468" t="n">
        <v>14</v>
      </c>
      <c r="F5468">
        <f>HYPERLINK("https://www.reddit.com/r/GERD/comments/f8yv6b/possible_acid_refulx/")</f>
        <v/>
      </c>
      <c r="G5468" t="inlineStr">
        <is>
          <t>2020-02-24 13:49:16</t>
        </is>
      </c>
      <c r="H5468" t="inlineStr"/>
    </row>
    <row r="5469">
      <c r="A5469" t="inlineStr">
        <is>
          <t>f8zlro</t>
        </is>
      </c>
      <c r="B5469" t="inlineStr">
        <is>
          <t>Burning in eyes?</t>
        </is>
      </c>
      <c r="C5469" t="inlineStr">
        <is>
          <t>Been having reflux for a couple of months now and it’s been mild reflux along with heartburn. However from time to time I feel like there’s burning in my eyes like a feeling as if there are acid droplets. Was wondering if anyone else have this? I have a vitamin B deficiency as well and was wondering if that could be the cause</t>
        </is>
      </c>
      <c r="D5469" t="n">
        <v>1</v>
      </c>
      <c r="E5469" t="n">
        <v>0</v>
      </c>
      <c r="F5469">
        <f>HYPERLINK("https://www.reddit.com/r/GERD/comments/f8zlro/burning_in_eyes/")</f>
        <v/>
      </c>
      <c r="G5469" t="inlineStr">
        <is>
          <t>2020-02-24 14:36:20</t>
        </is>
      </c>
      <c r="H5469" t="inlineStr"/>
    </row>
    <row r="5470">
      <c r="A5470" t="inlineStr">
        <is>
          <t>f8zydg</t>
        </is>
      </c>
      <c r="B5470" t="inlineStr">
        <is>
          <t>PPI withdrawal depression?</t>
        </is>
      </c>
      <c r="C5470" t="inlineStr">
        <is>
          <t>Is this a common symptom? I was on a PPI for about a month and quit it recently. I then got a little heartburn which wasn't a big deal, but then got hit with a depressive episode that has persisted for days. Is this part of the withdrawal? It seems like PPI literature lists almost anything as a symptom of use or withdrawal. If so, maybe I can taper off instead, perhaps one pill every other day, then half a pill, etc.</t>
        </is>
      </c>
      <c r="D5470" t="n">
        <v>1</v>
      </c>
      <c r="E5470" t="n">
        <v>2</v>
      </c>
      <c r="F5470">
        <f>HYPERLINK("https://www.reddit.com/r/GERD/comments/f8zydg/ppi_withdrawal_depression/")</f>
        <v/>
      </c>
      <c r="G5470" t="inlineStr">
        <is>
          <t>2020-02-24 14:59:00</t>
        </is>
      </c>
      <c r="H5470" t="inlineStr"/>
    </row>
    <row r="5471">
      <c r="A5471" t="inlineStr">
        <is>
          <t>f92yo6</t>
        </is>
      </c>
      <c r="B5471" t="inlineStr">
        <is>
          <t>Everyone here needs to check out low carb</t>
        </is>
      </c>
      <c r="C5471" t="inlineStr">
        <is>
          <t>It's been immense in shaping my symptoms. I thought I was done for when the reflux started causing nausea. That meant it had gone even past my osephagus lining now. It had reached the eustachian tubes of the inner ear. 
But now it's settled down. It's no longer exploding, because I'm not feeding it material to explode with. I'll get the occasional burp and trickle, but I'm no longer afraid of losing my voice, or continuing with this Sisyphus stone. I'm not afraid of Barrett's anymore, when I was sure it was an eventuality. I cursed my short life. 
There are sources for this, and it's not hard.
www.dietdoctor.com for the keto diet. And it makes you healthier overall.
Fastr tract diet for more info on eliminating foods that cause reflux. Surprise surprise, they're mostly carbohydrate/sugar laden foods. 
There is a way out, and it starts with how you can feed yourself</t>
        </is>
      </c>
      <c r="D5471" t="n">
        <v>1</v>
      </c>
      <c r="E5471" t="n">
        <v>17</v>
      </c>
      <c r="F5471">
        <f>HYPERLINK("https://www.reddit.com/r/GERD/comments/f92yo6/everyone_here_needs_to_check_out_low_carb/")</f>
        <v/>
      </c>
      <c r="G5471" t="inlineStr">
        <is>
          <t>2020-02-24 18:26:51</t>
        </is>
      </c>
      <c r="H5471" t="inlineStr"/>
    </row>
    <row r="5472">
      <c r="A5472" t="inlineStr">
        <is>
          <t>f93g4u</t>
        </is>
      </c>
      <c r="B5472" t="inlineStr">
        <is>
          <t>Can someone help me out/give advice or tips on how to deal with this???</t>
        </is>
      </c>
      <c r="C5472" t="inlineStr">
        <is>
          <t>Sorry for the long post, it’s my first time on here. 
I’ve had the lump in the throat feeling since the beginning of the month and it’s been driving me crazy and over time other symptoms have started up and only made things worse. On the third or fourth day after it started I smoked some weed and ended up regurgitating my food that I ate. Over time I’ve gotten new symptoms like abdominal discomfort, heartburn, trouble swallowing, frequent burping and chest pain. 
Went to the doctor and he prescribed omeprazole but I ended up getting the flu a couple days later (which I know isn’t from the omeprazole I was just so sick I forgot to take them) I started getting a dry cough, sore throat, waking up with an extremely dry mouth to where it hurts to swallow along with all the other symptoms. I’ve gotten a wedge pillow and have been trying to fix my diet but it only seems like I have been getting worse. Now I started to get really bad post nasal drip along with some ear discomfort that makes drinking water uncomfortable sometimes and I don’t know if it’s from reflux or from the flu. Also been having really foamy, white saliva. I have an appointment with my GI but it’s not until a month from now. I just want someone to tell me what’s going on with me because I haven’t been able to find an answer. 
I’m running out of things to try out and I’m losing motivation to even try, it’s given me some really bad anxiety and has made me really depressed. Someone please help me out.</t>
        </is>
      </c>
      <c r="D5472" t="n">
        <v>1</v>
      </c>
      <c r="E5472" t="n">
        <v>8</v>
      </c>
      <c r="F5472">
        <f>HYPERLINK("https://www.reddit.com/r/GERD/comments/f93g4u/can_someone_help_me_outgive_advice_or_tips_on_how/")</f>
        <v/>
      </c>
      <c r="G5472" t="inlineStr">
        <is>
          <t>2020-02-24 19:02:03</t>
        </is>
      </c>
      <c r="H5472" t="inlineStr"/>
    </row>
    <row r="5473">
      <c r="A5473" t="inlineStr">
        <is>
          <t>f93qfr</t>
        </is>
      </c>
      <c r="B5473" t="inlineStr">
        <is>
          <t>Endoscopy done - Erosions in Cardia</t>
        </is>
      </c>
      <c r="C5473" t="inlineStr">
        <is>
          <t>Hi everyone,
After a very long (\~1 year) bout with pain in my chest when swallowing, trying different meds etc. I finally got my gastro to do another EGD today. Thankfully my esophagus is normal, and my worst fears of cancer have been quelled.  
However, what they did find was erosions in my cardia -  in the imaged it looks like two or three canker sores, which incidentally is exactly how I would describe the pain. They took biopsies to rule out H. Pylori, and I have an appointment in 2 weeks, but wondering if anyone else has had this? Was there anything in the interim you did to help ease the pain? Still on 60mg Dexilant daily but only two weeks so far so not expecting big changes.  
Anyone in this situation? Any suggestions or advice? Appreciate the help!</t>
        </is>
      </c>
      <c r="D5473" t="n">
        <v>1</v>
      </c>
      <c r="E5473" t="n">
        <v>1</v>
      </c>
      <c r="F5473">
        <f>HYPERLINK("https://www.reddit.com/r/GERD/comments/f93qfr/endoscopy_done_erosions_in_cardia/")</f>
        <v/>
      </c>
      <c r="G5473" t="inlineStr">
        <is>
          <t>2020-02-24 19:22:20</t>
        </is>
      </c>
      <c r="H5473" t="inlineStr"/>
    </row>
    <row r="5474">
      <c r="A5474" t="inlineStr">
        <is>
          <t>f979bg</t>
        </is>
      </c>
      <c r="B5474" t="inlineStr">
        <is>
          <t>New to this</t>
        </is>
      </c>
      <c r="C5474" t="inlineStr">
        <is>
          <t>I went to the dentist with complaints of constant tonsil stones. He referred me to an ENT who was very concerned with this and the fact that I had a reddish throat and my tongue was whitish. He did some tests and found that I had signs of stomach acid in my nose.  He also sent me for a stomach x-ray but found i don't have a bad stomach valve. But hes put my on 20mg of apo-omeprazole twice a day as he thinks I'm getting acid brought up through what he  called tertiary waves. Hes also getting me to gargle and nasal rinse with a salt,  vinegar and water mix (I tried it with the vinegar but must not have gotten the dosage right because it burned, which I assume I'm trying to avoid with all this). This all very new, unexpected and concerning for me, especially as I've never really felt heartburn in my life, at least not to my knowledge. If anyone is able to share similar experiences or give me some starting tips I'd really appreciate it.</t>
        </is>
      </c>
      <c r="D5474" t="n">
        <v>1</v>
      </c>
      <c r="E5474" t="n">
        <v>2</v>
      </c>
      <c r="F5474">
        <f>HYPERLINK("https://www.reddit.com/r/GERD/comments/f979bg/new_to_this/")</f>
        <v/>
      </c>
      <c r="G5474" t="inlineStr">
        <is>
          <t>2020-02-25 00:32:41</t>
        </is>
      </c>
      <c r="H5474" t="inlineStr"/>
    </row>
    <row r="5475">
      <c r="A5475" t="inlineStr">
        <is>
          <t>f98yt9</t>
        </is>
      </c>
      <c r="B5475" t="inlineStr">
        <is>
          <t>Is it possible I am experiencing symptoms of GERD or a mild form of it?</t>
        </is>
      </c>
      <c r="C5475" t="inlineStr">
        <is>
          <t>For starters i'm a 16m and for the past day I've been burping a lot and salivating quite a bit. And just last night my stomach started to hurt a little bit. I just want to know if these are symptoms of GERD. I've also sometimes felt like the back of my throat was burning when burping sometimes. But it hasn't happened yet today.</t>
        </is>
      </c>
      <c r="D5475" t="n">
        <v>1</v>
      </c>
      <c r="E5475" t="n">
        <v>3</v>
      </c>
      <c r="F5475">
        <f>HYPERLINK("https://www.reddit.com/r/GERD/comments/f98yt9/is_it_possible_i_am_experiencing_symptoms_of_gerd/")</f>
        <v/>
      </c>
      <c r="G5475" t="inlineStr">
        <is>
          <t>2020-02-25 03:35:45</t>
        </is>
      </c>
      <c r="H5475" t="inlineStr"/>
    </row>
    <row r="5476">
      <c r="A5476" t="inlineStr">
        <is>
          <t>f99v67</t>
        </is>
      </c>
      <c r="B5476" t="inlineStr">
        <is>
          <t>Help with GERD/IBS</t>
        </is>
      </c>
      <c r="C5476" t="inlineStr">
        <is>
          <t>SYMPTOMS:  
- Diagnosed IBS
- I am constantly wanting to go poop, but usually only a little bit comes out so I don’t feel “emptied”.  
- I get reflux almost every morning.  
- I avoid triggers like tomatoey shit and chocolate, helps a little.  
- I drink enough water, and drink/ eat slowly enough.  
- I don’t lie down after meals. I eat whole foods. Pretty damn healthy.
What I’m taking:  
- Align. Hasn’t helped yet, only been a week though.  
- Tums if absolutely necessary.  
- Gabapentin helps mask the symptoms/anxiety associated with it.  
Advice/thoughts? Redirect me if this is the wrong thread...</t>
        </is>
      </c>
      <c r="D5476" t="n">
        <v>1</v>
      </c>
      <c r="E5476" t="n">
        <v>4</v>
      </c>
      <c r="F5476">
        <f>HYPERLINK("https://www.reddit.com/r/GERD/comments/f99v67/help_with_gerdibs/")</f>
        <v/>
      </c>
      <c r="G5476" t="inlineStr">
        <is>
          <t>2020-02-25 04:57:20</t>
        </is>
      </c>
      <c r="H5476" t="inlineStr"/>
    </row>
    <row r="5477">
      <c r="A5477" t="inlineStr">
        <is>
          <t>f9a5ku</t>
        </is>
      </c>
      <c r="B5477" t="inlineStr">
        <is>
          <t>Anxiety and Panic Attacks caused by GERD?</t>
        </is>
      </c>
      <c r="C5477" t="inlineStr">
        <is>
          <t>Hey guys, I've had significant heartburn for the last three weeks brought on by, wouldn't you know it, anxiety pills (FML).  One problem I have is I have a feeling of tightness in my chest that gives me huge anxiety, because deep down I think it's like, something deadly.  I have even woken up in the night with panic attacks a few times and close to a panic attack many more times.  
Does anyone else have this problem or is it just me?</t>
        </is>
      </c>
      <c r="D5477" t="n">
        <v>1</v>
      </c>
      <c r="E5477" t="n">
        <v>12</v>
      </c>
      <c r="F5477">
        <f>HYPERLINK("https://www.reddit.com/r/GERD/comments/f9a5ku/anxiety_and_panic_attacks_caused_by_gerd/")</f>
        <v/>
      </c>
      <c r="G5477" t="inlineStr">
        <is>
          <t>2020-02-25 05:20:06</t>
        </is>
      </c>
      <c r="H5477" t="inlineStr"/>
    </row>
    <row r="5478">
      <c r="A5478" t="inlineStr">
        <is>
          <t>f9aido</t>
        </is>
      </c>
      <c r="B5478" t="inlineStr">
        <is>
          <t>Struggling to understand combination of symptoms and determine right treatment plan</t>
        </is>
      </c>
      <c r="C5478" t="inlineStr">
        <is>
          <t>I was diagnosed with GERD a year ago and did a 2-week course of 20mg omeprazole that didn't seem to make a noticeable difference. Tried managing my symptoms with diet/lifestyle changes for the past year but in recent months I noticed that my throat was feeling increasingly worse, so I gave in and went for my first endoscopy last week. It showed damage to my lower esophagus and a small hiatal hernia. Still waiting for results of the stomach/esophagus biopsies to come in.
At this point the only conversation I have had with a GI doctor was when he came into the room about 5 minutes before starting my endoscopy where I described the symptoms I have been feeling. I feel like my local GI office has me on a  generic "go for an endoscopy, then start taking 40mg omeprazole daily" plan that might not be right for my combination of symptoms.
It makes sense to me that a weak LES/hiatal hernia causes acid to travel from the stomach up into the esophagus, especially when lying down. 
What I don't understand is how that is related to feelings of upset stomach, excessive gas/bloating, slow stomach emptying, constipation, which seem more like they would be related to something like a bacteria growth in my GI tract, or food allergy, than anything mechanical in my throat.
I was tested for h. pylori a year ago and it came back negative, but I am concerned that taking 40mg of omeprazole daily to reduce my stomach acid could actually be counterproductive if it slows my digestion further and makes my stomach symptoms worse.
I have tried fast tract and low carb diets for weeks at a time without seeing much benefit; if anything, following strict diets seemed to make my stomach feel worse overall than when I gave up and just went back to eating/drinking whatever I wanted.
Based on doctor's orders after last week's endoscopy I am taking 20mg omeprazole twice a day and back on the "anti-reflux diet" avoiding acidic/fatty foods and drinking only water, and making the recommended lifestyle changes.
I was very reluctant to take a PPI but want to get my acid under control so my throat can heal. At the same time, I can't help feeling like this is treating a symptom but not the underlying cure. I wish I could figure out what is causing my stomach to feel so poorly as that seems more connected with the root cause than the actual reflux does.</t>
        </is>
      </c>
      <c r="D5478" t="n">
        <v>1</v>
      </c>
      <c r="E5478" t="n">
        <v>5</v>
      </c>
      <c r="F5478">
        <f>HYPERLINK("https://www.reddit.com/r/GERD/comments/f9aido/struggling_to_understand_combination_of_symptoms/")</f>
        <v/>
      </c>
      <c r="G5478" t="inlineStr">
        <is>
          <t>2020-02-25 05:48:24</t>
        </is>
      </c>
      <c r="H5478" t="inlineStr"/>
    </row>
    <row r="5479">
      <c r="A5479" t="inlineStr">
        <is>
          <t>f9b1gi</t>
        </is>
      </c>
      <c r="B5479" t="inlineStr">
        <is>
          <t>9 cm barrett's esophagus at 22 years old, why me?</t>
        </is>
      </c>
      <c r="C5479" t="inlineStr">
        <is>
          <t>Hey, I'm fairly depressed,  I had trouble swallowing and dyspepsia,  my endoscopy was done today and they found  9 cm barrett's esophagus with a 6 cm hiatal hernia and some stretching 
Multiple biopsies have been done in order to know if there's dysplasia
The doctor said it's the first time of his career he see a very long barret in a young man and asked me about my family history
He added that my esophagus need to be dilated, I have an appointement about this  Friday 
Believe it or not, I've never experienced any acid reflux
Why me? I did nothing wrong, I eat a healthy balanced diet... Maybe this hernia is responsible?
My next scoop is in 3 month since my barrett is very long
Terribly afraid about cancer now</t>
        </is>
      </c>
      <c r="D5479" t="n">
        <v>1</v>
      </c>
      <c r="E5479" t="n">
        <v>3</v>
      </c>
      <c r="F5479">
        <f>HYPERLINK("https://www.reddit.com/r/GERD/comments/f9b1gi/9_cm_barretts_esophagus_at_22_years_old_why_me/")</f>
        <v/>
      </c>
      <c r="G5479" t="inlineStr">
        <is>
          <t>2020-02-25 06:28:08</t>
        </is>
      </c>
      <c r="H5479" t="inlineStr"/>
    </row>
    <row r="5480">
      <c r="A5480" t="inlineStr">
        <is>
          <t>f9bjzs</t>
        </is>
      </c>
      <c r="B5480" t="inlineStr">
        <is>
          <t>LPR started after a cold , sore throat main symtpom ,any advice on gabapentin ?</t>
        </is>
      </c>
      <c r="C5480" t="inlineStr">
        <is>
          <t>Well 4 months ago I developed a normal cold, take a course of a weak antibiotic and my life turns miserable, theres no a single day that I wake up with a intense sore throat, I mean intense because is nothing like a normal cold sore throat, is really unberable ,  the thing is that I have reflux, never having these issues before that day, one doctor suggested me gabapentin because of the post viral vagal neuropathy,  but IDK if its gonna fix my issue because I have reflux on the top of that , any suggestions to make the pain stop for good  ? Ppis not worked.</t>
        </is>
      </c>
      <c r="D5480" t="n">
        <v>1</v>
      </c>
      <c r="E5480" t="n">
        <v>3</v>
      </c>
      <c r="F5480">
        <f>HYPERLINK("https://www.reddit.com/r/GERD/comments/f9bjzs/lpr_started_after_a_cold_sore_throat_main_symtpom/")</f>
        <v/>
      </c>
      <c r="G5480" t="inlineStr">
        <is>
          <t>2020-02-25 07:05:28</t>
        </is>
      </c>
      <c r="H5480" t="inlineStr"/>
    </row>
    <row r="5481">
      <c r="A5481" t="inlineStr">
        <is>
          <t>f9cdl9</t>
        </is>
      </c>
      <c r="B5481" t="inlineStr">
        <is>
          <t>How did you cure your GERD?</t>
        </is>
      </c>
      <c r="C5481" t="inlineStr">
        <is>
          <t>How did you cure your GERD? 
I can’t seem to identify any triggers, but just want to be normal and want this gone!</t>
        </is>
      </c>
      <c r="D5481" t="n">
        <v>1</v>
      </c>
      <c r="E5481" t="n">
        <v>33</v>
      </c>
      <c r="F5481">
        <f>HYPERLINK("https://www.reddit.com/r/GERD/comments/f9cdl9/how_did_you_cure_your_gerd/")</f>
        <v/>
      </c>
      <c r="G5481" t="inlineStr">
        <is>
          <t>2020-02-25 08:00:26</t>
        </is>
      </c>
      <c r="H5481" t="inlineStr"/>
    </row>
    <row r="5482">
      <c r="A5482" t="inlineStr">
        <is>
          <t>f9f06p</t>
        </is>
      </c>
      <c r="B5482" t="inlineStr">
        <is>
          <t>Day 1 of no H2-Blockers before Bravo EGD</t>
        </is>
      </c>
      <c r="C5482" t="inlineStr">
        <is>
          <t>Not doing so hot. It's 12 and I've had 4 tums :)</t>
        </is>
      </c>
      <c r="D5482" t="n">
        <v>1</v>
      </c>
      <c r="E5482" t="n">
        <v>0</v>
      </c>
      <c r="F5482">
        <f>HYPERLINK("https://www.reddit.com/r/GERD/comments/f9f06p/day_1_of_no_h2blockers_before_bravo_egd/")</f>
        <v/>
      </c>
      <c r="G5482" t="inlineStr">
        <is>
          <t>2020-02-25 10:49:14</t>
        </is>
      </c>
      <c r="H5482" t="inlineStr"/>
    </row>
    <row r="5483">
      <c r="A5483" t="inlineStr">
        <is>
          <t>f9fom5</t>
        </is>
      </c>
      <c r="B5483" t="inlineStr">
        <is>
          <t>What are the signs that the acid reflex/lpr is bad?</t>
        </is>
      </c>
      <c r="C5483" t="inlineStr">
        <is>
          <t>I started showing symptoms in November starting with gag reflex and and trouble swallowing then slowly started showing more symptoms like lump in throat, dry cough, voice change, low soft voice and hoarseness, excessive throat clearing, more difficulty swallowing and itchy throat. I’ve been doing some research about this condition for few days now and one thing that gave me really bad anxiety is when I read the gastroesophageal becomes part of esophagus like the opening becomes wider and acid goes all the way up higher. I’m not experiencing any heartburn in chest or discomfort around stomach just the symptoms I mentioned. But sometimes when I’m sitting down I do feel something move on my left side. I started showing symptoms just a few months ago but I probably had it for a while.</t>
        </is>
      </c>
      <c r="D5483" t="n">
        <v>1</v>
      </c>
      <c r="E5483" t="n">
        <v>10</v>
      </c>
      <c r="F5483">
        <f>HYPERLINK("https://www.reddit.com/r/GERD/comments/f9fom5/what_are_the_signs_that_the_acid_reflexlpr_is_bad/")</f>
        <v/>
      </c>
      <c r="G5483" t="inlineStr">
        <is>
          <t>2020-02-25 11:32:21</t>
        </is>
      </c>
      <c r="H5483" t="inlineStr"/>
    </row>
    <row r="5484">
      <c r="A5484" t="inlineStr">
        <is>
          <t>f9fs81</t>
        </is>
      </c>
      <c r="B5484" t="inlineStr">
        <is>
          <t>GERD and Anxiety</t>
        </is>
      </c>
      <c r="C5484" t="inlineStr">
        <is>
          <t>I have had issues with GERD for the past year off and on.  It started when I weaned myself off my anxiety meds (Klonopin and Paxil) and my doctor thinks it’s related to anxiety which I didn’t believe at first but from reading a lot of posts in this subreddit it makes sense.
At my absolute worst, I was barely eating and lost 20 lbs in one month.  I ended up back on Zoloft and have been taking that for almost 5 months now.  I’m also in therapy and exercising regularly.  Mentally I feel great, better than I have in years.
However, I still frequently have heartburn and wake up most mornings with chest pain.  I also have gas, bloating, and sore throat/globus sensation.  I thought that once I felt better anxiety wise, the stomach would follow too.
I have had an endoscopy which came back ok and also had a HIDA scan.  I’m debating doing a short course of PPIs again (I’ve done this twice now) to see if I just need to heal my stomach.  I recently started taking Gaviscon Advance which is helping a little.
Anyway, I’m wondering if anyone else suffers from anxiety induced GERD and if you’ve been successful in getting it under control.  Most of the time, I just try to ignore it or not care about it, but it really sucks because otherwise I feel so good!
Thanks in advance.</t>
        </is>
      </c>
      <c r="D5484" t="n">
        <v>1</v>
      </c>
      <c r="E5484" t="n">
        <v>0</v>
      </c>
      <c r="F5484">
        <f>HYPERLINK("https://www.reddit.com/r/GERD/comments/f9fs81/gerd_and_anxiety/")</f>
        <v/>
      </c>
      <c r="G5484" t="inlineStr">
        <is>
          <t>2020-02-25 11:38:26</t>
        </is>
      </c>
      <c r="H5484" t="inlineStr"/>
    </row>
    <row r="5485">
      <c r="A5485" t="inlineStr">
        <is>
          <t>f9habu</t>
        </is>
      </c>
      <c r="B5485" t="inlineStr">
        <is>
          <t>Help with coffee issue - caffeine pill?</t>
        </is>
      </c>
      <c r="C5485" t="inlineStr">
        <is>
          <t>Hello! I know that I need to do a month without any coffee, (or maybe no caffeine at all) but I haven’t been able to do it yet. I’m not able to get past the initial super horrible depression of quitting day one....I know, I’m pretty dependent on some hit of coffee, even though I often just do a small amount or espresso. Does anyone have tips that helped them quit? Would taking a caffeine pill just the same thing GERD-wise? I am also curious, did you give up coffee for awhile and find that you could go back to drinking it at some point? The idea of having to quit coffee is truly awful for me. I’m fine with giving up any food or alcohol, but not coffee.....it’s my only real solid dependable joy of the day :/</t>
        </is>
      </c>
      <c r="D5485" t="n">
        <v>1</v>
      </c>
      <c r="E5485" t="n">
        <v>7</v>
      </c>
      <c r="F5485">
        <f>HYPERLINK("https://www.reddit.com/r/GERD/comments/f9habu/help_with_coffee_issue_caffeine_pill/")</f>
        <v/>
      </c>
      <c r="G5485" t="inlineStr">
        <is>
          <t>2020-02-25 13:11:13</t>
        </is>
      </c>
      <c r="H5485" t="inlineStr"/>
    </row>
    <row r="5486">
      <c r="A5486" t="inlineStr">
        <is>
          <t>f9hava</t>
        </is>
      </c>
      <c r="B5486" t="inlineStr">
        <is>
          <t>Acid reflux diet and sleep</t>
        </is>
      </c>
      <c r="C5486" t="inlineStr">
        <is>
          <t>I was diagnosed with acid reflux recently and I want to switch into a proper diet to help with this condition. I’ve always been a picky eater so I don’t eat most vegetables but I can see myself eating healthier to get rid of the symptoms. I do like a lot of fruits but I don’t eat them as much because I’d rather eat sweets but I’ll be making the switch easily. I always eat the same 2-3 things everyday but I’m slowly switching and eating a little bit healthier everyday. I’m also extremely confused about sleep. My doctor told me to elevate my bed but I don’t think I can buy an elevator because my bed is average size. It’s a one person mattress and my feet reach past the other side of the bed frame (caged). I don’t know if it’s necessary to use a mattress elevator and sleep in that angle/position.</t>
        </is>
      </c>
      <c r="D5486" t="n">
        <v>1</v>
      </c>
      <c r="E5486" t="n">
        <v>2</v>
      </c>
      <c r="F5486">
        <f>HYPERLINK("https://www.reddit.com/r/GERD/comments/f9hava/acid_reflux_diet_and_sleep/")</f>
        <v/>
      </c>
      <c r="G5486" t="inlineStr">
        <is>
          <t>2020-02-25 13:12:09</t>
        </is>
      </c>
      <c r="H5486" t="inlineStr"/>
    </row>
    <row r="5487">
      <c r="A5487" t="inlineStr">
        <is>
          <t>f9kawu</t>
        </is>
      </c>
      <c r="B5487" t="inlineStr">
        <is>
          <t>Linx surgery for GERD 2 months ago and daily gas pains</t>
        </is>
      </c>
      <c r="C5487" t="inlineStr">
        <is>
          <t xml:space="preserve"> had linx surgery for GERD a little over 2 months ago.  Get dyphagia at  the start of every meal every day but able to work through. I think I'm  swallow air more frequently with eating/drinking as a result and sometimes cannot burp normally because of spasms. Since  surgery have been getting very bad, sometimes crippling gas pains.   Tried Gas ex and antispasmodics and nothing seems to help.  Anyone else  get this with the Linx?  Any suggestions?  I avoid gassy foods, etc.  Can't enjoy having the GERD gone because of this.</t>
        </is>
      </c>
      <c r="D5487" t="n">
        <v>1</v>
      </c>
      <c r="E5487" t="n">
        <v>2</v>
      </c>
      <c r="F5487">
        <f>HYPERLINK("https://www.reddit.com/r/GERD/comments/f9kawu/linx_surgery_for_gerd_2_months_ago_and_daily_gas/")</f>
        <v/>
      </c>
      <c r="G5487" t="inlineStr">
        <is>
          <t>2020-02-25 16:25:58</t>
        </is>
      </c>
      <c r="H5487" t="inlineStr"/>
    </row>
    <row r="5488">
      <c r="A5488" t="inlineStr">
        <is>
          <t>f9kpk6</t>
        </is>
      </c>
      <c r="B5488" t="inlineStr">
        <is>
          <t>Surgery</t>
        </is>
      </c>
      <c r="C5488" t="inlineStr">
        <is>
          <t>I’m getting surgery!! Who else has had the anti reflux procedure?</t>
        </is>
      </c>
      <c r="D5488" t="n">
        <v>1</v>
      </c>
      <c r="E5488" t="n">
        <v>22</v>
      </c>
      <c r="F5488">
        <f>HYPERLINK("https://www.reddit.com/r/GERD/comments/f9kpk6/surgery/")</f>
        <v/>
      </c>
      <c r="G5488" t="inlineStr">
        <is>
          <t>2020-02-25 16:54:14</t>
        </is>
      </c>
      <c r="H5488" t="inlineStr"/>
    </row>
    <row r="5489">
      <c r="A5489" t="inlineStr">
        <is>
          <t>f9kskr</t>
        </is>
      </c>
      <c r="B5489" t="inlineStr">
        <is>
          <t>Still searching</t>
        </is>
      </c>
      <c r="C5489" t="inlineStr">
        <is>
          <t>Does anyone have left arm pain with this and lately I have had random ear flushing off and on? Craziness. I have severe gerd as well.  Just wanna know</t>
        </is>
      </c>
      <c r="D5489" t="n">
        <v>1</v>
      </c>
      <c r="E5489" t="n">
        <v>2</v>
      </c>
      <c r="F5489">
        <f>HYPERLINK("https://www.reddit.com/r/GERD/comments/f9kskr/still_searching/")</f>
        <v/>
      </c>
      <c r="G5489" t="inlineStr">
        <is>
          <t>2020-02-25 17:00:14</t>
        </is>
      </c>
      <c r="H5489" t="inlineStr"/>
    </row>
    <row r="5490">
      <c r="A5490" t="inlineStr">
        <is>
          <t>f9kzo8</t>
        </is>
      </c>
      <c r="B5490" t="inlineStr">
        <is>
          <t>Recently diagnosed and looking for advice</t>
        </is>
      </c>
      <c r="C5490" t="inlineStr">
        <is>
          <t>I was diagnosed about two weeks ago with GERD. My doctor put me on twice a day Omeprazole and a new diet and sent me home with a small pamphlet and told me to look on the internet for a more thorough list of what I can't eat. 
Well the internet has taught this is a rather complicated issue and I wanted some more information from folks who might have my version of it or might give me suggestions for what to talk to he doctor about more specifically in the future. Also any good reliable resources on the food options as those tend to contradict each other.
Mostly I have just a ton of burping (almost constant though a lot better already after diet changes and Omeprazole). It seems to also get worse in the car, something about the  position I sit in makes it always worse. Some sore throat issues but not bad. I have no idea what could be causing be it, where to look for info, etc. Just any direction would be welcome to help me. Thanks!</t>
        </is>
      </c>
      <c r="D5490" t="n">
        <v>1</v>
      </c>
      <c r="E5490" t="n">
        <v>2</v>
      </c>
      <c r="F5490">
        <f>HYPERLINK("https://www.reddit.com/r/GERD/comments/f9kzo8/recently_diagnosed_and_looking_for_advice/")</f>
        <v/>
      </c>
      <c r="G5490" t="inlineStr">
        <is>
          <t>2020-02-25 17:14:51</t>
        </is>
      </c>
      <c r="H5490" t="inlineStr"/>
    </row>
    <row r="5491">
      <c r="A5491" t="inlineStr">
        <is>
          <t>f9lcv2</t>
        </is>
      </c>
      <c r="B5491" t="inlineStr">
        <is>
          <t>Should I get a barium swallow? How long to heal my LES?</t>
        </is>
      </c>
      <c r="C5491" t="inlineStr">
        <is>
          <t>The main thing that I want to figure out is has this barium swallow helped diagnose anyone with similar acid reflux symptoms as me?
I'm currently dealing with an acid reflux flare up, which started with more frequent reflux in November 2019, and a couple weeks ago it got even worse where it started happening every day. That's when I made a lot of drastic changes. 
I had acid reflux back when I was about 17/18, but I believe that was due pretty much entirely to my food allergies, because it went away completely after I got tested and eliminated all allergy foods. I even got an endoscopy, only to find out that my esophagus was normal, LES was normal (slightly opened at the time, but that's apparently normal). I was probably predisposed since reflux runs in my family. Since then, I rarely had reflux until lately.
My worst reflux is at night, I'll wake up with a really burnt throat, tasting acid. If I don't overeat during the day, I don't get symptoms, although now that I'm in the middle of the flare it is really sensitive and it can be easy to fill up my stomach too much and cause some heartburn.
With all the changes I've made, I can control it really well. Some days/nights I can be totally reflux free (although I am still sleeping on a very elevated pillow)! Some days are harder than others and it happens if I'm not strict enough with myself, but I'm keeping a log of everything I eat and at what time to help me better understand how to get better.
I'm a female in my early 20s, 5'6", 120lbs. I'm not overweight at all.
Here is the list of changes I've made:
* I've eliminated all trigger foods (tomato, coffee, any caffeine, spicy food, citrus, try to avoid greasy food, dairy-free (allergic anyway)).
* Sleeping on an elevated pillow
* Stopped lifting weights for now, just doing elliptical
* Do not eat before exercising
* Eating smaller portions, more frequently throughout the day
* Drinking only small sips of water at a time throughout the day
* Stop eating 4 hours before bed, stop drinking anything 2 hours before bed
* Good posture while eating
* Avoid wearing tight clothes
* Supplements: DGL licorice, multivitamin, probiotic, aloe, melatonin at night (for reflux, not sleeping)
* A safe antispasmodic medication called "no spa" which seems to be the only medication that helped, PPIs did not work for me AT ALL
* Removed my hormonal IUD (not sure if I can tell if this has helped yet)
* Started doing acupuncture treatment (seems to be helping, only on 3rd appointment)
I know that it takes a really long time to heal the LES after some chronic acid reflux (couple months for me). I'm not exactly sure how long, I'm guessing for me it could take up to 6 months following this new diet and lifestyle to get rid of it.
I'm still figuring it all out but since I have been able to go some nights without reflux, I have hope that I am on the right track to healing. 
My point is that I don't think I need to get a barium swallow x ray. I think that I'm getting better and it just takes time. My doctor ordered it, and I just have major doubts that anything will show up on it since I had an endoscopy not long ago, and I seem to have figured out a way to make things better. My family is really pressuring me to do it but I just want to continue with acupuncture and being strict with my changes. My fear is that if I get this x-ray, nothing will show up (I've heard it's not very accurate and doesn't catch small issues) and then the next step is another endoscopy, which I've had!
I doubt I have an enlarged vein, muscular problems, or a truly bad LES. Obviously my LES is not great right now, but I am still able to lay down flat for a while with no reflux if I haven't eaten and am not feely too full for at least 3-4 hours. The only thing I'm not sure about is whether I have a hernia, although if it's small anyway I just have to live with it, maybe do self-adjustments.
I feel like I can control my symptoms to a well enough degree that it doesn't really make sense for me to go through this. It seems like a waste of time and money. 
Can anyone tell me if they've found surprising things in their barium x-rays or endoscopies? That would convince me to go get it. Also how long does it take for my sensitive LES to really get better??</t>
        </is>
      </c>
      <c r="D5491" t="n">
        <v>1</v>
      </c>
      <c r="E5491" t="n">
        <v>13</v>
      </c>
      <c r="F5491">
        <f>HYPERLINK("https://www.reddit.com/r/GERD/comments/f9lcv2/should_i_get_a_barium_swallow_how_long_to_heal_my/")</f>
        <v/>
      </c>
      <c r="G5491" t="inlineStr">
        <is>
          <t>2020-02-25 17:41:35</t>
        </is>
      </c>
      <c r="H5491" t="inlineStr"/>
    </row>
    <row r="5492">
      <c r="A5492" t="inlineStr">
        <is>
          <t>f9liv6</t>
        </is>
      </c>
      <c r="B5492" t="inlineStr">
        <is>
          <t>Sour Milk / Vomit Smell coming from nose</t>
        </is>
      </c>
      <c r="C5492" t="inlineStr">
        <is>
          <t>Has anyone with GERD or LPR/silent reflux had issues with this?
1) My bf has told me on multiple occasions that my nasal breath smells like sour milk/lactose-y, even when I can’t smell any odor myself as I will describe below. He said it’s stronger some times than others. It’s not my mouth as I have a psycho oral routine including tonsil irrigation.
2) I perceive this acrid, rancid odor when I exhale from my nose only. It is so strange and hard to describe. It feels warm, kind of burns. When I flex my jaw to pop my Eustachian tube (it’s often blocked feeling), the odor smells stronger. Sometimes it smells cheesy, vomit-y, sulphuric, mucous, like feet, like something sour or acidic. Sometimes all in one. Sometimes it’s not there but lately, I have it everyday and it starts after I wake up. I’m not sure if it’s related to what Bf smells.
I’m not sure whether this could be an LPR thing. I do burp a lot and have mild indigestion issues like bloat, constipation, feeling full too long. Symptoms vary based on how healthy I eat. Also constant feeling of post nasal drip.
Could it be aspirated stomach acid and pepsin? Could it be bacteria feeding on the mucous or sinusitis? Could it be adenoid stones? I clean my palatine tonsils out nightly and am sure it’s not them.</t>
        </is>
      </c>
      <c r="D5492" t="n">
        <v>1</v>
      </c>
      <c r="E5492" t="n">
        <v>7</v>
      </c>
      <c r="F5492">
        <f>HYPERLINK("https://www.reddit.com/r/GERD/comments/f9liv6/sour_milk_vomit_smell_coming_from_nose/")</f>
        <v/>
      </c>
      <c r="G5492" t="inlineStr">
        <is>
          <t>2020-02-25 17:53:31</t>
        </is>
      </c>
      <c r="H5492" t="inlineStr"/>
    </row>
    <row r="5493">
      <c r="A5493" t="inlineStr">
        <is>
          <t>f9m560</t>
        </is>
      </c>
      <c r="B5493" t="inlineStr">
        <is>
          <t>Heartburn vs acid reflux?</t>
        </is>
      </c>
      <c r="C5493" t="inlineStr">
        <is>
          <t>Can someone please differentiate between the two? I tried looking it up but I’m still confused. I struggle with nausea and bloating after meals. I often feel like air gets stuck in my throat and once I burp I feel better. Food doesn’t come up when I burp but after meals there’s a burning sensation in my chest and throat. Is this heartburn and acid reflux? I’ve noticed things get worse when I eat carbs especially the burning in my chest. Along with some dairy. Any advice is appreciated</t>
        </is>
      </c>
      <c r="D5493" t="n">
        <v>1</v>
      </c>
      <c r="E5493" t="n">
        <v>3</v>
      </c>
      <c r="F5493">
        <f>HYPERLINK("https://www.reddit.com/r/GERD/comments/f9m560/heartburn_vs_acid_reflux/")</f>
        <v/>
      </c>
      <c r="G5493" t="inlineStr">
        <is>
          <t>2020-02-25 18:36:27</t>
        </is>
      </c>
      <c r="H5493" t="inlineStr"/>
    </row>
    <row r="5494">
      <c r="A5494" t="inlineStr">
        <is>
          <t>f9m6b2</t>
        </is>
      </c>
      <c r="B5494" t="inlineStr">
        <is>
          <t>How do you know</t>
        </is>
      </c>
      <c r="C5494" t="inlineStr">
        <is>
          <t>How do you know the difference form reflux/gerd chest pains vs heart pains ???</t>
        </is>
      </c>
      <c r="D5494" t="n">
        <v>1</v>
      </c>
      <c r="E5494" t="n">
        <v>12</v>
      </c>
      <c r="F5494">
        <f>HYPERLINK("https://www.reddit.com/r/GERD/comments/f9m6b2/how_do_you_know/")</f>
        <v/>
      </c>
      <c r="G5494" t="inlineStr">
        <is>
          <t>2020-02-25 18:38:42</t>
        </is>
      </c>
      <c r="H5494" t="inlineStr"/>
    </row>
    <row r="5495">
      <c r="A5495" t="inlineStr">
        <is>
          <t>f9o9g1</t>
        </is>
      </c>
      <c r="B5495" t="inlineStr">
        <is>
          <t>When to worry about Barrets Esophagus?</t>
        </is>
      </c>
      <c r="C5495" t="inlineStr">
        <is>
          <t>Hi all. I am nearly 25 and was diagnosed with grade b erosive esophagitus and signs of GERD after having an endoscopy in January of 2019. I went on a high dosage of rabeprazole to heal this, and while I never did a follow up endoscopy, my symptoms did go away. 
When I tried to go off the medocation, symptoms returned, and I have been on the medication ever since, at varying dosage levels.
Just in this last week, i have been developing indigestion symptoms again, so I upped the dosage in the last two days to no improvement.
Seeing as I have had np follow up endoscopy, I am a little worried. I assumed that as long as I took the medication and was symptom free, then I was pretty much all good. However, I qm wondering if BE could have been dilently developing. I am currently set to have a follow up endoscopy in January 2021, but am wondering if I should wait that long, or follow up now.
I have read on here that some people were diagnosed with BE at my age or younger and I didn't even know that could happen! I only ever developed my first reflux symptoms a few weeks prior to my doagnosis.
Thanks.</t>
        </is>
      </c>
      <c r="D5495" t="n">
        <v>1</v>
      </c>
      <c r="E5495" t="n">
        <v>2</v>
      </c>
      <c r="F5495">
        <f>HYPERLINK("https://www.reddit.com/r/GERD/comments/f9o9g1/when_to_worry_about_barrets_esophagus/")</f>
        <v/>
      </c>
      <c r="G5495" t="inlineStr">
        <is>
          <t>2020-02-25 21:18:20</t>
        </is>
      </c>
      <c r="H5495" t="inlineStr"/>
    </row>
    <row r="5496">
      <c r="A5496" t="inlineStr">
        <is>
          <t>f9phzi</t>
        </is>
      </c>
      <c r="B5496" t="inlineStr">
        <is>
          <t>From never having any stomach problems to daily heartburn and rebound acid</t>
        </is>
      </c>
      <c r="C5496" t="inlineStr">
        <is>
          <t>Until I was 30 I never had acid reflux other than maybe once a year. One day I developed a really bad cough and after going to a doctor and getting a CT scan of my chest they found nothing wring with my respiratory system. My doc at the time though I had LPR and my cough was caused by acid. So I was on PPI's for about 4-6 weeks. After not achieving any results I discovered that my cough was actually caused by an allergy to one of my pillows(probably mold). After I threw it away it was gone and I stopped taking my omeprazole. 3 days later I started experiencing a terrible reflux that would not go away. So I went back on PPI's and went to my new doctor. She tested me for H Pylori and it turned out I had it. I had 2 eradication therapies with taking more PPI's. After the eradication I had to see a specialist for my rebound reflux. My gastroenterologist said he didn't think I had anything serious(considering that I had no heartburn until I started taking PPI's) going on with me but he will still do an endoscopy just to take a look. Now I am waiting for an endoscopy. It has been 7 weeks since I got off PPI's and I still have daily reflux. It is controllable with pepcid and antacids but I keep thinking will this ever stop and has anyone had a rebound acid for so long? It is really starting to scare me.</t>
        </is>
      </c>
      <c r="D5496" t="n">
        <v>1</v>
      </c>
      <c r="E5496" t="n">
        <v>18</v>
      </c>
      <c r="F5496">
        <f>HYPERLINK("https://www.reddit.com/r/GERD/comments/f9phzi/from_never_having_any_stomach_problems_to_daily/")</f>
        <v/>
      </c>
      <c r="G5496" t="inlineStr">
        <is>
          <t>2020-02-25 23:13:08</t>
        </is>
      </c>
      <c r="H5496" t="inlineStr"/>
    </row>
    <row r="5497">
      <c r="A5497" t="inlineStr">
        <is>
          <t>f9qoz5</t>
        </is>
      </c>
      <c r="B5497" t="inlineStr">
        <is>
          <t>Sleep Upright</t>
        </is>
      </c>
      <c r="C5497" t="inlineStr">
        <is>
          <t>So, my problems with GERD come about mostly between the time of lying down and waking up. I was wondering if someone tried this:
[https://www.theminimalists.com/drew/](https://www.theminimalists.com/drew/)
Sleep upright, consistently?  
All help appreciated</t>
        </is>
      </c>
      <c r="D5497" t="n">
        <v>1</v>
      </c>
      <c r="E5497" t="n">
        <v>1</v>
      </c>
      <c r="F5497">
        <f>HYPERLINK("https://www.reddit.com/r/GERD/comments/f9qoz5/sleep_upright/")</f>
        <v/>
      </c>
      <c r="G5497" t="inlineStr">
        <is>
          <t>2020-02-26 01:23:20</t>
        </is>
      </c>
      <c r="H5497" t="inlineStr"/>
    </row>
    <row r="5498">
      <c r="A5498" t="inlineStr">
        <is>
          <t>f9qp1o</t>
        </is>
      </c>
      <c r="B5498" t="inlineStr">
        <is>
          <t>Is this GERD?</t>
        </is>
      </c>
      <c r="C5498" t="inlineStr">
        <is>
          <t>I thought r/GERD could help me out with this issue before I head to the doctors, but I don’t remember how long I’ve been dealing with this (maybe for 3 years ever since I ate a whole dozen of Krispy Kreme donuts in a day and had horrible heartburn). I always have this problem with gas pains, can’t burp, always feel like I have trapped gas in my chest, when I do or feel like it I can feel vomit up my throat and sometimes I always feel nauseous with vomit I my throat type of feel. Sometimes it’s bad gas pains that I feel in my upper stomach and chest. All these symptoms happen reoccurly pretty often. Does this sound like GERD? I know my mom has GERD  if that helps.</t>
        </is>
      </c>
      <c r="D5498" t="n">
        <v>1</v>
      </c>
      <c r="E5498" t="n">
        <v>0</v>
      </c>
      <c r="F5498">
        <f>HYPERLINK("https://www.reddit.com/r/GERD/comments/f9qp1o/is_this_gerd/")</f>
        <v/>
      </c>
      <c r="G5498" t="inlineStr">
        <is>
          <t>2020-02-26 01:23:34</t>
        </is>
      </c>
      <c r="H5498" t="inlineStr"/>
    </row>
    <row r="5499">
      <c r="A5499" t="inlineStr">
        <is>
          <t>f9qu5j</t>
        </is>
      </c>
      <c r="B5499" t="inlineStr">
        <is>
          <t>Can my stomach/esophagus heal itself?</t>
        </is>
      </c>
      <c r="C5499" t="inlineStr">
        <is>
          <t>I’ve been dealing with gastritis and GERD for about a year and a half now. I know a proper healthy diet and medication can treat gastritis, but I was wondering if my esophagus and stomach can heal itself (go back to the condition it was when I was healthy) Sometimes, I feel my stomach burning and I was wondering if I should try eating aloe vera in the morning after I take my medication. It happens at random times, not necesarily after I eat trigger foods. Which is why I’m worried my stomach lining is permanently damaged. I’m 20 Female btw. Can being young help heal my stomach as well?</t>
        </is>
      </c>
      <c r="D5499" t="n">
        <v>1</v>
      </c>
      <c r="E5499" t="n">
        <v>2</v>
      </c>
      <c r="F5499">
        <f>HYPERLINK("https://www.reddit.com/r/GERD/comments/f9qu5j/can_my_stomachesophagus_heal_itself/")</f>
        <v/>
      </c>
      <c r="G5499" t="inlineStr">
        <is>
          <t>2020-02-26 01:39:42</t>
        </is>
      </c>
      <c r="H5499" t="inlineStr"/>
    </row>
    <row r="5500">
      <c r="A5500" t="inlineStr">
        <is>
          <t>f9t2pz</t>
        </is>
      </c>
      <c r="B5500" t="inlineStr">
        <is>
          <t>GERD and Zyrtec</t>
        </is>
      </c>
      <c r="C5500" t="inlineStr">
        <is>
          <t>Has anyone experienced daily antihistamines helping their heartburn? 
I realize H2 type antihistamines are used for this, but I'm talking about the H1 antihistamines (Cetirizine/Zyrtec specifically) which are used for environmental allergies.
I started having serious chest pain last fall - I was told I had GERD, went on a PPI, also went on a daily allergy med for hives (which showed up at the same time the chest pain began), and didn't have any more pain. I went off of the PPI for about a month with no changes - I continued to have swallowing issues, and some chest discomfort, but no more pain (essentially the same as on the PPI). An endoscopy showed no issues whatsoever after a month off the PPI (first endoscopy, so I don't know what it looked like before that).
I stopped taking the Cetirizine for a few days, and wound up with extreme chest pain again - for the first time in months! I've also had more issues with chest discomfort and swallowing when I've accidentally missed a dose.</t>
        </is>
      </c>
      <c r="D5500" t="n">
        <v>1</v>
      </c>
      <c r="E5500" t="n">
        <v>6</v>
      </c>
      <c r="F5500">
        <f>HYPERLINK("https://www.reddit.com/r/GERD/comments/f9t2pz/gerd_and_zyrtec/")</f>
        <v/>
      </c>
      <c r="G5500" t="inlineStr">
        <is>
          <t>2020-02-26 05:18:10</t>
        </is>
      </c>
      <c r="H5500" t="inlineStr"/>
    </row>
    <row r="5501">
      <c r="A5501" t="inlineStr">
        <is>
          <t>f9v3wl</t>
        </is>
      </c>
      <c r="B5501" t="inlineStr">
        <is>
          <t>Does DGL have less effectiveness as time goes on?</t>
        </is>
      </c>
      <c r="C5501" t="inlineStr">
        <is>
          <t>When I first started taking 1 DGL pill a day for heartburn, I felt great and for a few weeks was pretty much symptom free. Then after that I found that I needed to take 2 pills (1 in morning and 1 at night) to get the same effect. Then a few weeks later I'm now at the point where it feels like it's having little to no effect. My heartburn symptoms didn't seem to decrease at all after taking a pill (even after a few hours). 
Has anyone else experienced a declining effectiveness like this with DGL?</t>
        </is>
      </c>
      <c r="D5501" t="n">
        <v>1</v>
      </c>
      <c r="E5501" t="n">
        <v>7</v>
      </c>
      <c r="F5501">
        <f>HYPERLINK("https://www.reddit.com/r/GERD/comments/f9v3wl/does_dgl_have_less_effectiveness_as_time_goes_on/")</f>
        <v/>
      </c>
      <c r="G5501" t="inlineStr">
        <is>
          <t>2020-02-26 07:44:02</t>
        </is>
      </c>
      <c r="H5501" t="inlineStr"/>
    </row>
    <row r="5502">
      <c r="A5502" t="inlineStr">
        <is>
          <t>f9vfz2</t>
        </is>
      </c>
      <c r="B5502" t="inlineStr">
        <is>
          <t>Stomach sphincter problem leading to GERD, even on an empty stomach</t>
        </is>
      </c>
      <c r="C5502" t="inlineStr">
        <is>
          <t>I have bad reflux to the point I puke a little when I burp, and then I have to spit it out (if I am near a toilet) or unfortunately swallow it (if I am at work). I also get bad reflux even on an empty stomach, and I cough a lot.
I had an endoscopy in 2018 and the dr said I had inflammation of my upper stomach sphincter that was leading to GERD. They wanted to put me on protonix, but I didn't like the possible side effects. Plus, I take meds for various things and I don't want them to be less effective. So, I never picked up the prescription.
Also, I am not overweight and never have been. I eat like one or two times a day because I am not hungry (due to meds) and because having reflux makes me not want to eat. I also get stomach aches if I eat when I'm not hungry, which is why I only eat 1 or 2 times a day (and they are not huge meals).
What do people do when they have stomach sphincter problems? Are there any special diets that can help?</t>
        </is>
      </c>
      <c r="D5502" t="n">
        <v>1</v>
      </c>
      <c r="E5502" t="n">
        <v>5</v>
      </c>
      <c r="F5502">
        <f>HYPERLINK("https://www.reddit.com/r/GERD/comments/f9vfz2/stomach_sphincter_problem_leading_to_gerd_even_on/")</f>
        <v/>
      </c>
      <c r="G5502" t="inlineStr">
        <is>
          <t>2020-02-26 08:06:18</t>
        </is>
      </c>
      <c r="H5502" t="inlineStr"/>
    </row>
    <row r="5503">
      <c r="A5503" t="inlineStr">
        <is>
          <t>f9vlv9</t>
        </is>
      </c>
      <c r="B5503" t="inlineStr">
        <is>
          <t>Belching issues</t>
        </is>
      </c>
      <c r="C5503" t="inlineStr">
        <is>
          <t>Hi guys, 2 montha ago I had severe anxiety which gave me all sorts of annoying symptoms which increased my anxiety. I can finally say that all the symptoms like global sensation and nauseau etc has gone away. However, I still have excessive belching especially after eating and drinking in a regular tempo, then I cant breathe well anymore which leads into a panic attack sometimes. I also used to have huge swallowling problems, but the swallowing issues has been getting less and less by day which is really nice. The only symptoms I have now are chest pains, feeling of wind being stuck in chest, bloated feeling and a little bit of swallowing issues(nearly gone). I sometimes feel acid reflux, but since I started taking probiotics it seems to feel way less than before. Do you guys think I should take an endoscopy? I pretty much overexxegerated and my doc is willing to give me one.
Does anyone else have this and do you think I should do a scopy or just wait it out. I also never have had stomach issues until the huge anxiety and panic episodes. I dont have stomach pain, or stool problems and am a 22 year old.</t>
        </is>
      </c>
      <c r="D5503" t="n">
        <v>1</v>
      </c>
      <c r="E5503" t="n">
        <v>3</v>
      </c>
      <c r="F5503">
        <f>HYPERLINK("https://www.reddit.com/r/GERD/comments/f9vlv9/belching_issues/")</f>
        <v/>
      </c>
      <c r="G5503" t="inlineStr">
        <is>
          <t>2020-02-26 08:16:44</t>
        </is>
      </c>
      <c r="H5503" t="inlineStr"/>
    </row>
    <row r="5504">
      <c r="A5504" t="inlineStr">
        <is>
          <t>f9x1wb</t>
        </is>
      </c>
      <c r="B5504" t="inlineStr">
        <is>
          <t>How long does it take for PPIs to start working again after coming off and experiencing severe rebound?</t>
        </is>
      </c>
      <c r="C5504" t="inlineStr">
        <is>
          <t>Came off dexilant last week. I was fine for 2-3 days until the wheels fell off. Now I am so sick I can barely take a deep breath. I restarted dexilant and am now waiting for it to take effect once again. I don't think I'll ever try to come off again, in spite of the long term sides.</t>
        </is>
      </c>
      <c r="D5504" t="n">
        <v>1</v>
      </c>
      <c r="E5504" t="n">
        <v>11</v>
      </c>
      <c r="F5504">
        <f>HYPERLINK("https://www.reddit.com/r/GERD/comments/f9x1wb/how_long_does_it_take_for_ppis_to_start_working/")</f>
        <v/>
      </c>
      <c r="G5504" t="inlineStr">
        <is>
          <t>2020-02-26 09:47:42</t>
        </is>
      </c>
      <c r="H5504" t="inlineStr"/>
    </row>
    <row r="5505">
      <c r="A5505" t="inlineStr">
        <is>
          <t>f9yiro</t>
        </is>
      </c>
      <c r="B5505" t="inlineStr">
        <is>
          <t>Gastritis Pain Points</t>
        </is>
      </c>
      <c r="C5505" t="inlineStr">
        <is>
          <t>Anyone get pain under the bottom rib cages?  Either side? Been trying to pinpoint what is going on, compete mystery.</t>
        </is>
      </c>
      <c r="D5505" t="n">
        <v>1</v>
      </c>
      <c r="E5505" t="n">
        <v>30</v>
      </c>
      <c r="F5505">
        <f>HYPERLINK("https://www.reddit.com/r/GERD/comments/f9yiro/gastritis_pain_points/")</f>
        <v/>
      </c>
      <c r="G5505" t="inlineStr">
        <is>
          <t>2020-02-26 11:20:09</t>
        </is>
      </c>
      <c r="H5505" t="inlineStr"/>
    </row>
    <row r="5506">
      <c r="A5506" t="inlineStr">
        <is>
          <t>f9ylfx</t>
        </is>
      </c>
      <c r="B5506" t="inlineStr">
        <is>
          <t>Toupet/partial wrap scheduled in about three weeks</t>
        </is>
      </c>
      <c r="C5506" t="inlineStr">
        <is>
          <t>Been dealing with GERD for about 44 years now and FUCKING SICK OF IT. I've been pretty scared of a Nissen procedure for a long long time now. Then LINX came around and I got all excited. To me, anyway, that one seemed simple and logical. I had the full battery of GERD tests done 8 months ago. Turns out I have IEM (insufficient esophogeal motility) but my surgeon (well known bariatric guy) didn't think that was necessarily a disqualifier. Long story short, I finally decided to pull the trigger on a partial wrap, partly because my insurance won't cover a LINX but also because my surgeon tells me there's not enough data on doing the LINX with low motility. Anyhow, I'm  somewhat nervous about it, but I say damn the torpedoes at this point. GERD controls my life way too much. He told me he felt there was about a 2% chance the wrap would make things worse, and that in fact he thought it was work well for me. Pretty stoked about it in a low-key, fingers-crossed kind of way.</t>
        </is>
      </c>
      <c r="D5506" t="n">
        <v>1</v>
      </c>
      <c r="E5506" t="n">
        <v>12</v>
      </c>
      <c r="F5506">
        <f>HYPERLINK("https://www.reddit.com/r/GERD/comments/f9ylfx/toupetpartial_wrap_scheduled_in_about_three_weeks/")</f>
        <v/>
      </c>
      <c r="G5506" t="inlineStr">
        <is>
          <t>2020-02-26 11:24:27</t>
        </is>
      </c>
      <c r="H5506" t="inlineStr"/>
    </row>
    <row r="5507">
      <c r="A5507" t="inlineStr">
        <is>
          <t>f9yphf</t>
        </is>
      </c>
      <c r="B5507" t="inlineStr">
        <is>
          <t>Waking up at 4 or 5 am a symptom of LPR?</t>
        </is>
      </c>
      <c r="C5507" t="inlineStr">
        <is>
          <t>Anyone else getting this? I'm trying to figure out what is causing this. I simply wake up with no burning or discomfort. This has been going on since a recent flare up but cutting out soda and getting on medicine still allows this to happen. Not sure if this is a common symptom and my doctor thinks everything is LPR related, but just want to do a sanity check here I'm not perhaps overlooking a different medical issue because of my LPR. Thanks!</t>
        </is>
      </c>
      <c r="D5507" t="n">
        <v>1</v>
      </c>
      <c r="E5507" t="n">
        <v>0</v>
      </c>
      <c r="F5507">
        <f>HYPERLINK("https://www.reddit.com/r/GERD/comments/f9yphf/waking_up_at_4_or_5_am_a_symptom_of_lpr/")</f>
        <v/>
      </c>
      <c r="G5507" t="inlineStr">
        <is>
          <t>2020-02-26 11:31:38</t>
        </is>
      </c>
      <c r="H5507" t="inlineStr"/>
    </row>
    <row r="5508">
      <c r="A5508" t="inlineStr">
        <is>
          <t>fa0kq5</t>
        </is>
      </c>
      <c r="B5508" t="inlineStr">
        <is>
          <t>GERD and Barrett's developed over 1 month without any history of reflux</t>
        </is>
      </c>
      <c r="C5508" t="inlineStr">
        <is>
          <t>Hello. A month ago I went through a particularly stressful time with panic attacks and insomnia. Somewhere along the way I developed a burning feeling above my belly button at night time. I took Pepcid a few times which always eliminated the symptom completely. Then a doctor friend suggested I start a course of Prilosec for 2 weeks. I had some weird side effects on Prilosec -- nausea for 2 days, then bloating/constipation and wanting to eat when not hungry -- but the burning symptoms did go away almost entirely. After 2 weeks I stopped using Prilosec and within 3 days the burning symptoms returned except worse and I also started getting more traditional chest burning / reflux feeling. Today I just went for an endoscopy and the report says I have gastritis, evidence of GERD, and likely Barrett's esophagus (irregular Z line + salmon color mucosa) which they will confirm with biopsy results. This is all overwhelming to me because before a month ago I had reflux maybe once or twice a year if that, certainly nothing chronic. My question is can stress really cause GERD and Barrett's to develop over the course of a month?</t>
        </is>
      </c>
      <c r="D5508" t="n">
        <v>1</v>
      </c>
      <c r="E5508" t="n">
        <v>9</v>
      </c>
      <c r="F5508">
        <f>HYPERLINK("https://www.reddit.com/r/GERD/comments/fa0kq5/gerd_and_barretts_developed_over_1_month_without/")</f>
        <v/>
      </c>
      <c r="G5508" t="inlineStr">
        <is>
          <t>2020-02-26 13:25:45</t>
        </is>
      </c>
      <c r="H5508" t="inlineStr"/>
    </row>
    <row r="5509">
      <c r="A5509" t="inlineStr">
        <is>
          <t>fa535k</t>
        </is>
      </c>
      <c r="B5509" t="inlineStr">
        <is>
          <t>Loss of appetite</t>
        </is>
      </c>
      <c r="C5509" t="inlineStr">
        <is>
          <t>I have had GERD since September 2017. I have had loss of appetite since then too, I started to gradually lose my appetite. I can't feel hunger at all since November 2017. I tried Ranitidine, Carafate, Reglan, Tums, psyllium husk, Omeprazole, and am currently on 40mg Pantoprazole. I can feel when I am thirsty and drink water, I can feel the knawing? feeling of GERD. I do not eat big meals, I snack throughout the day, I don't drink liquids until after I have eaten, I dont drink carbonated beverages, I force eat between 1500-2000 calories a day. An endoscopy only revealed GERD, no ulcers, etc. A barium swallow study showed Reflux but nothing else. Even with my hypothyroidism treated and vitamin D deficiency I still feel no hunger. I am so sick of it. I feel like vomiting after eating even a small amount. The nausea problem has got worse after my gallbladder removal, but the lack of hunger has been for a long time. I feel so full of bile that there is no room for food anymore, when I vomit in my mouth it is neon yellow bile. I just feel so depressed that I am so repulsed by food and feel full with nothing in my stomach/feel nauseous after eating little. I had a gastric emptying study done, but I have yet to hear back from them. Any ways to feel hungry again?</t>
        </is>
      </c>
      <c r="D5509" t="n">
        <v>1</v>
      </c>
      <c r="E5509" t="n">
        <v>2</v>
      </c>
      <c r="F5509">
        <f>HYPERLINK("https://www.reddit.com/r/GERD/comments/fa535k/loss_of_appetite/")</f>
        <v/>
      </c>
      <c r="G5509" t="inlineStr">
        <is>
          <t>2020-02-26 18:33:47</t>
        </is>
      </c>
      <c r="H5509" t="inlineStr"/>
    </row>
    <row r="5510">
      <c r="A5510" t="inlineStr">
        <is>
          <t>fa67xs</t>
        </is>
      </c>
      <c r="B5510" t="inlineStr">
        <is>
          <t>Acid reflux attack. Should I eat something now or wait?</t>
        </is>
      </c>
      <c r="C5510" t="inlineStr">
        <is>
          <t>I used to have almost daily reflux attacks three years ago, then went vegan for unrelated reasons and noticed it went away completely. Back to vegetarianism since a year ago, been fine still except today, I have no idea what I did, maybe the beyond burger + Reese's cup combo, but I ate that at around 9a and it's 11p now, haven't eaten anything since except water and it's still just as bad, been hovering between bed and the toilet for hours now from nausea, sour stomach and burps. Just trying to fall asleep.
I know you shouldn't eat right before bed w/ acid reflux, so I likely won't this time and just pray it goes away soon, but for future cases, would it be a better idea to eat, say, a banana in the middle of a reflux attack? Or would it make it worse? Seeing as how just waiting it out isn't doing much... thanks!</t>
        </is>
      </c>
      <c r="D5510" t="n">
        <v>1</v>
      </c>
      <c r="E5510" t="n">
        <v>5</v>
      </c>
      <c r="F5510">
        <f>HYPERLINK("https://www.reddit.com/r/GERD/comments/fa67xs/acid_reflux_attack_should_i_eat_something_now_or/")</f>
        <v/>
      </c>
      <c r="G5510" t="inlineStr">
        <is>
          <t>2020-02-26 19:59:39</t>
        </is>
      </c>
      <c r="H5510" t="inlineStr"/>
    </row>
    <row r="5511">
      <c r="A5511" t="inlineStr">
        <is>
          <t>fa6jlo</t>
        </is>
      </c>
      <c r="B5511" t="inlineStr">
        <is>
          <t>Any tried / heard or EsopH on amazon?</t>
        </is>
      </c>
      <c r="C5511" t="inlineStr">
        <is>
          <t>Seems to new, with positive reviews. However I cant find much else around  the internet nor any information on how it works
EsopH for GERD and acid reflux.... https://www.amazon.ca/dp/B07NQLBH4N?ref=ppx_pop_mob_ap_share</t>
        </is>
      </c>
      <c r="D5511" t="n">
        <v>1</v>
      </c>
      <c r="E5511" t="n">
        <v>0</v>
      </c>
      <c r="F5511">
        <f>HYPERLINK("https://www.reddit.com/r/GERD/comments/fa6jlo/any_tried_heard_or_esoph_on_amazon/")</f>
        <v/>
      </c>
      <c r="G5511" t="inlineStr">
        <is>
          <t>2020-02-26 20:25:38</t>
        </is>
      </c>
      <c r="H5511" t="inlineStr"/>
    </row>
    <row r="5512">
      <c r="A5512" t="inlineStr">
        <is>
          <t>fa6jmo</t>
        </is>
      </c>
      <c r="B5512" t="inlineStr">
        <is>
          <t>Any tried / heard or EsopH on amazon?</t>
        </is>
      </c>
      <c r="C5512" t="inlineStr">
        <is>
          <t>Seems to new, with positive reviews. However I cant find much else around  the internet nor any information on how it works
EsopH for GERD and acid reflux.... https://www.amazon.ca/dp/B07NQLBH4N?ref=ppx_pop_mob_ap_share</t>
        </is>
      </c>
      <c r="D5512" t="n">
        <v>1</v>
      </c>
      <c r="E5512" t="n">
        <v>0</v>
      </c>
      <c r="F5512">
        <f>HYPERLINK("https://www.reddit.com/r/GERD/comments/fa6jmo/any_tried_heard_or_esoph_on_amazon/")</f>
        <v/>
      </c>
      <c r="G5512" t="inlineStr">
        <is>
          <t>2020-02-26 20:25:43</t>
        </is>
      </c>
      <c r="H5512" t="inlineStr"/>
    </row>
    <row r="5513">
      <c r="A5513" t="inlineStr">
        <is>
          <t>fa6jsg</t>
        </is>
      </c>
      <c r="B5513" t="inlineStr">
        <is>
          <t>Any tried / heard or EsopH on amazon?</t>
        </is>
      </c>
      <c r="C5513" t="inlineStr">
        <is>
          <t>Seems to new, with positive reviews. However I cant find much else around  the internet nor any information on how it works
EsopH for GERD and acid reflux.... 
https://www.amazon.ca/dp/B07NQLBH4N?ref=ppx_pop_mob_ap_share</t>
        </is>
      </c>
      <c r="D5513" t="n">
        <v>1</v>
      </c>
      <c r="E5513" t="n">
        <v>6</v>
      </c>
      <c r="F5513">
        <f>HYPERLINK("https://www.reddit.com/r/GERD/comments/fa6jsg/any_tried_heard_or_esoph_on_amazon/")</f>
        <v/>
      </c>
      <c r="G5513" t="inlineStr">
        <is>
          <t>2020-02-26 20:26:04</t>
        </is>
      </c>
      <c r="H5513" t="inlineStr"/>
    </row>
    <row r="5514">
      <c r="A5514" t="inlineStr">
        <is>
          <t>fa6p4d</t>
        </is>
      </c>
      <c r="B5514" t="inlineStr">
        <is>
          <t>Clicking noise when swallowing</t>
        </is>
      </c>
      <c r="C5514" t="inlineStr">
        <is>
          <t>Anyone have this? I seem to get this feeling of difficulty swallowing and it's accompanied by a clicking noise in my upper throat.</t>
        </is>
      </c>
      <c r="D5514" t="n">
        <v>1</v>
      </c>
      <c r="E5514" t="n">
        <v>3</v>
      </c>
      <c r="F5514">
        <f>HYPERLINK("https://www.reddit.com/r/GERD/comments/fa6p4d/clicking_noise_when_swallowing/")</f>
        <v/>
      </c>
      <c r="G5514" t="inlineStr">
        <is>
          <t>2020-02-26 20:38:21</t>
        </is>
      </c>
      <c r="H5514" t="inlineStr"/>
    </row>
    <row r="5515">
      <c r="A5515" t="inlineStr">
        <is>
          <t>fa79d1</t>
        </is>
      </c>
      <c r="B5515" t="inlineStr">
        <is>
          <t>Doctor is taking me off of pantoprazole</t>
        </is>
      </c>
      <c r="C5515" t="inlineStr">
        <is>
          <t>Been on 40 mg daily pantoprazole for around two months now and it did a great job at reducing the frequency of my reflux, but in recent weeks it's been causing a whole slew of other stomach problems along with joint pain. Doc is switching me down to 20 mg Pepcid daily now. I'm personally a little nervous to get off the pantoprazole even though it's been causing problems lately. I really don't want to go back to frequent reflux. How does 20 mg Pepcid work for other people?</t>
        </is>
      </c>
      <c r="D5515" t="n">
        <v>1</v>
      </c>
      <c r="E5515" t="n">
        <v>6</v>
      </c>
      <c r="F5515">
        <f>HYPERLINK("https://www.reddit.com/r/GERD/comments/fa79d1/doctor_is_taking_me_off_of_pantoprazole/")</f>
        <v/>
      </c>
      <c r="G5515" t="inlineStr">
        <is>
          <t>2020-02-26 21:27:37</t>
        </is>
      </c>
      <c r="H5515" t="inlineStr"/>
    </row>
    <row r="5516">
      <c r="A5516" t="inlineStr">
        <is>
          <t>fa7iic</t>
        </is>
      </c>
      <c r="B5516" t="inlineStr">
        <is>
          <t>esophagitis</t>
        </is>
      </c>
      <c r="C5516" t="inlineStr">
        <is>
          <t>about three weeks or so i was diagnosed with esophagitis and when i started to take my medicine it seemed to go away but this week i’m on my period and it seems to have made it 10x worse. my throat feels inflamed all over again, i feel like something is stuck in my throat and my throat/chest burns. does anyone have any solutions for me? and is it normal for esophagitis to flare back up?</t>
        </is>
      </c>
      <c r="D5516" t="n">
        <v>1</v>
      </c>
      <c r="E5516" t="n">
        <v>4</v>
      </c>
      <c r="F5516">
        <f>HYPERLINK("https://www.reddit.com/r/GERD/comments/fa7iic/esophagitis/")</f>
        <v/>
      </c>
      <c r="G5516" t="inlineStr">
        <is>
          <t>2020-02-26 21:51:12</t>
        </is>
      </c>
      <c r="H5516" t="inlineStr"/>
    </row>
    <row r="5517">
      <c r="A5517" t="inlineStr">
        <is>
          <t>fa7s8y</t>
        </is>
      </c>
      <c r="B5517" t="inlineStr">
        <is>
          <t>Long Term Use of Acid Reflux Medications</t>
        </is>
      </c>
      <c r="C5517" t="inlineStr">
        <is>
          <t>Hi All, 
Over the past few months I have learned a great deal about acid reflux, it's risk factors, underlying causes, and treatments. I'd like to share a few facts that you may not be aware of regarding the use of acid reflux medications across each type including Proton Pump Inhibitors (PPIs), H2 Blockers, and Antacids.
I suffered with this terrible disease (GERD and LPR) for more than 15 years so my heart goes out to each of you as I am on the forums almost daily. I feel your pain. I was fortunate to have a friend tip me off to the underlying causes of some neurological issues I was experiencing. I mentioned to her that my fingers (and lips) had been tingling. She immediately asked me if I have acid reflux because she experienced this as well, but to a greater degree. Hers included her entire lower legs, hands and lips. She went on to tell me that this is caused by vitamin B12 deficiency which is one of three well known side effects of long term acid reflux medicine use. The most common are [B12, Calcium, and Magnesium](https://www.ncbi.nlm.nih.gov/pmc/articles/PMC4110863/).
They come with a whole host of side effects including, but not limited to the following (my symptoms in **bold**):
* Weakness, **tiredness**, or lightheadedness
* Heart palpitations and shortness of breath
* Pale skin
* **A smooth tongue**
* Constipation, diarrhea, loss of appetite, or gas
* Nerve problems like **numbness, muscle weakness,** and problems walking
* **Vision loss**
* Neurological issues like **depression, memory loss, confusion, difficulty concentrating, or behavioral changes**
* Muscle Problems (**aches**, cramps, **spasms**, numbness, **tingling in hands, arms**, feet, legs and **around the mouth**)
* **Extreme fatigue**
* Nail and skin symptoms (itch, inflammation, psoriasis)
* Osteopenia and osteoperosis (low bone density)
* Painful PMS
* Dental problems
* Nausea
* Loss of appetite
* **Anxiety**
In hindsight, these symptoms clearly started when I began taking the medicines. Unfortunately, I was changing jobs at the same time and I rationalized the anxiety, and other neurological symptoms as stress related. Since that time, job moves and increasing scopes of responsibility gave me further reason to believe these symptoms were related to job stressors. Because I had a grandmother with dementia I started to privately believe that I was experiencing early onset dementia... 
Acid blockers work by restricting the production of stomach acids, which in turn reduces your digestive efficiency and allows pathogens (bad bacteria and viruses) to proliferate in your gut. As a result your body is unable to break the foods down properly into the associated vitamins and nutrients. Furthermore, some nutrients like B12 are rapidly absorbed by the bad bacteria in your gut, further reducing supply to your body.
The reality is these drugs were never meant to be taken for more than 6-8 weeks. They were originally designed to address severe inflammatory issues where high stomach acidity exacerbated the issue. Some point between inception of these drugs and how, it has become a bit of an epidemic with nearly 20% of american suffering some form of reflux and a multi-billion dollar industry. As you can see in this [Mordor Intelligence](https://mordorintelligence.com/industry-reports/gastroesophageal-reflux-disease-market) article $10B was spent on antacids alone. In a 2016 study I saw Nexium was the number 2 drug sold behind lipator and alone it brought in $5.1B in revenue.
Your stomach was designed as a highly acidic environment so that food are digested efficiently and your body is protected from bacteria and viruses that enter your gut. In addition, high acidity and abdominal pressure created during digestion is the trigger that signals your body to contract your lower esophageal sphincter (LES) and diaphragmatic sphincters. The sphincters are a ring of muscles designed to relax when you swallow food (to allow it into the stomach) or burp and close when you are digesting and need to keep stomach contents contained.
As you may have figured out, these reflux medicines lower your stomach acid to a level that renders your sphincters ineffective, thereby guaranteeing reflux. As a result you need to take more reflux medicine and antacids to manage the stomach that are allowed up into your throat. As this occurs more often we take higher doses of the medicines which further relaxes the sphincters. I raised my prescription dosage three times over 15 years until it no longer managed my symptoms.
Thankfully my friend tipped me off as I was at my wits end. After researching further I found that a few supplements could be used to break the cycle, rebuild the acidity and associated enzymes that I needed to restore my digestive efficiency and sphincter function, and get rid of my reflux for good. To do this, I took a simply took combination of Hydrochloric acid, apple cider vinegar, and digestive enzyme supplements with meals. I found I needed to experiment with the HCl supplement dose to find the right balance. Your body will signal you if you have it right. Once I started taking the supplements I stopped the reflux medications immediately! I could write a 10,000 word article on all the amazing reversal to the above mentioned side effects that occurred over the following week.
This experience has really changed my perception of the medical industry, side effects of medicines. I am far more likely to seek natural remedies now where I used to raise an eyebrow when people started talking about supplements and oils and all that other nonsense. I think it just takes an experience like this to help you look at things with a fresh perspective. 
I know this post was long, but I hope it helps. Happy to answer any questions you may have</t>
        </is>
      </c>
      <c r="D5517" t="n">
        <v>1</v>
      </c>
      <c r="E5517" t="n">
        <v>49</v>
      </c>
      <c r="F5517">
        <f>HYPERLINK("https://www.reddit.com/r/GERD/comments/fa7s8y/long_term_use_of_acid_reflux_medications/")</f>
        <v/>
      </c>
      <c r="G5517" t="inlineStr">
        <is>
          <t>2020-02-26 22:16:46</t>
        </is>
      </c>
      <c r="H5517" t="inlineStr"/>
    </row>
    <row r="5518">
      <c r="A5518" t="inlineStr">
        <is>
          <t>fa7wie</t>
        </is>
      </c>
      <c r="B5518" t="inlineStr">
        <is>
          <t>chest and back pain</t>
        </is>
      </c>
      <c r="C5518" t="inlineStr">
        <is>
          <t>i’m 19 and i’ve had chest and back pain for about a month now constant 24/7 ... i did have a 3 day span of no pain but it did come back... i always feel like it’s a heart problem cause all the pain is on my left side so it’s really scary. i’ve been to the er twice and all they say is they can’t find anything that will kill me but i guess that’s what there suppose to do ...recently my doctor put me on setraline for anxiety cause she thought it could be from stress and anxiety but it hasn’t helped and now she says it could be an esphgous issue maybe even gerd ... but i don’t have heartburn or have a acid taste in my mouth so i was wondering if it’s still possible for it to be gerd and if anyone gets the chest and back pain constantly that never stops as well</t>
        </is>
      </c>
      <c r="D5518" t="n">
        <v>1</v>
      </c>
      <c r="E5518" t="n">
        <v>3</v>
      </c>
      <c r="F5518">
        <f>HYPERLINK("https://www.reddit.com/r/GERD/comments/fa7wie/chest_and_back_pain/")</f>
        <v/>
      </c>
      <c r="G5518" t="inlineStr">
        <is>
          <t>2020-02-26 22:27:59</t>
        </is>
      </c>
      <c r="H5518" t="inlineStr"/>
    </row>
    <row r="5519">
      <c r="A5519" t="inlineStr">
        <is>
          <t>fa7zes</t>
        </is>
      </c>
      <c r="B5519" t="inlineStr">
        <is>
          <t>Zero carb/carnivore diet a possible cure for LPR?</t>
        </is>
      </c>
      <c r="C5519" t="inlineStr">
        <is>
          <t>Well my lpr started after a cold and antibiotic use, two endoscopes done show no signs of damage reflux no hernia , one phmetry with impedance show a lot of reflux(maybe that was because I quited ppis cold turkey after long time for the test  ) manometry came back completely normal , so How can I still refluxing ? , since all started after a cold and antibiotic use , and ppis make me feel bloated , I was thinking in bacterial overgrowth, can I reverse thse completely with strict diet and later eat again whatever I want, im 25 male, no alcohol and no smoking history , no obesity too .</t>
        </is>
      </c>
      <c r="D5519" t="n">
        <v>1</v>
      </c>
      <c r="E5519" t="n">
        <v>8</v>
      </c>
      <c r="F5519">
        <f>HYPERLINK("https://www.reddit.com/r/GERD/comments/fa7zes/zero_carbcarnivore_diet_a_possible_cure_for_lpr/")</f>
        <v/>
      </c>
      <c r="G5519" t="inlineStr">
        <is>
          <t>2020-02-26 22:36:13</t>
        </is>
      </c>
      <c r="H5519" t="inlineStr"/>
    </row>
    <row r="5520">
      <c r="A5520" t="inlineStr">
        <is>
          <t>fa8iye</t>
        </is>
      </c>
      <c r="B5520" t="inlineStr">
        <is>
          <t>Why so many ppis? They have a different effect on every person or what? What is the best one in the market now ?</t>
        </is>
      </c>
      <c r="C5520" t="inlineStr">
        <is>
          <t>Sorry for all the questions</t>
        </is>
      </c>
      <c r="D5520" t="n">
        <v>1</v>
      </c>
      <c r="E5520" t="n">
        <v>5</v>
      </c>
      <c r="F5520">
        <f>HYPERLINK("https://www.reddit.com/r/GERD/comments/fa8iye/why_so_many_ppis_they_have_a_different_effect_on/")</f>
        <v/>
      </c>
      <c r="G5520" t="inlineStr">
        <is>
          <t>2020-02-26 23:29:46</t>
        </is>
      </c>
      <c r="H5520" t="inlineStr"/>
    </row>
    <row r="5521">
      <c r="A5521" t="inlineStr">
        <is>
          <t>faar2z</t>
        </is>
      </c>
      <c r="B5521" t="inlineStr">
        <is>
          <t>Need advise on omeprazole delayed release</t>
        </is>
      </c>
      <c r="C5521" t="inlineStr">
        <is>
          <t>Anyone with direct experience or insight with my issue would be greatly appreciated.
So i have gerd and the only thing that seems to work is omeprazole delayed release 20 mg tablets and capsules
The problem is i have hard time (anxiety,phobia) swallowing the capsules and tablets 
My question is can i cut the 20mg tablets in half and swallow the halfs or can i swallow the content of the capsule with pudding or applesauce?.
Ive read you cant because of delayed release but idk what to do. Pls help pls</t>
        </is>
      </c>
      <c r="D5521" t="n">
        <v>1</v>
      </c>
      <c r="E5521" t="n">
        <v>4</v>
      </c>
      <c r="F5521">
        <f>HYPERLINK("https://www.reddit.com/r/GERD/comments/faar2z/need_advise_on_omeprazole_delayed_release/")</f>
        <v/>
      </c>
      <c r="G5521" t="inlineStr">
        <is>
          <t>2020-02-27 03:31:10</t>
        </is>
      </c>
      <c r="H5521" t="inlineStr"/>
    </row>
    <row r="5522">
      <c r="A5522" t="inlineStr">
        <is>
          <t>fabmve</t>
        </is>
      </c>
      <c r="B5522" t="inlineStr">
        <is>
          <t>GERD OR LPR?</t>
        </is>
      </c>
      <c r="C5522" t="inlineStr">
        <is>
          <t xml:space="preserve">
I have been diagnosed with allergic rhinitis and gerd and I believe that’s the same as lpr. I live in Asia so my doc doesn’t always explain as well as I’d like. I usually get it in winter so I always thought it was only allergies but it’s gotten worse this year since I now live in a cold climate. I clear my throat a lot and waaay more at night...it’s very annoying. I always feel post nasal drip and mucus in my throat. Some days I feel lethargic and others not. Sometimes a wheez when I breath deeply or my chest even hurts when I do. Does this sound like LPR? Thanks!</t>
        </is>
      </c>
      <c r="D5522" t="n">
        <v>1</v>
      </c>
      <c r="E5522" t="n">
        <v>0</v>
      </c>
      <c r="F5522">
        <f>HYPERLINK("https://www.reddit.com/r/GERD/comments/fabmve/gerd_or_lpr/")</f>
        <v/>
      </c>
      <c r="G5522" t="inlineStr">
        <is>
          <t>2020-02-27 04:50:51</t>
        </is>
      </c>
      <c r="H5522" t="inlineStr"/>
    </row>
    <row r="5523">
      <c r="A5523" t="inlineStr">
        <is>
          <t>faeb4j</t>
        </is>
      </c>
      <c r="B5523" t="inlineStr">
        <is>
          <t>Is two bricks high enough for a raised bed? How have your results been?</t>
        </is>
      </c>
      <c r="C5523" t="inlineStr">
        <is>
          <t>Lately i've been waking ul feeling like i'm bleeding in my esophagus all the way uo to my sinuses. I've suffered for many years bit for some reason never committed to raising the head of my bed. We have a load of half bricks in the garden from a homemade BBQ. I've put 2 of them led down on top of each other at each side of the bed (top left and top right). I guess it's about 5 inches, and then with with the pillows aswell i would think its more than enough?
I'm hoping this will make the world of difference but just wonder if thats enough. It seems pretty high.</t>
        </is>
      </c>
      <c r="D5523" t="n">
        <v>1</v>
      </c>
      <c r="E5523" t="n">
        <v>14</v>
      </c>
      <c r="F5523">
        <f>HYPERLINK("https://www.reddit.com/r/GERD/comments/faeb4j/is_two_bricks_high_enough_for_a_raised_bed_how/")</f>
        <v/>
      </c>
      <c r="G5523" t="inlineStr">
        <is>
          <t>2020-02-27 08:08:33</t>
        </is>
      </c>
      <c r="H5523" t="inlineStr"/>
    </row>
    <row r="5524">
      <c r="A5524" t="inlineStr">
        <is>
          <t>faf742</t>
        </is>
      </c>
      <c r="B5524" t="inlineStr">
        <is>
          <t>Do you have multi-day episodes?</t>
        </is>
      </c>
      <c r="C5524" t="inlineStr">
        <is>
          <t>I'm still trying to understand everything that happens to me.  Basically I can eat one bad thing and a few hours later I will have some severe pain on the back of my neck/base of my skull on the right side (I think this is due to hiatal hernia).
The pain makes me unable to do anything it can be so bad.  It is just the beginning though.  I start to feel extremely hot and if I don't keep very cool (shivering) and lay down I can have a seizure like episode which is supposedly the hiatal hernia pushing on my vagus nerve.
If it doesn't get horrible and make me pass out I can still be in extreme pain for several days.  I take a combination of esomeprazole and famotidine and that will usually help me recover a few days faster (3-4 days of pain instead of 7-8).
I practically cannot eat anything during this time too.  Also, if I breathe out through my nose I get horrible sinus headaches and can feel the acid on my breath.
I really don't know what is happening.  Anyone have advice or thoughts or just can help me understand a little better.</t>
        </is>
      </c>
      <c r="D5524" t="n">
        <v>1</v>
      </c>
      <c r="E5524" t="n">
        <v>8</v>
      </c>
      <c r="F5524">
        <f>HYPERLINK("https://www.reddit.com/r/GERD/comments/faf742/do_you_have_multiday_episodes/")</f>
        <v/>
      </c>
      <c r="G5524" t="inlineStr">
        <is>
          <t>2020-02-27 09:06:27</t>
        </is>
      </c>
      <c r="H5524" t="inlineStr"/>
    </row>
    <row r="5525">
      <c r="A5525" t="inlineStr">
        <is>
          <t>faffa1</t>
        </is>
      </c>
      <c r="B5525" t="inlineStr">
        <is>
          <t>Going to the Doctor Tomorrow because I think I'm getting "Eye Reflux" or "Ocular Surface Disease" caused by GERD, and my eyes look terrifying.</t>
        </is>
      </c>
      <c r="C5525" t="inlineStr">
        <is>
          <t>My eyes are severly bloodshot. Like, I look a little scary. My work is having an event tonight, and I'm so embarrassed. I've even stopped drinking altogether to see if it was drinking related, but no luck. I'm in fact afraid people are going to think I'm an alcoholic or a druggie. My boss pointed it out, and I told her how badly I'm embarrassed about it. I told her I was afraid of what people think and she assured me that my behavior alone lets people know I'm not an addict. (I'm very chipper at work, especially in the mornings). I keep going to the mirror at work to look at them obsessively. Every time I eat, my eyes tear up and get MORE bloodshot, and I get a runny nose. I've lost 8 pounds in the last month because I never want to eat. This is so embarrassing, and it's affecting my work because it's all I can think about (I have been diagnosed OCD, so this isn't helping). I hate this so much.</t>
        </is>
      </c>
      <c r="D5525" t="n">
        <v>1</v>
      </c>
      <c r="E5525" t="n">
        <v>11</v>
      </c>
      <c r="F5525">
        <f>HYPERLINK("https://www.reddit.com/r/GERD/comments/faffa1/going_to_the_doctor_tomorrow_because_i_think_im/")</f>
        <v/>
      </c>
      <c r="G5525" t="inlineStr">
        <is>
          <t>2020-02-27 09:20:52</t>
        </is>
      </c>
      <c r="H5525" t="inlineStr"/>
    </row>
    <row r="5526">
      <c r="A5526" t="inlineStr">
        <is>
          <t>fafng6</t>
        </is>
      </c>
      <c r="B5526" t="inlineStr">
        <is>
          <t>Remedies for bad taste?</t>
        </is>
      </c>
      <c r="C5526" t="inlineStr">
        <is>
          <t>Despite practicing extensive oral hygiene (daily flossing, 2+ times daily brushing, mouthwash, and fluoride paste), I CONSTANTLY have a horrible taste in my mouth and this almost hot feeling in the back of my throat. No one has ever mentioned me having bad breath but I’m extremely self conscious about it. Nothing seems to help. The taste and hot/burning sensation is back minutes after brushing my teeth and even using mouthwash, and same for after having a mint or gum. Has anyone found a particular brand of mint or gum (or something else) that can help with this? Nothing I’ve tried has been helpful for more than just a few minutes. It’s very uncomfortable as well as embarrassing.</t>
        </is>
      </c>
      <c r="D5526" t="n">
        <v>1</v>
      </c>
      <c r="E5526" t="n">
        <v>0</v>
      </c>
      <c r="F5526">
        <f>HYPERLINK("https://www.reddit.com/r/GERD/comments/fafng6/remedies_for_bad_taste/")</f>
        <v/>
      </c>
      <c r="G5526" t="inlineStr">
        <is>
          <t>2020-02-27 09:35:42</t>
        </is>
      </c>
      <c r="H5526" t="inlineStr"/>
    </row>
    <row r="5527">
      <c r="A5527" t="inlineStr">
        <is>
          <t>fafpno</t>
        </is>
      </c>
      <c r="B5527" t="inlineStr">
        <is>
          <t>Reflux - gone!</t>
        </is>
      </c>
      <c r="C5527" t="inlineStr">
        <is>
          <t>Now I'm only into my change of diet on Day 3, but it's a totally different world. I have cut all sugar out of my diet, apart from an apple a day. No chocolate, no added sugar products, no sauces, nothing. 
Now, I am still taking my medication (Lansoprazole 30mg x1 a day.) But even with that, (and 75mg Ranitidine when I needed more back-up,)  I have no acid whatsoever. I'll update this post as they days pass, but 3 days in heaven against 25+ years of hell, I thought I would share.</t>
        </is>
      </c>
      <c r="D5527" t="n">
        <v>1</v>
      </c>
      <c r="E5527" t="n">
        <v>50</v>
      </c>
      <c r="F5527">
        <f>HYPERLINK("https://www.reddit.com/r/GERD/comments/fafpno/reflux_gone/")</f>
        <v/>
      </c>
      <c r="G5527" t="inlineStr">
        <is>
          <t>2020-02-27 09:39:33</t>
        </is>
      </c>
      <c r="H5527" t="inlineStr"/>
    </row>
    <row r="5528">
      <c r="A5528" t="inlineStr">
        <is>
          <t>fag0oi</t>
        </is>
      </c>
      <c r="B5528" t="inlineStr">
        <is>
          <t>Let's talk meal plans</t>
        </is>
      </c>
      <c r="C5528" t="inlineStr">
        <is>
          <t>Okay so I'm trying to figure out a meal plan for myself but everything sounds terrible or boring. What do ya'll typically eat? Today I had a peanut butter and jelly sandwich with a side of 8 almonds. If I don't eat enough I'll get heartburn but if I eat too much I can expect to retaste my water. Any suggestions? Also do any of ya'll have cheat days where you eat whatever you want?</t>
        </is>
      </c>
      <c r="D5528" t="n">
        <v>1</v>
      </c>
      <c r="E5528" t="n">
        <v>5</v>
      </c>
      <c r="F5528">
        <f>HYPERLINK("https://www.reddit.com/r/GERD/comments/fag0oi/lets_talk_meal_plans/")</f>
        <v/>
      </c>
      <c r="G5528" t="inlineStr">
        <is>
          <t>2020-02-27 10:00:02</t>
        </is>
      </c>
      <c r="H5528" t="inlineStr"/>
    </row>
    <row r="5529">
      <c r="A5529" t="inlineStr">
        <is>
          <t>fagutq</t>
        </is>
      </c>
      <c r="B5529" t="inlineStr">
        <is>
          <t>SIBO Diagnosis</t>
        </is>
      </c>
      <c r="C5529" t="inlineStr">
        <is>
          <t>So after years of seeing different gastroenterologists due to my acid reflux, I saw a naturopath and he ordered a SIBO breath test. I got the results back today and I officially have SIBO. I have an appointment with him later this afternoon to go over the results and treatment. Has anyone here been diagnosed with SIBO? I have a feeling that years of taking antacids and other acid suppressing drugs is what caused it. Problem is that if I don’t take them, my quality of life is not great and I’m worried about damage to my esophagus. I’ve been on and off of omeprazole for five years when I have bad flare ups, but can usually get by on taking Pepcid once a day. But even on an empty stomach upon waking up in the morning, I start belching. This led my doctor to taking the SIBO test.</t>
        </is>
      </c>
      <c r="D5529" t="n">
        <v>1</v>
      </c>
      <c r="E5529" t="n">
        <v>12</v>
      </c>
      <c r="F5529">
        <f>HYPERLINK("https://www.reddit.com/r/GERD/comments/fagutq/sibo_diagnosis/")</f>
        <v/>
      </c>
      <c r="G5529" t="inlineStr">
        <is>
          <t>2020-02-27 10:53:36</t>
        </is>
      </c>
      <c r="H5529" t="inlineStr"/>
    </row>
    <row r="5530">
      <c r="A5530" t="inlineStr">
        <is>
          <t>failil</t>
        </is>
      </c>
      <c r="B5530" t="inlineStr">
        <is>
          <t>I want to know if it GERD or can be something temporary and mild</t>
        </is>
      </c>
      <c r="C5530" t="inlineStr">
        <is>
          <t>I just came to know about somwthing like GERD. exists after I searched for my symptoms( I've anxiety and I tend to do it). So it was 2 weeks before that I for the first time experiemced the choking feeling when lying down flat on bed( I had had a very spicy and large meal the previous night), this increased by heartbeat. I thought it was a panic attack but it lasted almost 4-5 hours even I was feeling moving around the sense of somethig stuck in my throat remained. I went to primary care clinic and my ecg and oxygen levels were normal. He just prescribed me some antacid which I took and I was fine. I was fine till this week when this again happened yesterday. I had had a pizza late night. Now I've been having pizzas and spicy foods since always but necer experienced this. Now I've experienced it twice in almost 3 weeks. Is there a possibility it can be something temporary and mild and not GERD?</t>
        </is>
      </c>
      <c r="D5530" t="n">
        <v>1</v>
      </c>
      <c r="E5530" t="n">
        <v>3</v>
      </c>
      <c r="F5530">
        <f>HYPERLINK("https://www.reddit.com/r/GERD/comments/failil/i_want_to_know_if_it_gerd_or_can_be_something/")</f>
        <v/>
      </c>
      <c r="G5530" t="inlineStr">
        <is>
          <t>2020-02-27 12:44:21</t>
        </is>
      </c>
      <c r="H5530" t="inlineStr"/>
    </row>
    <row r="5531">
      <c r="A5531" t="inlineStr">
        <is>
          <t>faiqe2</t>
        </is>
      </c>
      <c r="B5531" t="inlineStr">
        <is>
          <t>Phlegm after eating only now?</t>
        </is>
      </c>
      <c r="C5531" t="inlineStr">
        <is>
          <t>Anyone have this? I've been working myself off medication because they just made my morning phlegm issues worse.  Now I don't get much, if any, morning phlegm, but I do after lunch. I'm assuming this is still GERD related and that my digestion is somehow causing this instead of it happening in my sleep. I guess that's progress but I'd like to nail this too. Take zantac after eating perhaps?</t>
        </is>
      </c>
      <c r="D5531" t="n">
        <v>1</v>
      </c>
      <c r="E5531" t="n">
        <v>0</v>
      </c>
      <c r="F5531">
        <f>HYPERLINK("https://www.reddit.com/r/GERD/comments/faiqe2/phlegm_after_eating_only_now/")</f>
        <v/>
      </c>
      <c r="G5531" t="inlineStr">
        <is>
          <t>2020-02-27 12:52:45</t>
        </is>
      </c>
      <c r="H5531" t="inlineStr"/>
    </row>
    <row r="5532">
      <c r="A5532" t="inlineStr">
        <is>
          <t>fajnfd</t>
        </is>
      </c>
      <c r="B5532" t="inlineStr">
        <is>
          <t>Bad experience with a doctor</t>
        </is>
      </c>
      <c r="C5532" t="inlineStr">
        <is>
          <t>Hi all,
I need to go back for followup so they can get a biopsy due to my GERD. However this was over a year ago as I couldn't stand my doctor anymore. He seemed shocked when the PPI's gave me extremely bad side effects and prescribed me more medications that had the same effect. On top of that he had an out of house anesthesiologist that had me pay in cash by holding it in my hand right before I went under, just was extremely strange considering that I could literally just pay before I went in. When I tried the in-house anesthesia on another visit, the nurses put the needle in on the top of my hand where it literally felt like fire for the entire 1 hour wait. Im not bad with needles but it was pretty unbearable and when I mentioned this, they looked at me quizzically and shifted it around causing me enormous pain so I shut up after that. After all this their attitude was honestly pretty bad, Im alright with rough people but their comments had some pretty obvious snide undertones. Like he mentioned I was crying when I was knocked out even though it had no relation to the post - surgery summary. Could come up with way more examples but I will spare the details. I just cant handle it anymore but Im wondering if I should suck it up and go back to get it over with as my parents insurance may be gone soon. What do you think?</t>
        </is>
      </c>
      <c r="D5532" t="n">
        <v>1</v>
      </c>
      <c r="E5532" t="n">
        <v>6</v>
      </c>
      <c r="F5532">
        <f>HYPERLINK("https://www.reddit.com/r/GERD/comments/fajnfd/bad_experience_with_a_doctor/")</f>
        <v/>
      </c>
      <c r="G5532" t="inlineStr">
        <is>
          <t>2020-02-27 13:50:55</t>
        </is>
      </c>
      <c r="H5532" t="inlineStr"/>
    </row>
    <row r="5533">
      <c r="A5533" t="inlineStr">
        <is>
          <t>fam4m7</t>
        </is>
      </c>
      <c r="B5533" t="inlineStr">
        <is>
          <t>Crowdsourcing: What are the kinds of food you avoid eating so that your GERD won't act up?</t>
        </is>
      </c>
      <c r="C5533" t="inlineStr">
        <is>
          <t>I want to know what things everyone has in common, or unique differences we have. Also, what kinds of food do you avoid to make sure your LES won't relax and trigger an acid reflux?</t>
        </is>
      </c>
      <c r="D5533" t="n">
        <v>1</v>
      </c>
      <c r="E5533" t="n">
        <v>29</v>
      </c>
      <c r="F5533">
        <f>HYPERLINK("https://www.reddit.com/r/GERD/comments/fam4m7/crowdsourcing_what_are_the_kinds_of_food_you/")</f>
        <v/>
      </c>
      <c r="G5533" t="inlineStr">
        <is>
          <t>2020-02-27 16:42:06</t>
        </is>
      </c>
      <c r="H5533" t="inlineStr"/>
    </row>
    <row r="5534">
      <c r="A5534" t="inlineStr">
        <is>
          <t>fanw2t</t>
        </is>
      </c>
      <c r="B5534" t="inlineStr">
        <is>
          <t>Pill esophagitis</t>
        </is>
      </c>
      <c r="C5534" t="inlineStr">
        <is>
          <t>Hi!
I just started doxycycline 2 nights ago and now I have crazy chest and throat pain. I've discontinued it. How do I cure this pain asap??</t>
        </is>
      </c>
      <c r="D5534" t="n">
        <v>1</v>
      </c>
      <c r="E5534" t="n">
        <v>4</v>
      </c>
      <c r="F5534">
        <f>HYPERLINK("https://www.reddit.com/r/GERD/comments/fanw2t/pill_esophagitis/")</f>
        <v/>
      </c>
      <c r="G5534" t="inlineStr">
        <is>
          <t>2020-02-27 18:53:12</t>
        </is>
      </c>
      <c r="H5534" t="inlineStr"/>
    </row>
    <row r="5535">
      <c r="A5535" t="inlineStr">
        <is>
          <t>fap8pd</t>
        </is>
      </c>
      <c r="B5535" t="inlineStr">
        <is>
          <t>Taking marijuana edibles with GERD</t>
        </is>
      </c>
      <c r="C5535" t="inlineStr">
        <is>
          <t>Bad idea? 
I know alcohol and coffee is bad for gerd, but wanting to know if edibles for marijuana would be bad. 
Thanks</t>
        </is>
      </c>
      <c r="D5535" t="n">
        <v>1</v>
      </c>
      <c r="E5535" t="n">
        <v>15</v>
      </c>
      <c r="F5535">
        <f>HYPERLINK("https://www.reddit.com/r/GERD/comments/fap8pd/taking_marijuana_edibles_with_gerd/")</f>
        <v/>
      </c>
      <c r="G5535" t="inlineStr">
        <is>
          <t>2020-02-27 20:39:46</t>
        </is>
      </c>
      <c r="H5535" t="inlineStr"/>
    </row>
    <row r="5536">
      <c r="A5536" t="inlineStr">
        <is>
          <t>fau93k</t>
        </is>
      </c>
      <c r="B5536" t="inlineStr">
        <is>
          <t>Is this GERD? W pic</t>
        </is>
      </c>
      <c r="C5536" t="inlineStr">
        <is>
          <t>https://imgur.com/a/f5FqFtK
Yellow spots back of throat, no pain or sore throat</t>
        </is>
      </c>
      <c r="D5536" t="n">
        <v>1</v>
      </c>
      <c r="E5536" t="n">
        <v>7</v>
      </c>
      <c r="F5536">
        <f>HYPERLINK("https://www.reddit.com/r/GERD/comments/fau93k/is_this_gerd_w_pic/")</f>
        <v/>
      </c>
      <c r="G5536" t="inlineStr">
        <is>
          <t>2020-02-28 04:51:49</t>
        </is>
      </c>
      <c r="H5536" t="inlineStr"/>
    </row>
    <row r="5537">
      <c r="A5537" t="inlineStr">
        <is>
          <t>fazwrz</t>
        </is>
      </c>
      <c r="B5537" t="inlineStr">
        <is>
          <t>Tomato/passata alternative for Bolognese?</t>
        </is>
      </c>
      <c r="C5537" t="inlineStr">
        <is>
          <t>So I've been experimenting recently and have a strong suspicion that tomatoes and double cream are the only things that REALLY set me off. Does anyone have an alternative to passata? I'm trying to gain weight again. Beef mince is great for weight gain and I used to shovel down bologneses, but can't any more. 
Is there something to give a Bolognese some moisture, without the tomato?</t>
        </is>
      </c>
      <c r="D5537" t="n">
        <v>1</v>
      </c>
      <c r="E5537" t="n">
        <v>2</v>
      </c>
      <c r="F5537">
        <f>HYPERLINK("https://www.reddit.com/r/GERD/comments/fazwrz/tomatopassata_alternative_for_bolognese/")</f>
        <v/>
      </c>
      <c r="G5537" t="inlineStr">
        <is>
          <t>2020-02-28 11:14:31</t>
        </is>
      </c>
      <c r="H5537" t="inlineStr"/>
    </row>
    <row r="5538">
      <c r="A5538" t="inlineStr">
        <is>
          <t>fb0uij</t>
        </is>
      </c>
      <c r="B5538" t="inlineStr">
        <is>
          <t>Persistent GERD- any thoughts??</t>
        </is>
      </c>
      <c r="C5538" t="inlineStr">
        <is>
          <t>Hi everyone! I’ve been in this forum for a while and enjoy the interactions, but this is my first post. I’ve had two previous EGD’s- 2006, 2014- for persistent heartburn. Both looked fine and I was prescribed aciphex then omeprazole. I took both for about six months. Around thanksgiving I started having a globus sensation and pain behind the breastbone. While waiting for an EGD, I had a barium swallow which showed no mechanical obstruction but severe reflux up to my collarbone even while upright. EGD showed gastritis, small hiatal hernia. They put me on 40mg omeprazole and it’s helped none. I saw a GI NP in my gastroenterologists office this week and they did a CXR, have ordered a BRAVO study, moved me to protonix and added carafate. I have a history of breast cancer in 2002, I’m 42, normal weight, exercise 6x/ week, don’t smoke, good diet. I tried acid watchers, but noticed no difference.  Any other suggestions from the group on other things I could try or things I should ask for from the MD or NP? This has just been so frustrating since it has presented so differently this time and has been refractory to treatment.  Thanks in advance for any ideas.</t>
        </is>
      </c>
      <c r="D5538" t="n">
        <v>1</v>
      </c>
      <c r="E5538" t="n">
        <v>2</v>
      </c>
      <c r="F5538">
        <f>HYPERLINK("https://www.reddit.com/r/GERD/comments/fb0uij/persistent_gerd_any_thoughts/")</f>
        <v/>
      </c>
      <c r="G5538" t="inlineStr">
        <is>
          <t>2020-02-28 12:15:57</t>
        </is>
      </c>
      <c r="H5538" t="inlineStr"/>
    </row>
    <row r="5539">
      <c r="A5539" t="inlineStr">
        <is>
          <t>fb24rb</t>
        </is>
      </c>
      <c r="B5539" t="inlineStr">
        <is>
          <t>Curing reflux with diet??</t>
        </is>
      </c>
      <c r="C5539" t="inlineStr">
        <is>
          <t>I saw a couple of success stories from people who cured their GERD by either having a vegetarian or keto diet. I wonder if severe GERD can actually be cured by diet. I have a feeling the PPIs I’m taking aren’t necesarily working because I feel like my symptoms are the same. I’m still taking them but I wonder if all my symptoms can be gone by diet. I used to have acid reflux but it went away in three months after eating mostly fruit. I know I have a weak LES but my reflux has been cured before without surgery and I was wondering if it’s possible again.</t>
        </is>
      </c>
      <c r="D5539" t="n">
        <v>1</v>
      </c>
      <c r="E5539" t="n">
        <v>38</v>
      </c>
      <c r="F5539">
        <f>HYPERLINK("https://www.reddit.com/r/GERD/comments/fb24rb/curing_reflux_with_diet/")</f>
        <v/>
      </c>
      <c r="G5539" t="inlineStr">
        <is>
          <t>2020-02-28 13:39:18</t>
        </is>
      </c>
      <c r="H5539" t="inlineStr"/>
    </row>
    <row r="5540">
      <c r="A5540" t="inlineStr">
        <is>
          <t>fb2tf1</t>
        </is>
      </c>
      <c r="B5540" t="inlineStr">
        <is>
          <t>I'm so confused? Please help me.</t>
        </is>
      </c>
      <c r="C5540" t="inlineStr">
        <is>
          <t>I thought gerd was gonna be something I would have forever but for the past 2 months iv been doing completely fine like I'm back to normal, though I still sleep awkwardly to be safe. Iv literally been eating everything imaginable and nothing is happening to me. I thought I would be suffering like alot of people in this Reddit as I only had gerd since August 2019. All my suffering stopped about 1-2 months ago. Can someone explain what's going on? I'm happy that I'm getting better but I fear that this may be false and I may be getting some other issue going on. Can anyone relate to me?. My family already spent alot of money on things to help with my gerd and it feels kinda goofy for the gerd to just disappear just like that.</t>
        </is>
      </c>
      <c r="D5540" t="n">
        <v>1</v>
      </c>
      <c r="E5540" t="n">
        <v>5</v>
      </c>
      <c r="F5540">
        <f>HYPERLINK("https://www.reddit.com/r/GERD/comments/fb2tf1/im_so_confused_please_help_me/")</f>
        <v/>
      </c>
      <c r="G5540" t="inlineStr">
        <is>
          <t>2020-02-28 14:29:02</t>
        </is>
      </c>
      <c r="H5540" t="inlineStr"/>
    </row>
    <row r="5541">
      <c r="A5541" t="inlineStr">
        <is>
          <t>fb32a4</t>
        </is>
      </c>
      <c r="B5541" t="inlineStr">
        <is>
          <t>GERD without pain?</t>
        </is>
      </c>
      <c r="C5541" t="inlineStr">
        <is>
          <t>I was referred to an ENT for my chronic tonsil stones and when he looked in my mouth he said my reddish throat and whiteish tongue were caused by acid. He sent me for a barium x-ray and supposedly my stomach valve is okay, but he still thinks ive been having acid issues and that it could be caused by "tertiary waves". But I don't experience heartburn. His response to that was that the nerves in my esophagus could be damaged? Have any of you guys experienced something similar? Thanks.</t>
        </is>
      </c>
      <c r="D5541" t="n">
        <v>1</v>
      </c>
      <c r="E5541" t="n">
        <v>0</v>
      </c>
      <c r="F5541">
        <f>HYPERLINK("https://www.reddit.com/r/GERD/comments/fb32a4/gerd_without_pain/")</f>
        <v/>
      </c>
      <c r="G5541" t="inlineStr">
        <is>
          <t>2020-02-28 14:48:08</t>
        </is>
      </c>
      <c r="H5541" t="inlineStr"/>
    </row>
    <row r="5542">
      <c r="A5542" t="inlineStr">
        <is>
          <t>fb408q</t>
        </is>
      </c>
      <c r="B5542" t="inlineStr">
        <is>
          <t>Irritated swollen throat lasting weeks</t>
        </is>
      </c>
      <c r="C5542" t="inlineStr">
        <is>
          <t>Every so often (like 4 times a year) I get a bad case of silent reflux, always after a long weekend of drinking, a few too many coffees and probably some late night junk food. I get a sore, swollen throat, post nasal drip, mucus sticking to my throat and the urge to vomit. When I feel the symptoms I immediately start only drinking water and only eating a small amount safe foods like green leafy veggies, avocado, fish, rice, porridge but it doesn’t seem to help, I’ll still get the acid coming up and a horrible throat for like a week and a half. Last time it happened it was so bad I stopped eating as swallowing anytime made me feel so sick and didn’t eat for 3 days. I understand what triggers it in the first place, but I don’t understand why it lasts so long. Is this normal? Is there anything I can do to help kick it?</t>
        </is>
      </c>
      <c r="D5542" t="n">
        <v>1</v>
      </c>
      <c r="E5542" t="n">
        <v>12</v>
      </c>
      <c r="F5542">
        <f>HYPERLINK("https://www.reddit.com/r/GERD/comments/fb408q/irritated_swollen_throat_lasting_weeks/")</f>
        <v/>
      </c>
      <c r="G5542" t="inlineStr">
        <is>
          <t>2020-02-28 16:01:03</t>
        </is>
      </c>
      <c r="H5542" t="inlineStr"/>
    </row>
    <row r="5543">
      <c r="A5543" t="inlineStr">
        <is>
          <t>fb5n1p</t>
        </is>
      </c>
      <c r="B5543" t="inlineStr">
        <is>
          <t>Fix my gerd</t>
        </is>
      </c>
      <c r="C5543" t="inlineStr">
        <is>
          <t>Hi guys
I have been fixing my gerd through just exercise arms sitting my chair.
My symptom : always wake up at 4:00am cause of gastric reflux. Living with pain and fatigue all day.
Fixing : exercise your arm on sitting chair with water bottle (some heavy thing)until you feel like  your blood cycle on upper body and head.
And blow your breath your mouth for over 5 seconds. 
I believe these method could my stomach stand up vertically from abnormal position.
And control food. No ice cream chocolate .coffee 
Thanks</t>
        </is>
      </c>
      <c r="D5543" t="n">
        <v>1</v>
      </c>
      <c r="E5543" t="n">
        <v>7</v>
      </c>
      <c r="F5543">
        <f>HYPERLINK("https://www.reddit.com/r/GERD/comments/fb5n1p/fix_my_gerd/")</f>
        <v/>
      </c>
      <c r="G5543" t="inlineStr">
        <is>
          <t>2020-02-28 18:12:49</t>
        </is>
      </c>
      <c r="H5543" t="inlineStr"/>
    </row>
    <row r="5544">
      <c r="A5544" t="inlineStr">
        <is>
          <t>fb5ozk</t>
        </is>
      </c>
      <c r="B5544" t="inlineStr">
        <is>
          <t>Alkaline water?</t>
        </is>
      </c>
      <c r="C5544" t="inlineStr">
        <is>
          <t>Anyone found verified high pH water commercially available? I've been sipping a solution of baking soda in water, pH around 8, to help my Barrett's esophagus but the taste isn't great. (A throat specialist ENT told me he also sips small amount of alkaline water when he gets out of bed). 
I've bought Trader Joe's alkaline water, labeled "9.5 pH", and my litmus paper found it closer to 6 or 7. Same for Essentia. I wrote to TJ and they wrote back an explanation that I kind of think is BS.</t>
        </is>
      </c>
      <c r="D5544" t="n">
        <v>1</v>
      </c>
      <c r="E5544" t="n">
        <v>0</v>
      </c>
      <c r="F5544">
        <f>HYPERLINK("https://www.reddit.com/r/GERD/comments/fb5ozk/alkaline_water/")</f>
        <v/>
      </c>
      <c r="G5544" t="inlineStr">
        <is>
          <t>2020-02-28 18:17:33</t>
        </is>
      </c>
      <c r="H5544" t="inlineStr"/>
    </row>
    <row r="5545">
      <c r="A5545" t="inlineStr">
        <is>
          <t>fb6jz4</t>
        </is>
      </c>
      <c r="B5545" t="inlineStr">
        <is>
          <t>Help</t>
        </is>
      </c>
      <c r="C5545" t="inlineStr">
        <is>
          <t>Does anyone know how to stop the tickling sensation in the throat. I get constant tickling cough attacks especially when I eat dry foods and I’m so tired of it</t>
        </is>
      </c>
      <c r="D5545" t="n">
        <v>1</v>
      </c>
      <c r="E5545" t="n">
        <v>0</v>
      </c>
      <c r="F5545">
        <f>HYPERLINK("https://www.reddit.com/r/GERD/comments/fb6jz4/help/")</f>
        <v/>
      </c>
      <c r="G5545" t="inlineStr">
        <is>
          <t>2020-02-28 19:26:50</t>
        </is>
      </c>
      <c r="H5545" t="inlineStr"/>
    </row>
    <row r="5546">
      <c r="A5546" t="inlineStr">
        <is>
          <t>fb7so2</t>
        </is>
      </c>
      <c r="B5546" t="inlineStr">
        <is>
          <t>Any tips for reducing PPI-induced bloating/distension?</t>
        </is>
      </c>
      <c r="C5546" t="inlineStr">
        <is>
          <t>Both times I've started PPIs my stomach gets very distended and I seem to get a bit constipated. Does this happen to anyone else? Any tips on combating it? Probiotics, foods that might help, etc?</t>
        </is>
      </c>
      <c r="D5546" t="n">
        <v>1</v>
      </c>
      <c r="E5546" t="n">
        <v>4</v>
      </c>
      <c r="F5546">
        <f>HYPERLINK("https://www.reddit.com/r/GERD/comments/fb7so2/any_tips_for_reducing_ppiinduced/")</f>
        <v/>
      </c>
      <c r="G5546" t="inlineStr">
        <is>
          <t>2020-02-28 21:13:09</t>
        </is>
      </c>
      <c r="H5546" t="inlineStr"/>
    </row>
    <row r="5547">
      <c r="A5547" t="inlineStr">
        <is>
          <t>fb945m</t>
        </is>
      </c>
      <c r="B5547" t="inlineStr">
        <is>
          <t>Have these symptoms happened to anyone else?</t>
        </is>
      </c>
      <c r="C5547" t="inlineStr">
        <is>
          <t>Tonight I’m having really awful, new symptoms that I haven’t experienced before. I am currently on day 6 of a 14 day Prilosec OTC treatment and have had some relief but still have regurgitation and heartburn. Tonight, however, my symptoms are different. I have this painful, full feeling in my stomach. It feels like my stomach is about to burst. I’m also having trouble breathing and having regurgitation and heartburn on and off. I have been constipated for the past few days as well. Are these symptoms normal or should I look into other possibilities? Thanks.</t>
        </is>
      </c>
      <c r="D5547" t="n">
        <v>1</v>
      </c>
      <c r="E5547" t="n">
        <v>1</v>
      </c>
      <c r="F5547">
        <f>HYPERLINK("https://www.reddit.com/r/GERD/comments/fb945m/have_these_symptoms_happened_to_anyone_else/")</f>
        <v/>
      </c>
      <c r="G5547" t="inlineStr">
        <is>
          <t>2020-02-28 23:25:31</t>
        </is>
      </c>
      <c r="H5547" t="inlineStr"/>
    </row>
    <row r="5548">
      <c r="A5548" t="inlineStr">
        <is>
          <t>fb9jf8</t>
        </is>
      </c>
      <c r="B5548" t="inlineStr">
        <is>
          <t>Lower right abdomen pain?</t>
        </is>
      </c>
      <c r="C5548" t="inlineStr">
        <is>
          <t>Each day is a new adventure. Anyone have what feels like appendix pain in lower right abdomen? I’ve had it mostly at night as a dull ache for a few days but no other symptoms like fever or vomiting. Unsure if GERD related.</t>
        </is>
      </c>
      <c r="D5548" t="n">
        <v>1</v>
      </c>
      <c r="E5548" t="n">
        <v>3</v>
      </c>
      <c r="F5548">
        <f>HYPERLINK("https://www.reddit.com/r/GERD/comments/fb9jf8/lower_right_abdomen_pain/")</f>
        <v/>
      </c>
      <c r="G5548" t="inlineStr">
        <is>
          <t>2020-02-29 00:13:04</t>
        </is>
      </c>
      <c r="H5548" t="inlineStr"/>
    </row>
    <row r="5549">
      <c r="A5549" t="inlineStr">
        <is>
          <t>fb9qnh</t>
        </is>
      </c>
      <c r="B5549" t="inlineStr">
        <is>
          <t>Horrible Pain in back</t>
        </is>
      </c>
      <c r="C5549" t="inlineStr">
        <is>
          <t>Hello, yesterday I woke up with mild pain in the upper part of the back , just at the middle, the pain get really worst with movement 
I also noticed that my stool had 2 or 3 black spot yesterday 
My last endoscopy was just 1 month ago and just showed inflammation 
I don't really want to go to hospital or emergency and my endoscopy was reassuring
Il just wait and see if it goes away, I also doubled my dosage
What it can be?</t>
        </is>
      </c>
      <c r="D5549" t="n">
        <v>1</v>
      </c>
      <c r="E5549" t="n">
        <v>2</v>
      </c>
      <c r="F5549">
        <f>HYPERLINK("https://www.reddit.com/r/GERD/comments/fb9qnh/horrible_pain_in_back/")</f>
        <v/>
      </c>
      <c r="G5549" t="inlineStr">
        <is>
          <t>2020-02-29 00:35:40</t>
        </is>
      </c>
      <c r="H5549" t="inlineStr"/>
    </row>
    <row r="5550">
      <c r="A5550" t="inlineStr">
        <is>
          <t>fba5bg</t>
        </is>
      </c>
      <c r="B5550" t="inlineStr">
        <is>
          <t>Anyone else get CONSTANT symptoms?</t>
        </is>
      </c>
      <c r="C5550" t="inlineStr">
        <is>
          <t>I have been treating my GERD successfully with Pariet for a ywar and a bit now. But this week, despite upping my dosage to the max, I am getting CONSTANT indigestion and chest discomfort. 
It is definitely worse after eating, but it is always there. I don't understand what could be causing it or why it would be playing up.
Does anybody else get this happen while on medication? Is this the kind of thing people get bouts of and then it settles down? Does this warrant a trip to my PCP/GP? 
Advice and shared experiences very welcome! Thanks.</t>
        </is>
      </c>
      <c r="D5550" t="n">
        <v>1</v>
      </c>
      <c r="E5550" t="n">
        <v>17</v>
      </c>
      <c r="F5550">
        <f>HYPERLINK("https://www.reddit.com/r/GERD/comments/fba5bg/anyone_else_get_constant_symptoms/")</f>
        <v/>
      </c>
      <c r="G5550" t="inlineStr">
        <is>
          <t>2020-02-29 01:23:04</t>
        </is>
      </c>
      <c r="H5550" t="inlineStr"/>
    </row>
    <row r="5551">
      <c r="A5551" t="inlineStr">
        <is>
          <t>fbbi95</t>
        </is>
      </c>
      <c r="B5551" t="inlineStr">
        <is>
          <t>I have to take antibiotics again...</t>
        </is>
      </c>
      <c r="C5551" t="inlineStr">
        <is>
          <t>Hey guys so I’ve had IBS since May last year and it started after a 5 day course of antibiotics completely swipe my colon. My bowel movements have never been the same after that... I have to take herbal medicines and laxatives to keep my self going. Last September I had a uti so I had to take antibiotics again.
Fast forward to today I had an endoscopy done and it showed that I have H. Pylori so again I need to take antibiotics. I’m so scared because I basically can’t take a shit for days after I take them until the swelling/inflammation goes down which takes atleast a week.
The antibiotics I’m starting today is a 2 week course and I have no idea how to take this. 
Any advice is appreciated.</t>
        </is>
      </c>
      <c r="D5551" t="n">
        <v>1</v>
      </c>
      <c r="E5551" t="n">
        <v>10</v>
      </c>
      <c r="F5551">
        <f>HYPERLINK("https://www.reddit.com/r/GERD/comments/fbbi95/i_have_to_take_antibiotics_again/")</f>
        <v/>
      </c>
      <c r="G5551" t="inlineStr">
        <is>
          <t>2020-02-29 03:53:47</t>
        </is>
      </c>
      <c r="H5551" t="inlineStr"/>
    </row>
    <row r="5552">
      <c r="A5552" t="inlineStr">
        <is>
          <t>fbci45</t>
        </is>
      </c>
      <c r="B5552" t="inlineStr">
        <is>
          <t>A couple of medication questions</t>
        </is>
      </c>
      <c r="C5552" t="inlineStr">
        <is>
          <t>Hi all!
Just two curiosities regarding medication.  I’ve been on 40mg omeprazole and 40mg famotidine daily for 4 months now.  
1. Can famotidine (pepcid) actually cause heartburn?  I’ve noticed that every time I take it, my chest pain worsens, especially when I take it earlier in the day rather than right before bed.
2. Do these medications make you more tired than usual?  I haven’t heard much about them causing fatigue, but I’m ALWAYS exhausted. It might just be the winter weather, but I figured I’d ask.
I’d love to get off the medications eventually, but I still have had barely any relief after 6 months since this started...  anyway, onward we go!!!
Thank you,
Gwaine</t>
        </is>
      </c>
      <c r="D5552" t="n">
        <v>1</v>
      </c>
      <c r="E5552" t="n">
        <v>11</v>
      </c>
      <c r="F5552">
        <f>HYPERLINK("https://www.reddit.com/r/GERD/comments/fbci45/a_couple_of_medication_questions/")</f>
        <v/>
      </c>
      <c r="G5552" t="inlineStr">
        <is>
          <t>2020-02-29 05:28:54</t>
        </is>
      </c>
      <c r="H5552" t="inlineStr"/>
    </row>
    <row r="5553">
      <c r="A5553" t="inlineStr">
        <is>
          <t>fbcwgv</t>
        </is>
      </c>
      <c r="B5553" t="inlineStr">
        <is>
          <t>To those with LPR- what has worked best for you to manage your symptoms?</t>
        </is>
      </c>
      <c r="C5553" t="inlineStr">
        <is>
          <t>Been dealing with LPR for awhile now and would love to hear what fellow LPR sufferers found most successful for them in managing symptoms!</t>
        </is>
      </c>
      <c r="D5553" t="n">
        <v>1</v>
      </c>
      <c r="E5553" t="n">
        <v>15</v>
      </c>
      <c r="F5553">
        <f>HYPERLINK("https://www.reddit.com/r/GERD/comments/fbcwgv/to_those_with_lpr_what_has_worked_best_for_you_to/")</f>
        <v/>
      </c>
      <c r="G5553" t="inlineStr">
        <is>
          <t>2020-02-29 06:02:19</t>
        </is>
      </c>
      <c r="H5553" t="inlineStr"/>
    </row>
    <row r="5554">
      <c r="A5554" t="inlineStr">
        <is>
          <t>fbhrmx</t>
        </is>
      </c>
      <c r="B5554" t="inlineStr">
        <is>
          <t>New to Gerd. Can't eat solids still after 9 days since starting meds, is this normal?</t>
        </is>
      </c>
      <c r="C5554" t="inlineStr">
        <is>
          <t>Hello, 
I am new to knowing that I have GERD (28 years old, relatively skinny). At the start of february I was having horrible trouble breathing, constant chest pain behind my sternum, and trouble swallowing. I thought it was my asthma / heart problems so i went to my primary care person and a GI specialist who decided i have GERD and an esophogeal stricture and probably vocal cord disruption.
Since starting on Pepscid (15mg at night) and Prevacid (30mg in the morning), the trouble breathing has eased, but it's been 9 days and solid food still feels like it gets stuck in my lower esophagus. I've mostly been consuming benign alkaline veggie smoothies, chicken noodle, or eggs.  Last night i tried a peanutbutter and banana, it felt like it was stuck in my lower esophagus for the following two hours, I regurgitated most of it and had extreme gas and bloating, and was one of the scarier experiences I've ever had. 
The doctor said it should only take 4 or 5 days to see improvement so since it's been twice that long I am worried it is something more dire. My endoscopy appointment is in a week and 1/2 and I'm not sure I can last that long on a smoothie diet. 
Is it normal for it to take this long to heal? Is this life now? Do I have esophageal cancer and 6 months to live?</t>
        </is>
      </c>
      <c r="D5554" t="n">
        <v>1</v>
      </c>
      <c r="E5554" t="n">
        <v>11</v>
      </c>
      <c r="F5554">
        <f>HYPERLINK("https://www.reddit.com/r/GERD/comments/fbhrmx/new_to_gerd_cant_eat_solids_still_after_9_days/")</f>
        <v/>
      </c>
      <c r="G5554" t="inlineStr">
        <is>
          <t>2020-02-29 11:35:51</t>
        </is>
      </c>
      <c r="H5554" t="inlineStr"/>
    </row>
    <row r="5555">
      <c r="A5555" t="inlineStr">
        <is>
          <t>fbhtfb</t>
        </is>
      </c>
      <c r="B5555" t="inlineStr">
        <is>
          <t>Tight throat LPR</t>
        </is>
      </c>
      <c r="C5555" t="inlineStr">
        <is>
          <t>I've seen an ENT, and they assigned me omeprazole and famotidine. They didn't really help. ENT didn't identify if I had GERD or LPR, but I assume I have LPR based on symptoms.
Gaviscon Advance seems to help. Not sure if alkaline water helps.
My symptoms include mainly tight throat and shortness of breath. I also used to have trouble yawning, but that symptom has lessened.
I see some additional stuff posted here that I haven't tried, but anyone else experience similar symptoms and were able to resolve with different treatment methods?</t>
        </is>
      </c>
      <c r="D5555" t="n">
        <v>1</v>
      </c>
      <c r="E5555" t="n">
        <v>14</v>
      </c>
      <c r="F5555">
        <f>HYPERLINK("https://www.reddit.com/r/GERD/comments/fbhtfb/tight_throat_lpr/")</f>
        <v/>
      </c>
      <c r="G5555" t="inlineStr">
        <is>
          <t>2020-02-29 11:39:14</t>
        </is>
      </c>
      <c r="H5555" t="inlineStr"/>
    </row>
    <row r="5556">
      <c r="A5556" t="inlineStr">
        <is>
          <t>fbitsh</t>
        </is>
      </c>
      <c r="B5556" t="inlineStr">
        <is>
          <t>Has anybody had success with pantoprazole after failing with omeprazole and esomeprazole?</t>
        </is>
      </c>
      <c r="C5556" t="inlineStr">
        <is>
          <t>I didn't have any luck with high-dose Prilosec or Nexium, even in conjunction with H2 blockers. I've been prescribed Pantoprazole but am a little reluctant to start my trial since I've just healed from the rebound caused by my Prilosec trial.
Does anybody find pantoprazole effective but not prilosec or nexium? If so I'd really appreciate hearing about your experience with it. Thanks.</t>
        </is>
      </c>
      <c r="D5556" t="n">
        <v>1</v>
      </c>
      <c r="E5556" t="n">
        <v>4</v>
      </c>
      <c r="F5556">
        <f>HYPERLINK("https://www.reddit.com/r/GERD/comments/fbitsh/has_anybody_had_success_with_pantoprazole_after/")</f>
        <v/>
      </c>
      <c r="G5556" t="inlineStr">
        <is>
          <t>2020-02-29 12:47:42</t>
        </is>
      </c>
      <c r="H5556" t="inlineStr"/>
    </row>
    <row r="5557">
      <c r="A5557" t="inlineStr">
        <is>
          <t>fbktu9</t>
        </is>
      </c>
      <c r="B5557" t="inlineStr">
        <is>
          <t>scratchy throat GERD</t>
        </is>
      </c>
      <c r="C5557" t="inlineStr">
        <is>
          <t>does gerd cause anyone a scratchy throat and if so do you have anyway to get rid of it? that’s my only symptom right now and i don’t know if it’s from that or if it’s from something else so that’s why i’m asking if anyone with gerd has also had it.</t>
        </is>
      </c>
      <c r="D5557" t="n">
        <v>1</v>
      </c>
      <c r="E5557" t="n">
        <v>3</v>
      </c>
      <c r="F5557">
        <f>HYPERLINK("https://www.reddit.com/r/GERD/comments/fbktu9/scratchy_throat_gerd/")</f>
        <v/>
      </c>
      <c r="G5557" t="inlineStr">
        <is>
          <t>2020-02-29 15:09:34</t>
        </is>
      </c>
      <c r="H5557" t="inlineStr"/>
    </row>
    <row r="5558">
      <c r="A5558" t="inlineStr">
        <is>
          <t>fbl1bv</t>
        </is>
      </c>
      <c r="B5558" t="inlineStr">
        <is>
          <t>Amazon products and deep digging</t>
        </is>
      </c>
      <c r="C5558" t="inlineStr">
        <is>
          <t>So.....I've done a &amp;gt;lot&amp;lt; of research and have tried a lot of products to try to stop this bull...including D-Limonene, Slippery Elm Bark (which does help overnight heartburn at least), Magnesium, Melatonin, L-Glutamine, digestive enzymes...and there are a lot of reviews out there saying it CURED their acid reflux and makes you all hopeful...but they don't seem to do jack shit.  So should I actually keep trying these products or is it a waste of time and money?  What's worked for you if anything?</t>
        </is>
      </c>
      <c r="D5558" t="n">
        <v>1</v>
      </c>
      <c r="E5558" t="n">
        <v>11</v>
      </c>
      <c r="F5558">
        <f>HYPERLINK("https://www.reddit.com/r/GERD/comments/fbl1bv/amazon_products_and_deep_digging/")</f>
        <v/>
      </c>
      <c r="G5558" t="inlineStr">
        <is>
          <t>2020-02-29 15:24:48</t>
        </is>
      </c>
      <c r="H5558" t="inlineStr"/>
    </row>
    <row r="5559">
      <c r="A5559" t="inlineStr">
        <is>
          <t>fbmufy</t>
        </is>
      </c>
      <c r="B5559" t="inlineStr">
        <is>
          <t>Does Pantoprazole cause headaches?</t>
        </is>
      </c>
      <c r="C5559" t="inlineStr">
        <is>
          <t>Lately, I’ve been getting terrible headaches where I feel dizzy and it feels like everything’s spinning. It seems to happen in the middle of the day, and happens at home, in the car, when I’m outside. I stopped taking my antidepressant and my birth control for a bit but the headaches are continuing. I tried drinking more water, taking more Vitamin D pills, exercising. I’m making an assumption that the PPI is giving me a headache. I’ve been taking it for longer than a month so I’m wondering why I’m getting a headache now. Does anyone have any experience with this?</t>
        </is>
      </c>
      <c r="D5559" t="n">
        <v>1</v>
      </c>
      <c r="E5559" t="n">
        <v>5</v>
      </c>
      <c r="F5559">
        <f>HYPERLINK("https://www.reddit.com/r/GERD/comments/fbmufy/does_pantoprazole_cause_headaches/")</f>
        <v/>
      </c>
      <c r="G5559" t="inlineStr">
        <is>
          <t>2020-02-29 17:40:49</t>
        </is>
      </c>
      <c r="H5559" t="inlineStr"/>
    </row>
    <row r="5560">
      <c r="A5560" t="inlineStr">
        <is>
          <t>fbosj6</t>
        </is>
      </c>
      <c r="B5560" t="inlineStr">
        <is>
          <t>Does anyone experience blurred vision? Also a story of my strange endoscopy from last Wednesday.</t>
        </is>
      </c>
      <c r="C5560" t="inlineStr">
        <is>
          <t>When my symptoms get really I bad my vision starts to become fuzzy. My body just does not feel right at all, I have all the symptoms of GERD/hiatial hernia as well, does anyone else experience fuzzy vision? Anyway, I was supposed to get an endoscopy last Wednesday but something strange happened. I was laying in the surgical room and a nurse told me she was going to medicate me with Benadryl/fentanyl for the twilight sedation. When they injected the Benadryl into me my heart rate skyrocketed, soon they injected the fentanyl which didn’t even knock me out. I remember most of the procedure. Knowing how strong of a drug fentanyl is I am extremely surprised that I remember everything. My heart rate got so high that they had to inject “anti-anxiety medication”, this ended up calming my heart and in my opinion saved my life. Once they wheeled me into the other room I passed out for a good 30 minutes, when I woke up I was hallucinating a lot, I believe they gave me too much Benadryl. Once I got home I was still hallucinating and didn’t feel normal until the next day. They ended up not even doing the procedure and rescheduled me for this Wednesday and will fully knock me out this time around. I am extremely nervous. Hopefully no one else has had an experience like mine, I truly believed I was going to have a heart attack and I really do not want to have the same experience.</t>
        </is>
      </c>
      <c r="D5560" t="n">
        <v>1</v>
      </c>
      <c r="E5560" t="n">
        <v>15</v>
      </c>
      <c r="F5560">
        <f>HYPERLINK("https://www.reddit.com/r/GERD/comments/fbosj6/does_anyone_experience_blurred_vision_also_a/")</f>
        <v/>
      </c>
      <c r="G5560" t="inlineStr">
        <is>
          <t>2020-02-29 20:19:51</t>
        </is>
      </c>
      <c r="H5560" t="inlineStr"/>
    </row>
    <row r="5561">
      <c r="A5561" t="inlineStr">
        <is>
          <t>fbot50</t>
        </is>
      </c>
      <c r="B5561" t="inlineStr">
        <is>
          <t>Zantac in Canada</t>
        </is>
      </c>
      <c r="C5561" t="inlineStr">
        <is>
          <t>Any canadians here purchase zantac recently ? I've heard it's back on shelves, but i cant seem to find any yet (Victoria here )</t>
        </is>
      </c>
      <c r="D5561" t="n">
        <v>1</v>
      </c>
      <c r="E5561" t="n">
        <v>1</v>
      </c>
      <c r="F5561">
        <f>HYPERLINK("https://www.reddit.com/r/GERD/comments/fbot50/zantac_in_canada/")</f>
        <v/>
      </c>
      <c r="G5561" t="inlineStr">
        <is>
          <t>2020-02-29 20:21:25</t>
        </is>
      </c>
      <c r="H5561" t="inlineStr"/>
    </row>
    <row r="5562">
      <c r="A5562" t="inlineStr">
        <is>
          <t>fbt833</t>
        </is>
      </c>
      <c r="B5562" t="inlineStr">
        <is>
          <t>Omeprazole was a nightmare</t>
        </is>
      </c>
      <c r="C5562" t="inlineStr">
        <is>
          <t>It was great up until the 10th or 11th day! That night I didn’t sleep at all. Hardly slept all day and the next night, as well. In 36 hours, I’d gotten two hours of sleep. Sadly the meds I used to take to help me sleep have started making me jittery and wired instead of calm and sleepy. Has anyone else had this problem?</t>
        </is>
      </c>
      <c r="D5562" t="n">
        <v>1</v>
      </c>
      <c r="E5562" t="n">
        <v>11</v>
      </c>
      <c r="F5562">
        <f>HYPERLINK("https://www.reddit.com/r/GERD/comments/fbt833/omeprazole_was_a_nightmare/")</f>
        <v/>
      </c>
      <c r="G5562" t="inlineStr">
        <is>
          <t>2020-03-01 04:11:59</t>
        </is>
      </c>
      <c r="H5562" t="inlineStr"/>
    </row>
    <row r="5563">
      <c r="A5563" t="inlineStr">
        <is>
          <t>fbukqh</t>
        </is>
      </c>
      <c r="B5563" t="inlineStr">
        <is>
          <t>Anyone have weird abdomen pains when starting Protonix?</t>
        </is>
      </c>
      <c r="C5563" t="inlineStr">
        <is>
          <t>Started Protonix Friday and stopped Nexium after 3 months. Wondering if my body is adjusting. GI of course said everything would be fine. Posted yesterday about bottom right pain which is still there and scary but feeling weirdness all over the place. Thanks.</t>
        </is>
      </c>
      <c r="D5563" t="n">
        <v>1</v>
      </c>
      <c r="E5563" t="n">
        <v>4</v>
      </c>
      <c r="F5563">
        <f>HYPERLINK("https://www.reddit.com/r/GERD/comments/fbukqh/anyone_have_weird_abdomen_pains_when_starting/")</f>
        <v/>
      </c>
      <c r="G5563" t="inlineStr">
        <is>
          <t>2020-03-01 06:14:03</t>
        </is>
      </c>
      <c r="H5563" t="inlineStr"/>
    </row>
    <row r="5564">
      <c r="A5564" t="inlineStr">
        <is>
          <t>fbuu9b</t>
        </is>
      </c>
      <c r="B5564" t="inlineStr">
        <is>
          <t>Regurgitating bile in morning?</t>
        </is>
      </c>
      <c r="C5564" t="inlineStr">
        <is>
          <t>Hey folks
Normally I occasionally regurgitate food back up if I eat a lot or pair it with something carbonated. This morning, though, I woke up, took my 40mg of protonix, and about fifteen minutes later regurgitated bile into my mouth
First time this has ever happened in two years. Just wondering if this is normal. Over the past two days I've tried to stop eating at night so I'm wondering if an empty stomach caused it</t>
        </is>
      </c>
      <c r="D5564" t="n">
        <v>1</v>
      </c>
      <c r="E5564" t="n">
        <v>0</v>
      </c>
      <c r="F5564">
        <f>HYPERLINK("https://www.reddit.com/r/GERD/comments/fbuu9b/regurgitating_bile_in_morning/")</f>
        <v/>
      </c>
      <c r="G5564" t="inlineStr">
        <is>
          <t>2020-03-01 06:35:13</t>
        </is>
      </c>
      <c r="H5564" t="inlineStr"/>
    </row>
    <row r="5565">
      <c r="A5565" t="inlineStr">
        <is>
          <t>fbx2ap</t>
        </is>
      </c>
      <c r="B5565" t="inlineStr">
        <is>
          <t>Finally referred to surgeon</t>
        </is>
      </c>
      <c r="C5565" t="inlineStr">
        <is>
          <t>Should I get Tif procedure or Nissen. I am pretty freaked out and nervous I may not be able to swallow for awhile. Is recovery bad to those of you who have had it?</t>
        </is>
      </c>
      <c r="D5565" t="n">
        <v>1</v>
      </c>
      <c r="E5565" t="n">
        <v>7</v>
      </c>
      <c r="F5565">
        <f>HYPERLINK("https://www.reddit.com/r/GERD/comments/fbx2ap/finally_referred_to_surgeon/")</f>
        <v/>
      </c>
      <c r="G5565" t="inlineStr">
        <is>
          <t>2020-03-01 09:11:58</t>
        </is>
      </c>
      <c r="H5565" t="inlineStr"/>
    </row>
    <row r="5566">
      <c r="A5566" t="inlineStr">
        <is>
          <t>fbxna2</t>
        </is>
      </c>
      <c r="B5566" t="inlineStr">
        <is>
          <t>Difficulty Breathing</t>
        </is>
      </c>
      <c r="C5566" t="inlineStr">
        <is>
          <t>Hello everyone. I believe a week ago, GERD began for me. It’s been so tough. Mostly because I have developed a shortness of breath, how many of you guys have this too? Please explain how long it lasts/ describe how it feels for you guys. Because I’m paranoid it might be something else. Also I’ve developed a sort of lightheaded ness from this. :(( I don’t wanna continue like this!!</t>
        </is>
      </c>
      <c r="D5566" t="n">
        <v>1</v>
      </c>
      <c r="E5566" t="n">
        <v>18</v>
      </c>
      <c r="F5566">
        <f>HYPERLINK("https://www.reddit.com/r/GERD/comments/fbxna2/difficulty_breathing/")</f>
        <v/>
      </c>
      <c r="G5566" t="inlineStr">
        <is>
          <t>2020-03-01 09:50:34</t>
        </is>
      </c>
      <c r="H5566" t="inlineStr"/>
    </row>
    <row r="5567">
      <c r="A5567" t="inlineStr">
        <is>
          <t>fbzw7l</t>
        </is>
      </c>
      <c r="B5567" t="inlineStr">
        <is>
          <t>depressed 22 yr old student gremlin severely addicted to cigarettes nicotine gum and matcha/caffeine seeking advice</t>
        </is>
      </c>
      <c r="C5567" t="inlineStr">
        <is>
          <t>hey so basically ive had acid reflux for a couple of years now but in the last couple of months its got to the point where I feel nauseous eating any acidic food and ive got chronic throat pain, sometimes feeling as tho its closing up but gaviscon advance seems to b helping sometimes/more than the other meds. basically im in the middle of my first year and uni and am finding it impossible to quit smoking and study, could anyone advise if they think I should drop out and focus on weening my way off these products coz I rly cannot concentrate without them at the moment, ive tried multiple times or do u think it would be ok if I continue to end of the year, using more gaviscon and then quitting in summer. I am going insane any help would be greatly appreciated</t>
        </is>
      </c>
      <c r="D5567" t="n">
        <v>1</v>
      </c>
      <c r="E5567" t="n">
        <v>2</v>
      </c>
      <c r="F5567">
        <f>HYPERLINK("https://www.reddit.com/r/GERD/comments/fbzw7l/depressed_22_yr_old_student_gremlin_severely/")</f>
        <v/>
      </c>
      <c r="G5567" t="inlineStr">
        <is>
          <t>2020-03-01 12:16:32</t>
        </is>
      </c>
      <c r="H5567" t="inlineStr"/>
    </row>
    <row r="5568">
      <c r="A5568" t="inlineStr">
        <is>
          <t>fbzy0k</t>
        </is>
      </c>
      <c r="B5568" t="inlineStr">
        <is>
          <t>Chronic burping</t>
        </is>
      </c>
      <c r="C5568" t="inlineStr">
        <is>
          <t>Do you ever wake up in the morning and burp? Drink water and burp? Burp while you are eating and after your eating? Me and docs thought it was reflux but now I’m thinking maybe I have little stomach acid because when this started to happen I lost weight, have gut issues and constant bubble guts. I also have constant hiccups. I went from never burping to burping all day long and it is very uncomfortable and creates a nauseous feeling. Even while I’m eating I’ll get nauseous but the food is completely fine. Do you guys experience chronic burping?</t>
        </is>
      </c>
      <c r="D5568" t="n">
        <v>1</v>
      </c>
      <c r="E5568" t="n">
        <v>68</v>
      </c>
      <c r="F5568">
        <f>HYPERLINK("https://www.reddit.com/r/GERD/comments/fbzy0k/chronic_burping/")</f>
        <v/>
      </c>
      <c r="G5568" t="inlineStr">
        <is>
          <t>2020-03-01 12:19:37</t>
        </is>
      </c>
      <c r="H5568" t="inlineStr"/>
    </row>
    <row r="5569">
      <c r="A5569" t="inlineStr">
        <is>
          <t>fc163c</t>
        </is>
      </c>
      <c r="B5569" t="inlineStr">
        <is>
          <t>brave soldiers out there with gerd/lpr who continue to smoke?</t>
        </is>
      </c>
      <c r="C5569" t="inlineStr">
        <is>
          <t>so the severity of discomfort by my lpr/gerd in the last couple of months has rly turned up a notch in terms of sensations as tho my throat is closing up and more,  tho gaviscon advance seems to be helping more than the other meds ive tried, ive tried stopping smoking, nicotine gum and matcha/caffeine but am finding it impossible to study without them and I have so much work due. its causing me to go insane. anyone out there been in a similar situation, continued smoking for a few more months? I'm 22 years old, how much damage can it cause waiting to stop until the summer. any advice/solidarity would be greatly appreciated</t>
        </is>
      </c>
      <c r="D5569" t="n">
        <v>1</v>
      </c>
      <c r="E5569" t="n">
        <v>3</v>
      </c>
      <c r="F5569">
        <f>HYPERLINK("https://www.reddit.com/r/GERD/comments/fc163c/brave_soldiers_out_there_with_gerdlpr_who/")</f>
        <v/>
      </c>
      <c r="G5569" t="inlineStr">
        <is>
          <t>2020-03-01 13:40:51</t>
        </is>
      </c>
      <c r="H5569" t="inlineStr"/>
    </row>
    <row r="5570">
      <c r="A5570" t="inlineStr">
        <is>
          <t>fc280g</t>
        </is>
      </c>
      <c r="B5570" t="inlineStr">
        <is>
          <t>Gerd, H. Pylori or something else</t>
        </is>
      </c>
      <c r="C5570" t="inlineStr">
        <is>
          <t>I'm not sure if I have Gerd or something else. I'm constantly burping or I can't burp and I can feel the buildup of gas and bubbles. I can have no heartburn but if I  burp  the pain is back. I woke up feeling pretty good but as soon as I got hungry I had terrible pain. The only time I reflux now is when I burp even on a bland diet it doesn't matter. I got drink water burp and it comes right back up it doesn't burn like refluxing stomach acid just plain old water. Right now I'm experiencing a dull ache in my chest and back. I'm also experiencing extra flatulence which is embarrassing as hell. Last Thursday my doctor was pushing on my stomach it was the worse pain in the world. She thought I had appendicitis but turns out it wasn't. I did some research and I could possibly have H.pylori since it can have gerd like symptoms. Also to be noted on a day I barely had symptoms I tried regular food and I was just fine no issues but the moment I got hungry again I suffered. I took Gavinscon extra strength and I'm still suffering. Is anyone suffering with this? I'm not even sure if its even Gerd.</t>
        </is>
      </c>
      <c r="D5570" t="n">
        <v>1</v>
      </c>
      <c r="E5570" t="n">
        <v>0</v>
      </c>
      <c r="F5570">
        <f>HYPERLINK("https://www.reddit.com/r/GERD/comments/fc280g/gerd_h_pylori_or_something_else/")</f>
        <v/>
      </c>
      <c r="G5570" t="inlineStr">
        <is>
          <t>2020-03-01 14:53:08</t>
        </is>
      </c>
      <c r="H5570" t="inlineStr"/>
    </row>
    <row r="5571">
      <c r="A5571" t="inlineStr">
        <is>
          <t>fc3wvo</t>
        </is>
      </c>
      <c r="B5571" t="inlineStr">
        <is>
          <t>Appetite loss and inflamed vocal box</t>
        </is>
      </c>
      <c r="C5571" t="inlineStr">
        <is>
          <t>I knew I had silent gerd for the past probably 10 years. Ignored it, I was young I thought nbd. Past 5 days I have had insane post nasal drip - though it was a cold, then maybe a sinus infection - went to the ent - not even close. I have horrible gerd - severely inflamed vocal box and what I have noticed is no appetite all week. He gave me a list of things not to eat - which I don’t eat any of except coffee (and I’ve cut down). I don’t know what set this off but I have been feeling horrendous all week and I can’t get my appetite back. Even with meds, I can’t seem to eat. What can I do ???</t>
        </is>
      </c>
      <c r="D5571" t="n">
        <v>1</v>
      </c>
      <c r="E5571" t="n">
        <v>1</v>
      </c>
      <c r="F5571">
        <f>HYPERLINK("https://www.reddit.com/r/GERD/comments/fc3wvo/appetite_loss_and_inflamed_vocal_box/")</f>
        <v/>
      </c>
      <c r="G5571" t="inlineStr">
        <is>
          <t>2020-03-01 16:55:48</t>
        </is>
      </c>
      <c r="H5571" t="inlineStr"/>
    </row>
    <row r="5572">
      <c r="A5572" t="inlineStr">
        <is>
          <t>fc3yih</t>
        </is>
      </c>
      <c r="B5572" t="inlineStr">
        <is>
          <t>Is lightheadedness and/or dizziness fairly common for GERD? Or is it more of a side-effect of PPIs?</t>
        </is>
      </c>
      <c r="C5572" t="inlineStr">
        <is>
          <t>Hi all,
I'm fairly new to the GERD-family. About 6 months ago I (like I've read many others) thought I was having a heart attack and went to the hospital. The doctors found nothing wrong with my blood/heart rate etc and suggested it was likely acid reflux/GERD. 
I have been focusing on improving my diet (although it has been difficult) and have been taking PPIs for a few weeks now along with H2 blockers (pepcid) and tums when needed. 
I am curious - the most concerning symptom I had originally was lightheadedness/headaches/dizziness. How common is this and has anyone found any suitable quick-fix for this? Or is it just a matter of waiting it out?
I have found my symptoms have mostly been improving (chronic cough has mostly disappeared) and I haven't found myself having trouble breathing. Although I feel I have noticed stomach cramps more since taking the PPIs - Iread it is a side effect though.  
Anyways, thanks for your time!</t>
        </is>
      </c>
      <c r="D5572" t="n">
        <v>1</v>
      </c>
      <c r="E5572" t="n">
        <v>7</v>
      </c>
      <c r="F5572">
        <f>HYPERLINK("https://www.reddit.com/r/GERD/comments/fc3yih/is_lightheadedness_andor_dizziness_fairly_common/")</f>
        <v/>
      </c>
      <c r="G5572" t="inlineStr">
        <is>
          <t>2020-03-01 16:59:19</t>
        </is>
      </c>
      <c r="H5572" t="inlineStr"/>
    </row>
    <row r="5573">
      <c r="A5573" t="inlineStr">
        <is>
          <t>fc4kgl</t>
        </is>
      </c>
      <c r="B5573" t="inlineStr">
        <is>
          <t>What tests should I be advocating for?</t>
        </is>
      </c>
      <c r="C5573" t="inlineStr">
        <is>
          <t>I've had chronic acid reflux problems for about 3 years now. I've been on multiple acid reducers and PPIs with a few of them working but after a few months stopping. 
I had an upper endoscopy done about 8 or 10 months ago and was diagnosed with non errosive gerd basically.
My doctor's solution it seems is to basically keep me on medication forever however obviously I don't want that. I'm beginning an elimination diet to see if I can cleanse my system and figure out my trigger foods but wanted to look into further testing and potentially surgical solutions of possible.
My questions are:
What tests should I be looking to get further? I've had this for about three years and feel like I'm no closer to knowing what's going on.
Also, any advice on getting to see a GI? I'm in Ontario, Canada and my physician mentioned that wait times to see a GI are a few years long. I have health insurance, I'm not sure how far that goes but I'm willing to pay for Linx, surgery or Nissen if needed.</t>
        </is>
      </c>
      <c r="D5573" t="n">
        <v>1</v>
      </c>
      <c r="E5573" t="n">
        <v>10</v>
      </c>
      <c r="F5573">
        <f>HYPERLINK("https://www.reddit.com/r/GERD/comments/fc4kgl/what_tests_should_i_be_advocating_for/")</f>
        <v/>
      </c>
      <c r="G5573" t="inlineStr">
        <is>
          <t>2020-03-01 17:45:23</t>
        </is>
      </c>
      <c r="H5573" t="inlineStr"/>
    </row>
    <row r="5574">
      <c r="A5574" t="inlineStr">
        <is>
          <t>fc5b6o</t>
        </is>
      </c>
      <c r="B5574" t="inlineStr">
        <is>
          <t>Safe to eat?</t>
        </is>
      </c>
      <c r="C5574" t="inlineStr">
        <is>
          <t>I ate buffalo chicken dip earlier (not smart, I know) and IMMEDIATELY had an acid reflux attack. It didn’t last very long, but I almost threw up and it was definitely unpleasant. It’s been about 5hrs now and I’m starving. I feel fine except for my upper stomach is all gurgly. It doesn’t hurt, it’s just making a bunch of noise. I want to eat something but nervous it will set me off again. Any thoughts on if it’s safe to eat? Should I wait until tomorrow?</t>
        </is>
      </c>
      <c r="D5574" t="n">
        <v>1</v>
      </c>
      <c r="E5574" t="n">
        <v>2</v>
      </c>
      <c r="F5574">
        <f>HYPERLINK("https://www.reddit.com/r/GERD/comments/fc5b6o/safe_to_eat/")</f>
        <v/>
      </c>
      <c r="G5574" t="inlineStr">
        <is>
          <t>2020-03-01 18:43:02</t>
        </is>
      </c>
      <c r="H5574" t="inlineStr"/>
    </row>
    <row r="5575">
      <c r="A5575" t="inlineStr">
        <is>
          <t>fc5idj</t>
        </is>
      </c>
      <c r="B5575" t="inlineStr">
        <is>
          <t>Is this GERD?</t>
        </is>
      </c>
      <c r="C5575" t="inlineStr">
        <is>
          <t>I (M18) just ate not to long ago and I’ve been having constant heart palpitations, it feels like my heart is skipping or pounding I can’t really explain it. My heart rate has been in the 100s for about ten minutes highest being 113. I’ve actually been having palpitations all week however today has been the worst. I had them earlier today after I ate some chips and took some omeprazole. I’ve actually been having problems since about January 8th after eating horribly over the holidays everyday. I have only been to urgent care, however I have a doctors appointment tomorrow.</t>
        </is>
      </c>
      <c r="D5575" t="n">
        <v>1</v>
      </c>
      <c r="E5575" t="n">
        <v>2</v>
      </c>
      <c r="F5575">
        <f>HYPERLINK("https://www.reddit.com/r/GERD/comments/fc5idj/is_this_gerd/")</f>
        <v/>
      </c>
      <c r="G5575" t="inlineStr">
        <is>
          <t>2020-03-01 18:58:44</t>
        </is>
      </c>
      <c r="H5575" t="inlineStr"/>
    </row>
    <row r="5576">
      <c r="A5576" t="inlineStr">
        <is>
          <t>fc670u</t>
        </is>
      </c>
      <c r="B5576" t="inlineStr">
        <is>
          <t>Caffeine Alternative?</t>
        </is>
      </c>
      <c r="C5576" t="inlineStr">
        <is>
          <t>Long time going without caffeine. Decided to have the smallest spoonful of pre-made cappuchino mix... already feel the bubbling and the gas build-up effects.... it sucks big time.
Has anybody found any sort of energy-type drink/supplement that gives even a slight boost like caffeine does?</t>
        </is>
      </c>
      <c r="D5576" t="n">
        <v>1</v>
      </c>
      <c r="E5576" t="n">
        <v>5</v>
      </c>
      <c r="F5576">
        <f>HYPERLINK("https://www.reddit.com/r/GERD/comments/fc670u/caffeine_alternative/")</f>
        <v/>
      </c>
      <c r="G5576" t="inlineStr">
        <is>
          <t>2020-03-01 19:53:14</t>
        </is>
      </c>
      <c r="H5576" t="inlineStr"/>
    </row>
    <row r="5577">
      <c r="A5577" t="inlineStr">
        <is>
          <t>fc6hm7</t>
        </is>
      </c>
      <c r="B5577" t="inlineStr">
        <is>
          <t>Popping / Grinding in My Thoat When Swallowing</t>
        </is>
      </c>
      <c r="C5577" t="inlineStr">
        <is>
          <t>I have been dealing with acid reflux for a few years now. It stopped a while back but in the past few months it's become harder and harder to swallow. I have an appt with a GI. I am only recently finding out it is related. The one symptom Im mostly concerned about is a popping or grinding sensation in my thoat above my Adam's apple. It pops and grinds when I swallow silava. What is weird is  when typically I swallow food or drinks it doesn't happen unless I swallow too much food. In the past week is has been constant.  Others can  hear and feel it when they place their hand on it. I have had an endoscopy and there is no damage to my thyroid or hyoid bone. Has anyone else experienced this. It's becoming a nightmare to live with.</t>
        </is>
      </c>
      <c r="D5577" t="n">
        <v>1</v>
      </c>
      <c r="E5577" t="n">
        <v>11</v>
      </c>
      <c r="F5577">
        <f>HYPERLINK("https://www.reddit.com/r/GERD/comments/fc6hm7/popping_grinding_in_my_thoat_when_swallowing/")</f>
        <v/>
      </c>
      <c r="G5577" t="inlineStr">
        <is>
          <t>2020-03-01 20:16:45</t>
        </is>
      </c>
      <c r="H5577" t="inlineStr"/>
    </row>
    <row r="5578">
      <c r="A5578" t="inlineStr">
        <is>
          <t>fc6ojx</t>
        </is>
      </c>
      <c r="B5578" t="inlineStr">
        <is>
          <t>Surgical options</t>
        </is>
      </c>
      <c r="C5578" t="inlineStr">
        <is>
          <t>Background: severe regurgitation daily for five years. More significant with spicy foods (chicken tikka masala like clockwork I've found), but also simple foods like a PB&amp;amp;J, or a 16oz protein shake (2% milk and single scoop of vanilla protein). Most often it's just food, but can have acid on occasion. If I eat a large meal I can experience symptoms as many as five hours later, contrary to the results of a gastric emptying test that suggests everything is moving normally. UGI and endoscopy revealed small sliding hiatal hernia and mild (i.e. "normal") gastritis. My specialist continues to push 40mg omeprazole 30 minutes before breakfast and again before dinner despite literally zero change in my symptoms for three months. I've even cut out alcohol completely, and significantly reduced caffeine intake. I'm slightly overweight (6'0", 220lbs). 
I have a manometry scheduled in one month which will hopefully produce results.
I'm fairly convinced that only surgery will eliminate the regurgitation. What are some stories of those here who have had them done?</t>
        </is>
      </c>
      <c r="D5578" t="n">
        <v>1</v>
      </c>
      <c r="E5578" t="n">
        <v>2</v>
      </c>
      <c r="F5578">
        <f>HYPERLINK("https://www.reddit.com/r/GERD/comments/fc6ojx/surgical_options/")</f>
        <v/>
      </c>
      <c r="G5578" t="inlineStr">
        <is>
          <t>2020-03-01 20:33:06</t>
        </is>
      </c>
      <c r="H5578" t="inlineStr"/>
    </row>
    <row r="5579">
      <c r="A5579" t="inlineStr">
        <is>
          <t>fc91ge</t>
        </is>
      </c>
      <c r="B5579" t="inlineStr">
        <is>
          <t>Have any of you gone to a neurogastroenterologist?</t>
        </is>
      </c>
      <c r="C5579" t="inlineStr">
        <is>
          <t>I have really bad silent reflux , trouble breathing , bad breath, lump in throat, trouble swallowing, my gastroenterologist refered me to a neurogastroenterologist cuz he thinks it's a nerve issue. Have any of you been to a motility and secretion clinic?</t>
        </is>
      </c>
      <c r="D5579" t="n">
        <v>1</v>
      </c>
      <c r="E5579" t="n">
        <v>31</v>
      </c>
      <c r="F5579">
        <f>HYPERLINK("https://www.reddit.com/r/GERD/comments/fc91ge/have_any_of_you_gone_to_a_neurogastroenterologist/")</f>
        <v/>
      </c>
      <c r="G5579" t="inlineStr">
        <is>
          <t>2020-03-02 00:22:04</t>
        </is>
      </c>
      <c r="H5579" t="inlineStr"/>
    </row>
    <row r="5580">
      <c r="A5580" t="inlineStr">
        <is>
          <t>fcae3r</t>
        </is>
      </c>
      <c r="B5580" t="inlineStr">
        <is>
          <t>I have been suffering from GERD for around 5 months, should i lose weight and then go the doctors or go straight the doctors</t>
        </is>
      </c>
      <c r="C5580" t="inlineStr">
        <is>
          <t>I've had that lump in my throat for 5 months, constantly clearing throat. I'm also a little overweight but not that much I'm about 187lbs and have 25% BF, standing at 170cm. I go the gym but i'm into Bodybuilding, in the past i have used. Pro hormones and SARMS. could this of caused it?
I've just read online that GERD can lead to cancer and i'm a little scared about this now. What should i do?</t>
        </is>
      </c>
      <c r="D5580" t="n">
        <v>1</v>
      </c>
      <c r="E5580" t="n">
        <v>4</v>
      </c>
      <c r="F5580">
        <f>HYPERLINK("https://www.reddit.com/r/GERD/comments/fcae3r/i_have_been_suffering_from_gerd_for_around_5/")</f>
        <v/>
      </c>
      <c r="G5580" t="inlineStr">
        <is>
          <t>2020-03-02 02:53:55</t>
        </is>
      </c>
      <c r="H5580" t="inlineStr"/>
    </row>
    <row r="5581">
      <c r="A5581" t="inlineStr">
        <is>
          <t>fcbtkv</t>
        </is>
      </c>
      <c r="B5581" t="inlineStr">
        <is>
          <t>Please Help</t>
        </is>
      </c>
      <c r="C5581" t="inlineStr">
        <is>
          <t>I’m so sorry if this comes across wrong but I’m truly looking for help, I know this is not medical advice but I’m looking for any options I can get. I don’t think I’ve ever been this desperate for relief in my entire life. As someone who has chronic migraines and mensural cramps that had landed me in the hospital, I can SAFELY say I’d rather deal with that then acid reflux, GERD, or whatever this is I’m dealing with. The intense nausea I’ve been feeling causes me to wake up from my sleep at around 2:30-3:00am every morning to throw up this abnormally spicy yellow bile. I feel euphoric for about 30 secs after I throw up, then its back to feeling sick again. I don’t feel my symptoms as harshly throughout the day. The only way I can describe the nausea is comparing it to having really terrible spins when you get drunk. Where you feel like you have to throw up but nothing is coming out and the world is spinning. I keep loosing weight over this because I can’t keep food down, I’m 5,5 and weigh 105 pounds now from my average of 115. Changing my diet doesn’t help, exercising doesn’t help, acid reducers kinda help but not significantly. I can’t sleep and have been having to call out of work a lot. I know this is probably annoying to read I’m sorry for complaining, google just doesn’t give any results from actual people dealing with this. I know this sounds desperate, because it is. I have an appointment made with a specialist sense my doctor hasn’t been able to help much in the past two years. Please help if you can. Thank you.</t>
        </is>
      </c>
      <c r="D5581" t="n">
        <v>1</v>
      </c>
      <c r="E5581" t="n">
        <v>8</v>
      </c>
      <c r="F5581">
        <f>HYPERLINK("https://www.reddit.com/r/GERD/comments/fcbtkv/please_help/")</f>
        <v/>
      </c>
      <c r="G5581" t="inlineStr">
        <is>
          <t>2020-03-02 05:08:40</t>
        </is>
      </c>
      <c r="H5581" t="inlineStr"/>
    </row>
    <row r="5582">
      <c r="A5582" t="inlineStr">
        <is>
          <t>fcci7n</t>
        </is>
      </c>
      <c r="B5582" t="inlineStr">
        <is>
          <t>what can ya'll eat if you take your PPIS</t>
        </is>
      </c>
      <c r="C5582" t="inlineStr">
        <is>
          <t>can you all eat anything u want if you take PPIS or are you on a diet and taking PPIS, I'm curious can you get away with eating anything if PPIS get rid of symptoms? also has anyone got any good/positive gerd stories all I see on here is negative stories so has anyone got any positive ones</t>
        </is>
      </c>
      <c r="D5582" t="n">
        <v>1</v>
      </c>
      <c r="E5582" t="n">
        <v>5</v>
      </c>
      <c r="F5582">
        <f>HYPERLINK("https://www.reddit.com/r/GERD/comments/fcci7n/what_can_yall_eat_if_you_take_your_ppis/")</f>
        <v/>
      </c>
      <c r="G5582" t="inlineStr">
        <is>
          <t>2020-03-02 06:04:11</t>
        </is>
      </c>
      <c r="H5582" t="inlineStr"/>
    </row>
    <row r="5583">
      <c r="A5583" t="inlineStr">
        <is>
          <t>fcdbvj</t>
        </is>
      </c>
      <c r="B5583" t="inlineStr">
        <is>
          <t>Anyone had BRAVO ph study?</t>
        </is>
      </c>
      <c r="C5583" t="inlineStr">
        <is>
          <t>I’m having one next week due to horrendous reflux that isn’t helped by ppi’s, diet or H2’s. Anyone else have one? As per the norm, I can’t seem to get a whole lot of information from my MD’s office beyond what they do during one. What if it turns out I’m super acidic? How does that alter treatment? If you’ve had one, I’d love to hear about it.</t>
        </is>
      </c>
      <c r="D5583" t="n">
        <v>1</v>
      </c>
      <c r="E5583" t="n">
        <v>4</v>
      </c>
      <c r="F5583">
        <f>HYPERLINK("https://www.reddit.com/r/GERD/comments/fcdbvj/anyone_had_bravo_ph_study/")</f>
        <v/>
      </c>
      <c r="G5583" t="inlineStr">
        <is>
          <t>2020-03-02 07:05:06</t>
        </is>
      </c>
      <c r="H5583" t="inlineStr"/>
    </row>
    <row r="5584">
      <c r="A5584" t="inlineStr">
        <is>
          <t>fce6nd</t>
        </is>
      </c>
      <c r="B5584" t="inlineStr">
        <is>
          <t>After waking up past few days feeling like my chest is bleeding and the taste unbearable, i went to the doctor to be told "health anxiety" and basically its all in my head</t>
        </is>
      </c>
      <c r="C5584" t="inlineStr">
        <is>
          <t>Fml. This is unbearable. They also gave me a tube to give a stool sample to test for h pylori but i did that years ago. I did the triple threat thing in around 2015 for it and they didnt even test me then. This will be the death of me. :(</t>
        </is>
      </c>
      <c r="D5584" t="n">
        <v>1</v>
      </c>
      <c r="E5584" t="n">
        <v>11</v>
      </c>
      <c r="F5584">
        <f>HYPERLINK("https://www.reddit.com/r/GERD/comments/fce6nd/after_waking_up_past_few_days_feeling_like_my/")</f>
        <v/>
      </c>
      <c r="G5584" t="inlineStr">
        <is>
          <t>2020-03-02 08:02:58</t>
        </is>
      </c>
      <c r="H5584" t="inlineStr"/>
    </row>
    <row r="5585">
      <c r="A5585" t="inlineStr">
        <is>
          <t>fcea6a</t>
        </is>
      </c>
      <c r="B5585" t="inlineStr">
        <is>
          <t>Acid Watchers Diet</t>
        </is>
      </c>
      <c r="C5585" t="inlineStr">
        <is>
          <t>I’m interested in doing an acid watchers diet for a month or so, but when I bought the book, I saw there were a lot of fish recipes.  I’d like to do this with my husband but he doesn’t eat fish.  Does anyone know of a seafood free diet?  Or could I sub chicken for fish?
Any suggestions are welcome, thanks!</t>
        </is>
      </c>
      <c r="D5585" t="n">
        <v>1</v>
      </c>
      <c r="E5585" t="n">
        <v>28</v>
      </c>
      <c r="F5585">
        <f>HYPERLINK("https://www.reddit.com/r/GERD/comments/fcea6a/acid_watchers_diet/")</f>
        <v/>
      </c>
      <c r="G5585" t="inlineStr">
        <is>
          <t>2020-03-02 08:09:14</t>
        </is>
      </c>
      <c r="H5585" t="inlineStr"/>
    </row>
    <row r="5586">
      <c r="A5586" t="inlineStr">
        <is>
          <t>fcgznt</t>
        </is>
      </c>
      <c r="B5586" t="inlineStr">
        <is>
          <t>Ear/jaw pain, painful squeezing/tightness in mid-upper back and chest, food getting stuck in throat.</t>
        </is>
      </c>
      <c r="C5586" t="inlineStr">
        <is>
          <t>i know the first symptom is known for heartburn, but do any of you suffer the squeezing and tightness in your back as well?  taking normal to deep breaths exacerbates the tightness and therefore extreme discomfort (not really pain).  so i have to take shallow breathes.  lasts anywhere between 30-90 minutes.  1-2 times every 2 months this happens.  
food gets stuck in throat, usually the first or send bite when i don't chew enough.  eventually goes down or i drink water.  is extremely uncomfortable bordering on painful sometimes to get it down.  maybe once a month this happens. 
i've had the lumpy throat and chest/throat burning for at least 15 years now, but they usually go away with some tums.  but tums doesn't do anything to these new symptoms..
is this classic acid reflux?</t>
        </is>
      </c>
      <c r="D5586" t="n">
        <v>1</v>
      </c>
      <c r="E5586" t="n">
        <v>2</v>
      </c>
      <c r="F5586">
        <f>HYPERLINK("https://www.reddit.com/r/GERD/comments/fcgznt/earjaw_pain_painful_squeezingtightness_in/")</f>
        <v/>
      </c>
      <c r="G5586" t="inlineStr">
        <is>
          <t>2020-03-02 11:00:30</t>
        </is>
      </c>
      <c r="H5586" t="inlineStr"/>
    </row>
    <row r="5587">
      <c r="A5587" t="inlineStr">
        <is>
          <t>fchdn5</t>
        </is>
      </c>
      <c r="B5587" t="inlineStr">
        <is>
          <t>Heart palpitations gone after a successful hiatal hernia surgery?</t>
        </is>
      </c>
      <c r="C5587" t="inlineStr">
        <is>
          <t>For the past three or so years I’ve been experiencing bad heartburn and heart palpitations after I eat. Last May at the age of 22, I was diagnosed with GERD and I had an upper endoscopy done which discovered I have a hiatal hernia. My doctor hadn’t mentioned anything about surgery to fix it, he just put me on Protonix. The problem is I’m still experiencing heart palpitations and I’ve been getting anxious about it to the point where I was recently diagnosed with agoraphobia. 
My question is: Has anyone who experienced heart palpitations because of their hernia then went through surgery still suffer from that symptom? It’s gotten so old and the medication only does so much. When I barely eat and basically eliminate all fats and carbs is when I don’t experience palpitations. 
I’m going to call my doctor and set up a surgery date but any feedback regarding this question would be much appreciated!</t>
        </is>
      </c>
      <c r="D5587" t="n">
        <v>1</v>
      </c>
      <c r="E5587" t="n">
        <v>19</v>
      </c>
      <c r="F5587">
        <f>HYPERLINK("https://www.reddit.com/r/GERD/comments/fchdn5/heart_palpitations_gone_after_a_successful_hiatal/")</f>
        <v/>
      </c>
      <c r="G5587" t="inlineStr">
        <is>
          <t>2020-03-02 11:24:59</t>
        </is>
      </c>
      <c r="H5587" t="inlineStr"/>
    </row>
    <row r="5588">
      <c r="A5588" t="inlineStr">
        <is>
          <t>fchxmg</t>
        </is>
      </c>
      <c r="B5588" t="inlineStr">
        <is>
          <t>Advice for tapering off omeprazole</t>
        </is>
      </c>
      <c r="C5588" t="inlineStr">
        <is>
          <t>Been taking it for 7 months, 20mg daily. I’m 19F and am pretty scared for the rebound effects. 
Also, should I just alternate taking it one day off one day on at first? I don’t take the pills that you can cut in half so I can’t really decrease my dose. 
Any sort of meal plan I should follow to minimize rebound?</t>
        </is>
      </c>
      <c r="D5588" t="n">
        <v>1</v>
      </c>
      <c r="E5588" t="n">
        <v>13</v>
      </c>
      <c r="F5588">
        <f>HYPERLINK("https://www.reddit.com/r/GERD/comments/fchxmg/advice_for_tapering_off_omeprazole/")</f>
        <v/>
      </c>
      <c r="G5588" t="inlineStr">
        <is>
          <t>2020-03-02 12:00:22</t>
        </is>
      </c>
      <c r="H5588" t="inlineStr"/>
    </row>
    <row r="5589">
      <c r="A5589" t="inlineStr">
        <is>
          <t>fckgts</t>
        </is>
      </c>
      <c r="B5589" t="inlineStr">
        <is>
          <t>Alright fellas im gonna run everyday and meditate</t>
        </is>
      </c>
      <c r="C5589" t="inlineStr">
        <is>
          <t>Gonna stab my stress and depression with some serious tools. Wish me luck.</t>
        </is>
      </c>
      <c r="D5589" t="n">
        <v>1</v>
      </c>
      <c r="E5589" t="n">
        <v>18</v>
      </c>
      <c r="F5589">
        <f>HYPERLINK("https://www.reddit.com/r/GERD/comments/fckgts/alright_fellas_im_gonna_run_everyday_and_meditate/")</f>
        <v/>
      </c>
      <c r="G5589" t="inlineStr">
        <is>
          <t>2020-03-02 14:40:02</t>
        </is>
      </c>
      <c r="H5589" t="inlineStr"/>
    </row>
    <row r="5590">
      <c r="A5590" t="inlineStr">
        <is>
          <t>fcmegf</t>
        </is>
      </c>
      <c r="B5590" t="inlineStr">
        <is>
          <t>How to take pantoprazole?</t>
        </is>
      </c>
      <c r="C5590" t="inlineStr">
        <is>
          <t>I’ve been taking Nexium 20mg everyday for GERD and usually take an hour before eating breakfast. Anyways, my doctor switched me to pantoprazole 40mg (tablets) and I’m wondering if it should be taken 30 mins-1 hour before a meal. I’ve tried searching online, but couldn't find anything really.
Thanks!</t>
        </is>
      </c>
      <c r="D5590" t="n">
        <v>1</v>
      </c>
      <c r="E5590" t="n">
        <v>4</v>
      </c>
      <c r="F5590">
        <f>HYPERLINK("https://www.reddit.com/r/GERD/comments/fcmegf/how_to_take_pantoprazole/")</f>
        <v/>
      </c>
      <c r="G5590" t="inlineStr">
        <is>
          <t>2020-03-02 16:53:55</t>
        </is>
      </c>
      <c r="H5590" t="inlineStr"/>
    </row>
    <row r="5591">
      <c r="A5591" t="inlineStr">
        <is>
          <t>fcoku8</t>
        </is>
      </c>
      <c r="B5591" t="inlineStr">
        <is>
          <t>Is this LPR?</t>
        </is>
      </c>
      <c r="C5591" t="inlineStr">
        <is>
          <t>Hey all I’m new here. I’ve had some confusing experiences with doctors and hoping someone could shed some light.
For the last month I’ve had some weird symptoms. The main ones are:
1. Constant Mucus in back of my throat
2. Intense throat tightening/closing sensations
3. Frequent lump in throat 
4. Trouble breathing, feels like my airways are constricted 
But I’ve also had some less frequent one off symptoms:
1. Hoarseness. This happened a couple days.
2. Minty nostrils? Not sure how to describe this... the air feels freezing cold when I breathe through my nose. This happened also happened a couple days.
My primary doctor gave me a nasal spray and referred me to an ENT. The ENT put a camera up my nose and down my throat and said it looked like acid reflux. He put me on Nexium for two weeks. 
After little to no improvement he refers me to a gastroenterologist who was very skeptical it was acid reflux and referred me to an allergist. I have not yet seen the allergist.
Do these symptoms sound like they are LPR? I have changed my diet entirely, but the symptoms don’t seem related to my eating habits. They seem pretty random
The gastroenterologist did give me high dose of Omeprazole but I stopped taking it after a few days because it was giving me really bad fatigue. 
Does anyone have any insight or advice?
I’m getting pretty worried and frustrated. If it isn’t LPR then I have no idea what it could be</t>
        </is>
      </c>
      <c r="D5591" t="n">
        <v>1</v>
      </c>
      <c r="E5591" t="n">
        <v>3</v>
      </c>
      <c r="F5591">
        <f>HYPERLINK("https://www.reddit.com/r/GERD/comments/fcoku8/is_this_lpr/")</f>
        <v/>
      </c>
      <c r="G5591" t="inlineStr">
        <is>
          <t>2020-03-02 19:37:55</t>
        </is>
      </c>
      <c r="H5591" t="inlineStr"/>
    </row>
    <row r="5592">
      <c r="A5592" t="inlineStr">
        <is>
          <t>fcotd7</t>
        </is>
      </c>
      <c r="B5592" t="inlineStr">
        <is>
          <t>How long to heal reflux esophagitis</t>
        </is>
      </c>
      <c r="C5592" t="inlineStr">
        <is>
          <t>I had an endoscopy a while back and it showed I had mild esophagitis. My symptoms are occasional burning in neck / chest area, hoarse voice, mucus and sometimes throat burning. 
I have been taking 40mg pantoprazole once a day and followed a bland diet for two weeks without too much improvement. How long does it normally take to heal and see improvements in symptoms?</t>
        </is>
      </c>
      <c r="D5592" t="n">
        <v>1</v>
      </c>
      <c r="E5592" t="n">
        <v>2</v>
      </c>
      <c r="F5592">
        <f>HYPERLINK("https://www.reddit.com/r/GERD/comments/fcotd7/how_long_to_heal_reflux_esophagitis/")</f>
        <v/>
      </c>
      <c r="G5592" t="inlineStr">
        <is>
          <t>2020-03-02 19:56:53</t>
        </is>
      </c>
      <c r="H5592" t="inlineStr"/>
    </row>
    <row r="5593">
      <c r="A5593" t="inlineStr">
        <is>
          <t>fcozoi</t>
        </is>
      </c>
      <c r="B5593" t="inlineStr">
        <is>
          <t>Gurgling in chest and throat</t>
        </is>
      </c>
      <c r="C5593" t="inlineStr">
        <is>
          <t>I've had gerd for about 16 years. I've been mostly symptom free for 10 of those years. Over the past couple months I've been getting this pressure in my chest which is followed by a lower gurgle that I can feel moving up my chest. Sometimes it's slightly painful.  Other times it releases the pressure in my stomach and I feel better. Anti acids help about 50% of the time. I have no idea what this is or how to make it stop. It used to gurgle back when I first was diagnosed, but not like this. It happened every time I eat. One friend suggested it's from constipation which is something I'm also struggling with, but could it be from gerd. Any of you guys have experience with this?</t>
        </is>
      </c>
      <c r="D5593" t="n">
        <v>1</v>
      </c>
      <c r="E5593" t="n">
        <v>3</v>
      </c>
      <c r="F5593">
        <f>HYPERLINK("https://www.reddit.com/r/GERD/comments/fcozoi/gurgling_in_chest_and_throat/")</f>
        <v/>
      </c>
      <c r="G5593" t="inlineStr">
        <is>
          <t>2020-03-02 20:10:31</t>
        </is>
      </c>
      <c r="H5593" t="inlineStr"/>
    </row>
    <row r="5594">
      <c r="A5594" t="inlineStr">
        <is>
          <t>fcp8r8</t>
        </is>
      </c>
      <c r="B5594" t="inlineStr">
        <is>
          <t>Opinion on LiNX</t>
        </is>
      </c>
      <c r="C5594" t="inlineStr">
        <is>
          <t>I am 20 and today just talked to a surgeon about antireflux surgery.  He suggested LINX  and before surgery I am getting a barium swallow and manometry to check for hiatal hernia. I have read about different opinions on the safety’s day effectiveness of the LINX  procedure. I am very active and plan to continue racing motocross after surgery so he suggested this due to its durability. What do you all think.Any opinions on LiNX ?</t>
        </is>
      </c>
      <c r="D5594" t="n">
        <v>1</v>
      </c>
      <c r="E5594" t="n">
        <v>5</v>
      </c>
      <c r="F5594">
        <f>HYPERLINK("https://www.reddit.com/r/GERD/comments/fcp8r8/opinion_on_linx/")</f>
        <v/>
      </c>
      <c r="G5594" t="inlineStr">
        <is>
          <t>2020-03-02 20:32:02</t>
        </is>
      </c>
      <c r="H5594" t="inlineStr"/>
    </row>
    <row r="5595">
      <c r="A5595" t="inlineStr">
        <is>
          <t>fcpo0x</t>
        </is>
      </c>
      <c r="B5595" t="inlineStr">
        <is>
          <t>New to gerd.</t>
        </is>
      </c>
      <c r="C5595" t="inlineStr">
        <is>
          <t>The doctor basically told me I had gerd and put me on protonix. The protonix constipated me so he then switched me to famotidine for the acid. I've been trying to find what to eat but it's rather hit and miss. Please help. I'm so hungry and can't find anything to help calm the pain.</t>
        </is>
      </c>
      <c r="D5595" t="n">
        <v>1</v>
      </c>
      <c r="E5595" t="n">
        <v>14</v>
      </c>
      <c r="F5595">
        <f>HYPERLINK("https://www.reddit.com/r/GERD/comments/fcpo0x/new_to_gerd/")</f>
        <v/>
      </c>
      <c r="G5595" t="inlineStr">
        <is>
          <t>2020-03-02 21:08:37</t>
        </is>
      </c>
      <c r="H5595" t="inlineStr"/>
    </row>
    <row r="5596">
      <c r="A5596" t="inlineStr">
        <is>
          <t>fcpwid</t>
        </is>
      </c>
      <c r="B5596" t="inlineStr">
        <is>
          <t>"Good" news.</t>
        </is>
      </c>
      <c r="C5596" t="inlineStr">
        <is>
          <t>On the 26th of January, I experienced for the first time ever really bad reflux. My pharmacist told me to take Nexium for 14 days. On the 5th day, I had to go to the hospital for the pain, and they prescribed me Pantoloc for 2 months instead. Last week, I went to a different hospital for unbearable abdominal pain. They kept me for 2 days. 
They highly think all of my suddent symptoms would be caused by a bacteria called h. pylori. However, they also think it might be an ulcer, gastritis or oesophagitis.   
They did a bunch of tests to eliminate other posibilities. They all came back negative.  
As of now, I'm waiting to see a gastroenterologist to see inside of my stomach what is going on and do adequate tests. I really hope it will be quick, because I won't be able to endure that much more longer.
I'm still taking PPI (it's been 1 month now and I have 1 more month to go). The doctors said to continue my PPIs. I'm scared because I don't wanna experience any rebounds or barrett's esophagus when I stop them, and I'm also scared because my gastroenterologist will probably prescribe me more PPIs along with a treatment for whatever I have, which is not good. I just hope I get back to normal without any complications... If the PPIs causes me long time harm, I will never be able to pardon myself.
I really hope this be over quick.</t>
        </is>
      </c>
      <c r="D5596" t="n">
        <v>1</v>
      </c>
      <c r="E5596" t="n">
        <v>8</v>
      </c>
      <c r="F5596">
        <f>HYPERLINK("https://www.reddit.com/r/GERD/comments/fcpwid/good_news/")</f>
        <v/>
      </c>
      <c r="G5596" t="inlineStr">
        <is>
          <t>2020-03-02 21:29:57</t>
        </is>
      </c>
      <c r="H5596" t="inlineStr"/>
    </row>
    <row r="5597">
      <c r="A5597" t="inlineStr">
        <is>
          <t>fcs9pi</t>
        </is>
      </c>
      <c r="B5597" t="inlineStr">
        <is>
          <t>Does someone get really thirsty and it doesn't go away drinking water?</t>
        </is>
      </c>
      <c r="C5597" t="inlineStr">
        <is>
          <t>I don't know why that happens, but it's the second time today. Don't know if it has something to do with Gaviscon, which I began to use some days before the first time (and today).</t>
        </is>
      </c>
      <c r="D5597" t="n">
        <v>1</v>
      </c>
      <c r="E5597" t="n">
        <v>2</v>
      </c>
      <c r="F5597">
        <f>HYPERLINK("https://www.reddit.com/r/GERD/comments/fcs9pi/does_someone_get_really_thirsty_and_it_doesnt_go/")</f>
        <v/>
      </c>
      <c r="G5597" t="inlineStr">
        <is>
          <t>2020-03-03 01:42:02</t>
        </is>
      </c>
      <c r="H5597" t="inlineStr"/>
    </row>
    <row r="5598">
      <c r="A5598" t="inlineStr">
        <is>
          <t>fcugqe</t>
        </is>
      </c>
      <c r="B5598" t="inlineStr">
        <is>
          <t>Anyone else experience bowel movement changes from GERD?</t>
        </is>
      </c>
      <c r="C5598" t="inlineStr">
        <is>
          <t>I’m assuming it has something to do with taking omeprazole daily. Or maybe just reaching my 30’s. But I used to be very regular, like clock work. Every morning once I got to work it was time to do business. 
Now it’s rarely in the morning and I don’t seem to have a tentative grasp on when I go. Sometimes mid day, sometimes night time. 
Wondering if anyone else experienced this.</t>
        </is>
      </c>
      <c r="D5598" t="n">
        <v>1</v>
      </c>
      <c r="E5598" t="n">
        <v>7</v>
      </c>
      <c r="F5598">
        <f>HYPERLINK("https://www.reddit.com/r/GERD/comments/fcugqe/anyone_else_experience_bowel_movement_changes/")</f>
        <v/>
      </c>
      <c r="G5598" t="inlineStr">
        <is>
          <t>2020-03-03 05:20:42</t>
        </is>
      </c>
      <c r="H5598" t="inlineStr"/>
    </row>
    <row r="5599">
      <c r="A5599" t="inlineStr">
        <is>
          <t>fcxy30</t>
        </is>
      </c>
      <c r="B5599" t="inlineStr">
        <is>
          <t>Red ear</t>
        </is>
      </c>
      <c r="C5599" t="inlineStr">
        <is>
          <t>I’ve asked this before but want to know if reflux/gerd or stomach/digestive or esophagus issues can cause red ear flushing ?  I have gerd and always have to burp. Have noticed ears get hot and red for Sheila at random times also. Worth a shot to ask</t>
        </is>
      </c>
      <c r="D5599" t="n">
        <v>1</v>
      </c>
      <c r="E5599" t="n">
        <v>0</v>
      </c>
      <c r="F5599">
        <f>HYPERLINK("https://www.reddit.com/r/GERD/comments/fcxy30/red_ear/")</f>
        <v/>
      </c>
      <c r="G5599" t="inlineStr">
        <is>
          <t>2020-03-03 09:23:42</t>
        </is>
      </c>
      <c r="H5599" t="inlineStr"/>
    </row>
    <row r="5600">
      <c r="A5600" t="inlineStr">
        <is>
          <t>fcxy45</t>
        </is>
      </c>
      <c r="B5600" t="inlineStr">
        <is>
          <t>Red ear</t>
        </is>
      </c>
      <c r="C5600" t="inlineStr">
        <is>
          <t>I’ve asked this before but want to know if reflux/gerd or stomach/digestive or esophagus issues can cause red ear flushing ?  I have gerd and always have to burp. Have noticed ears get hot and red for Sheila at random times also. Worth a shot to ask</t>
        </is>
      </c>
      <c r="D5600" t="n">
        <v>1</v>
      </c>
      <c r="E5600" t="n">
        <v>14</v>
      </c>
      <c r="F5600">
        <f>HYPERLINK("https://www.reddit.com/r/GERD/comments/fcxy45/red_ear/")</f>
        <v/>
      </c>
      <c r="G5600" t="inlineStr">
        <is>
          <t>2020-03-03 09:23:47</t>
        </is>
      </c>
      <c r="H5600" t="inlineStr"/>
    </row>
    <row r="5601">
      <c r="A5601" t="inlineStr">
        <is>
          <t>fd311x</t>
        </is>
      </c>
      <c r="B5601" t="inlineStr">
        <is>
          <t>Time to monch the medicines</t>
        </is>
      </c>
      <c r="C5601" t="inlineStr">
        <is>
          <t>Hello all!
Two months ago my doctor prescribed 60mg dexilant twice a day and 40mg famotidine twice a day as a therapeutic and diagnostic treatment for one month.  His logic is that by maxing our on the acid blockers we’ll know if I’m actually dealing with an acid reflux problem or if it’s something else.  Now, I’m generally afraid of medicine, so for two months I researched and experimented relentlessly while on 40mg omeprazole and 20mg famotidine, afraid to increase my dose, but I’m not getting better, so I’m going to follow the doctors recommendation and chomp down on some medicinal goodness.
Please wish me luck cause I’m scared.
I’ll report back in a month.
Gwaine</t>
        </is>
      </c>
      <c r="D5601" t="n">
        <v>1</v>
      </c>
      <c r="E5601" t="n">
        <v>10</v>
      </c>
      <c r="F5601">
        <f>HYPERLINK("https://www.reddit.com/r/GERD/comments/fd311x/time_to_monch_the_medicines/")</f>
        <v/>
      </c>
      <c r="G5601" t="inlineStr">
        <is>
          <t>2020-03-03 14:45:18</t>
        </is>
      </c>
      <c r="H5601" t="inlineStr"/>
    </row>
    <row r="5602">
      <c r="A5602" t="inlineStr">
        <is>
          <t>fd3k47</t>
        </is>
      </c>
      <c r="B5602" t="inlineStr">
        <is>
          <t>Anxiety reflux and overall health</t>
        </is>
      </c>
      <c r="C5602" t="inlineStr">
        <is>
          <t>Does anyone ever get so paranoid with reflux that you think it’s your heart and even have some of the classic heart signs ?  Also does anyone ever feel like you ALWAYS have to burp or have trapped gas? And I mean that literally. Frustrating for sure.</t>
        </is>
      </c>
      <c r="D5602" t="n">
        <v>1</v>
      </c>
      <c r="E5602" t="n">
        <v>6</v>
      </c>
      <c r="F5602">
        <f>HYPERLINK("https://www.reddit.com/r/GERD/comments/fd3k47/anxiety_reflux_and_overall_health/")</f>
        <v/>
      </c>
      <c r="G5602" t="inlineStr">
        <is>
          <t>2020-03-03 15:21:38</t>
        </is>
      </c>
      <c r="H5602" t="inlineStr"/>
    </row>
    <row r="5603">
      <c r="A5603" t="inlineStr">
        <is>
          <t>fd45ul</t>
        </is>
      </c>
      <c r="B5603" t="inlineStr">
        <is>
          <t>what are the chances of getting a high grade dysplasia barretts</t>
        </is>
      </c>
      <c r="C5603" t="inlineStr">
        <is>
          <t>just curious, how do you get a high grade dysplasia barretts is it when it is discovered late?</t>
        </is>
      </c>
      <c r="D5603" t="n">
        <v>1</v>
      </c>
      <c r="E5603" t="n">
        <v>0</v>
      </c>
      <c r="F5603">
        <f>HYPERLINK("https://www.reddit.com/r/GERD/comments/fd45ul/what_are_the_chances_of_getting_a_high_grade/")</f>
        <v/>
      </c>
      <c r="G5603" t="inlineStr">
        <is>
          <t>2020-03-03 16:04:25</t>
        </is>
      </c>
      <c r="H5603" t="inlineStr"/>
    </row>
    <row r="5604">
      <c r="A5604" t="inlineStr">
        <is>
          <t>fd4j62</t>
        </is>
      </c>
      <c r="B5604" t="inlineStr">
        <is>
          <t>Absolutely suffering from heartburn, looking for some advice!</t>
        </is>
      </c>
      <c r="C5604" t="inlineStr">
        <is>
          <t>Hi Everyone!
I just recently joined Reddit and am really excited that there is a community for this because I need some help from someone who knows what the heck is up with having agonizing heartburn.
I take 60 mg of Dexilant every single day but have been off of it since Friday 2/28 due to my doctor not refilling my prescription until I come into see him. PLUS it's $150 every time I get the script filled, so eventually I am hoping to get to a place in my diet where I don't have to take it every single day or even at all.
In the past few days since I have been off of the medicine everything I eat is causing me the worst pain in my chest and throat, feels like there is a little dragon living in there. I was hoping to get some advice on foods to eat or other things to try to help reduce this feeling. I will admit that I love acidic foods, they're my favorite! And anything spicy too! I have been doing my best to avoid grease/oils but it's hard being a working person and also not really being a "conscious" eater per say. I don't eat absolutely terrible and I am not afraid of a vegetable but I don't always think about how I am eating is going to affect my heartburn issue. 
Any advice would be greatly appreciated! Looking forward to reading about some of your stories too :) Thanks!</t>
        </is>
      </c>
      <c r="D5604" t="n">
        <v>1</v>
      </c>
      <c r="E5604" t="n">
        <v>12</v>
      </c>
      <c r="F5604">
        <f>HYPERLINK("https://www.reddit.com/r/GERD/comments/fd4j62/absolutely_suffering_from_heartburn_looking_for/")</f>
        <v/>
      </c>
      <c r="G5604" t="inlineStr">
        <is>
          <t>2020-03-03 16:32:13</t>
        </is>
      </c>
      <c r="H5604" t="inlineStr"/>
    </row>
    <row r="5605">
      <c r="A5605" t="inlineStr">
        <is>
          <t>fd549f</t>
        </is>
      </c>
      <c r="B5605" t="inlineStr">
        <is>
          <t>Just diagnosed with GERD/LPR, looking for advice</t>
        </is>
      </c>
      <c r="C5605" t="inlineStr">
        <is>
          <t>I had the worst month of February ever. It all started on super bowl night where I ate some bbq chicken—I got a throat tightening /lump in throat feeling. I’d never felt this before, so I thought my throat was closing and it was anaphylaxis. I’ve had this happen before when I was a kid and I do have some severe food allergies—-although now, after time has passed, I realized that there wasn’t an actual allergen that I’m allergic to in what I ate. I went to the ER right away and they following allergy protocol (shot of epi, steroids, Benadryl, breathing treatment, Pepcid). I felt a bit better but the lump was still there for sure. I was so zonked out from the Benadryl though that I didn’t care to mention it and I honestly thought it was just lingering from the allergy. 
Now, as the month continued, my symptoms were on and off. I had maybe a good week in there and then they came on again towards mid month. I had throat tightness, lump in the throat, mucus-y feeling, some weird congestion-like feeling in my ear, cough, shortness of breath. Towards the end, I also had a burning throat and I started to realize it was really attached to when I was eating and after eating, it seemed to worsen. In retrospect, I was doing everything wrong for GERD—laying down, eating spicy food, eating acidic foods, etc. I went to urgent care after urgent care and they couldn’t figure out what was wrong. I didn’t have strep, mono, my bloodwork was fine, etc. 
I finally went to my PCP yesterday who brought up GERD/LPR, which I never expected because I don’t typically have heartburn. I completely disregarded this as an idea but no one had also brought it up. I’m now on 40 mg protonix and Pepcid as needed. So far it’s been two days and I don’t feel any better at all really, but I assume these things take time. I’ve had bad and okay moments. Dinner didn’t go so well for me today and I had an episode where I threw up my food in my mouth nearly, felt like I was having heart palpitations, a strong gurgling in my stomach, and the familiar burning in throat was back too. My throat was burned nearly all day, but this was worse. Any tips for all of this? I still feel super crummy, I’m hoping the meds kick in some day. Pepcid helps but I feel like it wears off. I’ve been following the recommendations for GERD to a T The last two days and haven’t eaten anything acidic at all, but it seems like the my stomach is bothered by absolutely everything right now, even water.</t>
        </is>
      </c>
      <c r="D5605" t="n">
        <v>1</v>
      </c>
      <c r="E5605" t="n">
        <v>12</v>
      </c>
      <c r="F5605">
        <f>HYPERLINK("https://www.reddit.com/r/GERD/comments/fd549f/just_diagnosed_with_gerdlpr_looking_for_advice/")</f>
        <v/>
      </c>
      <c r="G5605" t="inlineStr">
        <is>
          <t>2020-03-03 17:15:52</t>
        </is>
      </c>
      <c r="H5605" t="inlineStr"/>
    </row>
    <row r="5606">
      <c r="A5606" t="inlineStr">
        <is>
          <t>fd7r7y</t>
        </is>
      </c>
      <c r="B5606" t="inlineStr">
        <is>
          <t>Need some had advice for my 12 yr old with reflux</t>
        </is>
      </c>
      <c r="C5606" t="inlineStr">
        <is>
          <t>First background on me, I had bad reflux my whole life until I has Nissen Fundoplication surgery when I was 32, worked as a complete cure. Now my son wasn't gaining weight when he was around 4, did a ton of testing, first endocrine and eventually discovered it was reflux based, put him on meds, adjusted his diet and got it under control. He's now 12 and about 6 months ago his reflux got bad again, usually when he has flair ups we just restart his meds (Pepcid) and keep his diet strict. This time it didn't work, the reflux got worse and he developed a new symptom of severe cramps. Pediatric gastro decided on an endoscopy and colonoscopy (Colitus and Crohns run in my family). Test showed lower GI all good (possible minor IBS), upper GI showed signs of reflux irritation. They put him on Omeprezole and IB Guard and he started getting severe nausea, cramps, headaches and reflux didn't improve. They added Periactin to combat the nausea. It helped but not much so they added Carafate. So we took him off the Omeprezole and switched him 2 nexium daily as some of the symptoms seemed to be side effects from Omeprezole. So now he takes 2 IB Guard, 1 Culturel, 2 nexium, Periactin and Carafate daily (sorry if I butchered the spelling of the meds). So he's on all that and still missing school 2x a week because of the nausea and cramps. He's a straight A student and tough as nails (he's a lacrosse goalie and shakes off brutal shots like they were nothing) so if he says he's hurting he's REALLY hurting. Don't really know what to do now, toying with just stopping all meds and trying a sort of reset, going back to one Pepcid a day. To add to our stress we also discovered an epi-gastro hernia for which he is having surgery next week but they don't think that is a cause of any of his other symptoms. Hate seeing him suffer as I know intimately how it feels and feel like we don't know what to next, I don't want to just throw more meds at him...</t>
        </is>
      </c>
      <c r="D5606" t="n">
        <v>1</v>
      </c>
      <c r="E5606" t="n">
        <v>10</v>
      </c>
      <c r="F5606">
        <f>HYPERLINK("https://www.reddit.com/r/GERD/comments/fd7r7y/need_some_had_advice_for_my_12_yr_old_with_reflux/")</f>
        <v/>
      </c>
      <c r="G5606" t="inlineStr">
        <is>
          <t>2020-03-03 20:39:07</t>
        </is>
      </c>
      <c r="H5606" t="inlineStr"/>
    </row>
    <row r="5607">
      <c r="A5607" t="inlineStr">
        <is>
          <t>fd8v9q</t>
        </is>
      </c>
      <c r="B5607" t="inlineStr">
        <is>
          <t>I want to give up</t>
        </is>
      </c>
      <c r="C5607" t="inlineStr">
        <is>
          <t>I should have listened and not eaten so badly. Why did I decide to travel against my parents’ wish and cause this upon myself. I wish I had never caused so much damage to my stomach. I wish I never had the endoscopy, because it ended up causing pain in my chest that even my doctor ignored and made up an excuse. He just gave me PPIs and expects that to cure everything. Instead, it ended up giving me migraines and making me dizzy. My stomach burns all the time now and I’m scared I’ve given myself permanent stomach damage. I don’t know if I can even see another doctor anymore because of my insurance blocking my medication. I feel like I’m living in hell every day. I feel like dying is the only thing that’s left if I have to live with constant pain. I don’t know what to do anymore. Someone save me.</t>
        </is>
      </c>
      <c r="D5607" t="n">
        <v>1</v>
      </c>
      <c r="E5607" t="n">
        <v>28</v>
      </c>
      <c r="F5607">
        <f>HYPERLINK("https://www.reddit.com/r/GERD/comments/fd8v9q/i_want_to_give_up/")</f>
        <v/>
      </c>
      <c r="G5607" t="inlineStr">
        <is>
          <t>2020-03-03 22:20:18</t>
        </is>
      </c>
      <c r="H5607" t="inlineStr"/>
    </row>
    <row r="5608">
      <c r="A5608" t="inlineStr">
        <is>
          <t>fd9plz</t>
        </is>
      </c>
      <c r="B5608" t="inlineStr">
        <is>
          <t>Functional medicine</t>
        </is>
      </c>
      <c r="C5608" t="inlineStr">
        <is>
          <t>Anyone tried this approach? I'm up for some pseudoscience after many failed GI's.
If you did, what was the treatment?</t>
        </is>
      </c>
      <c r="D5608" t="n">
        <v>1</v>
      </c>
      <c r="E5608" t="n">
        <v>1</v>
      </c>
      <c r="F5608">
        <f>HYPERLINK("https://www.reddit.com/r/GERD/comments/fd9plz/functional_medicine/")</f>
        <v/>
      </c>
      <c r="G5608" t="inlineStr">
        <is>
          <t>2020-03-03 23:47:06</t>
        </is>
      </c>
      <c r="H5608" t="inlineStr"/>
    </row>
    <row r="5609">
      <c r="A5609" t="inlineStr">
        <is>
          <t>fdarz0</t>
        </is>
      </c>
      <c r="B5609" t="inlineStr">
        <is>
          <t>Tried Gastricell thought it was a scam but actually works</t>
        </is>
      </c>
      <c r="C5609" t="inlineStr">
        <is>
          <t>YO, so I've been trying gastricell for about 2 months now going into my 3rd month. I'm not saying it completely cured my heartburn because I still get it but this shit is worth a try. I can eat a lot of foods that usually gave me triggers now with none. I still stay away from tomatoes, caffeine, and other direct triggers. But like fried chicken, I can eat as long as it's not spicy. I wanted to see if anyone else had experiences with this product?</t>
        </is>
      </c>
      <c r="D5609" t="n">
        <v>1</v>
      </c>
      <c r="E5609" t="n">
        <v>17</v>
      </c>
      <c r="F5609">
        <f>HYPERLINK("https://www.reddit.com/r/GERD/comments/fdarz0/tried_gastricell_thought_it_was_a_scam_but/")</f>
        <v/>
      </c>
      <c r="G5609" t="inlineStr">
        <is>
          <t>2020-03-04 01:50:25</t>
        </is>
      </c>
      <c r="H5609" t="inlineStr"/>
    </row>
    <row r="5610">
      <c r="A5610" t="inlineStr">
        <is>
          <t>fdb6v6</t>
        </is>
      </c>
      <c r="B5610" t="inlineStr">
        <is>
          <t>Just curious, has anyone tried medical marijuana to help with their condition? I have GERD and I was curious how other people work it. Thanks</t>
        </is>
      </c>
      <c r="C5610" t="inlineStr">
        <is>
          <t>I just find that my stomach pain immediately goes away, nausea associated with it is gone, and I am actually motivated to eat.  This is just me I read the opposite can happen I was curious your experiences.</t>
        </is>
      </c>
      <c r="D5610" t="n">
        <v>1</v>
      </c>
      <c r="E5610" t="n">
        <v>8</v>
      </c>
      <c r="F5610">
        <f>HYPERLINK("https://www.reddit.com/r/GERD/comments/fdb6v6/just_curious_has_anyone_tried_medical_marijuana/")</f>
        <v/>
      </c>
      <c r="G5610" t="inlineStr">
        <is>
          <t>2020-03-04 02:37:08</t>
        </is>
      </c>
      <c r="H5610" t="inlineStr"/>
    </row>
    <row r="5611">
      <c r="A5611" t="inlineStr">
        <is>
          <t>fdc5at</t>
        </is>
      </c>
      <c r="B5611" t="inlineStr">
        <is>
          <t>So damn frustrated!</t>
        </is>
      </c>
      <c r="C5611" t="inlineStr">
        <is>
          <t>Hello, all!
A few months ago, I went and had the dreaded Endoscopy and....nothing! I was given the all-clear. During this procedure, I also had my esophagus dilated and lemme tell you... that shit rocks.
Not really being able to swallow smoothly for months followed by an open passageway? *Hell yes*.
Anyway...
The reason I'm here is because of this persistent symptom I'm having and I just want to know what y'all think about it.
During a couple of days over the past week and a half, whenever I swallow something solid like bread of meat, I experience this kind of sharp, almost muscular pain in my right breast. It feels like it starts at the right edge of my breastboke but then radiates into my breast itself. It's not a terrible or intense pain, but it is definitely noticeable.
What do y'all think?</t>
        </is>
      </c>
      <c r="D5611" t="n">
        <v>1</v>
      </c>
      <c r="E5611" t="n">
        <v>2</v>
      </c>
      <c r="F5611">
        <f>HYPERLINK("https://www.reddit.com/r/GERD/comments/fdc5at/so_damn_frustrated/")</f>
        <v/>
      </c>
      <c r="G5611" t="inlineStr">
        <is>
          <t>2020-03-04 04:15:59</t>
        </is>
      </c>
      <c r="H5611" t="inlineStr"/>
    </row>
    <row r="5612">
      <c r="A5612" t="inlineStr">
        <is>
          <t>fdchh6</t>
        </is>
      </c>
      <c r="B5612" t="inlineStr">
        <is>
          <t>Dysphagia the main symptom of my reflux...</t>
        </is>
      </c>
      <c r="C5612" t="inlineStr">
        <is>
          <t>I have been suffering with what i assume is reflux for months now..
My constant symptom is a feeling of fullness in my throat, just behind my Adams apple. However the really bad symptom is not being able to swallow.
This comes and goes but when it's bad I can barely even swallow water. 
Anyone else suffer with this as the main symptom?</t>
        </is>
      </c>
      <c r="D5612" t="n">
        <v>1</v>
      </c>
      <c r="E5612" t="n">
        <v>4</v>
      </c>
      <c r="F5612">
        <f>HYPERLINK("https://www.reddit.com/r/GERD/comments/fdchh6/dysphagia_the_main_symptom_of_my_reflux/")</f>
        <v/>
      </c>
      <c r="G5612" t="inlineStr">
        <is>
          <t>2020-03-04 04:45:44</t>
        </is>
      </c>
      <c r="H5612" t="inlineStr"/>
    </row>
    <row r="5613">
      <c r="A5613" t="inlineStr">
        <is>
          <t>fdcssu</t>
        </is>
      </c>
      <c r="B5613" t="inlineStr">
        <is>
          <t>I Suspect I Have LPR After a Cold</t>
        </is>
      </c>
      <c r="C5613" t="inlineStr">
        <is>
          <t>I suspect this due to a few things. First off I have a Hiatal Hernia. The hernia gives me acid reflux only when I overeat or I drink lots of soda. But the other thing that makes me suspect LPR, is after reading more about it, I have had one symptom for the past many years, and that's clearing my throat when I eat. 
Anyways to start, I had Pneumonia awhile back and the medications messed up my stomach. I decided to go beyond my better judgement and overeat with some friends. After this I got a sinus cold with voice loss and know its from the bad acid reflux. My voice came back in a couple days, and now that I am not coughing as much, its not hoarse anymore. Now before I go further I should explain that I figured out overeating caused my acid reflux to flare up back in my late teens as I started putting two and two together. But anytime I did this, it would go away in a week. This time though.... its not going away, its been 3 weeks. This time I have had such bad post nasal drip that I coughed all night and barely got any sleep for 4 days. During the first and worst coughing fit, I definitely felt the sour taste which is acid reflux. After this I took zantac I had leftover, and didn't feel the acid reflux when coughing. During this time I would cough out lots of white, sticky, thick mucus in the mornings. And on my last cough to get everything out, I would cough up yellow stuff which I am sure is bile, due to the color and taste in my mouth. After this, a friend who has sinus problems told me about sinus rinse and that seemed to do the trick for most of my symptoms anyways. I have been off the rinse now for a couple days, and hasn't gotten bad but I have to clear my throat all the time. And if I do it too much, when I start talking a lot, I will go into a coughing fit for a couple minutes. So I think my throat has taken quite a beating, but its not sore if I stay hydrated.
On top of that I have been stressing myself going down the Rabbit Hole of google trying to figure out what I have. I don't have a family doctor cause I moved a few years ago and rarely get sick, but after recovering from Pneumonia and getting whatever this is, it was about time I get one. But since I can't get a spot until beginning of April as existing patients come first, I thought I would come here. Also I know doctors aren't knowledgeable anyways when it comes to LPR, and I would suspect more so in the province I live in Canada, as we have some shitty doctors. I am 99% certain I will be using a doctor strictly only for getting tests.</t>
        </is>
      </c>
      <c r="D5613" t="n">
        <v>1</v>
      </c>
      <c r="E5613" t="n">
        <v>0</v>
      </c>
      <c r="F5613">
        <f>HYPERLINK("https://www.reddit.com/r/GERD/comments/fdcssu/i_suspect_i_have_lpr_after_a_cold/")</f>
        <v/>
      </c>
      <c r="G5613" t="inlineStr">
        <is>
          <t>2020-03-04 05:12:01</t>
        </is>
      </c>
      <c r="H5613" t="inlineStr"/>
    </row>
    <row r="5614">
      <c r="A5614" t="inlineStr">
        <is>
          <t>fdczcw</t>
        </is>
      </c>
      <c r="B5614" t="inlineStr">
        <is>
          <t>GERD Diet</t>
        </is>
      </c>
      <c r="C5614" t="inlineStr">
        <is>
          <t>Anyone here on some sort of GERD diet they’d like to share? What to eat, what not to eat, meal ideas, etc. Every time I look for answers they are all pretty conflicting with each other. My Dr. didn’t give me much insight on it either. But I feel like every thing I eat triggers it. I don’t want to feel like this anymore.</t>
        </is>
      </c>
      <c r="D5614" t="n">
        <v>1</v>
      </c>
      <c r="E5614" t="n">
        <v>8</v>
      </c>
      <c r="F5614">
        <f>HYPERLINK("https://www.reddit.com/r/GERD/comments/fdczcw/gerd_diet/")</f>
        <v/>
      </c>
      <c r="G5614" t="inlineStr">
        <is>
          <t>2020-03-04 05:27:05</t>
        </is>
      </c>
      <c r="H5614" t="inlineStr"/>
    </row>
    <row r="5615">
      <c r="A5615" t="inlineStr">
        <is>
          <t>fdeupt</t>
        </is>
      </c>
      <c r="B5615" t="inlineStr">
        <is>
          <t>Your experiences with throat mucus?</t>
        </is>
      </c>
      <c r="C5615" t="inlineStr">
        <is>
          <t>Curious about how others experience this. Mine is non-existent when I wake up but then sort of turns on about an hour after waking and seems to run all day.  I'm trying to figure out if this is actually related to my GERD or not as it only started recently and I haven't had any other GERD or LPR-like symptoms. I'm worried I may have some other issue that my doctors are not investigating correctly because of the assumption it must be LPR related. Does this sound typical?</t>
        </is>
      </c>
      <c r="D5615" t="n">
        <v>1</v>
      </c>
      <c r="E5615" t="n">
        <v>3</v>
      </c>
      <c r="F5615">
        <f>HYPERLINK("https://www.reddit.com/r/GERD/comments/fdeupt/your_experiences_with_throat_mucus/")</f>
        <v/>
      </c>
      <c r="G5615" t="inlineStr">
        <is>
          <t>2020-03-04 07:46:57</t>
        </is>
      </c>
      <c r="H5615" t="inlineStr"/>
    </row>
    <row r="5616">
      <c r="A5616" t="inlineStr">
        <is>
          <t>fdexgt</t>
        </is>
      </c>
      <c r="B5616" t="inlineStr">
        <is>
          <t>Weak LES valve- what treatment?</t>
        </is>
      </c>
      <c r="C5616" t="inlineStr">
        <is>
          <t>I’ve just done the swallow test with a camera and am now sat here with the 24h ph monitoring test attached to my face.
During the swallow test the doctor said that my LES was very weak. They have to analyse the test in full obviously but the LES issue was obvious. I’m not really sure what options are available to treat that if that’s the main issue! Anyone any ideas? 
Will obviously discuss with the consultant in a month or so once all results are in but I’m hoping someone here might know what routes are available?
Makes me feel less worried :)</t>
        </is>
      </c>
      <c r="D5616" t="n">
        <v>1</v>
      </c>
      <c r="E5616" t="n">
        <v>12</v>
      </c>
      <c r="F5616">
        <f>HYPERLINK("https://www.reddit.com/r/GERD/comments/fdexgt/weak_les_valve_what_treatment/")</f>
        <v/>
      </c>
      <c r="G5616" t="inlineStr">
        <is>
          <t>2020-03-04 07:52:02</t>
        </is>
      </c>
      <c r="H5616" t="inlineStr"/>
    </row>
    <row r="5617">
      <c r="A5617" t="inlineStr">
        <is>
          <t>fdf5r4</t>
        </is>
      </c>
      <c r="B5617" t="inlineStr">
        <is>
          <t>Reflux rumbles</t>
        </is>
      </c>
      <c r="C5617" t="inlineStr">
        <is>
          <t>How about those random stomach /chest rumbles with gerd ?  They suck</t>
        </is>
      </c>
      <c r="D5617" t="n">
        <v>1</v>
      </c>
      <c r="E5617" t="n">
        <v>9</v>
      </c>
      <c r="F5617">
        <f>HYPERLINK("https://www.reddit.com/r/GERD/comments/fdf5r4/reflux_rumbles/")</f>
        <v/>
      </c>
      <c r="G5617" t="inlineStr">
        <is>
          <t>2020-03-04 08:07:13</t>
        </is>
      </c>
      <c r="H5617" t="inlineStr"/>
    </row>
    <row r="5618">
      <c r="A5618" t="inlineStr">
        <is>
          <t>fdfad6</t>
        </is>
      </c>
      <c r="B5618" t="inlineStr">
        <is>
          <t>No More Flare Ups</t>
        </is>
      </c>
      <c r="C5618" t="inlineStr">
        <is>
          <t>Hey everyone, I hope your having a great start to the week with less flare ups &amp;amp; more time enjoying your life! During a specific time in my life that wasn’t the case for me, but I was able to overcome it! If you have any questions how I did it, feel free to send me a dm!</t>
        </is>
      </c>
      <c r="D5618" t="n">
        <v>1</v>
      </c>
      <c r="E5618" t="n">
        <v>1</v>
      </c>
      <c r="F5618">
        <f>HYPERLINK("https://www.reddit.com/r/GERD/comments/fdfad6/no_more_flare_ups/")</f>
        <v/>
      </c>
      <c r="G5618" t="inlineStr">
        <is>
          <t>2020-03-04 08:15:24</t>
        </is>
      </c>
      <c r="H5618" t="inlineStr"/>
    </row>
    <row r="5619">
      <c r="A5619" t="inlineStr">
        <is>
          <t>fdgh90</t>
        </is>
      </c>
      <c r="B5619" t="inlineStr">
        <is>
          <t>I'm resisting chocolate right now and it feels shitty but also amazing at the same time!!!</t>
        </is>
      </c>
      <c r="C5619" t="inlineStr">
        <is>
          <t>Trying to maintain a clean diet to avoid any throat irritation (apparently I have LPR but honestly I'm not sure, all I know is I have a ton of phlegm all the time and my throat gets red and irritated when I drink coffee and eat chocolate, cough when I eat stuff, etc)
Anyway, sitting next to a bunch of beautiful chocolate croissants from Panera and I'm resisting. Just wanted to share incase anyone else was struggling and needed motivation</t>
        </is>
      </c>
      <c r="D5619" t="n">
        <v>1</v>
      </c>
      <c r="E5619" t="n">
        <v>3</v>
      </c>
      <c r="F5619">
        <f>HYPERLINK("https://www.reddit.com/r/GERD/comments/fdgh90/im_resisting_chocolate_right_now_and_it_feels/")</f>
        <v/>
      </c>
      <c r="G5619" t="inlineStr">
        <is>
          <t>2020-03-04 09:33:23</t>
        </is>
      </c>
      <c r="H5619" t="inlineStr"/>
    </row>
    <row r="5620">
      <c r="A5620" t="inlineStr">
        <is>
          <t>fdh5vy</t>
        </is>
      </c>
      <c r="B5620" t="inlineStr">
        <is>
          <t>Good news!!! Just had my upper endoscopy today!</t>
        </is>
      </c>
      <c r="C5620" t="inlineStr">
        <is>
          <t>Turns out I don’t even have GERD! Apparently some portion of my chest is inflamed. My mom was talking to my doc and he said that it was drug related, considering I don’t drink often and don’t take hard drugs the only other option would be my vaping habits. Quitting tomorrow. If you vape stop immediately. This entire process has given me so much anxiety and I am so relieved to find out that this is the problem. Goodluck to all of you! I’m outta this sub</t>
        </is>
      </c>
      <c r="D5620" t="n">
        <v>1</v>
      </c>
      <c r="E5620" t="n">
        <v>7</v>
      </c>
      <c r="F5620">
        <f>HYPERLINK("https://www.reddit.com/r/GERD/comments/fdh5vy/good_news_just_had_my_upper_endoscopy_today/")</f>
        <v/>
      </c>
      <c r="G5620" t="inlineStr">
        <is>
          <t>2020-03-04 10:17:08</t>
        </is>
      </c>
      <c r="H5620" t="inlineStr"/>
    </row>
    <row r="5621">
      <c r="A5621" t="inlineStr">
        <is>
          <t>fdjzke</t>
        </is>
      </c>
      <c r="B5621" t="inlineStr">
        <is>
          <t>Ppi causing hair loss</t>
        </is>
      </c>
      <c r="C5621" t="inlineStr">
        <is>
          <t>Hi ive been on lansoprazole for two months and have noticed hair shedding every time I touch it. Its quite alot at a time and quite worrying. Ive read that it can be a side effect but im wondering if anyone has had a similar experience and if it stopped? Will it stop if I discontinue taking the medication? Also is this alopecia? 
Thank you</t>
        </is>
      </c>
      <c r="D5621" t="n">
        <v>1</v>
      </c>
      <c r="E5621" t="n">
        <v>6</v>
      </c>
      <c r="F5621">
        <f>HYPERLINK("https://www.reddit.com/r/GERD/comments/fdjzke/ppi_causing_hair_loss/")</f>
        <v/>
      </c>
      <c r="G5621" t="inlineStr">
        <is>
          <t>2020-03-04 13:21:15</t>
        </is>
      </c>
      <c r="H5621" t="inlineStr"/>
    </row>
    <row r="5622">
      <c r="A5622" t="inlineStr">
        <is>
          <t>fdksoi</t>
        </is>
      </c>
      <c r="B5622" t="inlineStr">
        <is>
          <t>Perhaps a stupid question. Hi</t>
        </is>
      </c>
      <c r="C5622" t="inlineStr">
        <is>
          <t>Hi all,
I made a burner account so please ignore my account age. About a week ago I went to an ENT who said I had acid reflux after giving me a quick scope, and he put me on Pantoprazole 40mg for a month. I had gone originally because I got the flu back in January and still have had a lingering post nasal drip feeling. Not completely unreasonable as I’m on some mild immunosuppressants. That’s really been my only symptom besides some very mild and sporadic chest discomfort. By the accounts I’ve read, my symptoms sort of mirror LPR symptoms, but they have been extremely mild. Never had any of this sort of thing before. Now, here comes the stupid part. About an hour before my appointment, right after I had woken up, I vomited. Not because of any nausea or anything, I simply felt the “post nasal drip” built up after sleeping, and tried to cough it up, and coughed myself into a fit. I get pretty bad anxiety and I was frustrated and I sorta just... stress hacked my way to vomiting the nothing that was in my stomach. Probably should have occurred to me to ask at the time, but I was expecting worse news from the doctor and felt a sense of relief when he said reflux (that relief turned to panic btw when I looked into it myself after the appointment). My question is... could that vomiting session have influenced the diagnosis in any appreciable way? Thank you for any input!</t>
        </is>
      </c>
      <c r="D5622" t="n">
        <v>1</v>
      </c>
      <c r="E5622" t="n">
        <v>1</v>
      </c>
      <c r="F5622">
        <f>HYPERLINK("https://www.reddit.com/r/GERD/comments/fdksoi/perhaps_a_stupid_question_hi/")</f>
        <v/>
      </c>
      <c r="G5622" t="inlineStr">
        <is>
          <t>2020-03-04 14:13:17</t>
        </is>
      </c>
      <c r="H5622" t="inlineStr"/>
    </row>
    <row r="5623">
      <c r="A5623" t="inlineStr">
        <is>
          <t>fdlxtw</t>
        </is>
      </c>
      <c r="B5623" t="inlineStr">
        <is>
          <t>Cured my acid reflux with intermittent fasting.</t>
        </is>
      </c>
      <c r="C5623" t="inlineStr">
        <is>
          <t>See the fasting subreddit or [https://www.youtube.com/watch?v=VIhhrYjVhOk](https://www.youtube.com/watch?v=VIhhrYjVhOk) ; download the app "Zero" and do 16:8 or 18:6 fasting.
Do this, only eat until you're satiated (I eat 1500 cals or less), cut out all sugars and carbohydrates. Break your fast with a small salad and one to two teaspoons of apple cider vinegar. **No snacking between meals.** Try for two meals in your 6 or 8 hour eating window (at the start and end). Drink lots of water (your urine should be clear). With this window of fasting you should begin to lose some weight and also feel more energized - the hunger will come in waves, just ride through it by drinking water.</t>
        </is>
      </c>
      <c r="D5623" t="n">
        <v>2</v>
      </c>
      <c r="E5623" t="n">
        <v>4</v>
      </c>
      <c r="F5623">
        <f>HYPERLINK("https://www.reddit.com/r/GERD/comments/fdlxtw/cured_my_acid_reflux_with_intermittent_fasting/")</f>
        <v/>
      </c>
      <c r="G5623" t="inlineStr">
        <is>
          <t>2020-03-04 15:30:16</t>
        </is>
      </c>
      <c r="H5623" t="inlineStr"/>
    </row>
    <row r="5624">
      <c r="A5624" t="inlineStr">
        <is>
          <t>fdngiz</t>
        </is>
      </c>
      <c r="B5624" t="inlineStr">
        <is>
          <t>Epigastric discomforting , need advice</t>
        </is>
      </c>
      <c r="C5624" t="inlineStr">
        <is>
          <t>I have been struggling with digestive issues for over a year consistently. I finally got insurance and was able to see a PCP and a GI. My PCP found an enlarged spleen and fatty liver. The GI put me on 40 mg of pantroprazole daily. 
My first GI visit was waiting three months to see how I did on ppi. I saw a minor improvement when I added good belly shots (probiotics) to where my Epigastric region wasn’t hurting all day with/without food but only when I ate.
Since I saw even the slightest improvements and did a fecal exam for h pylori and blood in stool (all negative), she didn’t want to rush to an EDG. I asked about a barium swallow for piece of mind and she said if I had the slightest concern she would just go straight to EDG and barium test was mainly for issues with swallowing.
Needless to say I’m waiting another four months to see how I am progressing and I’m still feeling the same.
Epigastric pain; pulling, tightening, discomfort 
Upper abdominal pain; sometimes above liver sometimes above stomach
Occasional chest pain, palpitations
Constipation (normal for me but seems exaggerated)
Bloating to where I feel short of breath
Anyone going through the same thing?
Anything help you?
What was your diagnosis?</t>
        </is>
      </c>
      <c r="D5624" t="n">
        <v>1</v>
      </c>
      <c r="E5624" t="n">
        <v>1</v>
      </c>
      <c r="F5624">
        <f>HYPERLINK("https://www.reddit.com/r/GERD/comments/fdngiz/epigastric_discomforting_need_advice/")</f>
        <v/>
      </c>
      <c r="G5624" t="inlineStr">
        <is>
          <t>2020-03-04 17:22:59</t>
        </is>
      </c>
      <c r="H5624" t="inlineStr"/>
    </row>
    <row r="5625">
      <c r="A5625" t="inlineStr">
        <is>
          <t>fdnkn0</t>
        </is>
      </c>
      <c r="B5625" t="inlineStr">
        <is>
          <t>How do I fix GERD?</t>
        </is>
      </c>
      <c r="C5625" t="inlineStr">
        <is>
          <t>Hello I've been suffering from post nasal drip, bad breath and acid reflux for 3 years now. My family doctor thought post nasal drip (PND) was caused by allergies so I went and I got tested and I've been taking allergy shots for 3 years now. This hasnt helped at all but I've been doing it just cause. Oh btw I'm 20M. I recently discovered GERD and I think I have it. Every time I eat I have heart burn and it seems it especially worse after I eat bread. 
I'm planning on going to see my family doctor again in a few months and I'm gonna ask her to do a test for GERD. Whats the best things that I can do to get rid of this by myself? I've looked around and it seems that there is a pretty harmless LYNX surgery that people are doing which helps. Is the best way or are there other solutions which are less intrusive. btw I live in Canada so maybe if I do have GERD and I end up wanting to do the surgery it might be covered but idk. Anyways, what should I do? 
Thank you</t>
        </is>
      </c>
      <c r="D5625" t="n">
        <v>1</v>
      </c>
      <c r="E5625" t="n">
        <v>15</v>
      </c>
      <c r="F5625">
        <f>HYPERLINK("https://www.reddit.com/r/GERD/comments/fdnkn0/how_do_i_fix_gerd/")</f>
        <v/>
      </c>
      <c r="G5625" t="inlineStr">
        <is>
          <t>2020-03-04 17:31:37</t>
        </is>
      </c>
      <c r="H5625" t="inlineStr"/>
    </row>
    <row r="5626">
      <c r="A5626" t="inlineStr">
        <is>
          <t>fdo7sz</t>
        </is>
      </c>
      <c r="B5626" t="inlineStr">
        <is>
          <t>TIF Procedure VS LINX Surgery</t>
        </is>
      </c>
      <c r="C5626" t="inlineStr">
        <is>
          <t>After what seems like years of research I've came to the conclusion that these two are the least invasive procedures with the former (TIF) being the least invasive. 
There is one scenario where you'd obviously want to choose TIF with there being no hiatial hernia present and then where is a hernia greater than 2cm doing a hernia repair laparoscopically with a TIF.
If there is a hiatial hernia you can also do the LINX since they are both laparoscopic procedures. 
The TIF is an incisionless endoscopic procedure that closely emulates and resonates a nissen-fundo whereas the linx plays metal/titanium into the body.
The goal is to learn from this subreddit, their experiences with either procedure and what they consider to the be superior procedure / pathway (procedurally with and without the hernia repair)
I'm heavily leaning towards TIF and am still doing my tests but would like to know to influence my own decision of what path to take forward.</t>
        </is>
      </c>
      <c r="D5626" t="n">
        <v>1</v>
      </c>
      <c r="E5626" t="n">
        <v>3</v>
      </c>
      <c r="F5626">
        <f>HYPERLINK("https://www.reddit.com/r/GERD/comments/fdo7sz/tif_procedure_vs_linx_surgery/")</f>
        <v/>
      </c>
      <c r="G5626" t="inlineStr">
        <is>
          <t>2020-03-04 18:20:15</t>
        </is>
      </c>
      <c r="H5626" t="inlineStr"/>
    </row>
    <row r="5627">
      <c r="A5627" t="inlineStr">
        <is>
          <t>fdobh4</t>
        </is>
      </c>
      <c r="B5627" t="inlineStr">
        <is>
          <t>H pylori resistance and next steps?</t>
        </is>
      </c>
      <c r="C5627" t="inlineStr">
        <is>
          <t>I'm posting here because /hpylori has denied me access to posting and I cannot figure out why. 
My post:
I have gone through 6 fail treatments, all of which have been customized for my infection, (cultured and what not), and even a biopsy sent to Mayo Clinic!
I took the most recent H pylori treatment, Rifabutin, omeprazole, and amox for 10 days. What are my next steps?  My doctor still has me take omeprazole daily to suppress H pylori. But are there any new FDA approved treatments in America?  What are the long term effects of taking omeprazole to suppress H pylori? 
What's next? I'm upset because I've had this so long, a reddit H pylori group blocked me because I used the F word (I think) and I feel like I'm not getting anywhere. Please help me!</t>
        </is>
      </c>
      <c r="D5627" t="n">
        <v>1</v>
      </c>
      <c r="E5627" t="n">
        <v>4</v>
      </c>
      <c r="F5627">
        <f>HYPERLINK("https://www.reddit.com/r/GERD/comments/fdobh4/h_pylori_resistance_and_next_steps/")</f>
        <v/>
      </c>
      <c r="G5627" t="inlineStr">
        <is>
          <t>2020-03-04 18:28:02</t>
        </is>
      </c>
      <c r="H5627" t="inlineStr"/>
    </row>
    <row r="5628">
      <c r="A5628" t="inlineStr">
        <is>
          <t>fdq4bg</t>
        </is>
      </c>
      <c r="B5628" t="inlineStr">
        <is>
          <t>Success!!!!</t>
        </is>
      </c>
      <c r="C5628" t="inlineStr">
        <is>
          <t>Hey guys since the past few months I’ve been screwed in terms of indigestion, nausea, vomiting and a burning stomach but finally. After forcing my dad to take me for an endoscopy I finally got it done. It turns out I had pretty serious H Pylori. Doctors said I didn’t even have many of the symptoms before I got the endoscopy and just ruled it off as acidity. 
I’m no on antibiotics for two weeks and it’s just past seven days and I already feel much better.
This page has helped me through some tough times!</t>
        </is>
      </c>
      <c r="D5628" t="n">
        <v>1</v>
      </c>
      <c r="E5628" t="n">
        <v>7</v>
      </c>
      <c r="F5628">
        <f>HYPERLINK("https://www.reddit.com/r/GERD/comments/fdq4bg/success/")</f>
        <v/>
      </c>
      <c r="G5628" t="inlineStr">
        <is>
          <t>2020-03-04 20:51:50</t>
        </is>
      </c>
      <c r="H5628" t="inlineStr"/>
    </row>
    <row r="5629">
      <c r="A5629" t="inlineStr">
        <is>
          <t>fdqhqv</t>
        </is>
      </c>
      <c r="B5629" t="inlineStr">
        <is>
          <t>PSA: take Wellbutrin with/after food.</t>
        </is>
      </c>
      <c r="C5629" t="inlineStr">
        <is>
          <t>This may have been posted before but I’ve had intensifying GERD issues for the last year or so. Increased my omeprazole to two pills (OTC) a day and still had problems. My primary had no advice besides further diet restrictions.
Then I stumbled on someone saying their bupropion caused them trouble and suddenly a light bulb went off: I’ve been taking it first thing in the morning, about 30 min before eating! After switching to after breakfast my problems reduced dramatically. Back to only one omeprazole per day and can eat chocolate again!</t>
        </is>
      </c>
      <c r="D5629" t="n">
        <v>1</v>
      </c>
      <c r="E5629" t="n">
        <v>2</v>
      </c>
      <c r="F5629">
        <f>HYPERLINK("https://www.reddit.com/r/GERD/comments/fdqhqv/psa_take_wellbutrin_withafter_food/")</f>
        <v/>
      </c>
      <c r="G5629" t="inlineStr">
        <is>
          <t>2020-03-04 21:24:26</t>
        </is>
      </c>
      <c r="H5629" t="inlineStr"/>
    </row>
    <row r="5630">
      <c r="A5630" t="inlineStr">
        <is>
          <t>fdqmi5</t>
        </is>
      </c>
      <c r="B5630" t="inlineStr">
        <is>
          <t>Robinul/glycopyrrolate for water brash?</t>
        </is>
      </c>
      <c r="C5630" t="inlineStr">
        <is>
          <t>Has anyone tried Robinul or glycopyrrolate for water brash? I think I’m going to go crazy over the amount of saliva that’s coming up in my mouth every single minute, every day without no sign of it stopping. I’ve taken PPIs, changing my diet, drinking more water, taking natural supplements. And nothing is working. My other symptoms like a burning stomach, nausea, silent burps in throat, and chest pain can all be avoided if I eat a healthy diet but there’s literally nothing that can stop my saliva. I think I need to talk to a new doctor about this because all the other ones have been dismissive.</t>
        </is>
      </c>
      <c r="D5630" t="n">
        <v>1</v>
      </c>
      <c r="E5630" t="n">
        <v>5</v>
      </c>
      <c r="F5630">
        <f>HYPERLINK("https://www.reddit.com/r/GERD/comments/fdqmi5/robinulglycopyrrolate_for_water_brash/")</f>
        <v/>
      </c>
      <c r="G5630" t="inlineStr">
        <is>
          <t>2020-03-04 21:36:07</t>
        </is>
      </c>
      <c r="H5630" t="inlineStr"/>
    </row>
    <row r="5631">
      <c r="A5631" t="inlineStr">
        <is>
          <t>fds1v5</t>
        </is>
      </c>
      <c r="B5631" t="inlineStr">
        <is>
          <t>No kitchen for now, what to eat?</t>
        </is>
      </c>
      <c r="C5631" t="inlineStr">
        <is>
          <t>I realize diet is pretty important for trying to fix this issue.
I don’t have a kitchen currently though I do have a microwave, what can I buy to have a good diet for this?</t>
        </is>
      </c>
      <c r="D5631" t="n">
        <v>1</v>
      </c>
      <c r="E5631" t="n">
        <v>3</v>
      </c>
      <c r="F5631">
        <f>HYPERLINK("https://www.reddit.com/r/GERD/comments/fds1v5/no_kitchen_for_now_what_to_eat/")</f>
        <v/>
      </c>
      <c r="G5631" t="inlineStr">
        <is>
          <t>2020-03-04 23:59:41</t>
        </is>
      </c>
      <c r="H5631" t="inlineStr"/>
    </row>
    <row r="5632">
      <c r="A5632" t="inlineStr">
        <is>
          <t>fdszn7</t>
        </is>
      </c>
      <c r="B5632" t="inlineStr">
        <is>
          <t>Can endoscopy miss something ?</t>
        </is>
      </c>
      <c r="C5632" t="inlineStr">
        <is>
          <t>Hi, I was laywing down in my bed for years and for at least 12  hours a day  , one day I was even caughing blood after eating for 1 week
I  was drinking 1  bottle of soda a day and had high fat diet
1 week ago I experienced sudden dyspepsia,it was  so severe that i've been sent to emergency for endoscopy
Endoscopy showed esophagitis and mild gastritis , biopsies have been done on esophagus and stomach  and showed nothing wrong
I changed my diet and start ppi and feeling way better 
Given the fact that I had extremly deleterious habits,  what is the chance of endoscopy miss something serious ?  i'm really surprised to have a clear endoscopy</t>
        </is>
      </c>
      <c r="D5632" t="n">
        <v>1</v>
      </c>
      <c r="E5632" t="n">
        <v>3</v>
      </c>
      <c r="F5632">
        <f>HYPERLINK("https://www.reddit.com/r/GERD/comments/fdszn7/can_endoscopy_miss_something/")</f>
        <v/>
      </c>
      <c r="G5632" t="inlineStr">
        <is>
          <t>2020-03-05 01:47:59</t>
        </is>
      </c>
      <c r="H5632" t="inlineStr"/>
    </row>
    <row r="5633">
      <c r="A5633" t="inlineStr">
        <is>
          <t>fdvbk8</t>
        </is>
      </c>
      <c r="B5633" t="inlineStr">
        <is>
          <t>Has anyone ever had their throat close up from GERD?</t>
        </is>
      </c>
      <c r="C5633" t="inlineStr">
        <is>
          <t>I’ve been having daily episodes where it feels like stomach acid gets up into my throat and then my throat gets tight or feels like there’s junk in there afterwards. I wasn’t expecting a miracle because I’ve only been on protonix and Pepcid for a few days (not going super well yet, I’m pretty constipated now from them), but I get nervous every time I get a sensation like this that my throat will get so irritated it’ll just close up. When I said this to my doctor, she just kinda laughed and said that doesn’t really happen. Someone put my mind at ease—this wouldn’t happen right?</t>
        </is>
      </c>
      <c r="D5633" t="n">
        <v>1</v>
      </c>
      <c r="E5633" t="n">
        <v>27</v>
      </c>
      <c r="F5633">
        <f>HYPERLINK("https://www.reddit.com/r/GERD/comments/fdvbk8/has_anyone_ever_had_their_throat_close_up_from/")</f>
        <v/>
      </c>
      <c r="G5633" t="inlineStr">
        <is>
          <t>2020-03-05 05:35:01</t>
        </is>
      </c>
      <c r="H5633" t="inlineStr"/>
    </row>
    <row r="5634">
      <c r="A5634" t="inlineStr">
        <is>
          <t>fdxmic</t>
        </is>
      </c>
      <c r="B5634" t="inlineStr">
        <is>
          <t>Chronic Nausea</t>
        </is>
      </c>
      <c r="C5634" t="inlineStr">
        <is>
          <t>Does anyone else have chronic nausea as their main symptom like I have no heartburn, no pain just nausea all the time?
I’m on a PPI for almost a month and a half now I’ve changed my diet to be acid free and low FODMAP and I eat every 3 hours small meals with a 4 hour fast before bed. 
I have emetophobia so it’s very easy not to stray from this at all but I’m still nauseous every single day. I don’t know what I’m doing wrong.</t>
        </is>
      </c>
      <c r="D5634" t="n">
        <v>1</v>
      </c>
      <c r="E5634" t="n">
        <v>9</v>
      </c>
      <c r="F5634">
        <f>HYPERLINK("https://www.reddit.com/r/GERD/comments/fdxmic/chronic_nausea/")</f>
        <v/>
      </c>
      <c r="G5634" t="inlineStr">
        <is>
          <t>2020-03-05 08:20:31</t>
        </is>
      </c>
      <c r="H5634" t="inlineStr"/>
    </row>
    <row r="5635">
      <c r="A5635" t="inlineStr">
        <is>
          <t>fdze29</t>
        </is>
      </c>
      <c r="B5635" t="inlineStr">
        <is>
          <t>prilosec intake</t>
        </is>
      </c>
      <c r="C5635" t="inlineStr">
        <is>
          <t>in july 2018 i was constipated and i tried to increase my fibre and it was fine but then i started suffering a bit from bloating so i was prescribed prilosec/ omeprazole. i've been having it on and off since then and i try all the time to stop. this january i only had it 3 times but in feb i had it for 15 days.
i think its made my bloating worse because i never had issues with any food. it also makes me more anxious. how can i stop taking prilosec because i really dont want those scary long term issues that have been revealed. on the days i don't take it i usually have cardamom which is a natural spice thing which helps with bloating. i have a food diary and i cant eat oranges and rice and some cakes because they make me bloated
i've had blood tests and stool tests its all fine and gaviscon doesn't work
would you consider 1 year 6 months (on and off so its probably just 10 months) a long time on prilosec?
thanks</t>
        </is>
      </c>
      <c r="D5635" t="n">
        <v>1</v>
      </c>
      <c r="E5635" t="n">
        <v>0</v>
      </c>
      <c r="F5635">
        <f>HYPERLINK("https://www.reddit.com/r/GERD/comments/fdze29/prilosec_intake/")</f>
        <v/>
      </c>
      <c r="G5635" t="inlineStr">
        <is>
          <t>2020-03-05 10:14:05</t>
        </is>
      </c>
      <c r="H5635" t="inlineStr"/>
    </row>
    <row r="5636">
      <c r="A5636" t="inlineStr">
        <is>
          <t>fe0967</t>
        </is>
      </c>
      <c r="B5636" t="inlineStr">
        <is>
          <t>My lifelong fight with GERD is finally almost over.</t>
        </is>
      </c>
      <c r="C5636" t="inlineStr">
        <is>
          <t>This is going to be  extremely long, I apologize. I am 21 years old (f) and have had GERD since birth due to a birth defect. 
I was born with a birth defect called Congenital Diaphragmatic Hernia (CDH). Basically what that is is that I was born with a hole in my diaphragm on the left side, and all my organs went into my chest cavity. When I was born I had to have surgery to repair the hole and put everything in place, along with being hooked up to a breathing machine called ECMO. Some of the side effects of CDH are Scoliosis and GERD. When I was very young I had to have a feeding tube inserted because I could not keep anything down, and would throw up everything I would eat. I threw up so much I rotted all of my baby teeth out. Around age 8/9 I began having trouble swallowing food. I would choke so much at school, the school told my family I needed to see a doctor before I would be able to eat at school again. I vividly remember being so embarrassed to eat as a child, because when it would happen everyone knew. I would have to make a scene that I was choking, or I would run to the bathroom to try to get it out of my throat. So I went to the doctor and had a barium swallow. My results showed that I had constant reflux flushing through my esophagus, but no further steps were taken. I was so young, I do not remember there being any pain with the reflux, other than trouble swallowing.
Around age 14 I began feeling the reflux and began taking Ranitidine. I did this for years but as I got older it was worse and worse, especially at night. No matter what steps I took to prevent reflux it was always there. Around 18 I started taking Omeprazole once a day since the Ranitidine wasn’t helping. I started seeing my primary doctor about reflux, all they told me was to elevate my head at night and wouldn’t listen to me, until finally I had my first endoscopy at age 19 and it showed I have Barrett's Esophagus. All they did at this time was up my dosage of Omeprazole from once a day to twice a day. During this time my reflux is living hell. It is there all the time. I have it the worst at night. All throughout the night I cough, and choke on reflux. I wake up gasping for air because I cannot breathe because I am choking. I have a really hard time sleeping, every night no matter what I eat or do not eat. 
So at this point age 20, I decided to see a new primary care doctor since my doctor will not listen to me. I have spent so long explaining that this is not normal reflux. I was born with this. Please connect this to my birth defect. I had a feeding tube, because I threw up everything. I rotted all my teeth out. I choked on food for years. This is not normal. This is not normal reflux. This is GERD. But she refused. I saw my new doctor and he was appalled that I have dealt with this my entire life, and that my previous doctor would not listen to me. He was actually the first doctor to ask me about my teeth (my teeth now are completely healthy and normal, he was asking if i have ever had any dental problems from reflux) and I explained again why I had the feeding tube. This doctor referred me to a new GI doctor to perform another endoscopy. My results from that show a Hiatal Hernia, Barrett's Esophagus and Low Grade Dysplasia. Since then, I have had one procedure called BARRX-HALO which is ablating the Barrett’s in my esophagus so it does not spread. And honestly, it is so so painful. I have another procedure at the end of this month, and will have to have 3 more after this, every three months. 
Finally, this GI doctor said I need to have surgery to repair GERD. So last month, I finally got to meet with the surgeon and set a day. June 3rd, after 21 years I will finally be having this repaired. I have never been so happy. GERD is my personal hell that ruins my life every day. I am constantly nauseous, bloated, experiencing reflux; especially at night. I never thought I would see the day a doctor listens to me and connects the dots of my life. No doctor has ever connected GERD to my birth defect when me and my mother have been trying to explain it for my whole life. I’m just so happy it is finally going to be repaired. I am very very nervous, but I think that’s just because I never expected there to be an end to this. Thank you for reading my life story. I write this to let others know that it can unfortunately be an extremely long process, but keep pushing. It took me several doctors to get someone to listen to me. It shouldn't be that way, but it was for me.
If anyone has any questions, feel free to ask. I have basically been through every medical test and appointment possible regarding GERD.</t>
        </is>
      </c>
      <c r="D5636" t="n">
        <v>1</v>
      </c>
      <c r="E5636" t="n">
        <v>23</v>
      </c>
      <c r="F5636">
        <f>HYPERLINK("https://www.reddit.com/r/GERD/comments/fe0967/my_lifelong_fight_with_gerd_is_finally_almost_over/")</f>
        <v/>
      </c>
      <c r="G5636" t="inlineStr">
        <is>
          <t>2020-03-05 11:09:55</t>
        </is>
      </c>
      <c r="H5636" t="inlineStr"/>
    </row>
    <row r="5637">
      <c r="A5637" t="inlineStr">
        <is>
          <t>fe19rx</t>
        </is>
      </c>
      <c r="B5637" t="inlineStr">
        <is>
          <t>Ughh hate this stupid disease</t>
        </is>
      </c>
      <c r="C5637" t="inlineStr">
        <is>
          <t>Food intolerances is the worst</t>
        </is>
      </c>
      <c r="D5637" t="n">
        <v>1</v>
      </c>
      <c r="E5637" t="n">
        <v>6</v>
      </c>
      <c r="F5637">
        <f>HYPERLINK("https://www.reddit.com/r/GERD/comments/fe19rx/ughh_hate_this_stupid_disease/")</f>
        <v/>
      </c>
      <c r="G5637" t="inlineStr">
        <is>
          <t>2020-03-05 12:14:43</t>
        </is>
      </c>
      <c r="H5637" t="inlineStr"/>
    </row>
    <row r="5638">
      <c r="A5638" t="inlineStr">
        <is>
          <t>fe1q9y</t>
        </is>
      </c>
      <c r="B5638" t="inlineStr">
        <is>
          <t>Breathing problems?</t>
        </is>
      </c>
      <c r="C5638" t="inlineStr">
        <is>
          <t>Am I the only one with severe gerd and have had issues for close to 2 years with shortness of breath every single day 24/7?
Took probiotics and seemed to help, breathing was 100% clear but improved but just curious, first time finding this subreddit. Gonna go see my doctor soon and maybe solve this? Was taking medication that did absolutely nothing</t>
        </is>
      </c>
      <c r="D5638" t="n">
        <v>1</v>
      </c>
      <c r="E5638" t="n">
        <v>8</v>
      </c>
      <c r="F5638">
        <f>HYPERLINK("https://www.reddit.com/r/GERD/comments/fe1q9y/breathing_problems/")</f>
        <v/>
      </c>
      <c r="G5638" t="inlineStr">
        <is>
          <t>2020-03-05 12:43:13</t>
        </is>
      </c>
      <c r="H5638" t="inlineStr"/>
    </row>
    <row r="5639">
      <c r="A5639" t="inlineStr">
        <is>
          <t>fe2e4m</t>
        </is>
      </c>
      <c r="B5639" t="inlineStr">
        <is>
          <t>Trapped gas</t>
        </is>
      </c>
      <c r="C5639" t="inlineStr">
        <is>
          <t>Man this sucks.  I’ve heard you can get trapped gas in upper chest. Is this true?  If so does it feel pulsating?  Sometimes no pain but mostly like a quick twitch ?</t>
        </is>
      </c>
      <c r="D5639" t="n">
        <v>1</v>
      </c>
      <c r="E5639" t="n">
        <v>1</v>
      </c>
      <c r="F5639">
        <f>HYPERLINK("https://www.reddit.com/r/GERD/comments/fe2e4m/trapped_gas/")</f>
        <v/>
      </c>
      <c r="G5639" t="inlineStr">
        <is>
          <t>2020-03-05 13:24:35</t>
        </is>
      </c>
      <c r="H5639" t="inlineStr"/>
    </row>
    <row r="5640">
      <c r="A5640" t="inlineStr">
        <is>
          <t>fe2onh</t>
        </is>
      </c>
      <c r="B5640" t="inlineStr">
        <is>
          <t>gonna get tested for h pylori tomorrow</t>
        </is>
      </c>
      <c r="C5640" t="inlineStr">
        <is>
          <t>i should have done it earlier, but i kept thinking if i just eat clean enough my problems will resolve themselves....lol nope!
they gonna test my poo! at least now i will know if its h pylori and if it isnt ill try to get an endoscopy and see what we got going on!</t>
        </is>
      </c>
      <c r="D5640" t="n">
        <v>1</v>
      </c>
      <c r="E5640" t="n">
        <v>0</v>
      </c>
      <c r="F5640">
        <f>HYPERLINK("https://www.reddit.com/r/GERD/comments/fe2onh/gonna_get_tested_for_h_pylori_tomorrow/")</f>
        <v/>
      </c>
      <c r="G5640" t="inlineStr">
        <is>
          <t>2020-03-05 13:43:54</t>
        </is>
      </c>
      <c r="H5640" t="inlineStr"/>
    </row>
    <row r="5641">
      <c r="A5641" t="inlineStr">
        <is>
          <t>fe356b</t>
        </is>
      </c>
      <c r="B5641" t="inlineStr">
        <is>
          <t>Surgery, when are you eligible?</t>
        </is>
      </c>
      <c r="C5641" t="inlineStr">
        <is>
          <t>Hello everyone. Let’s say hypothetically my LES is shot or what have you, I give up many foods and caffeine and it kind of works, but I have to maintain those strict standards forever. I would rather get surgery. It’s not as if I eat a bad diet or consume anything in excess anymore, or want to do that, I simply find it very personally depressing to be a “no caffeine no alcohol no this no that person” on top of my mental Health and general life struggles. Are docs/insurance pretty resistant to give surgery? How likely is it it that you can have surgery if you want it?</t>
        </is>
      </c>
      <c r="D5641" t="n">
        <v>1</v>
      </c>
      <c r="E5641" t="n">
        <v>3</v>
      </c>
      <c r="F5641">
        <f>HYPERLINK("https://www.reddit.com/r/GERD/comments/fe356b/surgery_when_are_you_eligible/")</f>
        <v/>
      </c>
      <c r="G5641" t="inlineStr">
        <is>
          <t>2020-03-05 14:13:25</t>
        </is>
      </c>
      <c r="H5641" t="inlineStr"/>
    </row>
    <row r="5642">
      <c r="A5642" t="inlineStr">
        <is>
          <t>fe3vcq</t>
        </is>
      </c>
      <c r="B5642" t="inlineStr">
        <is>
          <t>Experiences with probiotics?</t>
        </is>
      </c>
      <c r="C5642" t="inlineStr">
        <is>
          <t>Had a follow up with my GI doc and he told me to take probiotics twice a day. I was just curious if you guys have taken them and what your experiences are with them. Thanks!</t>
        </is>
      </c>
      <c r="D5642" t="n">
        <v>1</v>
      </c>
      <c r="E5642" t="n">
        <v>3</v>
      </c>
      <c r="F5642">
        <f>HYPERLINK("https://www.reddit.com/r/GERD/comments/fe3vcq/experiences_with_probiotics/")</f>
        <v/>
      </c>
      <c r="G5642" t="inlineStr">
        <is>
          <t>2020-03-05 15:02:55</t>
        </is>
      </c>
      <c r="H5642" t="inlineStr"/>
    </row>
    <row r="5643">
      <c r="A5643" t="inlineStr">
        <is>
          <t>fe5fxz</t>
        </is>
      </c>
      <c r="B5643" t="inlineStr">
        <is>
          <t>Is the “I need to clear my throat/chest” feeling dangerous?</t>
        </is>
      </c>
      <c r="C5643" t="inlineStr">
        <is>
          <t>I’ve been dealing with what I believe is acid reflux lately and it’s made it so that I feel there’s a constant need to get something out of my chest/throat. I can take deep breaths easily and my cough doesn’t sound like anything. Just a regular nothing cough. I’ve also been burping. Is this lump in chest feeling dangerous? It gets more noticeable when I’m at the end of a full exhale. Just anxious about it right now.</t>
        </is>
      </c>
      <c r="D5643" t="n">
        <v>1</v>
      </c>
      <c r="E5643" t="n">
        <v>1</v>
      </c>
      <c r="F5643">
        <f>HYPERLINK("https://www.reddit.com/r/GERD/comments/fe5fxz/is_the_i_need_to_clear_my_throatchest_feeling/")</f>
        <v/>
      </c>
      <c r="G5643" t="inlineStr">
        <is>
          <t>2020-03-05 16:57:05</t>
        </is>
      </c>
      <c r="H5643" t="inlineStr"/>
    </row>
    <row r="5644">
      <c r="A5644" t="inlineStr">
        <is>
          <t>fe5u45</t>
        </is>
      </c>
      <c r="B5644" t="inlineStr">
        <is>
          <t>What to take if you think you have gastritis?</t>
        </is>
      </c>
      <c r="C5644" t="inlineStr">
        <is>
          <t>I have a lot of symptoms of gastritis and I feel they’re getting worse. I have an endoscopy schedule for next week, which I’m terrified of but relieved I have one at least. My stomach is constantly “burning” if that makes sense. I’m having some stabbing pains too. I’m not on PPI’s right now because I’ve had bad side effects, but I’m taking famotidine. Any other things I can take to help relieve this pain? Is pepto a good idea or should I just take some acetaminophen pain reliever? Thanks.</t>
        </is>
      </c>
      <c r="D5644" t="n">
        <v>1</v>
      </c>
      <c r="E5644" t="n">
        <v>24</v>
      </c>
      <c r="F5644">
        <f>HYPERLINK("https://www.reddit.com/r/GERD/comments/fe5u45/what_to_take_if_you_think_you_have_gastritis/")</f>
        <v/>
      </c>
      <c r="G5644" t="inlineStr">
        <is>
          <t>2020-03-05 17:26:37</t>
        </is>
      </c>
      <c r="H5644" t="inlineStr"/>
    </row>
    <row r="5645">
      <c r="A5645" t="inlineStr">
        <is>
          <t>fe6zgi</t>
        </is>
      </c>
      <c r="B5645" t="inlineStr">
        <is>
          <t>Where can I buy more Raniditine?</t>
        </is>
      </c>
      <c r="C5645" t="inlineStr">
        <is>
          <t>Please don't tell me about the recall. I know. There has to be a place to buy it.</t>
        </is>
      </c>
      <c r="D5645" t="n">
        <v>1</v>
      </c>
      <c r="E5645" t="n">
        <v>1</v>
      </c>
      <c r="F5645">
        <f>HYPERLINK("https://www.reddit.com/r/GERD/comments/fe6zgi/where_can_i_buy_more_raniditine/")</f>
        <v/>
      </c>
      <c r="G5645" t="inlineStr">
        <is>
          <t>2020-03-05 18:52:56</t>
        </is>
      </c>
      <c r="H5645" t="inlineStr"/>
    </row>
    <row r="5646">
      <c r="A5646" t="inlineStr">
        <is>
          <t>fe7ryy</t>
        </is>
      </c>
      <c r="B5646" t="inlineStr">
        <is>
          <t>Taking H2 blockers with PPIs</t>
        </is>
      </c>
      <c r="C5646" t="inlineStr">
        <is>
          <t>Those of you taking H2 blockers with a PPI, how often to you use them?  I'm currently on esomprazole and cimetidine, and I find myself using the cimetidine pretty much daily.  I'm sometimes tempted to use it even more often, as it seem to give me the most relief, but I'm concerned about overdoing it and causing myself even more problems.</t>
        </is>
      </c>
      <c r="D5646" t="n">
        <v>1</v>
      </c>
      <c r="E5646" t="n">
        <v>0</v>
      </c>
      <c r="F5646">
        <f>HYPERLINK("https://www.reddit.com/r/GERD/comments/fe7ryy/taking_h2_blockers_with_ppis/")</f>
        <v/>
      </c>
      <c r="G5646" t="inlineStr">
        <is>
          <t>2020-03-05 19:56:09</t>
        </is>
      </c>
      <c r="H5646" t="inlineStr"/>
    </row>
    <row r="5647">
      <c r="A5647" t="inlineStr">
        <is>
          <t>fe8hpe</t>
        </is>
      </c>
      <c r="B5647" t="inlineStr">
        <is>
          <t>Does gerd make you tongue swollen?</t>
        </is>
      </c>
      <c r="C5647" t="inlineStr">
        <is>
          <t>Mine gets swollen from time to time, it scares the shit out of me</t>
        </is>
      </c>
      <c r="D5647" t="n">
        <v>1</v>
      </c>
      <c r="E5647" t="n">
        <v>3</v>
      </c>
      <c r="F5647">
        <f>HYPERLINK("https://www.reddit.com/r/GERD/comments/fe8hpe/does_gerd_make_you_tongue_swollen/")</f>
        <v/>
      </c>
      <c r="G5647" t="inlineStr">
        <is>
          <t>2020-03-05 20:57:55</t>
        </is>
      </c>
      <c r="H5647" t="inlineStr"/>
    </row>
    <row r="5648">
      <c r="A5648" t="inlineStr">
        <is>
          <t>feanjo</t>
        </is>
      </c>
      <c r="B5648" t="inlineStr">
        <is>
          <t>Nonstop globus sensation</t>
        </is>
      </c>
      <c r="C5648" t="inlineStr">
        <is>
          <t>Something has been stuck in my throat for 6 months. Clean diet did nothing. Pantroprazole made it worse</t>
        </is>
      </c>
      <c r="D5648" t="n">
        <v>1</v>
      </c>
      <c r="E5648" t="n">
        <v>4</v>
      </c>
      <c r="F5648">
        <f>HYPERLINK("https://www.reddit.com/r/GERD/comments/feanjo/nonstop_globus_sensation/")</f>
        <v/>
      </c>
      <c r="G5648" t="inlineStr">
        <is>
          <t>2020-03-06 00:35:42</t>
        </is>
      </c>
      <c r="H5648" t="inlineStr"/>
    </row>
    <row r="5649">
      <c r="A5649" t="inlineStr">
        <is>
          <t>feaz0b</t>
        </is>
      </c>
      <c r="B5649" t="inlineStr">
        <is>
          <t>Finally approved for Linx surgery</t>
        </is>
      </c>
      <c r="C5649" t="inlineStr">
        <is>
          <t>Finally got a positive reading on a Bravo test result, going in for Linx in a few weeks - wooo. Let me know any Qs and I'll keep you updated :)</t>
        </is>
      </c>
      <c r="D5649" t="n">
        <v>1</v>
      </c>
      <c r="E5649" t="n">
        <v>21</v>
      </c>
      <c r="F5649">
        <f>HYPERLINK("https://www.reddit.com/r/GERD/comments/feaz0b/finally_approved_for_linx_surgery/")</f>
        <v/>
      </c>
      <c r="G5649" t="inlineStr">
        <is>
          <t>2020-03-06 01:13:26</t>
        </is>
      </c>
      <c r="H5649" t="inlineStr"/>
    </row>
    <row r="5650">
      <c r="A5650" t="inlineStr">
        <is>
          <t>feds2g</t>
        </is>
      </c>
      <c r="B5650" t="inlineStr">
        <is>
          <t>I miss tomatoes... anyone got any suggestions?</t>
        </is>
      </c>
      <c r="C5650" t="inlineStr">
        <is>
          <t>Anyone have any success getting back to eating them? 
Before the sudden onset of this stupid ailment I was a healthy, vegetable-loving vegetarian eating light by choice and pretty much lived on fresh cherry tomatoes and bell peppers :/ 
I feel so unhealthy cutting all the color out of my diet.</t>
        </is>
      </c>
      <c r="D5650" t="n">
        <v>1</v>
      </c>
      <c r="E5650" t="n">
        <v>31</v>
      </c>
      <c r="F5650">
        <f>HYPERLINK("https://www.reddit.com/r/GERD/comments/feds2g/i_miss_tomatoes_anyone_got_any_suggestions/")</f>
        <v/>
      </c>
      <c r="G5650" t="inlineStr">
        <is>
          <t>2020-03-06 05:54:18</t>
        </is>
      </c>
      <c r="H5650" t="inlineStr"/>
    </row>
    <row r="5651">
      <c r="A5651" t="inlineStr">
        <is>
          <t>fefo4a</t>
        </is>
      </c>
      <c r="B5651" t="inlineStr">
        <is>
          <t>anyone else get crazy pain behind the ear ?</t>
        </is>
      </c>
      <c r="C5651" t="inlineStr">
        <is>
          <t>when my gerd levels reach max there is this throbbing pain in that region and it can keep me up at night even. This did not happen before has began recently.</t>
        </is>
      </c>
      <c r="D5651" t="n">
        <v>1</v>
      </c>
      <c r="E5651" t="n">
        <v>3</v>
      </c>
      <c r="F5651">
        <f>HYPERLINK("https://www.reddit.com/r/GERD/comments/fefo4a/anyone_else_get_crazy_pain_behind_the_ear/")</f>
        <v/>
      </c>
      <c r="G5651" t="inlineStr">
        <is>
          <t>2020-03-06 08:11:51</t>
        </is>
      </c>
      <c r="H5651" t="inlineStr"/>
    </row>
    <row r="5652">
      <c r="A5652" t="inlineStr">
        <is>
          <t>fegupv</t>
        </is>
      </c>
      <c r="B5652" t="inlineStr">
        <is>
          <t>Curious, are GERD suffers in high risk category if infected with coronavirus</t>
        </is>
      </c>
      <c r="C5652" t="inlineStr">
        <is>
          <t>Even if they are under 50 years old?</t>
        </is>
      </c>
      <c r="D5652" t="n">
        <v>1</v>
      </c>
      <c r="E5652" t="n">
        <v>3</v>
      </c>
      <c r="F5652">
        <f>HYPERLINK("https://www.reddit.com/r/GERD/comments/fegupv/curious_are_gerd_suffers_in_high_risk_category_if/")</f>
        <v/>
      </c>
      <c r="G5652" t="inlineStr">
        <is>
          <t>2020-03-06 09:28:56</t>
        </is>
      </c>
      <c r="H5652" t="inlineStr"/>
    </row>
    <row r="5653">
      <c r="A5653" t="inlineStr">
        <is>
          <t>feh7cq</t>
        </is>
      </c>
      <c r="B5653" t="inlineStr">
        <is>
          <t>Just Diagnosed</t>
        </is>
      </c>
      <c r="C5653" t="inlineStr">
        <is>
          <t>I just had an upper endoscopy because of severe stomach aches for the past year or so. It usually happens after I eat and it’s just been all around not a fun experience. The main result came back as GERD and I looked it up but it seems that the most common symptoms, I guess you could call it, is heart burn. My pain isn’t ever in my chest or throat. It’s always in my stomach. Is that normal? I’m honestly just really confused because if that’s a big defining feature of GERD and I’ve never had that issue then...I don’t even know haha I may sound really uneducated and that’s because I am! I’m hoping someone could tell me if that’s normal or not. Thanks so much xx</t>
        </is>
      </c>
      <c r="D5653" t="n">
        <v>1</v>
      </c>
      <c r="E5653" t="n">
        <v>12</v>
      </c>
      <c r="F5653">
        <f>HYPERLINK("https://www.reddit.com/r/GERD/comments/feh7cq/just_diagnosed/")</f>
        <v/>
      </c>
      <c r="G5653" t="inlineStr">
        <is>
          <t>2020-03-06 09:51:32</t>
        </is>
      </c>
      <c r="H5653" t="inlineStr"/>
    </row>
    <row r="5654">
      <c r="A5654" t="inlineStr">
        <is>
          <t>fehhey</t>
        </is>
      </c>
      <c r="B5654" t="inlineStr">
        <is>
          <t>Not sure if I have GERD or something else</t>
        </is>
      </c>
      <c r="C5654" t="inlineStr">
        <is>
          <t>Hey guys,
Im sorry if this question has been asked a million times, but I'm just impatient right now with these symptoms ive been having. Its been 6 monyhs, and it seems I'm having issues digesting all sorts of foods, such as chocolate, oily and fatty foods, some breads, citrus, acidic things like lemonade and 5-hour energies, pizza, etc. However, I dont get the symptoms all the time. Last night I had pizza eith my family, but didnt have too many belches this morning, but thats not always the case. Sometimes it gets really bad and I cant control it, and sometines acid reflux comes along with it and when that happens i take a PPI for two days.
I also noticed a peculiar thing... when I exercise or do anything laborous, my gut starts to turn and I start burping and want to throw up.
I dont exactly have the money to keep doing tests right now, but I want the incessant burping to end so badly. I get my symptoms (burping, acid reflux, cramps,  etc.) at random times, even when i dont eat something.
Is this GERD, or should I suspect something else? I had an upper endoscopy done and they said everythi ng normal, but I did have an acid reflux problem.
Thanks guys!</t>
        </is>
      </c>
      <c r="D5654" t="n">
        <v>1</v>
      </c>
      <c r="E5654" t="n">
        <v>0</v>
      </c>
      <c r="F5654">
        <f>HYPERLINK("https://www.reddit.com/r/GERD/comments/fehhey/not_sure_if_i_have_gerd_or_something_else/")</f>
        <v/>
      </c>
      <c r="G5654" t="inlineStr">
        <is>
          <t>2020-03-06 10:09:11</t>
        </is>
      </c>
      <c r="H5654" t="inlineStr"/>
    </row>
    <row r="5655">
      <c r="A5655" t="inlineStr">
        <is>
          <t>fehxxg</t>
        </is>
      </c>
      <c r="B5655" t="inlineStr">
        <is>
          <t>GERD Friendly Recipes or Meal Plans (Help!)</t>
        </is>
      </c>
      <c r="C5655" t="inlineStr">
        <is>
          <t>I was recently told to go on a GERD diet for my acid reflux. I am getting a little overwhelmed with information. I was told to cut out spicy, acidic, fatty, and fried foods. I was also told not to drink alcohol, coffee, carbonated drinks, certain juices, or tea. Also to avoid citrus fruit, tomatoes, chocolate, and mints. I'm worried I might get bored easily with my narrowed food options. I would like to hear from others on their favorite recipes to cook or what meal plans to follow. Also what do you drink besides water?</t>
        </is>
      </c>
      <c r="D5655" t="n">
        <v>1</v>
      </c>
      <c r="E5655" t="n">
        <v>1</v>
      </c>
      <c r="F5655">
        <f>HYPERLINK("https://www.reddit.com/r/GERD/comments/fehxxg/gerd_friendly_recipes_or_meal_plans_help/")</f>
        <v/>
      </c>
      <c r="G5655" t="inlineStr">
        <is>
          <t>2020-03-06 10:39:13</t>
        </is>
      </c>
      <c r="H5655" t="inlineStr"/>
    </row>
    <row r="5656">
      <c r="A5656" t="inlineStr">
        <is>
          <t>feiabe</t>
        </is>
      </c>
      <c r="B5656" t="inlineStr">
        <is>
          <t>can someone help me out on some things I could do for my diet</t>
        </is>
      </c>
      <c r="C5656" t="inlineStr">
        <is>
          <t>hey! I wouldn't say I have gerd but I get reflux sometimes which is mild, I take gaviscon when I get flair ups and it works amazing, the flair ups have been managed quite well the last 2-3 days I only have had a tiny little burn for a couple of seconds I've not really needed to take my gavsicon lately, I want to change my diet around and I want to know: 
-what are some meals I could have in the morning for breakfast
-what salad could I have for dinner like what type of vegetables and if there should be any meat etc in them
- maybe for tea, rice and salmon or tuna or maybe chicken, if I have chicken what flavouring can I add to it cos I despise dry chicken 
- also what could I drink through the day 
any replies would be heavily appreciated! as I want to change my diet around as it isnt the greatest, I've been trying to add fruit into it lately but for some reason my chest feels abit burny after fruit but goes away quick, also had smoothies what seem to be good for me, but I need to change around as I have mcdonalds every thursday lmao cos I go college so and also i love my chocolate and spicy foods, I've cut down on my spicy foods lately and that seems to have made me feel better etc! again any replies with advice would be appreciated :)</t>
        </is>
      </c>
      <c r="D5656" t="n">
        <v>1</v>
      </c>
      <c r="E5656" t="n">
        <v>15</v>
      </c>
      <c r="F5656">
        <f>HYPERLINK("https://www.reddit.com/r/GERD/comments/feiabe/can_someone_help_me_out_on_some_things_i_could_do/")</f>
        <v/>
      </c>
      <c r="G5656" t="inlineStr">
        <is>
          <t>2020-03-06 11:01:25</t>
        </is>
      </c>
      <c r="H5656" t="inlineStr"/>
    </row>
    <row r="5657">
      <c r="A5657" t="inlineStr">
        <is>
          <t>feilvg</t>
        </is>
      </c>
      <c r="B5657" t="inlineStr">
        <is>
          <t>Slippery elm</t>
        </is>
      </c>
      <c r="C5657" t="inlineStr">
        <is>
          <t>Has anyone tried slippery elm before? I tried it this week and I am having a lot of luck with it. I feel a lot better. I think everyone should try it.</t>
        </is>
      </c>
      <c r="D5657" t="n">
        <v>1</v>
      </c>
      <c r="E5657" t="n">
        <v>9</v>
      </c>
      <c r="F5657">
        <f>HYPERLINK("https://www.reddit.com/r/GERD/comments/feilvg/slippery_elm/")</f>
        <v/>
      </c>
      <c r="G5657" t="inlineStr">
        <is>
          <t>2020-03-06 11:21:34</t>
        </is>
      </c>
      <c r="H5657" t="inlineStr"/>
    </row>
    <row r="5658">
      <c r="A5658" t="inlineStr">
        <is>
          <t>fekq1a</t>
        </is>
      </c>
      <c r="B5658" t="inlineStr">
        <is>
          <t>Chronic dry cough for 4-5 months and other symptoms. Could these symptoms be causing my chronic cough?</t>
        </is>
      </c>
      <c r="C5658" t="inlineStr">
        <is>
          <t>The chronic dry cough started AFTER I got sick with bronchitis. I got better but the cough is still here. I didn’t have this cough before but the symptoms below have become more noticeable since. 
Symptoms: chronic dry cough, tickle in throat when I breathe in, feeling like water is coming back up (sometimes), burping up liquid and what feels like food chunks (sometimes), burning sensation in throat (sometimes), burning chest that hurts (sometimes), vomiting after eating because liquid or food chunks come back up with or without burping (sometimes).
I’m already like 99% sure it’s either GERD or LPR but can these symptoms really cause a chronic dry cough (1-3 small coughs) all day everyday? Usually they’re small coughs but I sometimes get coughing fits that I can’t control. When I inhale deeply and have the urge to cough it becomes raspy, shaky, and sounds like a bark.
I had a chest X-ray and everything was normal.</t>
        </is>
      </c>
      <c r="D5658" t="n">
        <v>1</v>
      </c>
      <c r="E5658" t="n">
        <v>0</v>
      </c>
      <c r="F5658">
        <f>HYPERLINK("https://www.reddit.com/r/GERD/comments/fekq1a/chronic_dry_cough_for_45_months_and_other/")</f>
        <v/>
      </c>
      <c r="G5658" t="inlineStr">
        <is>
          <t>2020-03-06 13:39:10</t>
        </is>
      </c>
      <c r="H5658" t="inlineStr"/>
    </row>
    <row r="5659">
      <c r="A5659" t="inlineStr">
        <is>
          <t>fel3x0</t>
        </is>
      </c>
      <c r="B5659" t="inlineStr">
        <is>
          <t>Reflux and Shortness of Breath</t>
        </is>
      </c>
      <c r="C5659" t="inlineStr">
        <is>
          <t>Hey all,
Wanted to know if anyone else has shortness of breath from reflux?
I have had trouble breathing and running out of breath all week. It’s a really scary feeling. I’ve had mild burning in the bottom of my throat and other throat related symptoms I think is from LPR.
My Gastro said reflux wouldn’t cause shortness of breath which makes me concerned this could be something else... I’m not even sure what kind of doctor to go to</t>
        </is>
      </c>
      <c r="D5659" t="n">
        <v>1</v>
      </c>
      <c r="E5659" t="n">
        <v>2</v>
      </c>
      <c r="F5659">
        <f>HYPERLINK("https://www.reddit.com/r/GERD/comments/fel3x0/reflux_and_shortness_of_breath/")</f>
        <v/>
      </c>
      <c r="G5659" t="inlineStr">
        <is>
          <t>2020-03-06 14:04:53</t>
        </is>
      </c>
      <c r="H5659" t="inlineStr"/>
    </row>
    <row r="5660">
      <c r="A5660" t="inlineStr">
        <is>
          <t>femk3c</t>
        </is>
      </c>
      <c r="B5660" t="inlineStr">
        <is>
          <t>GERD hope for fellow sufferers (December 2019 diagnosis to March 2020 recovery)</t>
        </is>
      </c>
      <c r="C5660" t="inlineStr">
        <is>
          <t>Hello people,
I remember when I was first having issues and freaking out, and this subreddit helped me (as well as increased my terror in certain respects). Now that I am successfully managing my condition, I wanted to share my journey with you to give the newcomers some HOPE and be a light in the darkness.
I am 34/F.
Around the end of November 2019, I noticed I was having shortness of breath, bloating, globus sensation (lump in throat), upper abdominal discomfort, and constant burping after meals. I was about 160 lbs at this time, at at 5'6" I was somewhat overweight. For years, I had been eating 3 large meals a day (of a variety of foods) and no snacks. The discomfort became constant, and I was freaking out and having terrible anxiety about my problems. The anxiety led to crippling insomnia and a mental health crisis, where I was thinking about killing myself and I became unable to work for about a week. I went to the doctor in mid-December 2019 and was told that I likely suffered from GERD. I was placed on 40 mg of pantoprazole daily as well as a low dose SSRI.
Starting towards the end of December, I instituted the Acid Watcher Diet (per Jonathan Aviv's book), eating 5-6 very, very small (at the time, my anxiety also prevented me from having much appetite) meals/snacks of unprocessed foods per day. I stopped drinking water during meals, or directly before or after meals. I also began walking approximately 5 miles per day, every day. I gave up more aerobic forms of exercise because it exacerbated my symptoms. I continued to take pantoprazole and the SSRI. My tolerance of my symptoms improved slightly because they became more predictable--I would feel worse after meals, but it would go away. I didn't feel like the PPI was doing much for me, but it was also not having any ill effects. By the end of December, I had lost about 9 pounds.
In late January, I underwent an unsedated upper endoscopy (It was not that bad. You can do it without sedation. It is uncomfortable but I got to go home right after, and my throat only hurt for a couple days.) and was told that my insides looked "perfect." No Barrett's esophagus, no hiatal hernia, no ulcers. My H. pylori test was negative. All my bloodwork looked great. I started adding to my daily regimen of meds an Align probiotic, on the recommendation of my gastroenterologist.
By the end of January, I had lost about 20 pounds from where I started. My symptoms had improved significantly, and I was trying to eat more different types of foods. I noticed that I had no negative reactions to spicy foods, lemon, sour foods, cooked garlic and onion, chocolate, etc. 
By February 2020, I had lost about 25 pounds, maintaining a diet of 5-6 small meals per day of unprocessed foods. Honestly, it was also much cheaper than buying processed foods. With the blessing of my primary care physician, I started tapering off the pantoprazole (he said a taper wasn't necessary since I hadn't been taking it for very long, but IMO better safe than sorry). I went down from 40mg to 20mg/day for about a week, then alternated 20mg/0mg for a week or so, then went off them completely. I only experienced very mild rebound reflux.
As of today, March 6, 2020, I have been off PPIs for about 2 weeks. I continue to walk 5 miles per day. I continue to avoid processed foods and eat small portions, 5-6 times per day. I am still taking the Align probiotic (and the SSRI, for other reasons) and will continue to take the probiotic for another month or so, until it runs out. Things are good. I am doing well. I no longer have shortness of breath, bloating, or much burping. If I eat a slightly larger meal, I notice that I have some abdominal discomfort. I'm okay with that, because it trains me to eat less during mealtimes. I am feeling good about my body and my appearance. The weight loss has been nice. I feel incredibly relieved and grateful that the GERD seems to be under control via these lifestyle changes.
I wanted to share this story with you all because I know that when I was in the thick of it, I wanted to hear stories of hope. Well, this is mine. I hope it helps someone out there. You can get through this.
tl;dr: GERD managed with diet and lifestyle changes, don't kill yourself.</t>
        </is>
      </c>
      <c r="D5660" t="n">
        <v>1</v>
      </c>
      <c r="E5660" t="n">
        <v>19</v>
      </c>
      <c r="F5660">
        <f>HYPERLINK("https://www.reddit.com/r/GERD/comments/femk3c/gerd_hope_for_fellow_sufferers_december_2019/")</f>
        <v/>
      </c>
      <c r="G5660" t="inlineStr">
        <is>
          <t>2020-03-06 15:45:28</t>
        </is>
      </c>
      <c r="H5660" t="inlineStr"/>
    </row>
    <row r="5661">
      <c r="A5661" t="inlineStr">
        <is>
          <t>fenydq</t>
        </is>
      </c>
      <c r="B5661" t="inlineStr">
        <is>
          <t>Question on PPI's like Omeprazole and Lanzaprazole</t>
        </is>
      </c>
      <c r="C5661" t="inlineStr">
        <is>
          <t>Hi, i've been suffering from GERD for about 8 years now(i'm 23), i was given PPI's years ago, but after reading some studies linking them to certain cancers i stopped taking them. I've gone to some specialists and they have all diagnosed me with GERD. 
Do any of you take PPI's? or do you just learn to live with it, some days are better than others but tonight especially i've been hiccuping most of the day and feel the burning sensation in my chest and throat most of the day, just getting abit fed up with it.</t>
        </is>
      </c>
      <c r="D5661" t="n">
        <v>1</v>
      </c>
      <c r="E5661" t="n">
        <v>6</v>
      </c>
      <c r="F5661">
        <f>HYPERLINK("https://www.reddit.com/r/GERD/comments/fenydq/question_on_ppis_like_omeprazole_and_lanzaprazole/")</f>
        <v/>
      </c>
      <c r="G5661" t="inlineStr">
        <is>
          <t>2020-03-06 17:31:36</t>
        </is>
      </c>
      <c r="H5661" t="inlineStr"/>
    </row>
    <row r="5662">
      <c r="A5662" t="inlineStr">
        <is>
          <t>feo5j5</t>
        </is>
      </c>
      <c r="B5662" t="inlineStr">
        <is>
          <t>Mouthwash and reflux</t>
        </is>
      </c>
      <c r="C5662" t="inlineStr">
        <is>
          <t>I have had reflux under control for a while now but was recently told to use mouthwash for 10 days after a visit to the dentist. I don't know if the two things are connected but I've been waking up at night again because of stuff traveling up my throat.
The mouthwash is non-alcoholic but it has mint flavor to it. Could this be a trigger even when it's not something you even swallow? Anyone else have similar experiences?</t>
        </is>
      </c>
      <c r="D5662" t="n">
        <v>1</v>
      </c>
      <c r="E5662" t="n">
        <v>6</v>
      </c>
      <c r="F5662">
        <f>HYPERLINK("https://www.reddit.com/r/GERD/comments/feo5j5/mouthwash_and_reflux/")</f>
        <v/>
      </c>
      <c r="G5662" t="inlineStr">
        <is>
          <t>2020-03-06 17:47:01</t>
        </is>
      </c>
      <c r="H5662" t="inlineStr"/>
    </row>
    <row r="5663">
      <c r="A5663" t="inlineStr">
        <is>
          <t>feo9g5</t>
        </is>
      </c>
      <c r="B5663" t="inlineStr">
        <is>
          <t>I think I might finally be better</t>
        </is>
      </c>
      <c r="C5663" t="inlineStr">
        <is>
          <t>About 18 months ago I started noticing I was burping a lot.  Another 6 months go by and that devolved into burping for hours, throwing up, and not being able to sleep because of the first two problems.  I debate if this was related, but a really depressing break up didn't help.  
I went to a gastro doctor and they gave me a PPI and also told me to try and follow the GERD diet and FODMAP diet.  I think at the time it wasn't clear if the burping was causing the GERD or the GERD was causing the burping, but in retrospect I don't think I should have tried the FODMAP diet.  
I tried the PPIs for a while but I don't think I understood how bad my problem was and how long it was going to take for it to heal and how long I needed to stay on the PPI.  I tried to focus on FODMAP, but it mostly resulted in me only eating meat and simple carbs.  Everything else seemed to make me throw up and I became really distrustful of other food.  I think I killed every bacteria in my entire body between the acid and only eating simple food.  Not to be too gross, but my stool was orange for a long enough time where I forgot that was weird.  
Eventually I had an upper endoscopy which confirmed I didn't have any more exotic problems but I did have acid damage in my esophagus.  So I finally resolved that GERD was my only problem, or at least the cause of my other problems, so I took PPIs for months religiously.  I ate dinner at 3:30.  I didn't eat out.  That took care of throwing up, and I slowly got off PPIs, but I don't think I realized it would take so long time to rebuild my digestive system.  The stool was still orange, and I still burped a lot.  It took a long time to slowly start eating more fruits and vegetables.  
That said, after like a year I think I'm finally there.  I still scared of spicy food and chocolate, but I can eat an orange and drink a beer once in a while and it's not really noticeable. 
I don't know if I'll ever be the same or eat Thai food again, but it's nice to be feel somewhat normal.  For a while it just felt like I was going to live in a horrible cycle forever. 
Also shout out to watermelon.  I hated watermelon before this, but it's the safest and tastiest fruit in existence.</t>
        </is>
      </c>
      <c r="D5663" t="n">
        <v>1</v>
      </c>
      <c r="E5663" t="n">
        <v>0</v>
      </c>
      <c r="F5663">
        <f>HYPERLINK("https://www.reddit.com/r/GERD/comments/feo9g5/i_think_i_might_finally_be_better/")</f>
        <v/>
      </c>
      <c r="G5663" t="inlineStr">
        <is>
          <t>2020-03-06 17:55:22</t>
        </is>
      </c>
      <c r="H5663" t="inlineStr"/>
    </row>
    <row r="5664">
      <c r="A5664" t="inlineStr">
        <is>
          <t>fep19y</t>
        </is>
      </c>
      <c r="B5664" t="inlineStr">
        <is>
          <t>Has anyone had luck with dexlansoprazole?</t>
        </is>
      </c>
      <c r="C5664" t="inlineStr">
        <is>
          <t>My GI gave me some samples today and I’m very curious. Checked reviews online and it seems that it only works on certain people. One person had to get their gall bladder removed lol kind of worried</t>
        </is>
      </c>
      <c r="D5664" t="n">
        <v>1</v>
      </c>
      <c r="E5664" t="n">
        <v>2</v>
      </c>
      <c r="F5664">
        <f>HYPERLINK("https://www.reddit.com/r/GERD/comments/fep19y/has_anyone_had_luck_with_dexlansoprazole/")</f>
        <v/>
      </c>
      <c r="G5664" t="inlineStr">
        <is>
          <t>2020-03-06 18:58:55</t>
        </is>
      </c>
      <c r="H5664" t="inlineStr"/>
    </row>
    <row r="5665">
      <c r="A5665" t="inlineStr">
        <is>
          <t>fepw0n</t>
        </is>
      </c>
      <c r="B5665" t="inlineStr">
        <is>
          <t>I feel like im degrading away i feel shriveled up and my posture has gotten bad.</t>
        </is>
      </c>
      <c r="C5665" t="inlineStr">
        <is>
          <t>I feel shriveled up and my posture has gotten bad. I feel extremely weak and fatigued i cant hold a job in these conditions are these symptoms? My endoscopy isnt until the 15 i just feel like shit.</t>
        </is>
      </c>
      <c r="D5665" t="n">
        <v>1</v>
      </c>
      <c r="E5665" t="n">
        <v>10</v>
      </c>
      <c r="F5665">
        <f>HYPERLINK("https://www.reddit.com/r/GERD/comments/fepw0n/i_feel_like_im_degrading_away_i_feel_shriveled_up/")</f>
        <v/>
      </c>
      <c r="G5665" t="inlineStr">
        <is>
          <t>2020-03-06 20:11:07</t>
        </is>
      </c>
      <c r="H5665" t="inlineStr"/>
    </row>
    <row r="5666">
      <c r="A5666" t="inlineStr">
        <is>
          <t>feq5nu</t>
        </is>
      </c>
      <c r="B5666" t="inlineStr">
        <is>
          <t>Fundoplication 15 years ago and having complications.</t>
        </is>
      </c>
      <c r="C5666" t="inlineStr">
        <is>
          <t>My wife had this procedure done as a young women. It fixed the initial issues but still has a lot of pain and bloating. Anyone have any doctors or similar issues they deal with.  Symptoms include restless leg, bloating, swollen legs, itchy skin etc. Any help would be greatly appreciated. No doctors seem to have any idea how to deal with this.</t>
        </is>
      </c>
      <c r="D5666" t="n">
        <v>1</v>
      </c>
      <c r="E5666" t="n">
        <v>3</v>
      </c>
      <c r="F5666">
        <f>HYPERLINK("https://www.reddit.com/r/GERD/comments/feq5nu/fundoplication_15_years_ago_and_having/")</f>
        <v/>
      </c>
      <c r="G5666" t="inlineStr">
        <is>
          <t>2020-03-06 20:35:00</t>
        </is>
      </c>
      <c r="H5666" t="inlineStr"/>
    </row>
    <row r="5667">
      <c r="A5667" t="inlineStr">
        <is>
          <t>fer700</t>
        </is>
      </c>
      <c r="B5667" t="inlineStr">
        <is>
          <t>What muscle is spasming near my heart?</t>
        </is>
      </c>
      <c r="C5667" t="inlineStr">
        <is>
          <t>Sometimes it feels like my heart is beating irregularly and feel my chest but I don’t really feel too much, then I feel where my chest and stomach meet parallel to the heart and it completely feels like a spasm. Sorry if I didn’t describe this well, it’s hard to describe lol</t>
        </is>
      </c>
      <c r="D5667" t="n">
        <v>1</v>
      </c>
      <c r="E5667" t="n">
        <v>3</v>
      </c>
      <c r="F5667">
        <f>HYPERLINK("https://www.reddit.com/r/GERD/comments/fer700/what_muscle_is_spasming_near_my_heart/")</f>
        <v/>
      </c>
      <c r="G5667" t="inlineStr">
        <is>
          <t>2020-03-06 22:11:56</t>
        </is>
      </c>
      <c r="H5667" t="inlineStr"/>
    </row>
    <row r="5668">
      <c r="A5668" t="inlineStr">
        <is>
          <t>fes1b2</t>
        </is>
      </c>
      <c r="B5668" t="inlineStr">
        <is>
          <t>Bismuth side effects</t>
        </is>
      </c>
      <c r="C5668" t="inlineStr">
        <is>
          <t>Hey guys, in my last post you may have seen that the 2 antibiotics I was taking for helicobacter pylori were working and that I wasn't able to get a hold of the drug Bismuth Subcitrate. I was finally able to get it but I read on the internet that it's an anti-diarrheal medicine. I suffer from pretty bad IBS Constipation (completely separate issue) which triggers up when I take antibiotics. Should I still take the bismuth, my doc said it's not necessary but advisable. I have been quite better after half of the course of the antibiotics. Any help is appreciated.</t>
        </is>
      </c>
      <c r="D5668" t="n">
        <v>1</v>
      </c>
      <c r="E5668" t="n">
        <v>1</v>
      </c>
      <c r="F5668">
        <f>HYPERLINK("https://www.reddit.com/r/GERD/comments/fes1b2/bismuth_side_effects/")</f>
        <v/>
      </c>
      <c r="G5668" t="inlineStr">
        <is>
          <t>2020-03-06 23:43:19</t>
        </is>
      </c>
      <c r="H5668" t="inlineStr"/>
    </row>
    <row r="5669">
      <c r="A5669" t="inlineStr">
        <is>
          <t>few951</t>
        </is>
      </c>
      <c r="B5669" t="inlineStr">
        <is>
          <t>Pantoprazole and bloat</t>
        </is>
      </c>
      <c r="C5669" t="inlineStr">
        <is>
          <t>I was recently prescribed pantoprazole and I think it’s helping with the acid, but if I drink a Diet Coke with it I feel like I have a bowling ball in my stomach.  Anyone else experience bloat with this pill?</t>
        </is>
      </c>
      <c r="D5669" t="n">
        <v>1</v>
      </c>
      <c r="E5669" t="n">
        <v>13</v>
      </c>
      <c r="F5669">
        <f>HYPERLINK("https://www.reddit.com/r/GERD/comments/few951/pantoprazole_and_bloat/")</f>
        <v/>
      </c>
      <c r="G5669" t="inlineStr">
        <is>
          <t>2020-03-07 07:04:07</t>
        </is>
      </c>
      <c r="H5669" t="inlineStr"/>
    </row>
    <row r="5670">
      <c r="A5670" t="inlineStr">
        <is>
          <t>fewl1x</t>
        </is>
      </c>
      <c r="B5670" t="inlineStr">
        <is>
          <t>Do I have LPR/GERD?</t>
        </is>
      </c>
      <c r="C5670" t="inlineStr">
        <is>
          <t>So I was diagnosed with a hiatal hernia about 10 years ago. It was small and after going on a diet along with using Zantac and Gaviscon for 4 months I got better. I have a mental thing about swallowing capsules which is why no PPIs. After that no symptoms until a few years ago. For the past few years I have been throat clearing after meals, and sometimes I would do it once during the day. Is this a symptom of LPR/GERD? 
Anyways I recently got a bad sinus cold. I had extremely bad post nasal drip that thankfully is gone now, but because stupid doctors could not diagnose me, I was coughing all night for like 4 days. It wasn't until a friend with sinus issues diagnosed me, and told me to do a nasal rinse. That's all cleared up now, but all this coughing caused my acid reflux to come back. I think it either pushed up my hiatal hernia or opened my LES wide open. Right now I can feel the acid taste in my mouth when I wake up, even though I am sleeping on a reclining chair. I sing for fun but I can tell that I am unable to hit my upper register, though I am able to speak normally. I also get intermittent ear pain. I am taking Zantac right now (from some generic brand on the shelf in Canada) as well as Gaviscon. I can't get into see my new doctor, as new patients get setback on the wait list. But I think I got it back... thanks stupid cold.</t>
        </is>
      </c>
      <c r="D5670" t="n">
        <v>1</v>
      </c>
      <c r="E5670" t="n">
        <v>0</v>
      </c>
      <c r="F5670">
        <f>HYPERLINK("https://www.reddit.com/r/GERD/comments/fewl1x/do_i_have_lprgerd/")</f>
        <v/>
      </c>
      <c r="G5670" t="inlineStr">
        <is>
          <t>2020-03-07 07:29:11</t>
        </is>
      </c>
      <c r="H5670" t="inlineStr"/>
    </row>
    <row r="5671">
      <c r="A5671" t="inlineStr">
        <is>
          <t>feytbv</t>
        </is>
      </c>
      <c r="B5671" t="inlineStr">
        <is>
          <t>Struggling with the psychological side of gerd</t>
        </is>
      </c>
      <c r="C5671" t="inlineStr">
        <is>
          <t>It's no secret that I have trouble with food. There's a reason I'm overweight (5'2'' and almost 200 lbs). I like eating tasty things, cooking tasty things, sharing tasty things. Most of the things I find tasty are gerd triggers. 
I'm eating clean like 75% of the time, but today I'm struggling to do even that. I miss a good dark chocolate bar. Or a bit of mayonnaise with my eggs. 
Today I'm really depressed about it, and having a terrible body image today.
I'm afraid today I won't be able to stop myself from binging.</t>
        </is>
      </c>
      <c r="D5671" t="n">
        <v>1</v>
      </c>
      <c r="E5671" t="n">
        <v>23</v>
      </c>
      <c r="F5671">
        <f>HYPERLINK("https://www.reddit.com/r/GERD/comments/feytbv/struggling_with_the_psychological_side_of_gerd/")</f>
        <v/>
      </c>
      <c r="G5671" t="inlineStr">
        <is>
          <t>2020-03-07 10:04:42</t>
        </is>
      </c>
      <c r="H5671" t="inlineStr"/>
    </row>
    <row r="5672">
      <c r="A5672" t="inlineStr">
        <is>
          <t>ff1xr8</t>
        </is>
      </c>
      <c r="B5672" t="inlineStr">
        <is>
          <t>Neck swelling and pain</t>
        </is>
      </c>
      <c r="C5672" t="inlineStr">
        <is>
          <t>I have not yet been diagnosed with anything, but I am in the process of trying to figure out what’s wrong. I have an appointment with a specialist but would love someone’s opinion on my situation. 
About a week ago I started having strange chest pains and went to the doctor (I should note I throw up acid/bile usually multiple mornings a week, but I had always ignored it). After a few days of super clean eating, no weed, (I have edibles almost daily usually) and Prilosec, I started feeling much better in my chest and stomach. 
However, a few days ago I was stupid and bad and had a marijuana edible, which led to me feeling GREAT and basically bingeing on my normal junk food before bed. The next morning, I woke up and my entire neck, tongue, and throat was swollen. I went to the doctor again and now have an appointment with a specialist, but does anyone have any ideas of why all of a sudden my symptoms are so severe, and is the swelling common? It went 80% down but is still slightly uncomfortable. I never had trouble breathing, but my neck and lymph nodes? Are very swollen. 
Thank you to anyone who has advice or words that will make me slightly freak out less:</t>
        </is>
      </c>
      <c r="D5672" t="n">
        <v>1</v>
      </c>
      <c r="E5672" t="n">
        <v>0</v>
      </c>
      <c r="F5672">
        <f>HYPERLINK("https://www.reddit.com/r/GERD/comments/ff1xr8/neck_swelling_and_pain/")</f>
        <v/>
      </c>
      <c r="G5672" t="inlineStr">
        <is>
          <t>2020-03-07 13:33:01</t>
        </is>
      </c>
      <c r="H5672" t="inlineStr"/>
    </row>
    <row r="5673">
      <c r="A5673" t="inlineStr">
        <is>
          <t>ff2cmp</t>
        </is>
      </c>
      <c r="B5673" t="inlineStr">
        <is>
          <t>Appointment on Tuesday</t>
        </is>
      </c>
      <c r="C5673" t="inlineStr">
        <is>
          <t>Hey I’m a 14 year old male and I have had so much anxiety in the past 9 months. Started when last summer I started constantly burping up a sour taste in my throat. At first I went to my doctor and she prescribed 20mg omeprazole that I took for 2 months until late September. It sort of helped but the problem case back when I ran out. Went to a gi doctor in October with my problem and got 40mg omeprazole for 2 months. Stopped taking it in early December. Let the problem be until the beginning of January when I had trouble swallowing. To explain it better when I swallowed food, I could feel it kind of get stuck for a second near my Adam’s apple/mid neck area and was worse with hard/dry foods. My anxiety just shot up and it’s been going on ever since then. It hasn’t really gotten worse and food has never really gotten stuck in my throat for over a second it just goes down slow and awkward. My appointment is very soon and I’m scared I have esophageal cancer even with the odds. Anyone have tips for dealing with anxiety or want to share similar experiences? Anything is helpful</t>
        </is>
      </c>
      <c r="D5673" t="n">
        <v>1</v>
      </c>
      <c r="E5673" t="n">
        <v>3</v>
      </c>
      <c r="F5673">
        <f>HYPERLINK("https://www.reddit.com/r/GERD/comments/ff2cmp/appointment_on_tuesday/")</f>
        <v/>
      </c>
      <c r="G5673" t="inlineStr">
        <is>
          <t>2020-03-07 14:01:52</t>
        </is>
      </c>
      <c r="H5673" t="inlineStr"/>
    </row>
    <row r="5674">
      <c r="A5674" t="inlineStr">
        <is>
          <t>ff369c</t>
        </is>
      </c>
      <c r="B5674" t="inlineStr">
        <is>
          <t>GERD without heartburn sensation</t>
        </is>
      </c>
      <c r="C5674" t="inlineStr">
        <is>
          <t>My ENT said from my white tongue and red throat that I'm suffering from acid reflux, but my stomach valve was tested and they said it was good and I also don't have the burning sensation of heartburn. Are any of you in the same boat? Thanks very much</t>
        </is>
      </c>
      <c r="D5674" t="n">
        <v>1</v>
      </c>
      <c r="E5674" t="n">
        <v>5</v>
      </c>
      <c r="F5674">
        <f>HYPERLINK("https://www.reddit.com/r/GERD/comments/ff369c/gerd_without_heartburn_sensation/")</f>
        <v/>
      </c>
      <c r="G5674" t="inlineStr">
        <is>
          <t>2020-03-07 14:59:03</t>
        </is>
      </c>
      <c r="H5674" t="inlineStr"/>
    </row>
    <row r="5675">
      <c r="A5675" t="inlineStr">
        <is>
          <t>ff3n76</t>
        </is>
      </c>
      <c r="B5675" t="inlineStr">
        <is>
          <t>Rebound effect from one 10mg Pepcid?</t>
        </is>
      </c>
      <c r="C5675" t="inlineStr">
        <is>
          <t>Hey everyone. My story is long and I've posted here a lot so I will keep this simple.
My latest attempt at healing my esophagitis (4 months in with no improvement) is I bought over the counter Pepcid. Other PPIs and acid blockers messed me up really bad but maybe a small one would help and I could tolerate it.
So I took one Pepcid and the next day my chest hurt all day.
The only sense I can make of this is it is some sort of rebound effect? But can anybody tell me how are these drugs supposed to help you if the rebound effect makes you 100x worse than before? And then how do you take these drugs? Again this was a 10mg Pepcid. But I had similar reactions to 40mg Pantoprazole, Omeprazole, etc.
I plan to have more testing done soon to find out what is wrong with me, but in the meantime I thought this could be a small way to test something.</t>
        </is>
      </c>
      <c r="D5675" t="n">
        <v>1</v>
      </c>
      <c r="E5675" t="n">
        <v>9</v>
      </c>
      <c r="F5675">
        <f>HYPERLINK("https://www.reddit.com/r/GERD/comments/ff3n76/rebound_effect_from_one_10mg_pepcid/")</f>
        <v/>
      </c>
      <c r="G5675" t="inlineStr">
        <is>
          <t>2020-03-07 15:32:20</t>
        </is>
      </c>
      <c r="H5675" t="inlineStr"/>
    </row>
    <row r="5676">
      <c r="A5676" t="inlineStr">
        <is>
          <t>ff4pn8</t>
        </is>
      </c>
      <c r="B5676" t="inlineStr">
        <is>
          <t>How long do you fast between eating and sleeping?</t>
        </is>
      </c>
      <c r="C5676" t="inlineStr">
        <is>
          <t>Everything I've read says not to eat a couple of hours before bedtime, but I seem to have severe sleep disturbances from aspirating reflux if I've eaten anything within 10-12 hours of sleeping.
I'm on PPIs and I mainly get LPR symptoms but if I have noticeable reflux during the day, it seems like the same food is staying in my stomach a really long time after I eat. Does anyone else have experiences like this, or have any solutions? I find this level of fasting really difficult to maintain, especially since I can't have a single large meal per day because of the GERD.</t>
        </is>
      </c>
      <c r="D5676" t="n">
        <v>1</v>
      </c>
      <c r="E5676" t="n">
        <v>3</v>
      </c>
      <c r="F5676">
        <f>HYPERLINK("https://www.reddit.com/r/GERD/comments/ff4pn8/how_long_do_you_fast_between_eating_and_sleeping/")</f>
        <v/>
      </c>
      <c r="G5676" t="inlineStr">
        <is>
          <t>2020-03-07 16:52:22</t>
        </is>
      </c>
      <c r="H5676" t="inlineStr"/>
    </row>
    <row r="5677">
      <c r="A5677" t="inlineStr">
        <is>
          <t>ff5xus</t>
        </is>
      </c>
      <c r="B5677" t="inlineStr">
        <is>
          <t>Being hungry is causing me to have heartburn?</t>
        </is>
      </c>
      <c r="C5677" t="inlineStr">
        <is>
          <t>I used to have a lot of acid in my throat but I got it under control. Then started having heartburn this past holidays, took Prilosec and it went away. Then it came back and I took Prilosec again (maybe for a few days) and it went away but now it’s back. But the weird thing is most of my previously things were caused by spicy food and alcohol.
Now, it seems that I’m getting hungry every 3-5 hours and it’s causing me to have a lot of heartburn without acid in my throat. Is this common? Any solution? I took Prilosec the past 2 days but it’s not working (yet?)</t>
        </is>
      </c>
      <c r="D5677" t="n">
        <v>1</v>
      </c>
      <c r="E5677" t="n">
        <v>8</v>
      </c>
      <c r="F5677">
        <f>HYPERLINK("https://www.reddit.com/r/GERD/comments/ff5xus/being_hungry_is_causing_me_to_have_heartburn/")</f>
        <v/>
      </c>
      <c r="G5677" t="inlineStr">
        <is>
          <t>2020-03-07 18:26:40</t>
        </is>
      </c>
      <c r="H5677" t="inlineStr"/>
    </row>
    <row r="5678">
      <c r="A5678" t="inlineStr">
        <is>
          <t>ff64fi</t>
        </is>
      </c>
      <c r="B5678" t="inlineStr">
        <is>
          <t>Throat pain feels in pharynx area like a strep, is this is normal with LPR/GERD ?</t>
        </is>
      </c>
      <c r="C5678" t="inlineStr">
        <is>
          <t>My throat pain is always located in pharynx area since 5 months ago, worse in the mornings, all my LPR issues started after a cold, researching in a lot of forums, I see that the pain is located in the larynx area in a lot of the cases , in my case it feels always like a strep type of infection, my throat is all red and cobblestoned , my larynx show minimal signs of reflux, no diet no ppis are working to these day.</t>
        </is>
      </c>
      <c r="D5678" t="n">
        <v>1</v>
      </c>
      <c r="E5678" t="n">
        <v>16</v>
      </c>
      <c r="F5678">
        <f>HYPERLINK("https://www.reddit.com/r/GERD/comments/ff64fi/throat_pain_feels_in_pharynx_area_like_a_strep_is/")</f>
        <v/>
      </c>
      <c r="G5678" t="inlineStr">
        <is>
          <t>2020-03-07 18:40:35</t>
        </is>
      </c>
      <c r="H5678" t="inlineStr"/>
    </row>
    <row r="5679">
      <c r="A5679" t="inlineStr">
        <is>
          <t>ff8cg8</t>
        </is>
      </c>
      <c r="B5679" t="inlineStr">
        <is>
          <t>Confused about White rice??</t>
        </is>
      </c>
      <c r="C5679" t="inlineStr">
        <is>
          <t>So, I know that going on a low carb diet can help alleviate GERD symptoms, but I’m also confused because white rice isn’t necessarily a trigger for me. (I think) Unfortunately, if I don’t have rice, everything just tastes really salty or not right (as in if I just had only vegetables and meat). It serves as a medium for the side dishes I usually eat and I’ve been sticking to mainly healthy Korean food to help me heal. 
Should I just be safe and eliminate white rice? Is there any other substitute to white rice I can eat?</t>
        </is>
      </c>
      <c r="D5679" t="n">
        <v>1</v>
      </c>
      <c r="E5679" t="n">
        <v>3</v>
      </c>
      <c r="F5679">
        <f>HYPERLINK("https://www.reddit.com/r/GERD/comments/ff8cg8/confused_about_white_rice/")</f>
        <v/>
      </c>
      <c r="G5679" t="inlineStr">
        <is>
          <t>2020-03-07 21:49:02</t>
        </is>
      </c>
      <c r="H5679" t="inlineStr"/>
    </row>
    <row r="5680">
      <c r="A5680" t="inlineStr">
        <is>
          <t>ff91v3</t>
        </is>
      </c>
      <c r="B5680" t="inlineStr">
        <is>
          <t>Uvula Elongated, trouble breathing and scared to fall asleep</t>
        </is>
      </c>
      <c r="C5680" t="inlineStr">
        <is>
          <t>Hi all, I’m new to this reddit but unfortunately, not new to life with acid reflux. 
After living with reflux for almost a decade (and not taking medications, basically ignoring it), my symptoms have gotten so bad these past two weeks that today I had to go to urgent care because I couldn’t stand the difficulty breathing, bloating, dizziness, nausea, stomach pain and burning 24/7. 
I complained most to my doctor about the inability to breathe and the feeling that I was choking and all he did was give omeprazole and sent me home. 
Coming home and looking in the mirror I noticed my uvula seems swollen and the longer part that dangles keeps sticking to my tongue. When I swallow or try to take a deep breath in, it feels like my uvula is getting sucked down my throat, further stretching it. Only when I gag can the uvula curl up and let me take complete breaths.
Obviously I won’t keep gagging or else I’m pushing my stomach acids back up. But has this happened to anyone else? If I don’t gag, it feels like the uvula flesh just blocks my esophagus making it very hard to breathe, I’m scared to sleep and choke. 
Please, any advice or stories of how you dealt with it are greatly appreciated!</t>
        </is>
      </c>
      <c r="D5680" t="n">
        <v>1</v>
      </c>
      <c r="E5680" t="n">
        <v>1</v>
      </c>
      <c r="F5680">
        <f>HYPERLINK("https://www.reddit.com/r/GERD/comments/ff91v3/uvula_elongated_trouble_breathing_and_scared_to/")</f>
        <v/>
      </c>
      <c r="G5680" t="inlineStr">
        <is>
          <t>2020-03-07 23:03:13</t>
        </is>
      </c>
      <c r="H5680" t="inlineStr"/>
    </row>
    <row r="5681">
      <c r="A5681" t="inlineStr">
        <is>
          <t>ff9bvq</t>
        </is>
      </c>
      <c r="B5681" t="inlineStr">
        <is>
          <t>Everything making a bit more sense</t>
        </is>
      </c>
      <c r="C5681" t="inlineStr">
        <is>
          <t>Hello,
I didnt know I can relate to most of your posts on here. Reading every one of your stories, it is all making sense now. 
I went to see my GP yesterday after finally admitting to myself something is wrong. That this is not dental or hygiene issues. Everytime I talk to someone, I can see their face reaction changed, or they kind of turn away. In public transport service, people move away from me, like I carry this smelly aura that repels even mosquito (if we have them here). I went to bars and people starring at me. Even when I close my mouth and didnt speak, the exhalation from nose seems to affect those around me. Also if this thing at its worst, I have gassy sewer like taste in my mouth.
I suffer from anxiety before all this. So I thought this was all in my head. That I am just being paranoid. I asked my friends if I have bad breath and they say I dont. It’s annoying and very frustrating to hear this and experience another thing. I was losing my mind and don’t have the will to go out and even go to work. I walk to work and back now avoiding public transport.
So after I finally see my GP he diagnose this as severe acid reflux. I never had heartburn kind of feeling, just burping and trapped wind most of the time. He prescribed me with omeprazole twice a day and doing this for at least a week or two before doing gastro investigation if this is not something more serious. 
I am still looking ways of to control my bad breath (if I can) and please do not mention dental hygiene, I know what I’m doing there. Any tips for controlling this dragon breath will be much appreciated</t>
        </is>
      </c>
      <c r="D5681" t="n">
        <v>1</v>
      </c>
      <c r="E5681" t="n">
        <v>2</v>
      </c>
      <c r="F5681">
        <f>HYPERLINK("https://www.reddit.com/r/GERD/comments/ff9bvq/everything_making_a_bit_more_sense/")</f>
        <v/>
      </c>
      <c r="G5681" t="inlineStr">
        <is>
          <t>2020-03-07 23:33:11</t>
        </is>
      </c>
      <c r="H5681" t="inlineStr"/>
    </row>
    <row r="5682">
      <c r="A5682" t="inlineStr">
        <is>
          <t>ffanap</t>
        </is>
      </c>
      <c r="B5682" t="inlineStr">
        <is>
          <t>Domperidone (brand name Motilium)</t>
        </is>
      </c>
      <c r="C5682" t="inlineStr">
        <is>
          <t>Wondering if anyone has tried this? I’ve been prescribed it as a trial by a pulmonologist as LPR has triggered adult onset asthma (thankfully now under control, and could have been 3 years ago had doctors just referred me to a pulmonologist instead of insisting it was anxiety, but that’s another story).
Apparently it empties your stomach faster so reduces reflux. I’m reluctant though because often I get bad symptoms on an empty stomach that are relieved by eating a decent warm meal. Wondered if others have any experience? Thanks!</t>
        </is>
      </c>
      <c r="D5682" t="n">
        <v>1</v>
      </c>
      <c r="E5682" t="n">
        <v>3</v>
      </c>
      <c r="F5682">
        <f>HYPERLINK("https://www.reddit.com/r/GERD/comments/ffanap/domperidone_brand_name_motilium/")</f>
        <v/>
      </c>
      <c r="G5682" t="inlineStr">
        <is>
          <t>2020-03-08 03:07:12</t>
        </is>
      </c>
      <c r="H5682" t="inlineStr"/>
    </row>
    <row r="5683">
      <c r="A5683" t="inlineStr">
        <is>
          <t>ffasi6</t>
        </is>
      </c>
      <c r="B5683" t="inlineStr">
        <is>
          <t>Do the symptoms sound like GERD?</t>
        </is>
      </c>
      <c r="C5683" t="inlineStr">
        <is>
          <t>I just randomly stumbled upon this sub while researching another problem I had and realized that I have some of the symptoms mentioned here. I'll definitely be asking my doc to check all that out for me regardless, but still want to hear some opinions from you. Do you think this could be GERD or LPR? Thanks for any replies in advance.
I'm 21 male. Ever since I was a kid, from time to time, I would get heartburn when I would lay on my back. That would happen very rarely, maybe 2-4 times a year. It still happens at this rate, but this summer I had a particularly strong &amp;amp; painful heartburn, which shook me up a little bit, but it was so brief that I kind of forgot about it. Also, 2 years ago I was infected with mononucleosis. Ever since then, I've started having greenish mucus accumulation (sorry for the details) in the lower area of my throat. It's nothing critical, but I do have to spit it out every morning. I also sometimes feel like something is stuck in my throat. Oh, and lastly, in the past couple of years I've started to burp as well. Sounds silly to mention, but before that I've never burped in my life (seriously, I remember how my older brother learned to burp as a kid and I really wanted to do it too but never could lol).</t>
        </is>
      </c>
      <c r="D5683" t="n">
        <v>1</v>
      </c>
      <c r="E5683" t="n">
        <v>2</v>
      </c>
      <c r="F5683">
        <f>HYPERLINK("https://www.reddit.com/r/GERD/comments/ffasi6/do_the_symptoms_sound_like_gerd/")</f>
        <v/>
      </c>
      <c r="G5683" t="inlineStr">
        <is>
          <t>2020-03-08 03:24:00</t>
        </is>
      </c>
      <c r="H5683" t="inlineStr"/>
    </row>
    <row r="5684">
      <c r="A5684" t="inlineStr">
        <is>
          <t>ffbr6s</t>
        </is>
      </c>
      <c r="B5684" t="inlineStr">
        <is>
          <t>Chest pain since more than a month</t>
        </is>
      </c>
      <c r="C5684" t="inlineStr">
        <is>
          <t>Hi everyone,
I'm fairly new but i thought that it would be reassuring to share my experience and why not having some input from you. 
It all started on february 7th, while watching tv. I felt a sudden pain in my chest, a very heavy feeling and heart palpitations. Earlier that day, i threw up pretty violently because of my periods and i think it came from that. It alternates between a sharp, burning feeling, some kind of numbness in the middle of my chest, in my sternum too. It accentuates when i breath, when i laugh or when i cough, also when i'm leaning my back against something. I immediately went to the emergencies because that feeling was new to me. I did everything i could: multiples ecg, i went to a cardiologist, multiple blood tests, x-rays.... and i even did a gastroscopy and a biopsy two days ago. They found nothing. I thought about a pulled muscle but i'm not sure anymore.
Sometimes i feel better and i thought it was finally over after the gastroscopy. But this morning i felt a horrible burning feeling in my chest/sternum also in my stomach and i heard about the potential risks of the endoscopy. 
Now i can't help but think that the gastroscopy worsened my state instead of reassuring me. I choked a lot during the process, like if i was about to throw up and i know it's normal but what if it broke something, like my esophagus? Or what if i pulled a muscle again? 
I also swallowed multiple times when the tube was inside of me even if they told me not to (i couldn't help it). When i told them i was afraid it could have done something, they reassured me and told me it was no big deal but god i can't help but think that i did a terrible mistake. 
Right now i still feel that weight in my chest/sternum and i feel like i went back to where it all started and that nothing changed. 
What do you think?</t>
        </is>
      </c>
      <c r="D5684" t="n">
        <v>1</v>
      </c>
      <c r="E5684" t="n">
        <v>0</v>
      </c>
      <c r="F5684">
        <f>HYPERLINK("https://www.reddit.com/r/GERD/comments/ffbr6s/chest_pain_since_more_than_a_month/")</f>
        <v/>
      </c>
      <c r="G5684" t="inlineStr">
        <is>
          <t>2020-03-08 05:14:09</t>
        </is>
      </c>
      <c r="H5684" t="inlineStr"/>
    </row>
    <row r="5685">
      <c r="A5685" t="inlineStr">
        <is>
          <t>ffcc3o</t>
        </is>
      </c>
      <c r="B5685" t="inlineStr">
        <is>
          <t>My h pylori stool test came back negative, but I drank beer and ate junk food the day before the test</t>
        </is>
      </c>
      <c r="C5685" t="inlineStr">
        <is>
          <t>I read that alcohol can lower h pylori, so is it possible that during the test the beer that was in my gut killed all the h pylori in my poo but i still have it in my stomach?
&amp;gt;. Those who drank three to six weekly glasses of wine had 11% fewer H. pylori infections. Drinking more than six glasses per week decreased infections by another 6%.
source: https://www.webmd.com/heartburn-gerd/news/20021230/with-beer-wine-stomachs-fine
so if its not h pylori, what else could be causing my GERD? I thought H pylori was the root cause of gerd?</t>
        </is>
      </c>
      <c r="D5685" t="n">
        <v>1</v>
      </c>
      <c r="E5685" t="n">
        <v>6</v>
      </c>
      <c r="F5685">
        <f>HYPERLINK("https://www.reddit.com/r/GERD/comments/ffcc3o/my_h_pylori_stool_test_came_back_negative_but_i/")</f>
        <v/>
      </c>
      <c r="G5685" t="inlineStr">
        <is>
          <t>2020-03-08 06:11:08</t>
        </is>
      </c>
      <c r="H5685" t="inlineStr"/>
    </row>
    <row r="5686">
      <c r="A5686" t="inlineStr">
        <is>
          <t>ffcma8</t>
        </is>
      </c>
      <c r="B5686" t="inlineStr">
        <is>
          <t>Trouble getting enough calories in a day, any meal tips?</t>
        </is>
      </c>
      <c r="C5686" t="inlineStr">
        <is>
          <t>I have been having so much trouble eating through this entire GERD/LPR experience. I know I have to eat and I try to force myself, but if it triggers an “episode” where I start to get tight throat, mucus in throat, burning, etc. I feel like I have to stop. I haven’t been eating anything acidic or anything I wasn’t supposed to be. This has been happening inconsistently lately. Some days I’ve only gotten 800 calories in which I know isn’t safe. I’m trying to aim for 1200, but my regular has been 1000 for the last two weeks probably. This is still too low and I know that. I’m just having a really hard time lately. I’m a week on protonix and taking Pepcid as I need to and it does seem to finally possibly be working, and I’m starving. I’m pretty dizzy and weak from not eating enough so I’m hoping to have a good day today and really fill myself up. Thanks in advance.</t>
        </is>
      </c>
      <c r="D5686" t="n">
        <v>1</v>
      </c>
      <c r="E5686" t="n">
        <v>12</v>
      </c>
      <c r="F5686">
        <f>HYPERLINK("https://www.reddit.com/r/GERD/comments/ffcma8/trouble_getting_enough_calories_in_a_day_any_meal/")</f>
        <v/>
      </c>
      <c r="G5686" t="inlineStr">
        <is>
          <t>2020-03-08 06:35:50</t>
        </is>
      </c>
      <c r="H5686" t="inlineStr"/>
    </row>
    <row r="5687">
      <c r="A5687" t="inlineStr">
        <is>
          <t>ffcs6j</t>
        </is>
      </c>
      <c r="B5687" t="inlineStr">
        <is>
          <t>hunger-like pangs acid reflux?</t>
        </is>
      </c>
      <c r="C5687" t="inlineStr">
        <is>
          <t>i don’t have the typical symptoms of acid reflux, like heart burn. i only have intense hunger pangs that wake me at night, and ive tried everything under the sun to relieve them... food, water, supplements. the only thing that‘s worked is prilosec (temporarily and makes me feel awful), teas for throat health with licorice and slippery elm, and apple cider vinegar. 
is this acid reflux? should i stop all antacids and just use ACV? thank you! 
TL;DR wondering if hunger pangs are a sign of acid reflux and if i should stop antacids and just use ACV.</t>
        </is>
      </c>
      <c r="D5687" t="n">
        <v>1</v>
      </c>
      <c r="E5687" t="n">
        <v>2</v>
      </c>
      <c r="F5687">
        <f>HYPERLINK("https://www.reddit.com/r/GERD/comments/ffcs6j/hungerlike_pangs_acid_reflux/")</f>
        <v/>
      </c>
      <c r="G5687" t="inlineStr">
        <is>
          <t>2020-03-08 06:51:12</t>
        </is>
      </c>
      <c r="H5687" t="inlineStr"/>
    </row>
    <row r="5688">
      <c r="A5688" t="inlineStr">
        <is>
          <t>ffe7a9</t>
        </is>
      </c>
      <c r="B5688" t="inlineStr">
        <is>
          <t>Stress was a huge factor for me</t>
        </is>
      </c>
      <c r="C5688" t="inlineStr">
        <is>
          <t>When I was diagnosed with GERD, my GP told me he thought that stress was the number one reason for GERD, that it didn't matter what I ate. After seeing a specialist, getting a gastroscopy and finding there is a physical problem there, I pretty much wrote off my GP's opinion. However, over the course of the last two years, I still found that my bad GERD days were still relatively random compared to how I was eating. For example, I would be on vacation, drinking alcohol and eating fatty, mildly spicy foods and showing few symptoms and then on days where I was home eating salad and tofu, I would have random flare-ups. The entire time, I was taking Omeprazole daily. 
So I decided to see a therapist to see if I could reduce my natural anxious tendency and to see if that would help. I started seeing a cognitive-behavioral therapist a few weeks ago and already, I'm seeing amazing results. It's been a lot of effort to control my anxiety, but I'm not waking up with my throat in pain and covered in phlegm. I even ate half a pizza with tomato sauce (!) for the first time in like a year and a half, and it didn't have any bad effect. I'm starting to think the GP was onto something. 
My ultimate goal is to see if I can phase out reflux medication because I don't want to be on those forever. I don't feel confident enough to do that yet, but I'm feeling hopeful. If you've tried every medical and physical alternative, I recommend trying to reduce your stress and seeing if that works for you.</t>
        </is>
      </c>
      <c r="D5688" t="n">
        <v>1</v>
      </c>
      <c r="E5688" t="n">
        <v>7</v>
      </c>
      <c r="F5688">
        <f>HYPERLINK("https://www.reddit.com/r/GERD/comments/ffe7a9/stress_was_a_huge_factor_for_me/")</f>
        <v/>
      </c>
      <c r="G5688" t="inlineStr">
        <is>
          <t>2020-03-08 08:41:10</t>
        </is>
      </c>
      <c r="H5688" t="inlineStr"/>
    </row>
    <row r="5689">
      <c r="A5689" t="inlineStr">
        <is>
          <t>ffff84</t>
        </is>
      </c>
      <c r="B5689" t="inlineStr">
        <is>
          <t>Overcome Symptoms Naturally</t>
        </is>
      </c>
      <c r="C5689" t="inlineStr">
        <is>
          <t>Are you tired of taking medications that don’t work? I’ve come up with a method to help overcome acid reflux symptoms naturally, If your interested COMMENT BELOW!</t>
        </is>
      </c>
      <c r="D5689" t="n">
        <v>1</v>
      </c>
      <c r="E5689" t="n">
        <v>3</v>
      </c>
      <c r="F5689">
        <f>HYPERLINK("https://www.reddit.com/r/GERD/comments/ffff84/overcome_symptoms_naturally/")</f>
        <v/>
      </c>
      <c r="G5689" t="inlineStr">
        <is>
          <t>2020-03-08 10:05:45</t>
        </is>
      </c>
      <c r="H5689" t="inlineStr"/>
    </row>
    <row r="5690">
      <c r="A5690" t="inlineStr">
        <is>
          <t>ffg10u</t>
        </is>
      </c>
      <c r="B5690" t="inlineStr">
        <is>
          <t>Anyone tried oregano oil?</t>
        </is>
      </c>
      <c r="C5690" t="inlineStr">
        <is>
          <t>Hi! I was wondering if any of you tried oregano oil for GERD? I know some people felt bad after this kind of treatment but from what I've seen they often drank a few drops a day (and usually undiluted). I was just thinking of trying it out with one drop a day and dilute it with olive oil. I'm already taking probiotics twice a day so I feel prepared. What are your thoughts on this?</t>
        </is>
      </c>
      <c r="D5690" t="n">
        <v>1</v>
      </c>
      <c r="E5690" t="n">
        <v>0</v>
      </c>
      <c r="F5690">
        <f>HYPERLINK("https://www.reddit.com/r/GERD/comments/ffg10u/anyone_tried_oregano_oil/")</f>
        <v/>
      </c>
      <c r="G5690" t="inlineStr">
        <is>
          <t>2020-03-08 10:46:33</t>
        </is>
      </c>
      <c r="H5690" t="inlineStr"/>
    </row>
    <row r="5691">
      <c r="A5691" t="inlineStr">
        <is>
          <t>ffg9l9</t>
        </is>
      </c>
      <c r="B5691" t="inlineStr">
        <is>
          <t>GERD Came Back After Coughing Lots</t>
        </is>
      </c>
      <c r="C5691" t="inlineStr">
        <is>
          <t>I have a hiatal hernia that hasnt caused me issues in quite awhile. But recently I had a sinus cold and had a lot of post nasal drip that caused a lot of coughing. That coughing has brought back my reflux. In the mornings before I eat I just burp. Then when I finally eat the burping stops but then I start getting the sour taste in my mouth. Should I go to the doctor or just continue with H2 Blockers and Gaviscon for a week to see if it goes away</t>
        </is>
      </c>
      <c r="D5691" t="n">
        <v>1</v>
      </c>
      <c r="E5691" t="n">
        <v>1</v>
      </c>
      <c r="F5691">
        <f>HYPERLINK("https://www.reddit.com/r/GERD/comments/ffg9l9/gerd_came_back_after_coughing_lots/")</f>
        <v/>
      </c>
      <c r="G5691" t="inlineStr">
        <is>
          <t>2020-03-08 11:01:55</t>
        </is>
      </c>
      <c r="H5691" t="inlineStr"/>
    </row>
    <row r="5692">
      <c r="A5692" t="inlineStr">
        <is>
          <t>fficxz</t>
        </is>
      </c>
      <c r="B5692" t="inlineStr">
        <is>
          <t>Went to the Doctors</t>
        </is>
      </c>
      <c r="C5692" t="inlineStr">
        <is>
          <t>I finally saw a GI specialist after 8 years of fairly consistent heartburn. I argued with him for 15 minutes because I told him I want to figure out what causes my heart burn not just put a band-aid on the problem with meds. He said my stomach produces too much acid and my stomach doesn’t have taste buds so it doesn’t know what I’m eating? WHAT?</t>
        </is>
      </c>
      <c r="D5692" t="n">
        <v>1</v>
      </c>
      <c r="E5692" t="n">
        <v>8</v>
      </c>
      <c r="F5692">
        <f>HYPERLINK("https://www.reddit.com/r/GERD/comments/fficxz/went_to_the_doctors/")</f>
        <v/>
      </c>
      <c r="G5692" t="inlineStr">
        <is>
          <t>2020-03-08 13:15:48</t>
        </is>
      </c>
      <c r="H5692" t="inlineStr"/>
    </row>
    <row r="5693">
      <c r="A5693" t="inlineStr">
        <is>
          <t>ffjlxr</t>
        </is>
      </c>
      <c r="B5693" t="inlineStr">
        <is>
          <t>Seeking recommendations for most lpr/gerd friendly nicotine gum brands/flavours</t>
        </is>
      </c>
      <c r="C5693" t="inlineStr">
        <is>
          <t>First off I kno nicotine gum is bad for gerd, wat I don’t kno is abt the experiences of fellow gerd sufferers whove continued using gum or have sought or found a more friendly nicotine gum. Would be very grateful for brands n flavour recommendations. Many thanks</t>
        </is>
      </c>
      <c r="D5693" t="n">
        <v>1</v>
      </c>
      <c r="E5693" t="n">
        <v>2</v>
      </c>
      <c r="F5693">
        <f>HYPERLINK("https://www.reddit.com/r/GERD/comments/ffjlxr/seeking_recommendations_for_most_lprgerd_friendly/")</f>
        <v/>
      </c>
      <c r="G5693" t="inlineStr">
        <is>
          <t>2020-03-08 14:35:50</t>
        </is>
      </c>
      <c r="H5693" t="inlineStr"/>
    </row>
    <row r="5694">
      <c r="A5694" t="inlineStr">
        <is>
          <t>ffjs77</t>
        </is>
      </c>
      <c r="B5694" t="inlineStr">
        <is>
          <t>Anyone else have PPIs make their poop pale?</t>
        </is>
      </c>
      <c r="C5694" t="inlineStr">
        <is>
          <t>Hi! ( 30 f )My GERD tore me up pretty bad due to stress recently  including triggering severe diarrhea so 4 days ago the docs put me on a PPI and sucrulafate (sp) but ever since then my craps have been like borderline Grey light light brown. 
When I asked the pharmacist he didn’t give me a direct answer.  anyone else have this happen?</t>
        </is>
      </c>
      <c r="D5694" t="n">
        <v>1</v>
      </c>
      <c r="E5694" t="n">
        <v>0</v>
      </c>
      <c r="F5694">
        <f>HYPERLINK("https://www.reddit.com/r/GERD/comments/ffjs77/anyone_else_have_ppis_make_their_poop_pale/")</f>
        <v/>
      </c>
      <c r="G5694" t="inlineStr">
        <is>
          <t>2020-03-08 14:47:25</t>
        </is>
      </c>
      <c r="H5694" t="inlineStr"/>
    </row>
    <row r="5695">
      <c r="A5695" t="inlineStr">
        <is>
          <t>ffkjw8</t>
        </is>
      </c>
      <c r="B5695" t="inlineStr">
        <is>
          <t>Is it possible that H Pylori causing my reflux symptoms?</t>
        </is>
      </c>
      <c r="C5695" t="inlineStr">
        <is>
          <t>So my symptoms started with strong burning acid feeling in my stomach which made me go to ER and reflux that become really frequent. Did a endoscopy and they detected chronic gastritis spread through my stomach which was created by H. Pylori and Bile Reflux, the doctor said the effectiveness of PPI in this case is not very good because they don't bock bile acid. Endoscopy didnt find any hernia or damage on the throat.
Omeprazole +  sucralfate solved the symptoms on my stomach but they did nothing against my reflux. Now I'm taking Pylera since today to get rid of H Pylori and hope the symptoms are going to be solved. Any advice on what to expect and what I can do to improve the side effects of that medicine? Can H Pylori explain my very strong reflux since i have no hernia? I'm constantly swallowing, its annoying and I barely slept in 2 months...</t>
        </is>
      </c>
      <c r="D5695" t="n">
        <v>1</v>
      </c>
      <c r="E5695" t="n">
        <v>2</v>
      </c>
      <c r="F5695">
        <f>HYPERLINK("https://www.reddit.com/r/GERD/comments/ffkjw8/is_it_possible_that_h_pylori_causing_my_reflux/")</f>
        <v/>
      </c>
      <c r="G5695" t="inlineStr">
        <is>
          <t>2020-03-08 15:38:57</t>
        </is>
      </c>
      <c r="H5695" t="inlineStr"/>
    </row>
    <row r="5696">
      <c r="A5696" t="inlineStr">
        <is>
          <t>ffkqme</t>
        </is>
      </c>
      <c r="B5696" t="inlineStr">
        <is>
          <t>My theory (globus / chronic reflux / SIBO)</t>
        </is>
      </c>
      <c r="C5696" t="inlineStr">
        <is>
          <t>I can't speak for everyone, but I've been trying to figure out WHY I've been getting chronic reflux (which 4x75mg ranitidine seems to tame relatively well). 
My first guess is SIBO which I am trying to tame with a FODMAP / low carb / low sugar diet (on week 1, still having symptoms despite ranitidine. TBH what I eat doesn't seem to affect my symptoms so much as how much I eat). 
The other is that this globus sensation / mucous (whatever you want to call it) is causing me to salivate and swallow a lot. The saliva is filled with air bubbles which cause air pressure in my stomach which causes the LES to reverse open and allow contents to flow upward (burps basically). 
This is all certainly the definition of "vicious cycle" I just don't know where to cut the cycle off and continue on the correct path. I'm not willing to accept that "this is how things are" from now on. Everything's got a reason and I'm bound to figure it out. 
Has anyone else dealt with this globus successfully? I think that it may be one of the final barriers between me and being GERD free at this point ..</t>
        </is>
      </c>
      <c r="D5696" t="n">
        <v>1</v>
      </c>
      <c r="E5696" t="n">
        <v>8</v>
      </c>
      <c r="F5696">
        <f>HYPERLINK("https://www.reddit.com/r/GERD/comments/ffkqme/my_theory_globus_chronic_reflux_sibo/")</f>
        <v/>
      </c>
      <c r="G5696" t="inlineStr">
        <is>
          <t>2020-03-08 15:51:59</t>
        </is>
      </c>
      <c r="H5696" t="inlineStr"/>
    </row>
    <row r="5697">
      <c r="A5697" t="inlineStr">
        <is>
          <t>ffl0zj</t>
        </is>
      </c>
      <c r="B5697" t="inlineStr">
        <is>
          <t>Opinion: Too many “Do I have GERD?” posts here</t>
        </is>
      </c>
      <c r="C5697" t="inlineStr">
        <is>
          <t>I might just be cynical, but the subscribers to this sub aren’t doctors (might be some of you in there...) and this isn’t a place to list your extremely specific symptoms and circumstances and try to see if someone can diagnose you with GERD. The only person who can tell you if what you have is GERD is a gastroenterologist. 
I understand sharing symptoms to see if anyone else has experienced them or if they’re unique, etc. because that’s what a lot of this subreddit is about, but the constant “Do I have GERD?” or “does this sound like GERD?” posts are a lot and I feel like the mods should mention in the about info that people shouldn’t come here seeking true medical advice. Only a doctor can diagnose you. I understand not knowing what’s wrong with you and wanting to just get feedback from anyone that will listen, but unfortunately in the case of GERD, the symptoms vary widely and look different in almost everyone, so a doctor is truly the only way to know.</t>
        </is>
      </c>
      <c r="D5697" t="n">
        <v>1</v>
      </c>
      <c r="E5697" t="n">
        <v>35</v>
      </c>
      <c r="F5697">
        <f>HYPERLINK("https://www.reddit.com/r/GERD/comments/ffl0zj/opinion_too_many_do_i_have_gerd_posts_here/")</f>
        <v/>
      </c>
      <c r="G5697" t="inlineStr">
        <is>
          <t>2020-03-08 16:11:33</t>
        </is>
      </c>
      <c r="H5697" t="inlineStr"/>
    </row>
    <row r="5698">
      <c r="A5698" t="inlineStr">
        <is>
          <t>fflclm</t>
        </is>
      </c>
      <c r="B5698" t="inlineStr">
        <is>
          <t>Acid reflux coupled with anxiety causing nausea.</t>
        </is>
      </c>
      <c r="C5698" t="inlineStr">
        <is>
          <t>Earlier in the day I was very nauseous but I was able to keep my food down. The nausea has gotten better as the day has gone on, generally, but I didn’t realize it was due to acid reflux until just a little ago. I don’t have “heartburn” but I have a feeling in my throat/chest (collarbone area) where it feels tickly, like a cough, but my coughs are always dry and not croup at all. I can now taste my stomach acid in my mouth, though. Are there any OTC medications that can put a stop to this? This coupled with my hypochondria are making nausea so bad that I’m afraid to go to class tomorrow. I have licorice root tablets that my mom took when she dealt with acid reflux. Any help is much appreciated.</t>
        </is>
      </c>
      <c r="D5698" t="n">
        <v>1</v>
      </c>
      <c r="E5698" t="n">
        <v>0</v>
      </c>
      <c r="F5698">
        <f>HYPERLINK("https://www.reddit.com/r/GERD/comments/fflclm/acid_reflux_coupled_with_anxiety_causing_nausea/")</f>
        <v/>
      </c>
      <c r="G5698" t="inlineStr">
        <is>
          <t>2020-03-08 16:34:15</t>
        </is>
      </c>
      <c r="H5698" t="inlineStr"/>
    </row>
    <row r="5699">
      <c r="A5699" t="inlineStr">
        <is>
          <t>ffnpe2</t>
        </is>
      </c>
      <c r="B5699" t="inlineStr">
        <is>
          <t>Does anybody have any remedies for nausea?</t>
        </is>
      </c>
      <c r="C5699" t="inlineStr">
        <is>
          <t>I’m dealing with almost constant minor nausea (haven’t thrown up yet) and clamminess. It’s been going on for a little less than a week so I’m not sure if I have GERD or just a little bout of reflux going on. I can taste the stomach acid in my mouth as of now. Ginger chews helped earlier but is there anything else I can do to stop the nausea? I do have anxiety which may be worsening it. Thank you and god bless to anyone with any suggestions.</t>
        </is>
      </c>
      <c r="D5699" t="n">
        <v>1</v>
      </c>
      <c r="E5699" t="n">
        <v>14</v>
      </c>
      <c r="F5699">
        <f>HYPERLINK("https://www.reddit.com/r/GERD/comments/ffnpe2/does_anybody_have_any_remedies_for_nausea/")</f>
        <v/>
      </c>
      <c r="G5699" t="inlineStr">
        <is>
          <t>2020-03-08 19:27:46</t>
        </is>
      </c>
      <c r="H5699" t="inlineStr"/>
    </row>
    <row r="5700">
      <c r="A5700" t="inlineStr">
        <is>
          <t>ffotfb</t>
        </is>
      </c>
      <c r="B5700" t="inlineStr">
        <is>
          <t>hypertensive lower esophageal sphincter</t>
        </is>
      </c>
      <c r="C5700" t="inlineStr">
        <is>
          <t>has anybody ever  have hypertensive lower esophageal sphincter or a throat motility abnormality and if you did what was the treatment?</t>
        </is>
      </c>
      <c r="D5700" t="n">
        <v>1</v>
      </c>
      <c r="E5700" t="n">
        <v>1</v>
      </c>
      <c r="F5700">
        <f>HYPERLINK("https://www.reddit.com/r/GERD/comments/ffotfb/hypertensive_lower_esophageal_sphincter/")</f>
        <v/>
      </c>
      <c r="G5700" t="inlineStr">
        <is>
          <t>2020-03-08 20:54:21</t>
        </is>
      </c>
      <c r="H5700" t="inlineStr"/>
    </row>
    <row r="5701">
      <c r="A5701" t="inlineStr">
        <is>
          <t>ffppni</t>
        </is>
      </c>
      <c r="B5701" t="inlineStr">
        <is>
          <t>What particular foods SERIOUSLY trigger your GERD?</t>
        </is>
      </c>
      <c r="C5701" t="inlineStr">
        <is>
          <t>For me personally, chocolate, cheese and coffee by far give me the worst GERD reactions.
What are your top trigger foods?</t>
        </is>
      </c>
      <c r="D5701" t="n">
        <v>1</v>
      </c>
      <c r="E5701" t="n">
        <v>14</v>
      </c>
      <c r="F5701">
        <f>HYPERLINK("https://www.reddit.com/r/GERD/comments/ffppni/what_particular_foods_seriously_trigger_your_gerd/")</f>
        <v/>
      </c>
      <c r="G5701" t="inlineStr">
        <is>
          <t>2020-03-08 22:11:58</t>
        </is>
      </c>
      <c r="H5701" t="inlineStr"/>
    </row>
    <row r="5702">
      <c r="A5702" t="inlineStr">
        <is>
          <t>ffqd85</t>
        </is>
      </c>
      <c r="B5702" t="inlineStr">
        <is>
          <t>Is it safe to sleep with LPR?</t>
        </is>
      </c>
      <c r="C5702" t="inlineStr">
        <is>
          <t>After a little research I’m almost positive I have LPR. Most sites say it isn’t a severe condition unless it goes untreated long term, but I also read it can cause choking? I’m scared to go to sleep now out of fear that acid could get into my throat. Does anyone here with LPR know if it’s common to have choking problems?</t>
        </is>
      </c>
      <c r="D5702" t="n">
        <v>1</v>
      </c>
      <c r="E5702" t="n">
        <v>7</v>
      </c>
      <c r="F5702">
        <f>HYPERLINK("https://www.reddit.com/r/GERD/comments/ffqd85/is_it_safe_to_sleep_with_lpr/")</f>
        <v/>
      </c>
      <c r="G5702" t="inlineStr">
        <is>
          <t>2020-03-08 23:16:09</t>
        </is>
      </c>
      <c r="H5702" t="inlineStr"/>
    </row>
    <row r="5703">
      <c r="A5703" t="inlineStr">
        <is>
          <t>fftein</t>
        </is>
      </c>
      <c r="B5703" t="inlineStr">
        <is>
          <t>Feeling like can’t breathe unless water or food is going down my throat.</t>
        </is>
      </c>
      <c r="C5703" t="inlineStr">
        <is>
          <t>Anyone else have this? 
I feel out of breath upon any exertion and sometimes when I’m just sitting. I feel like I can’t take a deep breath unless I’m swallowing food or drinking water, otherwise I can’t take a deep breath. Gulping basically allows me to breathe and if I over do it, it feels like my throat is closing up.
Anyone else suffer with this?</t>
        </is>
      </c>
      <c r="D5703" t="n">
        <v>1</v>
      </c>
      <c r="E5703" t="n">
        <v>9</v>
      </c>
      <c r="F5703">
        <f>HYPERLINK("https://www.reddit.com/r/GERD/comments/fftein/feeling_like_cant_breathe_unless_water_or_food_is/")</f>
        <v/>
      </c>
      <c r="G5703" t="inlineStr">
        <is>
          <t>2020-03-09 04:43:28</t>
        </is>
      </c>
      <c r="H5703" t="inlineStr"/>
    </row>
    <row r="5704">
      <c r="A5704" t="inlineStr">
        <is>
          <t>fftmi2</t>
        </is>
      </c>
      <c r="B5704" t="inlineStr">
        <is>
          <t>Beating</t>
        </is>
      </c>
      <c r="C5704" t="inlineStr">
        <is>
          <t>Does anyone have episodes of feeling like extra heart beats with a slight taking off your breath ?  Possibly triggered by gerd/reflux?  Happens to me every so often and wonder if they are related.</t>
        </is>
      </c>
      <c r="D5704" t="n">
        <v>1</v>
      </c>
      <c r="E5704" t="n">
        <v>16</v>
      </c>
      <c r="F5704">
        <f>HYPERLINK("https://www.reddit.com/r/GERD/comments/fftmi2/beating/")</f>
        <v/>
      </c>
      <c r="G5704" t="inlineStr">
        <is>
          <t>2020-03-09 05:04:08</t>
        </is>
      </c>
      <c r="H5704" t="inlineStr"/>
    </row>
    <row r="5705">
      <c r="A5705" t="inlineStr">
        <is>
          <t>ffutpr</t>
        </is>
      </c>
      <c r="B5705" t="inlineStr">
        <is>
          <t>Starbucks Coffee Recommendations?</t>
        </is>
      </c>
      <c r="C5705" t="inlineStr">
        <is>
          <t>Anyone have suggestions for what they order at Starbucks? I typically get a caramel latte with coconut milk but I am wondering if there is something less triggering I could be getting that is similar.
Also, what’s the best milk to use? I’ve heard many different opinions.</t>
        </is>
      </c>
      <c r="D5705" t="n">
        <v>1</v>
      </c>
      <c r="E5705" t="n">
        <v>9</v>
      </c>
      <c r="F5705">
        <f>HYPERLINK("https://www.reddit.com/r/GERD/comments/ffutpr/starbucks_coffee_recommendations/")</f>
        <v/>
      </c>
      <c r="G5705" t="inlineStr">
        <is>
          <t>2020-03-09 06:41:38</t>
        </is>
      </c>
      <c r="H5705" t="inlineStr"/>
    </row>
    <row r="5706">
      <c r="A5706" t="inlineStr">
        <is>
          <t>ffw5kx</t>
        </is>
      </c>
      <c r="B5706" t="inlineStr">
        <is>
          <t>Terrified of possible LPR. Anyone able to give me some peace of mind?</t>
        </is>
      </c>
      <c r="C5706" t="inlineStr">
        <is>
          <t>I’m aware that anxiety can worsen symptoms of acid reflux and mine is really going crazy right now. I believe I have LPR because I don’t have the classic “burning” in the chest. I have globus sensation, a tickly cough, nausea, and a taste of acid in the back of my mouth. This has only been going on for a few days. I didn’t have any globus sensation or reflux during the first part of yesterday, only nausea. My reflux only occurred right before dinner last night and that’s when I started to get the vomity taste in my mouth. 
I slept a full 6 hours straight last night and woke up comfortably but I’m terrified of choking on acid in my sleep. I’m also scared of developing lung or bronchi problems from this. I’ve read that LPR is only dangerous long term but it sounds scary. I plan on seeing a doctor about this but in your experience, are H2 blockers or PPIs better? Thank you to anyone who comments.</t>
        </is>
      </c>
      <c r="D5706" t="n">
        <v>1</v>
      </c>
      <c r="E5706" t="n">
        <v>3</v>
      </c>
      <c r="F5706">
        <f>HYPERLINK("https://www.reddit.com/r/GERD/comments/ffw5kx/terrified_of_possible_lpr_anyone_able_to_give_me/")</f>
        <v/>
      </c>
      <c r="G5706" t="inlineStr">
        <is>
          <t>2020-03-09 08:15:07</t>
        </is>
      </c>
      <c r="H5706" t="inlineStr"/>
    </row>
    <row r="5707">
      <c r="A5707" t="inlineStr">
        <is>
          <t>ffwx1c</t>
        </is>
      </c>
      <c r="B5707" t="inlineStr">
        <is>
          <t>Question</t>
        </is>
      </c>
      <c r="C5707" t="inlineStr">
        <is>
          <t>I was taking Ranitidine (Glenmark) and now apparently it was recalled and now the one they gave me was ranitidine (Strides). My question is it the same medication or do the different manufactures change anything on it ? Im such a baby when it comes to taking meds 😂 
Thanks in advance</t>
        </is>
      </c>
      <c r="D5707" t="n">
        <v>1</v>
      </c>
      <c r="E5707" t="n">
        <v>1</v>
      </c>
      <c r="F5707">
        <f>HYPERLINK("https://www.reddit.com/r/GERD/comments/ffwx1c/question/")</f>
        <v/>
      </c>
      <c r="G5707" t="inlineStr">
        <is>
          <t>2020-03-09 09:04:03</t>
        </is>
      </c>
      <c r="H5707" t="inlineStr"/>
    </row>
    <row r="5708">
      <c r="A5708" t="inlineStr">
        <is>
          <t>ffywj1</t>
        </is>
      </c>
      <c r="B5708" t="inlineStr">
        <is>
          <t>Shortness of breath/Headaches from Lansoprazole?</t>
        </is>
      </c>
      <c r="C5708" t="inlineStr">
        <is>
          <t>I have a small hiatal hernia along with GERD.
My previous GI used protonix and that work well.
I moved and my new GI put me on Lansoprazole (prevacid) (not OTC kind).
Acid reflux is down and I can sleep, but I'm gotten a lot more headaches and been more tired than usual.
However, the biggest thing is that it seems that it's been much harder to breath. This shortness of breath is new.
Has anyone been suffering like this?</t>
        </is>
      </c>
      <c r="D5708" t="n">
        <v>1</v>
      </c>
      <c r="E5708" t="n">
        <v>3</v>
      </c>
      <c r="F5708">
        <f>HYPERLINK("https://www.reddit.com/r/GERD/comments/ffywj1/shortness_of_breathheadaches_from_lansoprazole/")</f>
        <v/>
      </c>
      <c r="G5708" t="inlineStr">
        <is>
          <t>2020-03-09 11:07:49</t>
        </is>
      </c>
      <c r="H5708" t="inlineStr"/>
    </row>
    <row r="5709">
      <c r="A5709" t="inlineStr">
        <is>
          <t>fg06mh</t>
        </is>
      </c>
      <c r="B5709" t="inlineStr">
        <is>
          <t>Vegan/Vegetarian diet?</t>
        </is>
      </c>
      <c r="C5709" t="inlineStr">
        <is>
          <t>Does anyone here have experience with curing GERD only with a vegan or vegetarian diet? 
Some years ago I ate a fully vegetarian diet (not even that healthy) for a couple of years, and I felt the best I have felt all my life. I quit the vegetarian diet because it isn’t natural in the daily life where I live, and it was pretty hard to adjust. Eating out with friends, going to family dinners, travelling, etc, was challenging.
My GERD has been pretty bad the past year or so, but I am also living a more stressful life now than then. I dont know if I should go fully vegetarian again, or maybe even vegan, and if that could possibly help. I have been trying vegetarism out the past few weeks, but havent really noticed any changes yet.</t>
        </is>
      </c>
      <c r="D5709" t="n">
        <v>1</v>
      </c>
      <c r="E5709" t="n">
        <v>16</v>
      </c>
      <c r="F5709">
        <f>HYPERLINK("https://www.reddit.com/r/GERD/comments/fg06mh/veganvegetarian_diet/")</f>
        <v/>
      </c>
      <c r="G5709" t="inlineStr">
        <is>
          <t>2020-03-09 12:25:19</t>
        </is>
      </c>
      <c r="H5709" t="inlineStr"/>
    </row>
    <row r="5710">
      <c r="A5710" t="inlineStr">
        <is>
          <t>fg2adw</t>
        </is>
      </c>
      <c r="B5710" t="inlineStr">
        <is>
          <t>Can't drink water?</t>
        </is>
      </c>
      <c r="C5710" t="inlineStr">
        <is>
          <t>I can't drink water! I've been this way for over 10 years. It makes me sick every time. I used to walk to work (was super close) as a server and would be desperately thirsty. Would grab a cup of water after my shift, walk away from the building, drink a little bit, and puke in the bushes. This was a daily event. I can drink carbonated beverages just fine, I subsist on mineral water. I'm coaching gymnastics now and it's really creating an issue for me. I'm surrounded by all their grubby little germs and my lips are so chapped from being sick all the time. I can turn to pedialyte when necessary, but I don't know that it's a good long-term solution. Does anyone else have this issue?</t>
        </is>
      </c>
      <c r="D5710" t="n">
        <v>1</v>
      </c>
      <c r="E5710" t="n">
        <v>11</v>
      </c>
      <c r="F5710">
        <f>HYPERLINK("https://www.reddit.com/r/GERD/comments/fg2adw/cant_drink_water/")</f>
        <v/>
      </c>
      <c r="G5710" t="inlineStr">
        <is>
          <t>2020-03-09 14:31:51</t>
        </is>
      </c>
      <c r="H5710" t="inlineStr"/>
    </row>
    <row r="5711">
      <c r="A5711" t="inlineStr">
        <is>
          <t>fg2bmp</t>
        </is>
      </c>
      <c r="B5711" t="inlineStr">
        <is>
          <t>Quality supplement brands for slippery elm, DGL root, aloe vera, etc</t>
        </is>
      </c>
      <c r="C5711" t="inlineStr">
        <is>
          <t>I would like to try some of these and I'm looking for brand recommendations. Thank you.</t>
        </is>
      </c>
      <c r="D5711" t="n">
        <v>1</v>
      </c>
      <c r="E5711" t="n">
        <v>3</v>
      </c>
      <c r="F5711">
        <f>HYPERLINK("https://www.reddit.com/r/GERD/comments/fg2bmp/quality_supplement_brands_for_slippery_elm_dgl/")</f>
        <v/>
      </c>
      <c r="G5711" t="inlineStr">
        <is>
          <t>2020-03-09 14:33:49</t>
        </is>
      </c>
      <c r="H5711" t="inlineStr"/>
    </row>
    <row r="5712">
      <c r="A5712" t="inlineStr">
        <is>
          <t>fg3svg</t>
        </is>
      </c>
      <c r="B5712" t="inlineStr">
        <is>
          <t>Pain under right ribs and shoulder blade</t>
        </is>
      </c>
      <c r="C5712" t="inlineStr">
        <is>
          <t>I have LPR and have been following the AWD for 5 weeks and adhering to all recommendations to promote healing.  I really can't say I've seen a lot of improvement but it hasn't worsened. Along with the typical LPR symptoms, I get intermittent pain under my right ribs and shoulder blade. Has anyone else experienced this?</t>
        </is>
      </c>
      <c r="D5712" t="n">
        <v>1</v>
      </c>
      <c r="E5712" t="n">
        <v>4</v>
      </c>
      <c r="F5712">
        <f>HYPERLINK("https://www.reddit.com/r/GERD/comments/fg3svg/pain_under_right_ribs_and_shoulder_blade/")</f>
        <v/>
      </c>
      <c r="G5712" t="inlineStr">
        <is>
          <t>2020-03-09 16:07:16</t>
        </is>
      </c>
      <c r="H5712" t="inlineStr"/>
    </row>
    <row r="5713">
      <c r="A5713" t="inlineStr">
        <is>
          <t>fg4k9m</t>
        </is>
      </c>
      <c r="B5713" t="inlineStr">
        <is>
          <t>Anyone else experience a burning sensation in the back of their throat when drinking water?</t>
        </is>
      </c>
      <c r="C5713" t="inlineStr">
        <is>
          <t>Whenever i take a sip of water, the back of my throat burns and feels as though it’s dry. I have GERD and benign esophageal stricture. Is this because of the GERD, or is it something different entirely? thanks!</t>
        </is>
      </c>
      <c r="D5713" t="n">
        <v>1</v>
      </c>
      <c r="E5713" t="n">
        <v>7</v>
      </c>
      <c r="F5713">
        <f>HYPERLINK("https://www.reddit.com/r/GERD/comments/fg4k9m/anyone_else_experience_a_burning_sensation_in_the/")</f>
        <v/>
      </c>
      <c r="G5713" t="inlineStr">
        <is>
          <t>2020-03-09 16:57:17</t>
        </is>
      </c>
      <c r="H5713" t="inlineStr"/>
    </row>
    <row r="5714">
      <c r="A5714" t="inlineStr">
        <is>
          <t>fg5wu4</t>
        </is>
      </c>
      <c r="B5714" t="inlineStr">
        <is>
          <t>Epigastric Pain</t>
        </is>
      </c>
      <c r="C5714" t="inlineStr">
        <is>
          <t>I have been experiencing acid reflux and epigastric pain for about 4 months. I saw my Dr. and she prescribed 40mg Nexium. I had an endoscopy last week. The Dr. found two small 'fingerlike' irregularities with my Z-line, less than 2cm and I have not yet received my biopsy results. The acid reflux now "feels" under control with the Nexium.
What I am really asking about is an odd gnawing pain about 3 inches away from my xiphoid process on either side beneath the rib cage that has not gone away. It feels almost like a muscle stitch in my diaphragm. I call it odd because it goes away for a decent amount of time after doing yardwork (chopping wood, moving bricks, digging, etc.) - is this related to the reflux, the medication?
I have a follow-up with the Dr. who performed the endoscopy on the 16th.
Thank you for any time you can spare to address this!</t>
        </is>
      </c>
      <c r="D5714" t="n">
        <v>1</v>
      </c>
      <c r="E5714" t="n">
        <v>4</v>
      </c>
      <c r="F5714">
        <f>HYPERLINK("https://www.reddit.com/r/GERD/comments/fg5wu4/epigastric_pain/")</f>
        <v/>
      </c>
      <c r="G5714" t="inlineStr">
        <is>
          <t>2020-03-09 18:30:39</t>
        </is>
      </c>
      <c r="H5714" t="inlineStr"/>
    </row>
    <row r="5715">
      <c r="A5715" t="inlineStr">
        <is>
          <t>fg6iqx</t>
        </is>
      </c>
      <c r="B5715" t="inlineStr">
        <is>
          <t>Vomit, hiccups, runny nose, throwing up saliva, pain under right shoulder blade....</t>
        </is>
      </c>
      <c r="C5715" t="inlineStr">
        <is>
          <t>All these symptoms are still going on a year after having my gallbladder removed.   It only happens after I eat but twice in the last 5 days I've been in the bathroom sick for over an hour after eating.
My quality of life is gone and can't find a good doctor in my area.  Whats my next step?
I've tried every over the counter med and many prescriptions.</t>
        </is>
      </c>
      <c r="D5715" t="n">
        <v>1</v>
      </c>
      <c r="E5715" t="n">
        <v>17</v>
      </c>
      <c r="F5715">
        <f>HYPERLINK("https://www.reddit.com/r/GERD/comments/fg6iqx/vomit_hiccups_runny_nose_throwing_up_saliva_pain/")</f>
        <v/>
      </c>
      <c r="G5715" t="inlineStr">
        <is>
          <t>2020-03-09 19:14:00</t>
        </is>
      </c>
      <c r="H5715" t="inlineStr"/>
    </row>
    <row r="5716">
      <c r="A5716" t="inlineStr">
        <is>
          <t>fgc648</t>
        </is>
      </c>
      <c r="B5716" t="inlineStr">
        <is>
          <t>Abdominal pain with GERD?</t>
        </is>
      </c>
      <c r="C5716" t="inlineStr">
        <is>
          <t>So I’ve been diagnosed with GERD since I was a month old. Now one thing that I don’t see a lot of people talk about it abdominal pain. It’s one of my biggest symptom and effects my life daily. My doctors all my life just say it’s because I have GERD but that doesn’t sound right to me?
I have my first appointment with a GI doctor in Thursday but I was just wondering if anyone else gets this.</t>
        </is>
      </c>
      <c r="D5716" t="n">
        <v>1</v>
      </c>
      <c r="E5716" t="n">
        <v>7</v>
      </c>
      <c r="F5716">
        <f>HYPERLINK("https://www.reddit.com/r/GERD/comments/fgc648/abdominal_pain_with_gerd/")</f>
        <v/>
      </c>
      <c r="G5716" t="inlineStr">
        <is>
          <t>2020-03-10 04:12:30</t>
        </is>
      </c>
      <c r="H5716" t="inlineStr"/>
    </row>
    <row r="5717">
      <c r="A5717" t="inlineStr">
        <is>
          <t>fgcno4</t>
        </is>
      </c>
      <c r="B5717" t="inlineStr">
        <is>
          <t>I think I may have found the solution for here and Afib related attacks.</t>
        </is>
      </c>
      <c r="C5717" t="inlineStr">
        <is>
          <t>I have been suffering from GERD for 6 years. This illness has caused me depression, anxiety and a tremendous amount of stress. At time, I feel extremely helpless, and that in it of itself I know today aggravates the situation.
I spent many hours at the ER, did many doctor follow ups, and even suffered my first AFIB attack. This entire experience left my perplexed as to the cause of my symptoms. I knew I wasn’t crazy and I was determined to find out what was wrong. 
Let me tell you what I did that nearly today cured my condition. Please keep in mind that I am not a doctor, I am in new way trying to sell you a product or services and that my remedy does not equate to a professional assessment by your physician.
I pressed and drank almost every day a combination of:
-celery juice (500ml)
-beats juice (500) ml)
-Carrot juice (500ml to 1L)
You can add 1 or 2 apple to your juice press to help with the taste. 
In the morning I ate:
-waffles
-eggs, avocados and toast
-crapes
-2 bananas’
-my pressed juice (carrot beats + celery)
-porridge with a little hunny and bananas’
For lunch or diner I would have
-vegetable soup (with shrimp) 
-rice with baked potatoes or mashed potatoes
-Salmon with a side of steamed broccoli and carrots
-tuna or egg sandwich
And much more.
Things I absolutely avoided:
-beef
-dairy products
-oils or fried food
-cheese cake
-tomatoes
-fast foods (McDonald, subways etc.)
Things I did that helped:
- I ate and drank slowly
- I drank my juice every day
- I made sure I had a good night sleep
- I completely cut off all bad relationships and regulated my stress through prayers (I am Muslim).
-I preformed cupping therapy (you don’t have to, I just did it because my Islamic belief recommends it as a way of purifying you blood)
- I spent more time with family
The benefit of the juice I made:
- celery juice : https://www.parsleyhealth.com/blog/benefits-of-celery-juice
- beats juice: https://www.webmd.com/food-recipes/features/truth-about-beetroot-juice
- carrot juice: https://www.healthline.com/health/carrot-juice-benefits
If the information I share here helps even 1 single person, that is a great accomplishment. I wish you all health and the best. 
:)</t>
        </is>
      </c>
      <c r="D5717" t="n">
        <v>1</v>
      </c>
      <c r="E5717" t="n">
        <v>0</v>
      </c>
      <c r="F5717">
        <f>HYPERLINK("https://www.reddit.com/r/GERD/comments/fgcno4/i_think_i_may_have_found_the_solution_for_here/")</f>
        <v/>
      </c>
      <c r="G5717" t="inlineStr">
        <is>
          <t>2020-03-10 04:56:32</t>
        </is>
      </c>
      <c r="H5717" t="inlineStr"/>
    </row>
    <row r="5718">
      <c r="A5718" t="inlineStr">
        <is>
          <t>fgcvay</t>
        </is>
      </c>
      <c r="B5718" t="inlineStr">
        <is>
          <t>I think I may have found a remedy for GERD and Afib linked attack.</t>
        </is>
      </c>
      <c r="C5718" t="inlineStr">
        <is>
          <t>I have been suffering from GERD for 6 years. This illness has caused me depression, anxiety and a tremendous amount of stress. At time, I feel extremely helpless, and that in it of itself I know today aggravates the situation.
I spent many hours at the ER, did many doctor follow ups, and even suffered my first AFIB attack. This entire experience left my perplexed as to the cause of my symptoms. I knew I wasn’t crazy and I was determined to find out what was wrong. 
Let me tell you what I did that nearly today cured my condition. Please keep in mind that I am not a doctor, I am in new way trying to sell you a product or services and that my remedy does not equate to a professional assessment by your physician.
I pressed and drank almost every day a combination of:
-celery juice (500ml)
-beats juice (500) ml)
-Carrot juice (500ml to 1L)
You can add 1 or 2 apple to your juice press to help with the taste. 
In the morning I ate:
-waffles
-eggs, avocados and toast
-crapes
-2 bananas’
-my pressed juice (carrot beats + celery)
-porridge with a little hunny and bananas’
For lunch or diner I would have
-vegetable soup (with shrimp) 
-rice with baked potatoes or mashed potatoes
-Salmon with a side of steamed broccoli and carrots
-tuna or egg sandwich
And much more.
Things I absolutely avoided:
-beef
-dairy products
-oils or fried food
-cheese cake
-tomatoes
-fast foods (McDonald, subways etc.)
Things I did that helped:
- I ate and drank slowly
- I drank my juice every day
- I made sure I had a good night sleep
- I completely cut off all bad relationships and regulated my stress through prayers (I am Muslim).
-I preformed cupping therapy (you don’t have to, I just did it because my Islamic belief recommends it as a way of purifying you blood)
- I spent more time with family
The benefit of the juice I made:
- celery juice : https://www.parsleyhealth.com/blog/benefits-of-celery-juice
- beats juice: https://www.webmd.com/food-recipes/features/truth-about-beetroot-juice
- carrot juice: https://www.healthline.com/health/carrot-juice-benefits
If the information I share here helps even 1 single person, that is a great accomplishment. I wish you all health and the best. 
:)</t>
        </is>
      </c>
      <c r="D5718" t="n">
        <v>1</v>
      </c>
      <c r="E5718" t="n">
        <v>19</v>
      </c>
      <c r="F5718">
        <f>HYPERLINK("https://www.reddit.com/r/GERD/comments/fgcvay/i_think_i_may_have_found_a_remedy_for_gerd_and/")</f>
        <v/>
      </c>
      <c r="G5718" t="inlineStr">
        <is>
          <t>2020-03-10 05:14:36</t>
        </is>
      </c>
      <c r="H5718" t="inlineStr"/>
    </row>
    <row r="5719">
      <c r="A5719" t="inlineStr">
        <is>
          <t>fgde7w</t>
        </is>
      </c>
      <c r="B5719" t="inlineStr">
        <is>
          <t>Might have Hiatal Hernia?</t>
        </is>
      </c>
      <c r="C5719" t="inlineStr">
        <is>
          <t>Hi, I'm a 23F and last year was told I had GERD. 
I had all the classic symptoms like acid reflux, excess gas, stomach cramping/burning after certain foods. 
But my worse symptom is constipation. I strain very hard to go #2 and go maybe 3 times a week. I've talked to my doctor but she just makes me drink OTC laxatives which have stopped working. 
Recently, I have been feeling so weak in my abdominal area that I can only push for a few seconds before I feel like fainting or a painful rush/headache. It's been getting so hard to push and last night I tried for about 20 minutes. On one of my last, unsuccessful pushes, I felt a jolt or pull in my upper left abdomen.
Today, I have shortness of breath, trouble passing gas, pressure in that same area, and a tender stomach and lower back. The symptoms aren't too bad but they are worrisome, i.e. I still came to work. Does this sound like HH or something else? Thanks in advance.</t>
        </is>
      </c>
      <c r="D5719" t="n">
        <v>1</v>
      </c>
      <c r="E5719" t="n">
        <v>7</v>
      </c>
      <c r="F5719">
        <f>HYPERLINK("https://www.reddit.com/r/GERD/comments/fgde7w/might_have_hiatal_hernia/")</f>
        <v/>
      </c>
      <c r="G5719" t="inlineStr">
        <is>
          <t>2020-03-10 05:56:45</t>
        </is>
      </c>
      <c r="H5719" t="inlineStr"/>
    </row>
    <row r="5720">
      <c r="A5720" t="inlineStr">
        <is>
          <t>fgdf6b</t>
        </is>
      </c>
      <c r="B5720" t="inlineStr">
        <is>
          <t>GERD / Gastro issues apparently anxiety but is it more sinister?</t>
        </is>
      </c>
      <c r="C5720" t="inlineStr">
        <is>
          <t>Basically over the past year my health has been very much concerning, the doctors have put me under the category of ‘ anxiety ‘ and seem to think all of these physical symptoms I’m having DAILY stems from anxiety but I’m finding it hard to believe as even when I do feel anxious these problems ie - stomach burning, lump in back of throat, ‘ Marble like pattern of colours within my stool ( dark and light ) and even stool consistency being either - thin or starting off large and going thin, I’m definitely not putting it past the doctors that this could all stem from anxiety but I just find it hard to believe as my symptoms don’t come on straight away and they’re very temperamental, one day I’ll be fine all day and then at night it will flare up or visa verca - the morning my stomach could hurt but as the day progresses it eases. 
One thing I’m noticing though - I’m unnaturally pushing my stomach out to give that ‘ pregnant ‘ look and when I do so I’m feeling the pain in my stomach a lot more.. anyone experienced this? 
Sometimes I feel like my stomach is sucked up but then sometimes I get the sensation like it’s ballooned out. 
All my pain is coming from the top of my abdomen and always centred. Sometimes it moves lower down above my naval but it’s usually between my naval and where my breastbone starts.
Eating wise - cut out caffeine, spicy foods and chocolate and I’m only having smoothies at the moment - mostly organic and raw and ones mixed with kale beetroot ect and trying to avoid acidic food as my appetite is so low at the moment. 
I’m also noticing my stomach making a lot of gurgling and gnawling and sometimes it can be quite painful and make me feel sick for a minute until it passes, it’s almost like the pain in your stomach when you haven’t eaten for days , that sick feeling in your stomach and I get that in waves. 
My mind also doesn’t tell me to eat anymore and I’m never hungry but I do eat because I can tell my body needs it but my mind is like ‘ naa you don’t need to eat ‘ 
But when i do Eat I get minor burning in my stomach when I’m sat in the work van eating or hunched over as such i definitely noticing the burning a lot more then instead of when I’m on my feet moving. 
 I’m really hoping someone out there in this community can help shed some light on this situation as I’m battling my head and if anything, if I didn’t have anxiety in the first place the doctors have sure made me believe I have it from how they don’t want to help and just put a label of ‘ mental health problems ‘ on me and shove me to one side.</t>
        </is>
      </c>
      <c r="D5720" t="n">
        <v>1</v>
      </c>
      <c r="E5720" t="n">
        <v>3</v>
      </c>
      <c r="F5720">
        <f>HYPERLINK("https://www.reddit.com/r/GERD/comments/fgdf6b/gerd_gastro_issues_apparently_anxiety_but_is_it/")</f>
        <v/>
      </c>
      <c r="G5720" t="inlineStr">
        <is>
          <t>2020-03-10 05:58:55</t>
        </is>
      </c>
      <c r="H5720" t="inlineStr"/>
    </row>
    <row r="5721">
      <c r="A5721" t="inlineStr">
        <is>
          <t>fgf6mv</t>
        </is>
      </c>
      <c r="B5721" t="inlineStr">
        <is>
          <t>Could Prilosec OTC help with silent reflux?</t>
        </is>
      </c>
      <c r="C5721" t="inlineStr">
        <is>
          <t>I believe I’m dealing with some silent reflux that’s causing aggravating nausea, acidic taste in my mouth, and occasional cough and globus sensation. It’s heavily interrupting my day to day life. Is Prilosec otc a good option to stop this? I felt fine getting up this morning (no reflux, no nausea)...until I ate. And then about an hour later boom. Would Prilosec help keep acid down during the day? I just need to control this.</t>
        </is>
      </c>
      <c r="D5721" t="n">
        <v>1</v>
      </c>
      <c r="E5721" t="n">
        <v>8</v>
      </c>
      <c r="F5721">
        <f>HYPERLINK("https://www.reddit.com/r/GERD/comments/fgf6mv/could_prilosec_otc_help_with_silent_reflux/")</f>
        <v/>
      </c>
      <c r="G5721" t="inlineStr">
        <is>
          <t>2020-03-10 08:04:31</t>
        </is>
      </c>
      <c r="H5721" t="inlineStr"/>
    </row>
    <row r="5722">
      <c r="A5722" t="inlineStr">
        <is>
          <t>fggcef</t>
        </is>
      </c>
      <c r="B5722" t="inlineStr">
        <is>
          <t>how do you do with cheese?</t>
        </is>
      </c>
      <c r="C5722" t="inlineStr">
        <is>
          <t>i freaking love cheese but i feel like it screws me up and i may have to quit it :( I was hoping if i ate less meat and lowered oily foods in other ways i'd be able to stille at cheese, guess not :(</t>
        </is>
      </c>
      <c r="D5722" t="n">
        <v>1</v>
      </c>
      <c r="E5722" t="n">
        <v>6</v>
      </c>
      <c r="F5722">
        <f>HYPERLINK("https://www.reddit.com/r/GERD/comments/fggcef/how_do_you_do_with_cheese/")</f>
        <v/>
      </c>
      <c r="G5722" t="inlineStr">
        <is>
          <t>2020-03-10 09:18:48</t>
        </is>
      </c>
      <c r="H5722" t="inlineStr"/>
    </row>
    <row r="5723">
      <c r="A5723" t="inlineStr">
        <is>
          <t>fghbou</t>
        </is>
      </c>
      <c r="B5723" t="inlineStr">
        <is>
          <t>nausea and vomiting in the morning? help</t>
        </is>
      </c>
      <c r="C5723" t="inlineStr">
        <is>
          <t>Diagnosed with “silent reflux” and chronic gastritis last year after an endoscopy. Went a good portion of my early teens experiencing regurgitation but took forever to get it check out because of the lack of heart burn. GI put me on pantaprozole for 6 months after that. I still have some symptoms (mainly stomach burning and regurgitation) but I ignored it most the time since it wasn’t terrible and because I had just transferred to university.  
Anyways, my gerd and gastritis have been acting up so my GI put me back on pantoprozole for 2-3 weeks then switch to a 14 day Nexium course. Well, I did it but now I get some insane nausea in the morning and it didn’t fix my gastritis issue. So my GI wants me back on pantaprozole. 
The thing is that ever since I finished the Nexium  course I’ve been getting this insane nausea in the mornings. Seems to affect me more the earlier I wake up. I had some nausea in the past but rarely did it make me vomit. I take other medications (adderall, welbutrin, prozac) so maybe that has something to do with it? I take my meds with food and that isn’t helping with the nausea like it used to. Probably helps even less that I’ll puke it back up later. 
Now I feel like there’s acid in the back of my throat and I’ll vomit if I think about it too much. I’m in college and live in a residence hall so controlling my diet is hella hard since we are required to buy the meal plan and have no kitchen access. 
How do I deal with this? Anyone else have or experienced the same? I’m 21 M. I shouldn’t be having these issues so young. :/</t>
        </is>
      </c>
      <c r="D5723" t="n">
        <v>1</v>
      </c>
      <c r="E5723" t="n">
        <v>2</v>
      </c>
      <c r="F5723">
        <f>HYPERLINK("https://www.reddit.com/r/GERD/comments/fghbou/nausea_and_vomiting_in_the_morning_help/")</f>
        <v/>
      </c>
      <c r="G5723" t="inlineStr">
        <is>
          <t>2020-03-10 10:18:10</t>
        </is>
      </c>
      <c r="H5723" t="inlineStr"/>
    </row>
    <row r="5724">
      <c r="A5724" t="inlineStr">
        <is>
          <t>fgjcvm</t>
        </is>
      </c>
      <c r="B5724" t="inlineStr">
        <is>
          <t>Hiatel Hernia Sub</t>
        </is>
      </c>
      <c r="C5724" t="inlineStr">
        <is>
          <t>I am posting here because I have no other choice. I know there are a lot of people who visit this sub that may have a hiatal hernia and or may visit the hiatal hernia sub. Is anyone else unable to create new posts on r/HiatalHernia ? The mod seems to not use reddit anymore and I am now unable to create posts.
Thanks!</t>
        </is>
      </c>
      <c r="D5724" t="n">
        <v>1</v>
      </c>
      <c r="E5724" t="n">
        <v>1</v>
      </c>
      <c r="F5724">
        <f>HYPERLINK("https://www.reddit.com/r/GERD/comments/fgjcvm/hiatel_hernia_sub/")</f>
        <v/>
      </c>
      <c r="G5724" t="inlineStr">
        <is>
          <t>2020-03-10 12:22:52</t>
        </is>
      </c>
      <c r="H5724" t="inlineStr"/>
    </row>
    <row r="5725">
      <c r="A5725" t="inlineStr">
        <is>
          <t>fgji2x</t>
        </is>
      </c>
      <c r="B5725" t="inlineStr">
        <is>
          <t>Endoscopy</t>
        </is>
      </c>
      <c r="C5725" t="inlineStr">
        <is>
          <t>Hey guys I’m only 14 and I have to get an endoscopy for reflux and difficulty swallowing. The doctor said I’d be asleep for it. Can anyone give me any of their personal experiences or any advice? Thanks</t>
        </is>
      </c>
      <c r="D5725" t="n">
        <v>1</v>
      </c>
      <c r="E5725" t="n">
        <v>20</v>
      </c>
      <c r="F5725">
        <f>HYPERLINK("https://www.reddit.com/r/GERD/comments/fgji2x/endoscopy/")</f>
        <v/>
      </c>
      <c r="G5725" t="inlineStr">
        <is>
          <t>2020-03-10 12:31:24</t>
        </is>
      </c>
      <c r="H5725" t="inlineStr"/>
    </row>
    <row r="5726">
      <c r="A5726" t="inlineStr">
        <is>
          <t>fgl41i</t>
        </is>
      </c>
      <c r="B5726" t="inlineStr">
        <is>
          <t>Switch PPI's</t>
        </is>
      </c>
      <c r="C5726" t="inlineStr">
        <is>
          <t>Hi everyone,
Can I just switch from PPI (pantoprozole &amp;gt; Omeprazole) without it causing any changes in my reflux?
I'm quitting my pantoprozole, but there are only 40 mg pills available so cutting down is difficult. I'm currently on 3x40 mg per week and would like to switch to 3x40 mg Omeprazole, and then gradually use less and less with the capsules. My GP thinks rebound symptoms are nothing - mine are horrible.</t>
        </is>
      </c>
      <c r="D5726" t="n">
        <v>1</v>
      </c>
      <c r="E5726" t="n">
        <v>2</v>
      </c>
      <c r="F5726">
        <f>HYPERLINK("https://www.reddit.com/r/GERD/comments/fgl41i/switch_ppis/")</f>
        <v/>
      </c>
      <c r="G5726" t="inlineStr">
        <is>
          <t>2020-03-10 14:08:03</t>
        </is>
      </c>
      <c r="H5726" t="inlineStr"/>
    </row>
    <row r="5727">
      <c r="A5727" t="inlineStr">
        <is>
          <t>fglsoc</t>
        </is>
      </c>
      <c r="B5727" t="inlineStr">
        <is>
          <t>Switching off between nausea and globus sensation?</t>
        </is>
      </c>
      <c r="C5727" t="inlineStr">
        <is>
          <t>For some reason, I have been switching off between feeling nauseous and having globus sensation all today and yesterday. When my nausea is really bad, my reflux (cough, feeling of something In throat) subsides substantially and vice verse. When my cough isn’t able to be ignored, my nausea is far better. I also feel sort of hot and feverish when I’m nauseous even though I never have a fever. Is this indicative of anxiety? Whenever one takes over, I’m constantly stressed over it. I just picked up some Gaviscon Extra Strength to help with some silent reflux so I’ll see if that helps. Is my alternating of symptoms a hint that my anxiety is the cause here?</t>
        </is>
      </c>
      <c r="D5727" t="n">
        <v>1</v>
      </c>
      <c r="E5727" t="n">
        <v>2</v>
      </c>
      <c r="F5727">
        <f>HYPERLINK("https://www.reddit.com/r/GERD/comments/fglsoc/switching_off_between_nausea_and_globus_sensation/")</f>
        <v/>
      </c>
      <c r="G5727" t="inlineStr">
        <is>
          <t>2020-03-10 14:50:26</t>
        </is>
      </c>
      <c r="H5727" t="inlineStr"/>
    </row>
    <row r="5728">
      <c r="A5728" t="inlineStr">
        <is>
          <t>fgo7fx</t>
        </is>
      </c>
      <c r="B5728" t="inlineStr">
        <is>
          <t>Severe bloating. What do I do when the usual fixes aren't working?</t>
        </is>
      </c>
      <c r="C5728" t="inlineStr">
        <is>
          <t>I think I'm carrying about 10lb in water weight and I'm realising more and more that it may be my GERD acting up.
I'm 5,1, female, in my mid-20s. I was 135lbs on Sunday, however yesterday I had a major GERD attack (nausea, diarrhea, pain pretty much everywhere, feeling like I was going to puke, tasting what I think was bile in my mouth, etc.) and ate absolutely nothing. Today I woke up 3lbs lighter.
For months I've been trying to lose 20lbs so I could fit back into the clothes in my wardrobe (stress eating had me put on a bit of weight) but although I've been on a calorie deficit and eating the best, most nutritious foods, I've only been maintaining/gaining water weight and dealing with a lot of gas.
Other than fasting (which has clearly worked after my results from yesterday) I've tried everything else and I'm stuck.
Does anyone have any advice?</t>
        </is>
      </c>
      <c r="D5728" t="n">
        <v>1</v>
      </c>
      <c r="E5728" t="n">
        <v>2</v>
      </c>
      <c r="F5728">
        <f>HYPERLINK("https://www.reddit.com/r/GERD/comments/fgo7fx/severe_bloating_what_do_i_do_when_the_usual_fixes/")</f>
        <v/>
      </c>
      <c r="G5728" t="inlineStr">
        <is>
          <t>2020-03-10 17:26:57</t>
        </is>
      </c>
      <c r="H5728" t="inlineStr"/>
    </row>
    <row r="5729">
      <c r="A5729" t="inlineStr">
        <is>
          <t>fgr0ry</t>
        </is>
      </c>
      <c r="B5729" t="inlineStr">
        <is>
          <t>Is there any generic prescription Zantac left on the market?</t>
        </is>
      </c>
      <c r="C5729" t="inlineStr">
        <is>
          <t>I've looked into all the other ones, and they all have pretty significant interactions with my other meds that seem more dangerous than the NMDA risk.</t>
        </is>
      </c>
      <c r="D5729" t="n">
        <v>1</v>
      </c>
      <c r="E5729" t="n">
        <v>5</v>
      </c>
      <c r="F5729">
        <f>HYPERLINK("https://www.reddit.com/r/GERD/comments/fgr0ry/is_there_any_generic_prescription_zantac_left_on/")</f>
        <v/>
      </c>
      <c r="G5729" t="inlineStr">
        <is>
          <t>2020-03-10 20:49:09</t>
        </is>
      </c>
      <c r="H5729" t="inlineStr"/>
    </row>
    <row r="5730">
      <c r="A5730" t="inlineStr">
        <is>
          <t>fgrpgn</t>
        </is>
      </c>
      <c r="B5730" t="inlineStr">
        <is>
          <t>Constant need to swallow</t>
        </is>
      </c>
      <c r="C5730" t="inlineStr">
        <is>
          <t>I’m having trouble sleeping right now due to needing to swallow like every 10 seconds due to acid or saliva or whatever pooling at the back of my throat. I have Gaviscon and took it after dinner but this is still bothering me. It’s also making me anxious cause I’m scared to sleep. Will my body continue to swallow the acid for me while I’m sleeping? Can’t relax. Any help is appreciated</t>
        </is>
      </c>
      <c r="D5730" t="n">
        <v>1</v>
      </c>
      <c r="E5730" t="n">
        <v>21</v>
      </c>
      <c r="F5730">
        <f>HYPERLINK("https://www.reddit.com/r/GERD/comments/fgrpgn/constant_need_to_swallow/")</f>
        <v/>
      </c>
      <c r="G5730" t="inlineStr">
        <is>
          <t>2020-03-10 21:45:13</t>
        </is>
      </c>
      <c r="H5730" t="inlineStr"/>
    </row>
    <row r="5731">
      <c r="A5731" t="inlineStr">
        <is>
          <t>fgry8z</t>
        </is>
      </c>
      <c r="B5731" t="inlineStr">
        <is>
          <t>Anyone have tips to sooth the pain between shoulder blades?</t>
        </is>
      </c>
      <c r="C5731" t="inlineStr">
        <is>
          <t>I’m a small girl so my GERD hits hard. And it’s just recently flared up pretty bad after a bout of stress. 
Got the “somethings in my throat” feeling along with the gnarly pain between my shoulder blades. 
I can’t seem to get it to stop even with the omeprazole . 
Any tips? :(</t>
        </is>
      </c>
      <c r="D5731" t="n">
        <v>1</v>
      </c>
      <c r="E5731" t="n">
        <v>5</v>
      </c>
      <c r="F5731">
        <f>HYPERLINK("https://www.reddit.com/r/GERD/comments/fgry8z/anyone_have_tips_to_sooth_the_pain_between/")</f>
        <v/>
      </c>
      <c r="G5731" t="inlineStr">
        <is>
          <t>2020-03-10 22:06:22</t>
        </is>
      </c>
      <c r="H5731" t="inlineStr"/>
    </row>
    <row r="5732">
      <c r="A5732" t="inlineStr">
        <is>
          <t>fgsfn4</t>
        </is>
      </c>
      <c r="B5732" t="inlineStr">
        <is>
          <t>Globus sensation</t>
        </is>
      </c>
      <c r="C5732" t="inlineStr">
        <is>
          <t>Something stuck in my throat for 6 months. It destroys all quality of life and no medication helps. Quit my job a long time ago because of it and have now have no income</t>
        </is>
      </c>
      <c r="D5732" t="n">
        <v>1</v>
      </c>
      <c r="E5732" t="n">
        <v>2</v>
      </c>
      <c r="F5732">
        <f>HYPERLINK("https://www.reddit.com/r/GERD/comments/fgsfn4/globus_sensation/")</f>
        <v/>
      </c>
      <c r="G5732" t="inlineStr">
        <is>
          <t>2020-03-10 22:52:05</t>
        </is>
      </c>
      <c r="H5732" t="inlineStr"/>
    </row>
    <row r="5733">
      <c r="A5733" t="inlineStr">
        <is>
          <t>fgtib6</t>
        </is>
      </c>
      <c r="B5733" t="inlineStr">
        <is>
          <t>Longtime GERD sufferer, discovered I had Low Acid a year ago</t>
        </is>
      </c>
      <c r="C5733" t="inlineStr">
        <is>
          <t>Hey guys, 
I first had my meeting with GERD when I was 21, I’m 33 now. I was diagnosed with it after a bout with H.Pylori bacteria and extensive antibiotics. It was like a switch was suddenly flicked on and I had intense heartburn, everyday. I took PPIs for the next few years and I still felt symptoms, the PPIs just calmed them a bit. Fast forward to the last year or so, I became super sick after eating too much or eating too much meat. A whole host of problems came with this, and sooner or later I started putting the puzzles together. Guess what I did? Stopped any acid medicine, my acid reflux started to actually improve a little bit, not fully . So I started researching and doing the baking soda test. I confirmed I had low stomach acid, no idea if it was caused by the PPI usage or it’s what caused my reflux in the first place. I didn’t have insurance for the past two years but now I do, so I’ll be going to a GI soon to do official tests. Anyone here have had issues with Low Acid levels? I can’t eat huge meals anymore, cause food doesn’t digest and I start getting super sick. Anyways, thanks for reading and wish you all well!</t>
        </is>
      </c>
      <c r="D5733" t="n">
        <v>1</v>
      </c>
      <c r="E5733" t="n">
        <v>18</v>
      </c>
      <c r="F5733">
        <f>HYPERLINK("https://www.reddit.com/r/GERD/comments/fgtib6/longtime_gerd_sufferer_discovered_i_had_low_acid/")</f>
        <v/>
      </c>
      <c r="G5733" t="inlineStr">
        <is>
          <t>2020-03-11 00:41:55</t>
        </is>
      </c>
      <c r="H5733" t="inlineStr"/>
    </row>
    <row r="5734">
      <c r="A5734" t="inlineStr">
        <is>
          <t>fguax9</t>
        </is>
      </c>
      <c r="B5734" t="inlineStr">
        <is>
          <t>Students with cancelled classes due to COVID-19</t>
        </is>
      </c>
      <c r="C5734" t="inlineStr">
        <is>
          <t>Hi! This post is for all students whose classes got cancelled due to coronavirus. It doesn't matter how long your "break" is going to be (mine is a little over a month, yours may be shorter or longer). I just want to say - use this time to relax. 
Even if your classes are going to be online, you don't need to worry about being on time, being around other people, about how much and how often you need to eat or about going out while in pain due to hearburn/throat irritation etc. Take your time with every meal and focus on healing (but not on being pesimistic!). 
Both the main reason and result of GERD for many of us is anxiety. Try to stay calm during that time and  use it well. Watch movies, read (or whatever you like), practise calm breathing, attend online classes for your course and eat your safe food. And take your meds. Do only nice things and we'll be alright. Good luck to everyone!</t>
        </is>
      </c>
      <c r="D5734" t="n">
        <v>1</v>
      </c>
      <c r="E5734" t="n">
        <v>5</v>
      </c>
      <c r="F5734">
        <f>HYPERLINK("https://www.reddit.com/r/GERD/comments/fguax9/students_with_cancelled_classes_due_to_covid19/")</f>
        <v/>
      </c>
      <c r="G5734" t="inlineStr">
        <is>
          <t>2020-03-11 02:12:42</t>
        </is>
      </c>
      <c r="H5734" t="inlineStr"/>
    </row>
    <row r="5735">
      <c r="A5735" t="inlineStr">
        <is>
          <t>fgv6jb</t>
        </is>
      </c>
      <c r="B5735" t="inlineStr">
        <is>
          <t>Sleeping Positions</t>
        </is>
      </c>
      <c r="C5735" t="inlineStr">
        <is>
          <t>I have GERD, small hiatal hernia, LPR. Usually no matter what I do, I wake up in the morning having slept on my left side, with sharp pain below my left lower rib and diffuse pain across my left side and a right chest. Through some unknown process, the last two mornings I’ve woken up lying on my right side and felt much better. Does this sound familiar to anyone?
I’ve read that your left side is best to sleep on for GERD (and, worryingly, right side puts less pressure on your heart, though I’ve had my heart checked extensively twice and it’s all fine), so it seems counter intuitive that the right side would feel better. I’m wondering if it could be something as simple as giving the left side a break for a few nights...
Thanks!</t>
        </is>
      </c>
      <c r="D5735" t="n">
        <v>1</v>
      </c>
      <c r="E5735" t="n">
        <v>2</v>
      </c>
      <c r="F5735">
        <f>HYPERLINK("https://www.reddit.com/r/GERD/comments/fgv6jb/sleeping_positions/")</f>
        <v/>
      </c>
      <c r="G5735" t="inlineStr">
        <is>
          <t>2020-03-11 03:46:56</t>
        </is>
      </c>
      <c r="H5735" t="inlineStr"/>
    </row>
    <row r="5736">
      <c r="A5736" t="inlineStr">
        <is>
          <t>fgxqsb</t>
        </is>
      </c>
      <c r="B5736" t="inlineStr">
        <is>
          <t>Difference in symptoms between GERD and hiatal hernia?</t>
        </is>
      </c>
      <c r="C5736" t="inlineStr">
        <is>
          <t>How do you know if your reflux is from a hernia or just GERD (before getting it tested)? I just saw my gastro doctor and complained of reflux, slight abdominal pain, bloating, etc. and asked if it could possibly be a hernia — he said definitely not but upon further discussion he listed out the same symptoms I have. 
I’m already feeling much better after just 5 days with pantoprazole, but for my own understanding, is an endoscopy the only way to know, or is there some difference in symptoms (ie more pain, pain in a certain area vs elsewhere, etc)? Just confused as to how he was so sure.</t>
        </is>
      </c>
      <c r="D5736" t="n">
        <v>1</v>
      </c>
      <c r="E5736" t="n">
        <v>6</v>
      </c>
      <c r="F5736">
        <f>HYPERLINK("https://www.reddit.com/r/GERD/comments/fgxqsb/difference_in_symptoms_between_gerd_and_hiatal/")</f>
        <v/>
      </c>
      <c r="G5736" t="inlineStr">
        <is>
          <t>2020-03-11 07:10:50</t>
        </is>
      </c>
      <c r="H5736" t="inlineStr"/>
    </row>
    <row r="5737">
      <c r="A5737" t="inlineStr">
        <is>
          <t>fgyj7r</t>
        </is>
      </c>
      <c r="B5737" t="inlineStr">
        <is>
          <t>Gerd Really bad</t>
        </is>
      </c>
      <c r="C5737" t="inlineStr">
        <is>
          <t>Hi, I've had gerd for a long time.  Dexilant worked will for me but Insurance don't want to cover it and my last Doc didn't fight for it tow years ago.  Been using nexium for the past two years and was surprised I had no heartburn.  But three months ago the heartburn came back really bad, there was no change on what I've been doing.  Been smoking the Juul for about 5 years with no problems with heartburn.  I've tried prevacid, and now protonix and nothing is helping.  Can anyone suggest any other meds I can try.  Someone told my that Zegerid is similar to Dexilant?   Can't go on living like this.  I've done every test and all came back good, just have Gerd.   
Thanks for listening, this is making me feel so alone.</t>
        </is>
      </c>
      <c r="D5737" t="n">
        <v>1</v>
      </c>
      <c r="E5737" t="n">
        <v>2</v>
      </c>
      <c r="F5737">
        <f>HYPERLINK("https://www.reddit.com/r/GERD/comments/fgyj7r/gerd_really_bad/")</f>
        <v/>
      </c>
      <c r="G5737" t="inlineStr">
        <is>
          <t>2020-03-11 08:04:45</t>
        </is>
      </c>
      <c r="H5737" t="inlineStr"/>
    </row>
    <row r="5738">
      <c r="A5738" t="inlineStr">
        <is>
          <t>fgzbuw</t>
        </is>
      </c>
      <c r="B5738" t="inlineStr">
        <is>
          <t>Weird Feeling in Middle Back when eating/drinking?</t>
        </is>
      </c>
      <c r="C5738" t="inlineStr">
        <is>
          <t>Hey guys,
I've recently started experiencing a new symptom, I wanted to see if anyone else with GERD/Acid Reflux has been experiencing this so that I can mitigate any stress and or concern on my end.
Essentially, about two weeks ago I started experiencing this.. weird feeling in my mid-back immediately after eating/drinking anything that wasn't water. I did some Google Doctoring, and it seems it could be heartburn related, but that would be odd to me as I have no actual heartburn in my chest. It's localized purely to my mid-back. It almost feels like a numbing feeling under my skin, but there is no actual numbness. It usually goes away within 20 minutes of it starting, and again, it's only when eating food or drinking something that is not water.
Anyone else experience this? 
Thanks!</t>
        </is>
      </c>
      <c r="D5738" t="n">
        <v>1</v>
      </c>
      <c r="E5738" t="n">
        <v>6</v>
      </c>
      <c r="F5738">
        <f>HYPERLINK("https://www.reddit.com/r/GERD/comments/fgzbuw/weird_feeling_in_middle_back_when_eatingdrinking/")</f>
        <v/>
      </c>
      <c r="G5738" t="inlineStr">
        <is>
          <t>2020-03-11 08:55:50</t>
        </is>
      </c>
      <c r="H5738" t="inlineStr"/>
    </row>
    <row r="5739">
      <c r="A5739" t="inlineStr">
        <is>
          <t>fgzr6o</t>
        </is>
      </c>
      <c r="B5739" t="inlineStr">
        <is>
          <t>I have no self control, I make it so much worse</t>
        </is>
      </c>
      <c r="C5739" t="inlineStr">
        <is>
          <t>I've been gaining weight. I eat everything I'm not supposed to. I binge eat, and eat too late. I don't exercise enough. I've got to get control to help myself. I'm sick of being in pain everyday.  There is no one who can help me, but me. I'm gonna do it.
Gotta lay off the sugar, the coffee, the alcohol, the processed crap, eating too late. Meal prepping is probably the only way. It can't just be a diet. I need to change the way I'm living.</t>
        </is>
      </c>
      <c r="D5739" t="n">
        <v>1</v>
      </c>
      <c r="E5739" t="n">
        <v>20</v>
      </c>
      <c r="F5739">
        <f>HYPERLINK("https://www.reddit.com/r/GERD/comments/fgzr6o/i_have_no_self_control_i_make_it_so_much_worse/")</f>
        <v/>
      </c>
      <c r="G5739" t="inlineStr">
        <is>
          <t>2020-03-11 09:21:43</t>
        </is>
      </c>
      <c r="H5739" t="inlineStr"/>
    </row>
    <row r="5740">
      <c r="A5740" t="inlineStr">
        <is>
          <t>fh09ky</t>
        </is>
      </c>
      <c r="B5740" t="inlineStr">
        <is>
          <t>RANT: I'm just annoyed with my body</t>
        </is>
      </c>
      <c r="C5740" t="inlineStr">
        <is>
          <t>I've had reflux and regurgitation issues since infancy. I've had a number of endoscopies, starting at around age 9. It has never been something I've given much thought to since it never causes heartburn. I burp and shit an ungodly amount and I often spit out the regurgitated food that comes into my mouth/nose. I've tried every over the counter and prescription medication available and nothing changes. I've made diet changes, lifestyle changes, sleep changes, the whole shebang. I have been pretty unbothered up until now....
Holy shite. I am experiencing heartburn for the first time (i think in my entire life). I've felt like I've been having a heart attack all morning. I can barely breathe or stand up. I've been spitting bile and last night's food into my garbage can at work. I can barely talk. I don't know what to do because I'm not going to take sick time for some heartburn.   I've taken all the medical and natural remedies I can get my hands on. Im tired, in pain, irritated, and needed to rant. Happy Wednesday, my dudes</t>
        </is>
      </c>
      <c r="D5740" t="n">
        <v>1</v>
      </c>
      <c r="E5740" t="n">
        <v>3</v>
      </c>
      <c r="F5740">
        <f>HYPERLINK("https://www.reddit.com/r/GERD/comments/fh09ky/rant_im_just_annoyed_with_my_body/")</f>
        <v/>
      </c>
      <c r="G5740" t="inlineStr">
        <is>
          <t>2020-03-11 09:52:38</t>
        </is>
      </c>
      <c r="H5740" t="inlineStr"/>
    </row>
    <row r="5741">
      <c r="A5741" t="inlineStr">
        <is>
          <t>fh1k8x</t>
        </is>
      </c>
      <c r="B5741" t="inlineStr">
        <is>
          <t>LPR symptoms have me stressing with the Corona panic, anyone else?</t>
        </is>
      </c>
      <c r="C5741" t="inlineStr">
        <is>
          <t>So the past couple of days I have had a bad reflux flare- burping, indigestion, sore throat, trouble swallowing, bad taste in mouth, sinuses inflamed etc. It seems to have escalated last night to where I now have shortness of breath and a feeling in my chest like  it’s being crushed I can’t get in enough air, I’m coughing a lot to try to relive it. I’ve had this before to varying degrees (and even went to urgent care for it in the past where they did a chest X-ray and confirmed reflux). 
Typically I try to wait it out and even though I have had it pretty severely before where I thought it was going to potentially take me out it fades away over time as I am able to subdue the reflux. 
This morning my coworker sends out a corona email with warnings about early symptoms: sore throat, feeling you can’t breathe, sinus congestion. Now I’m in full worry mode and thinking what if I leave this assuming it’s all reflux related and it’s actually something to be concerned about. Im very close to a high risk zone so everyone is feeling on edge. 
I hate never feeling 100% or even 50% normal with this issue and knowing if I need to go to the dr for something or it’s it’s just another wasted trip thanks to reflux. This whole corona panic is not helping! Anyone else having a similar issue?</t>
        </is>
      </c>
      <c r="D5741" t="n">
        <v>1</v>
      </c>
      <c r="E5741" t="n">
        <v>11</v>
      </c>
      <c r="F5741">
        <f>HYPERLINK("https://www.reddit.com/r/GERD/comments/fh1k8x/lpr_symptoms_have_me_stressing_with_the_corona/")</f>
        <v/>
      </c>
      <c r="G5741" t="inlineStr">
        <is>
          <t>2020-03-11 11:12:51</t>
        </is>
      </c>
      <c r="H5741" t="inlineStr"/>
    </row>
    <row r="5742">
      <c r="A5742" t="inlineStr">
        <is>
          <t>fh1ktv</t>
        </is>
      </c>
      <c r="B5742" t="inlineStr">
        <is>
          <t>Is it possible to go back to sleeping on my back?</t>
        </is>
      </c>
      <c r="C5742" t="inlineStr">
        <is>
          <t>Hi all,
I have to sleep on my side due to GERD. If I a natural GERD treatment (losing weight, eating right), is it possible to sleep on my back without any reflux?</t>
        </is>
      </c>
      <c r="D5742" t="n">
        <v>1</v>
      </c>
      <c r="E5742" t="n">
        <v>3</v>
      </c>
      <c r="F5742">
        <f>HYPERLINK("https://www.reddit.com/r/GERD/comments/fh1ktv/is_it_possible_to_go_back_to_sleeping_on_my_back/")</f>
        <v/>
      </c>
      <c r="G5742" t="inlineStr">
        <is>
          <t>2020-03-11 11:13:52</t>
        </is>
      </c>
      <c r="H5742" t="inlineStr"/>
    </row>
    <row r="5743">
      <c r="A5743" t="inlineStr">
        <is>
          <t>fh1r6i</t>
        </is>
      </c>
      <c r="B5743" t="inlineStr">
        <is>
          <t>Stress is exacerbating my GERD</t>
        </is>
      </c>
      <c r="C5743" t="inlineStr">
        <is>
          <t>A child I knew was killed in an accident last week and the stress and grief is making my GERD horrible. I had just gotten my symptoms under control and I was sleeping with a regular pillow again. 
Now I’m back to taking 2 bites and I’m full. Pain. Nausea. Food feeling like it wants to come back up. 
I just don’t think there’s any way to ease my symptoms as long as I’m under this kind of stress. I drink strong ginger tea all day and follow my omeprazole protocol. I’m a healthy weight. I get about 10,000 steps per day.
How is my body going to function if I can’t eat enough calories?</t>
        </is>
      </c>
      <c r="D5743" t="n">
        <v>1</v>
      </c>
      <c r="E5743" t="n">
        <v>0</v>
      </c>
      <c r="F5743">
        <f>HYPERLINK("https://www.reddit.com/r/GERD/comments/fh1r6i/stress_is_exacerbating_my_gerd/")</f>
        <v/>
      </c>
      <c r="G5743" t="inlineStr">
        <is>
          <t>2020-03-11 11:24:52</t>
        </is>
      </c>
      <c r="H5743" t="inlineStr"/>
    </row>
    <row r="5744">
      <c r="A5744" t="inlineStr">
        <is>
          <t>fh27vl</t>
        </is>
      </c>
      <c r="B5744" t="inlineStr">
        <is>
          <t>why do i still have bad breath??</t>
        </is>
      </c>
      <c r="C5744" t="inlineStr">
        <is>
          <t>so my doctor put me on omeprazole for a month and the acid reflux and post nasal drip is gone except for the bad breath/bitter taste in mouth.. my diet is suuuper clean and i only eat gerd friendly foods , i don’t know what else to do
if i brush my teeth it only lasts for an hour or two before i feel a veryyyy bitter taste in my mouth</t>
        </is>
      </c>
      <c r="D5744" t="n">
        <v>1</v>
      </c>
      <c r="E5744" t="n">
        <v>1</v>
      </c>
      <c r="F5744">
        <f>HYPERLINK("https://www.reddit.com/r/GERD/comments/fh27vl/why_do_i_still_have_bad_breath/")</f>
        <v/>
      </c>
      <c r="G5744" t="inlineStr">
        <is>
          <t>2020-03-11 11:54:01</t>
        </is>
      </c>
      <c r="H5744" t="inlineStr"/>
    </row>
    <row r="5745">
      <c r="A5745" t="inlineStr">
        <is>
          <t>fh2inz</t>
        </is>
      </c>
      <c r="B5745" t="inlineStr">
        <is>
          <t>GERD Sufferer with weird symptoms</t>
        </is>
      </c>
      <c r="C5745" t="inlineStr">
        <is>
          <t>So about 2 months ago I started getting my GERD problems again, I would have trouble getting any food down without it getting stuck in my cchest and burping it up. I went on pantaprozole for about a month, didnt feel much help and then tried metoclopramide to help the food get down. I stopped the metoclopramide as it wasn't doing anything, actually felt worse on it tbh, and went back to pantaprazole as  I noticed alot more acidity coming up with the food. Whenever I eat now I feel pretty naseaus, so bloated (like rock hard bellly, especially upper stomach) and the feeling of food being stuck in my chest. at this point, I have a scope scheduled for end of month but seeing my doctor again tomorrow. ALso getting blood work to see if theres h-pylori or something off about my levels. I have a constant headache, body aches, sometimes just so indigested in my chest it feels harder to get a deep breath because of all the pressure. I also have noticed all these symptoms start about a month after starting zoloft.   
Anyone have any advice? Does this sound like normal GERD? Im beyond frustrated, I have not felt like exercising. I even feel more out of breath going up stairs and heart beating more. Just so frustrated. Im on 40 MG a day of pantaprozole and 100MG of zoloft a day.</t>
        </is>
      </c>
      <c r="D5745" t="n">
        <v>1</v>
      </c>
      <c r="E5745" t="n">
        <v>1</v>
      </c>
      <c r="F5745">
        <f>HYPERLINK("https://www.reddit.com/r/GERD/comments/fh2inz/gerd_sufferer_with_weird_symptoms/")</f>
        <v/>
      </c>
      <c r="G5745" t="inlineStr">
        <is>
          <t>2020-03-11 12:12:08</t>
        </is>
      </c>
      <c r="H5745" t="inlineStr"/>
    </row>
    <row r="5746">
      <c r="A5746" t="inlineStr">
        <is>
          <t>fh6hkh</t>
        </is>
      </c>
      <c r="B5746" t="inlineStr">
        <is>
          <t>some doctors told me i have gerd and others said i absolutely dont!</t>
        </is>
      </c>
      <c r="C5746" t="inlineStr">
        <is>
          <t>i have been suffering from bad breath and bad taste in my mouth since i was 9 or 10 years old which could be even longer, i went to a doctor and told him about that and he did an endoscopy and he said that i have a problem in my lower esophageal sphincter, and i should do a Nissen fundoplication, but i went to other doctors and they told me that i dont have any problem in it, i tried ppis and other anti acids but nothing changed, like 0% positive change, i dont have a heartburn nor do i feel the food goes up to my mouth unless i ate too much, but i always feels the bad taste in my mouth and the bad breath 24/7, especially after eating, but still no matter what i eat or even if i didnt eat anything, i still have it, i went to a dentist and he told me that my mouth has 0 problems, and i just dont know what to do, i cant live with bad breath, its like a chains that pulling me from everything in my life, any advice would be much appreciated, thank you.</t>
        </is>
      </c>
      <c r="D5746" t="n">
        <v>1</v>
      </c>
      <c r="E5746" t="n">
        <v>8</v>
      </c>
      <c r="F5746">
        <f>HYPERLINK("https://www.reddit.com/r/GERD/comments/fh6hkh/some_doctors_told_me_i_have_gerd_and_others_said/")</f>
        <v/>
      </c>
      <c r="G5746" t="inlineStr">
        <is>
          <t>2020-03-11 16:20:00</t>
        </is>
      </c>
      <c r="H5746" t="inlineStr"/>
    </row>
    <row r="5747">
      <c r="A5747" t="inlineStr">
        <is>
          <t>fh8lia</t>
        </is>
      </c>
      <c r="B5747" t="inlineStr">
        <is>
          <t>Can I take Klonopin and Gaviscon together?</t>
        </is>
      </c>
      <c r="C5747" t="inlineStr">
        <is>
          <t>I’m taking Gaviscon for acid reflux and Klonopin for anxiety. Low doses of both. Google does not list an interaction but Gaviscon contains magnesium which I know can help treat anxiety so I was just wondering if this is okay? Today I took two teaspoons of Gaviscon and .5 mg of klonopin spread out across the day. Thank you.</t>
        </is>
      </c>
      <c r="D5747" t="n">
        <v>1</v>
      </c>
      <c r="E5747" t="n">
        <v>2</v>
      </c>
      <c r="F5747">
        <f>HYPERLINK("https://www.reddit.com/r/GERD/comments/fh8lia/can_i_take_klonopin_and_gaviscon_together/")</f>
        <v/>
      </c>
      <c r="G5747" t="inlineStr">
        <is>
          <t>2020-03-11 18:45:30</t>
        </is>
      </c>
      <c r="H5747" t="inlineStr"/>
    </row>
    <row r="5748">
      <c r="A5748" t="inlineStr">
        <is>
          <t>fhc67x</t>
        </is>
      </c>
      <c r="B5748" t="inlineStr">
        <is>
          <t>Soy Sauce?</t>
        </is>
      </c>
      <c r="C5748" t="inlineStr">
        <is>
          <t>How do you guys handle soy sauce? It messed me up the last few times.</t>
        </is>
      </c>
      <c r="D5748" t="n">
        <v>1</v>
      </c>
      <c r="E5748" t="n">
        <v>3</v>
      </c>
      <c r="F5748">
        <f>HYPERLINK("https://www.reddit.com/r/GERD/comments/fhc67x/soy_sauce/")</f>
        <v/>
      </c>
      <c r="G5748" t="inlineStr">
        <is>
          <t>2020-03-11 23:43:47</t>
        </is>
      </c>
      <c r="H5748" t="inlineStr"/>
    </row>
    <row r="5749">
      <c r="A5749" t="inlineStr">
        <is>
          <t>fhdfnn</t>
        </is>
      </c>
      <c r="B5749" t="inlineStr">
        <is>
          <t>Discolored stool</t>
        </is>
      </c>
      <c r="C5749" t="inlineStr">
        <is>
          <t>Anybody else notice their stool (poop) being really off color?
I think normal is brown but mine as of late has come out pale or tan in color. Kind of clay like. Also it's not solid or at least slightly mushy, but more so flaky and powdery. Like if I poke it it just breaks apart very easily. Abnormal for me. I can even drop a log anymore, comes out looking like someone serving a cup of soft serve but they just tap the button a bunch  of times to get just strips of it.
Today for the first time it came out black, which is a sign of blood in your stool, so I rushed to the ER but no blood found. All I had from testing was low potassium.
That okay news but obviously something else is off and I'm guessing it's just another gastro issue due to gerd and it's cohorts.</t>
        </is>
      </c>
      <c r="D5749" t="n">
        <v>1</v>
      </c>
      <c r="E5749" t="n">
        <v>9</v>
      </c>
      <c r="F5749">
        <f>HYPERLINK("https://www.reddit.com/r/GERD/comments/fhdfnn/discolored_stool/")</f>
        <v/>
      </c>
      <c r="G5749" t="inlineStr">
        <is>
          <t>2020-03-12 02:03:51</t>
        </is>
      </c>
      <c r="H5749" t="inlineStr"/>
    </row>
    <row r="5750">
      <c r="A5750" t="inlineStr">
        <is>
          <t>fhema7</t>
        </is>
      </c>
      <c r="B5750" t="inlineStr">
        <is>
          <t>Throat Gurgles</t>
        </is>
      </c>
      <c r="C5750" t="inlineStr">
        <is>
          <t>Does anyone else get throat gargling? Like it’s a burp trying to come up but you never get the satisfaction, it just hangs in your throat being loud and annoying? And coming back again? I don’t get it often but it’s very annoying!!</t>
        </is>
      </c>
      <c r="D5750" t="n">
        <v>1</v>
      </c>
      <c r="E5750" t="n">
        <v>9</v>
      </c>
      <c r="F5750">
        <f>HYPERLINK("https://www.reddit.com/r/GERD/comments/fhema7/throat_gurgles/")</f>
        <v/>
      </c>
      <c r="G5750" t="inlineStr">
        <is>
          <t>2020-03-12 04:06:36</t>
        </is>
      </c>
      <c r="H5750" t="inlineStr"/>
    </row>
    <row r="5751">
      <c r="A5751" t="inlineStr">
        <is>
          <t>fhfj68</t>
        </is>
      </c>
      <c r="B5751" t="inlineStr">
        <is>
          <t>Anxiety or GERD?</t>
        </is>
      </c>
      <c r="C5751" t="inlineStr">
        <is>
          <t>Hi there,
For background I have asthma and anxiety (anxiety usually manifests as chest pain/discomfort). I'm also recovering from a pretty bad chest infection.
When the chest infection first started the chest pain was so severe I went to A&amp;amp;E thinking it was a heart problem. Everything turned out to be fine and they referred me to my GP who thought it was heartburn (as I was also having stomach ache) and prescribed me 30mg lansoprazole. The rest of the chest infection symptoms then flared up, but I continied to take the lansoprazole to be on the safe side. I still had occasional stomach discomfort but compared to the chest infection symptoms it was barely noticeable. 
I went back to the doctor on Friday as the chest infection symptoms weren't fully gone, and they gave me some steroids (40mg of prednisolone daily). The prednisolone really ruined me: I slept less than 10 hours across 4 days, and my anxiety was at the worst it's ever been. I ended up in hospital again because the chest pain was the most severe I've ever experienced in my life. At this point the stomach pain had become much more severe as well.
After they ran tests they confirmed the steroids had removed all markers of infection on my blood tests, and an ECG and chest X-ray confirmed no issues with my heart or lungs, so they attributed the pain to anxiety (exacerbated by the steroids).
The issue I'm having now is that the stomach pain hasn't gone away. I was at the hospital on Tuesday morning, and slept for about 12 hours on Tuesday evening. Woke up yesterday and the stomach/chest discomfort were still present, but less noticeable when I'm active. This leads me to believe they're likely caused by anxiety (especially since I'm still taking lansoprazole), however I'm still worried.
Is it possible to still have regular stomach aches when taking lansoprazole daily due to a physical issue, or is this likely to be psychosomatic (ie. Caused by anxiety)?
Any help would be greatly appreciated! Thanks xx</t>
        </is>
      </c>
      <c r="D5751" t="n">
        <v>1</v>
      </c>
      <c r="E5751" t="n">
        <v>2</v>
      </c>
      <c r="F5751">
        <f>HYPERLINK("https://www.reddit.com/r/GERD/comments/fhfj68/anxiety_or_gerd/")</f>
        <v/>
      </c>
      <c r="G5751" t="inlineStr">
        <is>
          <t>2020-03-12 05:26:22</t>
        </is>
      </c>
      <c r="H5751" t="inlineStr"/>
    </row>
    <row r="5752">
      <c r="A5752" t="inlineStr">
        <is>
          <t>fhg1dv</t>
        </is>
      </c>
      <c r="B5752" t="inlineStr">
        <is>
          <t>Endoscope without sedation?</t>
        </is>
      </c>
      <c r="C5752" t="inlineStr">
        <is>
          <t>I know some people have done it, I want to know how bad it is not being asleep. I dont have insurance and the doctors office originally said I could make payments but now they want the money up front. The anaesthesia alone is $2k so if I can take that off it would help. I had wisdom teeth removed while i was awake so maybe i can for this too.</t>
        </is>
      </c>
      <c r="D5752" t="n">
        <v>1</v>
      </c>
      <c r="E5752" t="n">
        <v>10</v>
      </c>
      <c r="F5752">
        <f>HYPERLINK("https://www.reddit.com/r/GERD/comments/fhg1dv/endoscope_without_sedation/")</f>
        <v/>
      </c>
      <c r="G5752" t="inlineStr">
        <is>
          <t>2020-03-12 06:06:06</t>
        </is>
      </c>
      <c r="H5752" t="inlineStr"/>
    </row>
    <row r="5753">
      <c r="A5753" t="inlineStr">
        <is>
          <t>fhgsji</t>
        </is>
      </c>
      <c r="B5753" t="inlineStr">
        <is>
          <t>That scene in Big Daddy where the kid dribbles his spit all the way to the floor before sucking it back up, i have thick clammy spit like that. Does it sound like acid reflux?</t>
        </is>
      </c>
      <c r="C5753" t="inlineStr">
        <is>
          <t>I do get painful burps and acidic taste but shortness of breath and pulling up thick horrible saliva and mucus are my most dominating symptoms.</t>
        </is>
      </c>
      <c r="D5753" t="n">
        <v>1</v>
      </c>
      <c r="E5753" t="n">
        <v>1</v>
      </c>
      <c r="F5753">
        <f>HYPERLINK("https://www.reddit.com/r/GERD/comments/fhgsji/that_scene_in_big_daddy_where_the_kid_dribbles/")</f>
        <v/>
      </c>
      <c r="G5753" t="inlineStr">
        <is>
          <t>2020-03-12 07:02:22</t>
        </is>
      </c>
      <c r="H5753" t="inlineStr"/>
    </row>
    <row r="5754">
      <c r="A5754" t="inlineStr">
        <is>
          <t>fhha50</t>
        </is>
      </c>
      <c r="B5754" t="inlineStr">
        <is>
          <t>Hiatal Hernia and Barrett's Esophagus at 22. Fuck my life</t>
        </is>
      </c>
      <c r="C5754" t="inlineStr">
        <is>
          <t>Finally had my EGD done yesterday....and sorry but this is just a rant about what has been happening to me this past year...  
I am not sure how I got hiatal hernia...maybe it was from trumpet playing for 8+ years, maybe it was when I got the stomach flu and threw up 9 times in one night...I don't know but this fucking blows. 
I wish I had done something when I was getting heart burn at 3am every damn night instead of just laying on my side and screaming in pain. I didn't know...fuck if I only I knew...  
I took Nexium and it didn't do anything so I stopped taking it. I changed my diet entirely to a keto/low carb diet and that has reduced my acid reflux from 10 times a day to barely 1 a day. I lost 25lb so that's good I guess...but the damage was already done, it was too late. The hernia is still there, my esophagus is fucked and I always always have this bloating, piercing feeling right in my esophagus...is this never going away? The doctor will now check the biopsies to confirm it is Barrett's Esophagus but I know already, it sure damn looks like Barrett's Esophagus....I am going to be on acid reducers for the rest of my life, and my life has just begun...  
I can't enjoy food anymore without feeling like total shit, no matter what or how much I eat. I've been able to keep it together this past year but I finally cried my eyes out last night, this is just so frustrating and stressful; I don't wish this on anyone, I am so done.</t>
        </is>
      </c>
      <c r="D5754" t="n">
        <v>1</v>
      </c>
      <c r="E5754" t="n">
        <v>13</v>
      </c>
      <c r="F5754">
        <f>HYPERLINK("https://www.reddit.com/r/GERD/comments/fhha50/hiatal_hernia_and_barretts_esophagus_at_22_fuck/")</f>
        <v/>
      </c>
      <c r="G5754" t="inlineStr">
        <is>
          <t>2020-03-12 07:36:19</t>
        </is>
      </c>
      <c r="H5754" t="inlineStr"/>
    </row>
    <row r="5755">
      <c r="A5755" t="inlineStr">
        <is>
          <t>fhi5pw</t>
        </is>
      </c>
      <c r="B5755" t="inlineStr">
        <is>
          <t>Just had Hernia surgery and Anti Reflux surgery</t>
        </is>
      </c>
      <c r="C5755" t="inlineStr">
        <is>
          <t>And it's amazing! I can lay here and have no heart burn! I already feel good. Still weird to eat but doc says it should start to slowly become more normal everyday and in 6 months all should be back to normal. So glad I decided to get this done. It's very much worth it.</t>
        </is>
      </c>
      <c r="D5755" t="n">
        <v>1</v>
      </c>
      <c r="E5755" t="n">
        <v>43</v>
      </c>
      <c r="F5755">
        <f>HYPERLINK("https://www.reddit.com/r/GERD/comments/fhi5pw/just_had_hernia_surgery_and_anti_reflux_surgery/")</f>
        <v/>
      </c>
      <c r="G5755" t="inlineStr">
        <is>
          <t>2020-03-12 08:34:33</t>
        </is>
      </c>
      <c r="H5755" t="inlineStr"/>
    </row>
    <row r="5756">
      <c r="A5756" t="inlineStr">
        <is>
          <t>fhj2gp</t>
        </is>
      </c>
      <c r="B5756" t="inlineStr">
        <is>
          <t>Does anyone wait until the middle of the night to take Gaviscon/meds</t>
        </is>
      </c>
      <c r="C5756" t="inlineStr">
        <is>
          <t>Hey,
My reflux sore throat recently came back when I started getting up early for a new job. It's pretty much only when I wake up and then for the next few hours. I've been taking Gaviscon Advance when I go to bed, and then when I wake up in the night, I take a gulp of Pepto. However, the symptoms of reflux/sore throat don't really start until the latter half of the night (close to morning.) Tonight I'll experiment with holding off on the Gaviscon and only take it around 4am+. Has anyone tried this sort of late night-only dosage with Gav/Pepto/meds?</t>
        </is>
      </c>
      <c r="D5756" t="n">
        <v>1</v>
      </c>
      <c r="E5756" t="n">
        <v>11</v>
      </c>
      <c r="F5756">
        <f>HYPERLINK("https://www.reddit.com/r/GERD/comments/fhj2gp/does_anyone_wait_until_the_middle_of_the_night_to/")</f>
        <v/>
      </c>
      <c r="G5756" t="inlineStr">
        <is>
          <t>2020-03-12 09:30:49</t>
        </is>
      </c>
      <c r="H5756" t="inlineStr"/>
    </row>
    <row r="5757">
      <c r="A5757" t="inlineStr">
        <is>
          <t>fhjvpf</t>
        </is>
      </c>
      <c r="B5757" t="inlineStr">
        <is>
          <t>Symptoms</t>
        </is>
      </c>
      <c r="C5757" t="inlineStr">
        <is>
          <t>Recently got GERD diagnosed and the heartburn is causing me to feel like puking and nauseous, this is a normal symptom?</t>
        </is>
      </c>
      <c r="D5757" t="n">
        <v>1</v>
      </c>
      <c r="E5757" t="n">
        <v>1</v>
      </c>
      <c r="F5757">
        <f>HYPERLINK("https://www.reddit.com/r/GERD/comments/fhjvpf/symptoms/")</f>
        <v/>
      </c>
      <c r="G5757" t="inlineStr">
        <is>
          <t>2020-03-12 10:19:58</t>
        </is>
      </c>
      <c r="H5757" t="inlineStr"/>
    </row>
    <row r="5758">
      <c r="A5758" t="inlineStr">
        <is>
          <t>fhkt19</t>
        </is>
      </c>
      <c r="B5758" t="inlineStr">
        <is>
          <t>Wanting to vomit to nullify symptoms?</t>
        </is>
      </c>
      <c r="C5758" t="inlineStr">
        <is>
          <t>I was diagnosed with GERD last year and I hate the feeling in my throat. I don't feel nauseous but instinctively I want to purge to stop the feeling. I know I am not eating too much (I measure out my food) but sometimes I will trigger it and it feels like I'm endlessly swallowing and I have the lump/something stuck in the throat feeling. 
I know I should probably not vomit in these cases but what works for you to provide relief?</t>
        </is>
      </c>
      <c r="D5758" t="n">
        <v>1</v>
      </c>
      <c r="E5758" t="n">
        <v>1</v>
      </c>
      <c r="F5758">
        <f>HYPERLINK("https://www.reddit.com/r/GERD/comments/fhkt19/wanting_to_vomit_to_nullify_symptoms/")</f>
        <v/>
      </c>
      <c r="G5758" t="inlineStr">
        <is>
          <t>2020-03-12 11:16:49</t>
        </is>
      </c>
      <c r="H5758" t="inlineStr"/>
    </row>
    <row r="5759">
      <c r="A5759" t="inlineStr">
        <is>
          <t>fhl9cs</t>
        </is>
      </c>
      <c r="B5759" t="inlineStr">
        <is>
          <t>Why do H2 Receptors work but not PPIs for Me?</t>
        </is>
      </c>
      <c r="C5759" t="inlineStr">
        <is>
          <t>I've taken a few PPIs and they never seem to work well. I'm currently on cimetidine, why does this work better? Are H2 Blockers as safe?  
I have LPR not GERD.
&amp;amp;#x200B;
Thanks!</t>
        </is>
      </c>
      <c r="D5759" t="n">
        <v>1</v>
      </c>
      <c r="E5759" t="n">
        <v>3</v>
      </c>
      <c r="F5759">
        <f>HYPERLINK("https://www.reddit.com/r/GERD/comments/fhl9cs/why_do_h2_receptors_work_but_not_ppis_for_me/")</f>
        <v/>
      </c>
      <c r="G5759" t="inlineStr">
        <is>
          <t>2020-03-12 11:44:26</t>
        </is>
      </c>
      <c r="H5759" t="inlineStr"/>
    </row>
    <row r="5760">
      <c r="A5760" t="inlineStr">
        <is>
          <t>fhll44</t>
        </is>
      </c>
      <c r="B5760" t="inlineStr">
        <is>
          <t>hi</t>
        </is>
      </c>
      <c r="C5760" t="inlineStr">
        <is>
          <t>i have tummy issues i  poop out rocks  and my belly hurts alot  i have autism and  a very picky eater  what can be done for this  im scared  i even  sometimes get poop stains in my underwear  i wipe</t>
        </is>
      </c>
      <c r="D5760" t="n">
        <v>1</v>
      </c>
      <c r="E5760" t="n">
        <v>1</v>
      </c>
      <c r="F5760">
        <f>HYPERLINK("https://www.reddit.com/r/GERD/comments/fhll44/hi/")</f>
        <v/>
      </c>
      <c r="G5760" t="inlineStr">
        <is>
          <t>2020-03-12 12:04:04</t>
        </is>
      </c>
      <c r="H5760" t="inlineStr"/>
    </row>
    <row r="5761">
      <c r="A5761" t="inlineStr">
        <is>
          <t>fhmd07</t>
        </is>
      </c>
      <c r="B5761" t="inlineStr">
        <is>
          <t>Will I realize if I have GERD or acid reflux?</t>
        </is>
      </c>
      <c r="C5761" t="inlineStr">
        <is>
          <t>Hi there, I think I have acid reflux but I am not sure, I don't feel like the acid is going all the way up to my throat and I also don't feel it burning a lot and no  regurgitation, is it possible that I have GERD or acid reflux? I mean is the pain severe or can it also be very mild?</t>
        </is>
      </c>
      <c r="D5761" t="n">
        <v>1</v>
      </c>
      <c r="E5761" t="n">
        <v>3</v>
      </c>
      <c r="F5761">
        <f>HYPERLINK("https://www.reddit.com/r/GERD/comments/fhmd07/will_i_realize_if_i_have_gerd_or_acid_reflux/")</f>
        <v/>
      </c>
      <c r="G5761" t="inlineStr">
        <is>
          <t>2020-03-12 12:51:10</t>
        </is>
      </c>
      <c r="H5761" t="inlineStr"/>
    </row>
    <row r="5762">
      <c r="A5762" t="inlineStr">
        <is>
          <t>fhn1il</t>
        </is>
      </c>
      <c r="B5762" t="inlineStr">
        <is>
          <t>Why do my posts keep getting deleted?</t>
        </is>
      </c>
      <c r="C5762" t="inlineStr">
        <is>
          <t>I’m trying to ask questions but keep getting deleted for no reason with no explanation</t>
        </is>
      </c>
      <c r="D5762" t="n">
        <v>1</v>
      </c>
      <c r="E5762" t="n">
        <v>0</v>
      </c>
      <c r="F5762">
        <f>HYPERLINK("https://www.reddit.com/r/GERD/comments/fhn1il/why_do_my_posts_keep_getting_deleted/")</f>
        <v/>
      </c>
      <c r="G5762" t="inlineStr">
        <is>
          <t>2020-03-12 13:31:40</t>
        </is>
      </c>
      <c r="H5762" t="inlineStr"/>
    </row>
    <row r="5763">
      <c r="A5763" t="inlineStr">
        <is>
          <t>fhne70</t>
        </is>
      </c>
      <c r="B5763" t="inlineStr">
        <is>
          <t>Gerd symptom</t>
        </is>
      </c>
      <c r="C5763" t="inlineStr">
        <is>
          <t>Does anyone one else get very bad chest pain with gerd ?   It takes awhile for it to subside and can feel gurgling too.   I’ve had my heart checked for my own piece of mind because chest pains can freak you out.  In the process of finding the right med to help.   I’ve had this for over 20yrs and the meds I was on just stopped working.  
Thank you In advance for your comment.</t>
        </is>
      </c>
      <c r="D5763" t="n">
        <v>1</v>
      </c>
      <c r="E5763" t="n">
        <v>6</v>
      </c>
      <c r="F5763">
        <f>HYPERLINK("https://www.reddit.com/r/GERD/comments/fhne70/gerd_symptom/")</f>
        <v/>
      </c>
      <c r="G5763" t="inlineStr">
        <is>
          <t>2020-03-12 13:52:34</t>
        </is>
      </c>
      <c r="H5763" t="inlineStr"/>
    </row>
    <row r="5764">
      <c r="A5764" t="inlineStr">
        <is>
          <t>fhnluo</t>
        </is>
      </c>
      <c r="B5764" t="inlineStr">
        <is>
          <t>bump in the bottom of throat; Globus sensation?</t>
        </is>
      </c>
      <c r="C5764" t="inlineStr">
        <is>
          <t>Hey everyone throwaway account here just to avoid anything medical on my primary account, however.
Recently the past couple of weeks I have this 'lump' sensation on the bottom right portion of my throat, almost lateral to my Adams apple, for perspective. It doesn't not hurt like a sore throat, simply minor discomfort when I swallow. 
I have had frequent heart burn, or regurgitation more recently, but nothing in the past few days. Is this the Globus sensation? or does that not sound familiar at all?
&amp;amp;#x200B;
Thanks for the responses in advance! Appreciate it.</t>
        </is>
      </c>
      <c r="D5764" t="n">
        <v>1</v>
      </c>
      <c r="E5764" t="n">
        <v>18</v>
      </c>
      <c r="F5764">
        <f>HYPERLINK("https://www.reddit.com/r/GERD/comments/fhnluo/bump_in_the_bottom_of_throat_globus_sensation/")</f>
        <v/>
      </c>
      <c r="G5764" t="inlineStr">
        <is>
          <t>2020-03-12 14:05:27</t>
        </is>
      </c>
      <c r="H5764" t="inlineStr"/>
    </row>
    <row r="5765">
      <c r="A5765" t="inlineStr">
        <is>
          <t>fho5pa</t>
        </is>
      </c>
      <c r="B5765" t="inlineStr">
        <is>
          <t>Why is it that I feel I need to cough or clear my throat, yet I can take a full deep breath with no problem?</t>
        </is>
      </c>
      <c r="C5765" t="inlineStr">
        <is>
          <t>I’m new to acid reflux and it’s the weirdest feeling. Around my collarbone(maybe a little higher), it feels like there’s something in my throat, kinda like when you swallow water down the wrong pipe, yet when I take a full deep breath, nothing interrupts it. I’m constantly like “oh shit I’m choking on acid or saliva or whatever”..but then I just breathe and nothing is wrong. Why is this?</t>
        </is>
      </c>
      <c r="D5765" t="n">
        <v>1</v>
      </c>
      <c r="E5765" t="n">
        <v>6</v>
      </c>
      <c r="F5765">
        <f>HYPERLINK("https://www.reddit.com/r/GERD/comments/fho5pa/why_is_it_that_i_feel_i_need_to_cough_or_clear_my/")</f>
        <v/>
      </c>
      <c r="G5765" t="inlineStr">
        <is>
          <t>2020-03-12 14:38:59</t>
        </is>
      </c>
      <c r="H5765" t="inlineStr"/>
    </row>
    <row r="5766">
      <c r="A5766" t="inlineStr">
        <is>
          <t>fhpyh0</t>
        </is>
      </c>
      <c r="B5766" t="inlineStr">
        <is>
          <t>Getting a referral for surgery in Canada</t>
        </is>
      </c>
      <c r="C5766" t="inlineStr">
        <is>
          <t>Anyone from Canada here got the surgery done?
I would really like to get the surgery done, and get back to enjoying life. Has anybody had an experience with getting the surgery done in Canada? What was your condition? How long did you have to wait? 
Is there anything I should I say at the doctors appointment, so they won't send me away with another PPI prescription? 
I would greatly appreciate your answers or any advice on the matter. 
I've been diagnosed with hiatus hernia and esophagitis 9 years ago. As a standard remedy, I was prescribed various PPI which completely messed my digestion. I've gained weight, got moody and so on. So, I've tried all kinds of diets and SIBO treatment. But it all had only temporal effect, and it was extremely hard to maintain those diets. I dropped a bunch of weight, but that had only a minor effect.I I've given up on all that and want a more radical solution, but I don't know to get around the system.
Thanks a lot, D</t>
        </is>
      </c>
      <c r="D5766" t="n">
        <v>1</v>
      </c>
      <c r="E5766" t="n">
        <v>2</v>
      </c>
      <c r="F5766">
        <f>HYPERLINK("https://www.reddit.com/r/GERD/comments/fhpyh0/getting_a_referral_for_surgery_in_canada/")</f>
        <v/>
      </c>
      <c r="G5766" t="inlineStr">
        <is>
          <t>2020-03-12 16:32:17</t>
        </is>
      </c>
      <c r="H5766" t="inlineStr"/>
    </row>
    <row r="5767">
      <c r="A5767" t="inlineStr">
        <is>
          <t>fhq3y0</t>
        </is>
      </c>
      <c r="B5767" t="inlineStr">
        <is>
          <t>I have LPR and would appreciate some encouragement/success stories</t>
        </is>
      </c>
      <c r="C5767" t="inlineStr">
        <is>
          <t>Hey everyone.
So, Im a 22 year old male. Ive been suffering from a sore throat and discomfort when taking deep breaths for a little over a year now.
I most likely brought this on by drinking a Monster rehab (non carbonated energy drink) daily, sometimes twice a day, for a year, and other energy drinks for a few years before that, sometimes as often, other times not as much. The part Im most upset about is that this started off slowly, and probably could be reversed. I visited numerous doctors before one finally mentioned acid reflux, meaning I spent 6 months not knowing, still drinking that poison daily, which is, by the way, very acidic and worsens pepsin, and by July, I was way worse off than when it started.
I had a gastroscopy done, it showed my LES has no hernia, and is just slightly loose. They said they couldnt diagnose me with reflux. My stomach and esophagus were/are inflamed. My throat looked very red up until 2 months ago. I feel it still is, but apparently, it looks pretty normal now - too bad I dont have a prior reference. 
Ive been healing for 7 months, avoiding most problematic drinks and foods, I only drink non alcoholic beer, water and chamomile tea now. Limiting the beer as well. I got better on PPIs but only the first few days, then it made no difference. I think i was actually worse when I got off them. The second significant improvement was raising my bed/gaviscon, at around new year, both started at the same time.
Since then, its been going at a snails pace. It seems, sometimes, that its one step forward, two steps back. I felt better than Ive felt in a year just days ago, and today, after having my 24hr pH metry two days ago, I feel horrible.
I hope the test shows something but really, Im just looking for some success stories. I dont wanna come off as a whiner but it really is difficult when all I can find online are mostly testimonials how it never gets better and my friends and family, although compassionate, cant really comprehend what its like to wake up, live and go to bed in pain every single day. Its impacting me mentally, i cant find any motivation to lift (used to be big into fitness) because, well, who exercises with a sore throat.
Not to mention a sore throat has always been a phobia of mine as I was prone to anginas when I was younger - and now it is something I live with daily.
Ill be starting a low acid diet, eating foods with a pH of over 5, for 2 to 4 weeks to see where Im at soon. Id appreciate any tips or success stories!
Thanks for reading.</t>
        </is>
      </c>
      <c r="D5767" t="n">
        <v>1</v>
      </c>
      <c r="E5767" t="n">
        <v>19</v>
      </c>
      <c r="F5767">
        <f>HYPERLINK("https://www.reddit.com/r/GERD/comments/fhq3y0/i_have_lpr_and_would_appreciate_some/")</f>
        <v/>
      </c>
      <c r="G5767" t="inlineStr">
        <is>
          <t>2020-03-12 16:42:41</t>
        </is>
      </c>
      <c r="H5767" t="inlineStr"/>
    </row>
    <row r="5768">
      <c r="A5768" t="inlineStr">
        <is>
          <t>fhsii9</t>
        </is>
      </c>
      <c r="B5768" t="inlineStr">
        <is>
          <t>Acid in throat</t>
        </is>
      </c>
      <c r="C5768" t="inlineStr">
        <is>
          <t>Does anyone else get the feeling of acid (feels like it burns) in your throat and get a nasty taste on your tongue and in mouth? I had an endoscopy about 8 months ago and the Dr. mentioned that the opening where my esophagus and stomach meet is slightly bigger than it would normally be, which could be the reason for my acid issues. I was doing really well for a while... didn't feel any symptoms besides constant burping but recently I've been feeling like burning acid is in my throat and a gross taste in my mouth. I will admit I wasn't eating too well recently (I usually try to eat healthy and stay clear of chocolate, garlic, tomatoes, onions, etc). Anyone else experience these issues? If so, what do you do to help? I'd appreciate any advice</t>
        </is>
      </c>
      <c r="D5768" t="n">
        <v>1</v>
      </c>
      <c r="E5768" t="n">
        <v>9</v>
      </c>
      <c r="F5768">
        <f>HYPERLINK("https://www.reddit.com/r/GERD/comments/fhsii9/acid_in_throat/")</f>
        <v/>
      </c>
      <c r="G5768" t="inlineStr">
        <is>
          <t>2020-03-12 19:29:37</t>
        </is>
      </c>
      <c r="H5768" t="inlineStr"/>
    </row>
    <row r="5769">
      <c r="A5769" t="inlineStr">
        <is>
          <t>fhskk9</t>
        </is>
      </c>
      <c r="B5769" t="inlineStr">
        <is>
          <t>What are your best advice after overeating?</t>
        </is>
      </c>
      <c r="C5769" t="inlineStr">
        <is>
          <t>Ate a little too much and now I'm in pain (nausea, slight heartburn, palpitations). 
What are some tips to deal with the effects of overeating?</t>
        </is>
      </c>
      <c r="D5769" t="n">
        <v>1</v>
      </c>
      <c r="E5769" t="n">
        <v>6</v>
      </c>
      <c r="F5769">
        <f>HYPERLINK("https://www.reddit.com/r/GERD/comments/fhskk9/what_are_your_best_advice_after_overeating/")</f>
        <v/>
      </c>
      <c r="G5769" t="inlineStr">
        <is>
          <t>2020-03-12 19:33:42</t>
        </is>
      </c>
      <c r="H5769" t="inlineStr"/>
    </row>
    <row r="5770">
      <c r="A5770" t="inlineStr">
        <is>
          <t>fhtdn6</t>
        </is>
      </c>
      <c r="B5770" t="inlineStr">
        <is>
          <t>Blood Pressure and GERD: Survey</t>
        </is>
      </c>
      <c r="C5770" t="inlineStr">
        <is>
          <t>In my endless search for a cure, and more importantly, the route cause of a weak LES, I have stumbled upon something that may hold water. I was hoping people could contribute to my knowledge. I would like everyone who has GERD (or Gad it prior to surgery) to type their blood pressure in the comments. If you don’t know your exact readings, please comment if you have low, normal, or high blood pressure, and if you have severely abnormal (extreme hypotension or hypertension) blood pressure readings, please specify in the comments, as well as list any symptoms you experience that are commonly associated with the condition. Hopefully we’ll get to the bottom of this eventually.</t>
        </is>
      </c>
      <c r="D5770" t="n">
        <v>1</v>
      </c>
      <c r="E5770" t="n">
        <v>17</v>
      </c>
      <c r="F5770">
        <f>HYPERLINK("https://www.reddit.com/r/GERD/comments/fhtdn6/blood_pressure_and_gerd_survey/")</f>
        <v/>
      </c>
      <c r="G5770" t="inlineStr">
        <is>
          <t>2020-03-12 20:34:38</t>
        </is>
      </c>
      <c r="H5770" t="inlineStr"/>
    </row>
    <row r="5771">
      <c r="A5771" t="inlineStr">
        <is>
          <t>fhubhi</t>
        </is>
      </c>
      <c r="B5771" t="inlineStr">
        <is>
          <t>I Can Take PPI's</t>
        </is>
      </c>
      <c r="C5771" t="inlineStr">
        <is>
          <t>I just had an endoscopy and I have grade C inflammation by my stomach and my esophagus where they connect.  I was told I need to be on PPI's I told the doctor they give me body aches and gives me joint paint. He got frustrated with me and said I'm refusing medication which is BS. They told me sorry other than changing your diet and reducing stress theirs nothing you can do. I have SIBO and they claim that isn't causing my reflux it's my Hiatal Hernia. Any suggestion on what to do to fix the inflation?</t>
        </is>
      </c>
      <c r="D5771" t="n">
        <v>1</v>
      </c>
      <c r="E5771" t="n">
        <v>0</v>
      </c>
      <c r="F5771">
        <f>HYPERLINK("https://www.reddit.com/r/GERD/comments/fhubhi/i_can_take_ppis/")</f>
        <v/>
      </c>
      <c r="G5771" t="inlineStr">
        <is>
          <t>2020-03-12 21:52:15</t>
        </is>
      </c>
      <c r="H5771" t="inlineStr"/>
    </row>
    <row r="5772">
      <c r="A5772" t="inlineStr">
        <is>
          <t>fhupbq</t>
        </is>
      </c>
      <c r="B5772" t="inlineStr">
        <is>
          <t>I Can't Take PPI's</t>
        </is>
      </c>
      <c r="C5772" t="inlineStr">
        <is>
          <t>I just had an endoscopy and I have grade C inflammation by my stomach and my esophagus where they connect.  I was told I need to be on PPI's I told the doctor they give me body aches and gives me joint paint. He got frustrated with me and said I'm refusing medication which is BS. They told me sorry other than changing your diet and reducing stress theirs nothing you can do. I have SIBO and they claim that isn't causing my reflux it's my Hiatal Hernia. Any suggestion on what to do to fix the inflation?</t>
        </is>
      </c>
      <c r="D5772" t="n">
        <v>1</v>
      </c>
      <c r="E5772" t="n">
        <v>8</v>
      </c>
      <c r="F5772">
        <f>HYPERLINK("https://www.reddit.com/r/GERD/comments/fhupbq/i_cant_take_ppis/")</f>
        <v/>
      </c>
      <c r="G5772" t="inlineStr">
        <is>
          <t>2020-03-12 22:28:34</t>
        </is>
      </c>
      <c r="H5772" t="inlineStr"/>
    </row>
    <row r="5773">
      <c r="A5773" t="inlineStr">
        <is>
          <t>fhv84w</t>
        </is>
      </c>
      <c r="B5773" t="inlineStr">
        <is>
          <t>Mild airway obstruction</t>
        </is>
      </c>
      <c r="C5773" t="inlineStr">
        <is>
          <t>Anyone dealt with this? I’m trying to figure out if this problem is being caused by my GERD or something else entirely</t>
        </is>
      </c>
      <c r="D5773" t="n">
        <v>1</v>
      </c>
      <c r="E5773" t="n">
        <v>4</v>
      </c>
      <c r="F5773">
        <f>HYPERLINK("https://www.reddit.com/r/GERD/comments/fhv84w/mild_airway_obstruction/")</f>
        <v/>
      </c>
      <c r="G5773" t="inlineStr">
        <is>
          <t>2020-03-12 23:19:14</t>
        </is>
      </c>
      <c r="H5773" t="inlineStr"/>
    </row>
    <row r="5774">
      <c r="A5774" t="inlineStr">
        <is>
          <t>fhw1gu</t>
        </is>
      </c>
      <c r="B5774" t="inlineStr">
        <is>
          <t>Let's play a game</t>
        </is>
      </c>
      <c r="C5774" t="inlineStr">
        <is>
          <t>Time for a game of "why is my throat sore"? Is it...
A) my chronic silent reflux
B) seasonal allergies
C) seasonal sickness like the cold or flu
D) the Chinese toilet paper virus</t>
        </is>
      </c>
      <c r="D5774" t="n">
        <v>1</v>
      </c>
      <c r="E5774" t="n">
        <v>1</v>
      </c>
      <c r="F5774">
        <f>HYPERLINK("https://www.reddit.com/r/GERD/comments/fhw1gu/lets_play_a_game/")</f>
        <v/>
      </c>
      <c r="G5774" t="inlineStr">
        <is>
          <t>2020-03-13 00:45:19</t>
        </is>
      </c>
      <c r="H5774" t="inlineStr"/>
    </row>
    <row r="5775">
      <c r="A5775" t="inlineStr">
        <is>
          <t>fhwjm2</t>
        </is>
      </c>
      <c r="B5775" t="inlineStr">
        <is>
          <t>Similar symptoms? Advice?</t>
        </is>
      </c>
      <c r="C5775" t="inlineStr">
        <is>
          <t>Hello, I just recently got diagnosed with acid reflux about a month ago. I took Prilosec for about two weeks, took a break, symptoms wouldn’t relieve, got an ultrasound and then went back on Prilosec about a week ago. I’m pretty new and not very familiar with acid reflux and the different symptoms, so I just wanted to know if anyone had similar symptoms as me and possibly get some advice! 
One of my main symptoms would be my throat irritation. Some nights my throat feels completely blocked on just the right side like there’s something just blocking the whole right side. Or sometimes (like tonight) my throat feels like there’s a huge lump, swollen/feels thick to swallow? I think I’ve been experiencing those the most besides burping and what not. I’m also curious if these symptoms will ever go away? Also if anyone else experienced this? Prilosec doesn’t seem to be doing very much for me. 
I’ve seen about three different doctors and they all told me my symptoms should go away soon, but I don’t know... 
I don’t mean to complain about something minor as I know some have more difficult symptoms than I do. So I apologize as well!
Thanks everyone in advance!</t>
        </is>
      </c>
      <c r="D5775" t="n">
        <v>1</v>
      </c>
      <c r="E5775" t="n">
        <v>2</v>
      </c>
      <c r="F5775">
        <f>HYPERLINK("https://www.reddit.com/r/GERD/comments/fhwjm2/similar_symptoms_advice/")</f>
        <v/>
      </c>
      <c r="G5775" t="inlineStr">
        <is>
          <t>2020-03-13 01:43:46</t>
        </is>
      </c>
      <c r="H5775" t="inlineStr"/>
    </row>
    <row r="5776">
      <c r="A5776" t="inlineStr">
        <is>
          <t>fhxs5q</t>
        </is>
      </c>
      <c r="B5776" t="inlineStr">
        <is>
          <t>Why do I have a strange belching noise?</t>
        </is>
      </c>
      <c r="C5776" t="inlineStr">
        <is>
          <t>I've been dealing with Gerd for a while now and on top of that an agitated stomach lining for a while now, but recently it got worse. I am 25 and now have a chronic sore throat, a strange belching noice, a feeling like something is occasionally stuck in there and a cough that automatically causes a gag reflex. I went to the doctor multiple times and they keep telling me nothing is wrong and now I am panicking as it gets worse. What do I do?</t>
        </is>
      </c>
      <c r="D5776" t="n">
        <v>1</v>
      </c>
      <c r="E5776" t="n">
        <v>6</v>
      </c>
      <c r="F5776">
        <f>HYPERLINK("https://www.reddit.com/r/GERD/comments/fhxs5q/why_do_i_have_a_strange_belching_noise/")</f>
        <v/>
      </c>
      <c r="G5776" t="inlineStr">
        <is>
          <t>2020-03-13 03:53:11</t>
        </is>
      </c>
      <c r="H5776" t="inlineStr"/>
    </row>
    <row r="5777">
      <c r="A5777" t="inlineStr">
        <is>
          <t>fhy86v</t>
        </is>
      </c>
      <c r="B5777" t="inlineStr">
        <is>
          <t>Linx with weak motility?</t>
        </is>
      </c>
      <c r="C5777" t="inlineStr">
        <is>
          <t>Has anyone had the linx that was told they had weak motility? I know generally they don't do it, but I'm curious if it's actually been done and the results. I know dysphagia risk, but was this tried on humans? I've never had issues swallowing, but he seemed to think i should. 
I have weak motility and was told I could not get a linx, which really makes me sad. I don't want a fundoplication. As a side thought I wonder if those with the linx develop a stronger les over time since it requires more strength to open the magnets.</t>
        </is>
      </c>
      <c r="D5777" t="n">
        <v>1</v>
      </c>
      <c r="E5777" t="n">
        <v>23</v>
      </c>
      <c r="F5777">
        <f>HYPERLINK("https://www.reddit.com/r/GERD/comments/fhy86v/linx_with_weak_motility/")</f>
        <v/>
      </c>
      <c r="G5777" t="inlineStr">
        <is>
          <t>2020-03-13 04:34:03</t>
        </is>
      </c>
      <c r="H5777" t="inlineStr"/>
    </row>
    <row r="5778">
      <c r="A5778" t="inlineStr">
        <is>
          <t>fi19x7</t>
        </is>
      </c>
      <c r="B5778" t="inlineStr">
        <is>
          <t>Normal endoscopy</t>
        </is>
      </c>
      <c r="C5778" t="inlineStr">
        <is>
          <t>I had  my endoscope procedure yesterday and she said everything looked normal and fine. At the moment I was too drugged to ask her questions but I'm extremely confused. Does this mean my LES is working just fine? Wtf is my problem then??? Ugh I'm so frustrated 😞.</t>
        </is>
      </c>
      <c r="D5778" t="n">
        <v>1</v>
      </c>
      <c r="E5778" t="n">
        <v>7</v>
      </c>
      <c r="F5778">
        <f>HYPERLINK("https://www.reddit.com/r/GERD/comments/fi19x7/normal_endoscopy/")</f>
        <v/>
      </c>
      <c r="G5778" t="inlineStr">
        <is>
          <t>2020-03-13 08:21:29</t>
        </is>
      </c>
      <c r="H5778" t="inlineStr"/>
    </row>
    <row r="5779">
      <c r="A5779" t="inlineStr">
        <is>
          <t>fi4u7g</t>
        </is>
      </c>
      <c r="B5779" t="inlineStr">
        <is>
          <t>Has anyone taken a ppi that got rid of their acid reflux?</t>
        </is>
      </c>
      <c r="C5779" t="inlineStr">
        <is>
          <t>I had bad reflux, took a ppi for 2 weeks after my doctor recommended it  and then got hit with be rebound acid after the two weeks of being symptoms free on ppi. I’ve been slowly getting flare ups less and less but it’s kind of a slow process and I read that after a week, the rebound should be over and it should be back to normal. Just wondering if anyone else has had a similar experience and it got rid of reflux. 
Yesterday, I ate a really small amount of food and got minimal reflux but it isn’t very ideal for me to eat such a small amount. Today, I tried eating like normal again and have had a few cases of acid coming back up and burning my throat. But it’s not nearly as bad as before I started the ppi. Will it get better? Is this still rebound? I’d appreciate any words/advice</t>
        </is>
      </c>
      <c r="D5779" t="n">
        <v>1</v>
      </c>
      <c r="E5779" t="n">
        <v>8</v>
      </c>
      <c r="F5779">
        <f>HYPERLINK("https://www.reddit.com/r/GERD/comments/fi4u7g/has_anyone_taken_a_ppi_that_got_rid_of_their_acid/")</f>
        <v/>
      </c>
      <c r="G5779" t="inlineStr">
        <is>
          <t>2020-03-13 12:02:20</t>
        </is>
      </c>
      <c r="H5779" t="inlineStr"/>
    </row>
    <row r="5780">
      <c r="A5780" t="inlineStr">
        <is>
          <t>fi5n5d</t>
        </is>
      </c>
      <c r="B5780" t="inlineStr">
        <is>
          <t>Is it normal to feel my throat like a strep throat everyday 24/7 with gerd/lpr ?</t>
        </is>
      </c>
      <c r="C5780" t="inlineStr">
        <is>
          <t>5 months ago I have this chronic pain in my throat, is like a strep throat with lesser pain, I got on so many studies, 2 endoscopies that showed nothing no hernia no esophagitis normal LES , 1 phmetry that showed reflux, all basic bloodwork ok, tyroid ok, its actually taking a tool in my life, the pain is super intense in the mornings, I dont have any larynx , voice box pain, its just the damb sore throat , anyone can relate?</t>
        </is>
      </c>
      <c r="D5780" t="n">
        <v>1</v>
      </c>
      <c r="E5780" t="n">
        <v>13</v>
      </c>
      <c r="F5780">
        <f>HYPERLINK("https://www.reddit.com/r/GERD/comments/fi5n5d/is_it_normal_to_feel_my_throat_like_a_strep/")</f>
        <v/>
      </c>
      <c r="G5780" t="inlineStr">
        <is>
          <t>2020-03-13 12:51:43</t>
        </is>
      </c>
      <c r="H5780" t="inlineStr"/>
    </row>
    <row r="5781">
      <c r="A5781" t="inlineStr">
        <is>
          <t>fi6lnt</t>
        </is>
      </c>
      <c r="B5781" t="inlineStr">
        <is>
          <t>Endoscopy went off the rails kinda</t>
        </is>
      </c>
      <c r="C5781" t="inlineStr">
        <is>
          <t>So I just had my endoscopy this morning and I have severe anxiety especially surrounding anything medical related. I get nervous even when I just go for a check up. So today was very hard. I was crying the whole time. And apparently during the test I tried pulling the tube out multiple times. So they didn’t even get to my stomach. I’m really sad and disappointed in myself after hearing that. The doctor said I was the worst case of anxiety during that procedure he’s ever seen. I just feel awful and like I went through with something so stressful for nothing. They couldn’t give me any info really because of me. I don’t know what to do and I just feel so sad.</t>
        </is>
      </c>
      <c r="D5781" t="n">
        <v>1</v>
      </c>
      <c r="E5781" t="n">
        <v>56</v>
      </c>
      <c r="F5781">
        <f>HYPERLINK("https://www.reddit.com/r/GERD/comments/fi6lnt/endoscopy_went_off_the_rails_kinda/")</f>
        <v/>
      </c>
      <c r="G5781" t="inlineStr">
        <is>
          <t>2020-03-13 13:51:27</t>
        </is>
      </c>
      <c r="H5781" t="inlineStr"/>
    </row>
    <row r="5782">
      <c r="A5782" t="inlineStr">
        <is>
          <t>fi7cb6</t>
        </is>
      </c>
      <c r="B5782" t="inlineStr">
        <is>
          <t>does this sound like GERD? need some help / support</t>
        </is>
      </c>
      <c r="C5782" t="inlineStr">
        <is>
          <t>over the past three days I’ve been living in an uncomfortable state.
no pain or anything, but... I’ve had a weird sensation in my chest to the bottom of my theory and my back. Yesterday I had a more acidic feeling. today I my throat feels tight / tired. Tums seems to help a bit, but I also took Mylanta earlier.
I was burping a lot but no pain. 
I don’t know what’s going on with me</t>
        </is>
      </c>
      <c r="D5782" t="n">
        <v>1</v>
      </c>
      <c r="E5782" t="n">
        <v>6</v>
      </c>
      <c r="F5782">
        <f>HYPERLINK("https://www.reddit.com/r/GERD/comments/fi7cb6/does_this_sound_like_gerd_need_some_help_support/")</f>
        <v/>
      </c>
      <c r="G5782" t="inlineStr">
        <is>
          <t>2020-03-13 14:38:24</t>
        </is>
      </c>
      <c r="H5782" t="inlineStr"/>
    </row>
    <row r="5783">
      <c r="A5783" t="inlineStr">
        <is>
          <t>fi84ho</t>
        </is>
      </c>
      <c r="B5783" t="inlineStr">
        <is>
          <t>Perfect time for a flare up</t>
        </is>
      </c>
      <c r="C5783" t="inlineStr">
        <is>
          <t>Anyone else having a GERD flare up at the worst possible time. I have a constant need to clear my throat. I have to refrain from coughing in front of others. My chest burns which makes it feel like it’s hard to breathe and this time around I’m also experiencing referred pain in my upper back. 
Pray for me y’all.</t>
        </is>
      </c>
      <c r="D5783" t="n">
        <v>1</v>
      </c>
      <c r="E5783" t="n">
        <v>17</v>
      </c>
      <c r="F5783">
        <f>HYPERLINK("https://www.reddit.com/r/GERD/comments/fi84ho/perfect_time_for_a_flare_up/")</f>
        <v/>
      </c>
      <c r="G5783" t="inlineStr">
        <is>
          <t>2020-03-13 15:27:50</t>
        </is>
      </c>
      <c r="H5783" t="inlineStr"/>
    </row>
    <row r="5784">
      <c r="A5784" t="inlineStr">
        <is>
          <t>fi9bkx</t>
        </is>
      </c>
      <c r="B5784" t="inlineStr">
        <is>
          <t>To take PPI or not?</t>
        </is>
      </c>
      <c r="C5784" t="inlineStr">
        <is>
          <t>I've had GERD for about 14 years, since I was 20.  For the longest time I thought it was allergies since I just had a chronic sore throat and lots of sticky mucus so I brushed it off.  The more typical symptoms came a few years later.  I don't usually get heartburn.  It's mainly sore throat (especially nasopharynx), mild burning and sharp pains between the bottom of my ribcage and navel (slightly closer to ribcage), regurgitation, and intermittent mild dysphagia.  
Diet doesn't seem to make a difference.  I'm slim, don't smoke, don't consume caffeine, avoid common triggers, etc.  I've always had anxiety and depression, which probably makes it worse.  I just started Wellbutrin again recently, which helped me years ago.  Thankfully, the symptoms are all more annoying than painful, especially the throat mucus.  H2RA's do nothing, nor does Gaviscon Advance.  Pantoprazole 40 mg didn't help much.  Oddly, Omeprazole 20 did help.  I'll take that on and off for a couple of months at at time and then ween myself off.  I've had three endoscopies, first showed mild esophagitis and the last two came back normal.   Normal esophageal motility and LES pressure.  PH monitoring DeMeester score of 28, with mostly proximal reflux.
Some now think PPIs can be a causal factor in the development of Barrett's and might be responsible for the rise in esophageal CA.  I've also read PPIs aren't at all chemoprotective.  I'm sure you've all heard about long-term PPI use and the links to other conditions.  My question is: do the potential benefits of PPIs truly outweigh the risks of untreated GERD?  If so, I'll just take the Omeprazole.  I tend to go down the hypochondriac rabbit hole and find all this conflicting information until my head is spinning and I don't know what to do.  If anyone has been taking PPIs for years with no noticeable ill effects, please let me know.
Shame I sound like a bumbling neurotic for my first Reddit post after a decade of lurking</t>
        </is>
      </c>
      <c r="D5784" t="n">
        <v>1</v>
      </c>
      <c r="E5784" t="n">
        <v>2</v>
      </c>
      <c r="F5784">
        <f>HYPERLINK("https://www.reddit.com/r/GERD/comments/fi9bkx/to_take_ppi_or_not/")</f>
        <v/>
      </c>
      <c r="G5784" t="inlineStr">
        <is>
          <t>2020-03-13 16:47:30</t>
        </is>
      </c>
      <c r="H5784" t="inlineStr"/>
    </row>
    <row r="5785">
      <c r="A5785" t="inlineStr">
        <is>
          <t>fi9gw6</t>
        </is>
      </c>
      <c r="B5785" t="inlineStr">
        <is>
          <t>I have never been so miserable in my life. Will this be my life forever?</t>
        </is>
      </c>
      <c r="C5785" t="inlineStr">
        <is>
          <t>I’ve already become mentally depressed from this and it is completely interfering with my everyday life. I have LPR (not diagnosed) and have seen my doctor who only had me take meds. Well I can’t take the meds forever... so he had me get off them and now I’m feeling all of the symptoms all over again. I have heartburn as I type this.
I am completely miserable and honestly I’ve never been so depressed in many years. Now I get heartburn, acid back up my throat, or both. I never had a problem throughout my entire life with this and it came out of nowhere one day. 
Every time it occurs, I get all of this anxiety about how bad it is for my esophagus and anxiety that I’m gonna get cancer. which only makes it worse. I fucking hate my life</t>
        </is>
      </c>
      <c r="D5785" t="n">
        <v>1</v>
      </c>
      <c r="E5785" t="n">
        <v>18</v>
      </c>
      <c r="F5785">
        <f>HYPERLINK("https://www.reddit.com/r/GERD/comments/fi9gw6/i_have_never_been_so_miserable_in_my_life_will/")</f>
        <v/>
      </c>
      <c r="G5785" t="inlineStr">
        <is>
          <t>2020-03-13 16:57:44</t>
        </is>
      </c>
      <c r="H5785" t="inlineStr"/>
    </row>
    <row r="5786">
      <c r="A5786" t="inlineStr">
        <is>
          <t>fi9uaq</t>
        </is>
      </c>
      <c r="B5786" t="inlineStr">
        <is>
          <t>Breath getting caught while breathing?</t>
        </is>
      </c>
      <c r="C5786" t="inlineStr">
        <is>
          <t>Does anybody have this symptom. It kinda feels and sounds like you just snorted but not really.
Top-most annoying thing out of this along with the poor breathing. It's like a breath hiccup. Feels like on inhale, your air travel knocks into something.
Thankfully it only occasionally happens but every time I think my breathing is getting better, I do a breath hiccup and just know my breathing will feel cloggy later.</t>
        </is>
      </c>
      <c r="D5786" t="n">
        <v>1</v>
      </c>
      <c r="E5786" t="n">
        <v>1</v>
      </c>
      <c r="F5786">
        <f>HYPERLINK("https://www.reddit.com/r/GERD/comments/fi9uaq/breath_getting_caught_while_breathing/")</f>
        <v/>
      </c>
      <c r="G5786" t="inlineStr">
        <is>
          <t>2020-03-13 17:24:00</t>
        </is>
      </c>
      <c r="H5786" t="inlineStr"/>
    </row>
    <row r="5787">
      <c r="A5787" t="inlineStr">
        <is>
          <t>fiaiux</t>
        </is>
      </c>
      <c r="B5787" t="inlineStr">
        <is>
          <t>Anyone add baking soda to tomato based products?</t>
        </is>
      </c>
      <c r="C5787" t="inlineStr">
        <is>
          <t>Like spaghetti sauce, diced tomatoes, etc. Does it really work to reduce acidity? Thanks!</t>
        </is>
      </c>
      <c r="D5787" t="n">
        <v>1</v>
      </c>
      <c r="E5787" t="n">
        <v>4</v>
      </c>
      <c r="F5787">
        <f>HYPERLINK("https://www.reddit.com/r/GERD/comments/fiaiux/anyone_add_baking_soda_to_tomato_based_products/")</f>
        <v/>
      </c>
      <c r="G5787" t="inlineStr">
        <is>
          <t>2020-03-13 18:12:52</t>
        </is>
      </c>
      <c r="H5787" t="inlineStr"/>
    </row>
    <row r="5788">
      <c r="A5788" t="inlineStr">
        <is>
          <t>fiaoau</t>
        </is>
      </c>
      <c r="B5788" t="inlineStr">
        <is>
          <t>Throat clearing relief without medication?</t>
        </is>
      </c>
      <c r="C5788" t="inlineStr">
        <is>
          <t>My girlfriend was diagnosed with acid reflux/GERD, she's not in much discomfort but the constant throat-clearing after meals/before we go to sleep is driving us both insane.
She also has some liver issues and has been encouraged not to take any unnecessary medication. 
She's tried drinking water, chewing ginger, and standing up for a bit after dinner, but it's still bad. Are there any other things she can try that don't involve medication?</t>
        </is>
      </c>
      <c r="D5788" t="n">
        <v>1</v>
      </c>
      <c r="E5788" t="n">
        <v>1</v>
      </c>
      <c r="F5788">
        <f>HYPERLINK("https://www.reddit.com/r/GERD/comments/fiaoau/throat_clearing_relief_without_medication/")</f>
        <v/>
      </c>
      <c r="G5788" t="inlineStr">
        <is>
          <t>2020-03-13 18:24:10</t>
        </is>
      </c>
      <c r="H5788" t="inlineStr"/>
    </row>
    <row r="5789">
      <c r="A5789" t="inlineStr">
        <is>
          <t>fibk55</t>
        </is>
      </c>
      <c r="B5789" t="inlineStr">
        <is>
          <t>GERD</t>
        </is>
      </c>
      <c r="C5789" t="inlineStr">
        <is>
          <t>Hello, I have GERD, I have tried multiple medications and so far nothing helps well enough. I have had an upper endoscopy. It’s gives me anxiety because a year or so ago, I started coughing so bad I couldn’t catch my breath. It’s has made my anxiety worse. My doctor is having me take Pepcid, but I feel like it’s not helping and I feel like I’m not listened to. It gives me terrible nausea almost every time I eat. Any suggestions?</t>
        </is>
      </c>
      <c r="D5789" t="n">
        <v>1</v>
      </c>
      <c r="E5789" t="n">
        <v>8</v>
      </c>
      <c r="F5789">
        <f>HYPERLINK("https://www.reddit.com/r/GERD/comments/fibk55/gerd/")</f>
        <v/>
      </c>
      <c r="G5789" t="inlineStr">
        <is>
          <t>2020-03-13 19:31:00</t>
        </is>
      </c>
      <c r="H5789" t="inlineStr"/>
    </row>
    <row r="5790">
      <c r="A5790" t="inlineStr">
        <is>
          <t>ficeul</t>
        </is>
      </c>
      <c r="B5790" t="inlineStr">
        <is>
          <t>GERD &amp;amp; Bladder Issues</t>
        </is>
      </c>
      <c r="C5790" t="inlineStr">
        <is>
          <t>Is there any link between chronic reflux and issues with urination or general UT pain?</t>
        </is>
      </c>
      <c r="D5790" t="n">
        <v>1</v>
      </c>
      <c r="E5790" t="n">
        <v>1</v>
      </c>
      <c r="F5790">
        <f>HYPERLINK("https://www.reddit.com/r/GERD/comments/ficeul/gerd_bladder_issues/")</f>
        <v/>
      </c>
      <c r="G5790" t="inlineStr">
        <is>
          <t>2020-03-13 20:38:56</t>
        </is>
      </c>
      <c r="H5790" t="inlineStr"/>
    </row>
    <row r="5791">
      <c r="A5791" t="inlineStr">
        <is>
          <t>ficv3k</t>
        </is>
      </c>
      <c r="B5791" t="inlineStr">
        <is>
          <t>GERD? Asthma? Both? I don't know what's going on or what to do anymore.</t>
        </is>
      </c>
      <c r="C5791" t="inlineStr">
        <is>
          <t>I apologize for the massive amount of information and text I'm about to dump, but I'm at about my wit's end here and desperate for answers. The moment my tests and imaging came back normal, it didn't matter how many follow-ups I tried to do, the doctors just didn't seem interested in helping me. Before I could finish talking, they'd tend to get up, shake my hand, and walk out as if they just cured me right then and there. I got the impression that as long as my tests were normal, they didn't care that I didn't feel normal. So I'm about to include a (long) list of events and symptoms that began at the beginning of this year in the hope that maybe some stranger on the internet might be able to point me in the right direction.
&amp;amp;#x200B;
**Rough Timeline:**
At the very beginning of this year, I developed sudden shortness of breath. Simultaneously, I also experienced heartburn, belching, and tightness of the chest. I didn't particularly think anything of the belching at the time, as I've always been like that, especially after meals. Following this, I would experience shortness of breath at around the same periods of time every day; generally between 1-3 PM and 4-7 PM. There was no heartburn during these episodes. There were a few bad nights, however, where my breathing got significantly worse. If I sat up, I'd start belching like crazy and begin feeling heartburn after a few minutes. 
In February, I saw a GP, who did some sort of breathing test, following by a 15 minute treatment nebulizer session, followed by another test. Without actually diagnosing me with anything, she said I responded to the treatment and gave me an Albuterol rescue inhaler. Sometimes this inhaler seemed to work and other times I could not tell if there was an effect. X-rays were also done and a CT scan was ordered and done later. Both were normal.
Following one of the aforementioned bad nights, I got dizzy, lightheaded, and had chills while in the car. I pulled over and had a family member take me to the ER, where they told me those new symptoms were simply an anxiety attack that was likely brought on by the other problems. They did more x-rays and bloodwork, both coming back with normal results. They gave me some Pepcid based on everything else I mentioned. The Pepcid seemed to reduce my typical belching after meals, especially breakfast, but did not stop the shortness of breath. I did not have any more of those bad nights after starting the Pepcid.
 I saw a gastroenterologist, who recommended an EGD and gave me some Dexilant samples, and a pulmonologist, who diagnosed the condition as Reactive Airway Disease (which apparently doesn't really mean anything from what I heard), likely resulting from an infection I had around Thanksgiving last year, and prescribed me Qvar RediHaler as a preventative inhaler. For a while, this inhaler seemed to be working extremely well, giving me several perfect days along with many nearly perfect days. Everything seemed to be getting continuously better aside from a small hiccup where breathing was bad for a full day and I felt a general malaise for several days. I just guessed that it was as a feverless cold and it got better. There were also a couple days where my breathing felt "cold." I also tried the Dexilant, but lost my appetite and stopped after three days. My appetite returned shortly after, but I now believe that to be coincidence as I maintained my appetite when I began it again this month. 
This continuous improvement ended the day of my EGD, towards the end of February. The EGD seemed to go well; biopsy results were normal and there was some minor inflammation of the esophagus. However, that evening at around one of the typical times, the shortness of breath hit me again, about as bad as it did before I started the Qvar.
A couple days later, I started having a "funny" sensation in my chest, aggravating my breathing issues. From this point on, my breathing issues are just as bad as if not worse than when they first started AND I also now have a frequent urge to cough and clear my throat, sometimes along with a liquid sensation in my chest. I managed to land an appoint a few days after these new symptoms started with a different pulmonologist at the same location. He didn't really say much and just prescribed Breo Elipta to use instead of Qvar.
By about March 6th, the need to cough and clear my throat has gone down a bit and mostly occurs in mornings and nights before bed. 
On the 7th, it felt cold when I breathed again, along with the other symptoms. This is about when I learned that GERD may not just exasperate breathing problems, but can cause them in the first place.
On the 8th, the cold sensation was gone, but I started using the Dexilant samples again.
On the 9th, I finally started the Breo Elipta instead of the Qvar; I was hesitant due to paranoia about side effects. The coughing and throat clearing was very minor, again mostly occurring in the morning and night.
The 10th was pretty bad all day. The 11th was actually really good. The 12th was good until the evening/night (there was regurgitation in the back of my throat too). Today got pretty bad in the evening starting around 4, and my chest just felt kind of uncomfortable for most of the day.
**Just the Current/Most Recent Symptoms:**
* Shortness of breath, most commonly between 1-3 PM and 4-7 PM, but recently going much later
* Belching
* Cold (temperature) sensation in chest
* Liquid sensation in chest 
* Urge to clear throat and cough, worse in mornings and evenings/nights
**The Question(s):**
I will admit that I don't expect to receive some sort of miracle help here, but I don't know where to look at this point. Doctors either just ask me basic questions and walk out or, in the case of that second pulmonologist visit, just prescribe me some other drug without even letting me finish talking. My symptoms and inconsistent reaction to medications leave me with no idea of what underlying condition I should even be trying to treat. Things seem to be working until they suddenly don't. Do any of you have any idea what I should be doing? What type of doctor should I be seeing? What should I say so they actually listen to me?
&amp;amp;#x200B;
Some additional info if it at all helps or is needed: 
I'm 5'9", 150 lbs, and 23 years old. I'm also currently on a waitlist to see a GP at a Mayo Clinic in the hopes that maybe they will help me.</t>
        </is>
      </c>
      <c r="D5791" t="n">
        <v>1</v>
      </c>
      <c r="E5791" t="n">
        <v>16</v>
      </c>
      <c r="F5791">
        <f>HYPERLINK("https://www.reddit.com/r/GERD/comments/ficv3k/gerd_asthma_both_i_dont_know_whats_going_on_or/")</f>
        <v/>
      </c>
      <c r="G5791" t="inlineStr">
        <is>
          <t>2020-03-13 21:16:41</t>
        </is>
      </c>
      <c r="H5791" t="inlineStr"/>
    </row>
    <row r="5792">
      <c r="A5792" t="inlineStr">
        <is>
          <t>fidups</t>
        </is>
      </c>
      <c r="B5792" t="inlineStr">
        <is>
          <t>Anyone in here with good experience in stretta without hiatus hernia for LPR?</t>
        </is>
      </c>
      <c r="C5792" t="inlineStr">
        <is>
          <t>Found not so many good reviews</t>
        </is>
      </c>
      <c r="D5792" t="n">
        <v>1</v>
      </c>
      <c r="E5792" t="n">
        <v>15</v>
      </c>
      <c r="F5792">
        <f>HYPERLINK("https://www.reddit.com/r/GERD/comments/fidups/anyone_in_here_with_good_experience_in_stretta/")</f>
        <v/>
      </c>
      <c r="G5792" t="inlineStr">
        <is>
          <t>2020-03-13 22:50:58</t>
        </is>
      </c>
      <c r="H5792" t="inlineStr"/>
    </row>
    <row r="5793">
      <c r="A5793" t="inlineStr">
        <is>
          <t>fieeam</t>
        </is>
      </c>
      <c r="B5793" t="inlineStr">
        <is>
          <t>Does slippery elm interfere with absorption of meds?</t>
        </is>
      </c>
      <c r="C5793" t="inlineStr">
        <is>
          <t>I really want to let slippery elm be a part of my either morning or evening routine but I've read somewhere that you shouldn't drink it for 2 hours before or after taking meds. Since I'm currently trying to heal my stomach/guts/etc my doctor prescribed me an absolute cocktail of meds that I have to take both in the morning and evening plus one of them during the day. So it's really hard for me to find a hole without any drugs for 4 hours. Do you guys drink it regardless of your meds? Does it weaken their absoption in any way?</t>
        </is>
      </c>
      <c r="D5793" t="n">
        <v>1</v>
      </c>
      <c r="E5793" t="n">
        <v>3</v>
      </c>
      <c r="F5793">
        <f>HYPERLINK("https://www.reddit.com/r/GERD/comments/fieeam/does_slippery_elm_interfere_with_absorption_of/")</f>
        <v/>
      </c>
      <c r="G5793" t="inlineStr">
        <is>
          <t>2020-03-13 23:48:07</t>
        </is>
      </c>
      <c r="H5793" t="inlineStr"/>
    </row>
    <row r="5794">
      <c r="A5794" t="inlineStr">
        <is>
          <t>fiemsz</t>
        </is>
      </c>
      <c r="B5794" t="inlineStr">
        <is>
          <t>Recommendations to heal an agitated throat?</t>
        </is>
      </c>
      <c r="C5794" t="inlineStr">
        <is>
          <t>My throat and acid backwash into my throat has been real bad the past few days and its not feeling great. In addition to that my heavy heart beats are coming back which suck. That being said do you guys have any recommendations on things to heal your throat?
Things I have seen:
- Honey
- Tea
- Antacids
- H2 Blockers
- Maybe some probiotics?
Would be curious to know what other "home remedy" type solutions you guys have seen as my next GI appoint (since my endoscopy which came back normal) is far out.</t>
        </is>
      </c>
      <c r="D5794" t="n">
        <v>1</v>
      </c>
      <c r="E5794" t="n">
        <v>5</v>
      </c>
      <c r="F5794">
        <f>HYPERLINK("https://www.reddit.com/r/GERD/comments/fiemsz/recommendations_to_heal_an_agitated_throat/")</f>
        <v/>
      </c>
      <c r="G5794" t="inlineStr">
        <is>
          <t>2020-03-14 00:12:53</t>
        </is>
      </c>
      <c r="H5794" t="inlineStr"/>
    </row>
    <row r="5795">
      <c r="A5795" t="inlineStr">
        <is>
          <t>fieszf</t>
        </is>
      </c>
      <c r="B5795" t="inlineStr">
        <is>
          <t>Question</t>
        </is>
      </c>
      <c r="C5795" t="inlineStr">
        <is>
          <t>Does anyone else only experience Gerd when they over eat?</t>
        </is>
      </c>
      <c r="D5795" t="n">
        <v>1</v>
      </c>
      <c r="E5795" t="n">
        <v>1</v>
      </c>
      <c r="F5795">
        <f>HYPERLINK("https://www.reddit.com/r/GERD/comments/fieszf/question/")</f>
        <v/>
      </c>
      <c r="G5795" t="inlineStr">
        <is>
          <t>2020-03-14 00:31:30</t>
        </is>
      </c>
      <c r="H5795" t="inlineStr"/>
    </row>
    <row r="5796">
      <c r="A5796" t="inlineStr">
        <is>
          <t>fifdgn</t>
        </is>
      </c>
      <c r="B5796" t="inlineStr">
        <is>
          <t>Zantac alternatives if pepcid doesnt work for me</t>
        </is>
      </c>
      <c r="C5796" t="inlineStr">
        <is>
          <t>In canada if that makes a difference</t>
        </is>
      </c>
      <c r="D5796" t="n">
        <v>1</v>
      </c>
      <c r="E5796" t="n">
        <v>3</v>
      </c>
      <c r="F5796">
        <f>HYPERLINK("https://www.reddit.com/r/GERD/comments/fifdgn/zantac_alternatives_if_pepcid_doesnt_work_for_me/")</f>
        <v/>
      </c>
      <c r="G5796" t="inlineStr">
        <is>
          <t>2020-03-14 01:36:24</t>
        </is>
      </c>
      <c r="H5796" t="inlineStr"/>
    </row>
    <row r="5797">
      <c r="A5797" t="inlineStr">
        <is>
          <t>fiib0c</t>
        </is>
      </c>
      <c r="B5797" t="inlineStr">
        <is>
          <t>Khombucha has been a temporary lifesaver</t>
        </is>
      </c>
      <c r="C5797" t="inlineStr">
        <is>
          <t>Whenever I drink it, it feels like all of the pressure in my stomach gets released and I burp it all out. Then of course it comes back the next day... but it’s such a nice 24 hour remedy. It definitely doesn’t work for everyone but everyone should at least try a ginger flavored Khombucha once in their lives. To me, it tastes better than soda but I’ve been soda free for years and this is the perfect alternative. If you do decide to drink it, just don’t drink it every day is my only warning. Everything in moderation</t>
        </is>
      </c>
      <c r="D5797" t="n">
        <v>1</v>
      </c>
      <c r="E5797" t="n">
        <v>10</v>
      </c>
      <c r="F5797">
        <f>HYPERLINK("https://www.reddit.com/r/GERD/comments/fiib0c/khombucha_has_been_a_temporary_lifesaver/")</f>
        <v/>
      </c>
      <c r="G5797" t="inlineStr">
        <is>
          <t>2020-03-14 06:24:30</t>
        </is>
      </c>
      <c r="H5797" t="inlineStr"/>
    </row>
    <row r="5798">
      <c r="A5798" t="inlineStr">
        <is>
          <t>fimqa7</t>
        </is>
      </c>
      <c r="B5798" t="inlineStr">
        <is>
          <t>Could all of these symptoms be GERD?</t>
        </is>
      </c>
      <c r="C5798" t="inlineStr">
        <is>
          <t>I posted this already on askdocs, but I figured I’d ask here from people who have GERD symptoms first hand. This is what’s been going with me, does is sound like this could only be GERD:
I was recently diagnosed with GERD, I am on 40 mg protonix once a day. I am eating the bland diet, staying elevated, etc. The medicine did appear to help once I starting taking it two weeks ago. I have been able to eat and I don’t have burning in my throat. That being said, I’ve had other weird problems since taking it. I feel like my stomach empties slower or something, it takes me awhile to poop and my poops have been a looser consistency. Sometimes my stomach feels distended and I get bloated too. That causes stomach pain and I notice my reflux is worse during these events. I’ve also been overall feeling fatigued with occasional episodes of dizziness and lightheaded ness. I don’t think my sleep has been great lately—when my stomach is more distended I have trouble sleeping and wake up frequently. Last night, I woke up gasping for air for no reason and my nose was congested. I put on a nasal strip and that helped me breathe so I could get back to sleep.
Last weekend, I felt like the fatigue was building and I was getting episodes of dizziness. I had lost 10 pounds in a week and wasn’t eating well (I’ve been eating normal calories this week). I went to the ER. They did bloodwork and metabolic panels which all came back normal. They did an ultrasound of my right upper quadrant which came back normal, no stones or anything. They did a urinalysis which showed a UTI although I got the culture back later this week which showed no UTI. They prescribed me Bactrim DS twice a day which I’ve been taking since Monday. My glucose was normal. They did a test where they measured my blood pressure laying sitting and standing which were all within normal range and consistent. They tested me for h pylori which came back with only elevated igM so unlikely that’s my problem although I guess that’s a potential. They prescribed me Carafate too but I had trouble with that and was having bad diarrhea with it so my GI doctor said to wait until I was done with the antibiotics and then I could start it again. 
Today, I have this hollow feeling in my chest, occasional shooting pains, the hollow feeling worsens when I lift my arm above my head, this has been happening since last night. My pulse ox is showing that my oxygen is normal but my heart rate has been in the 60s or 50s when I’ve just been lying on the couch. Sometimes I feel like I’m having heart palpitations when I’m lying on the couch, like my heart skips a beat or something and I feel a little out of it. The heart rates from the pulse ox are consistent to what it was when I was lying in the ER and they weren’t concerned about it although I did mention it. 
I absolutely hate to go to the ER if this isn’t an emergency with all the Coronavirus stuff going on. I’m annoyed they didn’t do an EKG last time I went. I have a pcp appointment scheduled for Monday and an upper EDG scheduled for Wednesday.</t>
        </is>
      </c>
      <c r="D5798" t="n">
        <v>1</v>
      </c>
      <c r="E5798" t="n">
        <v>0</v>
      </c>
      <c r="F5798">
        <f>HYPERLINK("https://www.reddit.com/r/GERD/comments/fimqa7/could_all_of_these_symptoms_be_gerd/")</f>
        <v/>
      </c>
      <c r="G5798" t="inlineStr">
        <is>
          <t>2020-03-14 11:14:14</t>
        </is>
      </c>
      <c r="H5798" t="inlineStr"/>
    </row>
    <row r="5799">
      <c r="A5799" t="inlineStr">
        <is>
          <t>fiq23g</t>
        </is>
      </c>
      <c r="B5799" t="inlineStr">
        <is>
          <t>Save yourselves a lot of grief and try this</t>
        </is>
      </c>
      <c r="C5799" t="inlineStr">
        <is>
          <t>https://www.stopagingnow.com/acu60?utm_source=google&amp;amp;utm_medium=cpc&amp;amp;utm_content=73299628781&amp;amp;utm_term=acid%20reflux&amp;amp;utm_campaign=2073576435&amp;amp;gclid=CjwKCAjwgbLzBRBsEiwAXVIygH6FbPr1z3NxQj-zbiR_DN11wHL5wuuO71ayGl7NBVKeK-LWjd1vxBoCqsUQAvD_BwE
This ia the only thing that has helped me after 2 years of attempts to find a solution!!</t>
        </is>
      </c>
      <c r="D5799" t="n">
        <v>1</v>
      </c>
      <c r="E5799" t="n">
        <v>3</v>
      </c>
      <c r="F5799">
        <f>HYPERLINK("https://www.reddit.com/r/GERD/comments/fiq23g/save_yourselves_a_lot_of_grief_and_try_this/")</f>
        <v/>
      </c>
      <c r="G5799" t="inlineStr">
        <is>
          <t>2020-03-14 14:39:13</t>
        </is>
      </c>
      <c r="H5799" t="inlineStr"/>
    </row>
    <row r="5800">
      <c r="A5800" t="inlineStr">
        <is>
          <t>fisxvt</t>
        </is>
      </c>
      <c r="B5800" t="inlineStr">
        <is>
          <t>Acid reflux doesn’t feel worse when laying flat (plus some rambling and a rant).</t>
        </is>
      </c>
      <c r="C5800" t="inlineStr">
        <is>
          <t>Okay so after what could be described as a day long panic attack, I should probably just give the internet a break, but I’m looking to commiserate a little here. 
Long story long, my GP diagnosed me with GERD 5 months ago after I thought I was having a heart attack (common story here). I’m pretty sure my 5 years of mostly heavy nightly drinking brought this shame upon me. I’ve been on and off of PPI’s (which work for me). Recently I went off PPIs to try out fixing this shit using diet. Unfortunately I recently found out some unsettling news and caught myself back in 2 weeks of a drinking loop and here I am again...off the booze, panicky, and in pain.  
But I majorly digress...one thing that seems to differentiate me from the crowd here is that I can sleep lying flat with no problem. Is anyone else in this camp? Is this an indication of something different going on that others have had experience with. 
On an infuriating note:
I tried to schedule an appointment with a GI doctor, but it turns out I need a referral, for which I have to wait 3 weeks to get an appointment so my regular doctor can refer me to a specialist, which is irritating as hell. If my tooth hurts, I don’t need to get a referral from my doctor to see a freaking dentist.</t>
        </is>
      </c>
      <c r="D5800" t="n">
        <v>1</v>
      </c>
      <c r="E5800" t="n">
        <v>0</v>
      </c>
      <c r="F5800">
        <f>HYPERLINK("https://www.reddit.com/r/GERD/comments/fisxvt/acid_reflux_doesnt_feel_worse_when_laying_flat/")</f>
        <v/>
      </c>
      <c r="G5800" t="inlineStr">
        <is>
          <t>2020-03-14 17:50:49</t>
        </is>
      </c>
      <c r="H5800" t="inlineStr"/>
    </row>
    <row r="5801">
      <c r="A5801" t="inlineStr">
        <is>
          <t>fit1xw</t>
        </is>
      </c>
      <c r="B5801" t="inlineStr">
        <is>
          <t>Question</t>
        </is>
      </c>
      <c r="C5801" t="inlineStr">
        <is>
          <t>To anyone who has had difficulty swallowing, what ended up being the cause, and can you describe what your difficulty swallowing was like? Thanks</t>
        </is>
      </c>
      <c r="D5801" t="n">
        <v>1</v>
      </c>
      <c r="E5801" t="n">
        <v>10</v>
      </c>
      <c r="F5801">
        <f>HYPERLINK("https://www.reddit.com/r/GERD/comments/fit1xw/question/")</f>
        <v/>
      </c>
      <c r="G5801" t="inlineStr">
        <is>
          <t>2020-03-14 17:58:42</t>
        </is>
      </c>
      <c r="H5801" t="inlineStr"/>
    </row>
    <row r="5802">
      <c r="A5802" t="inlineStr">
        <is>
          <t>fitybf</t>
        </is>
      </c>
      <c r="B5802" t="inlineStr">
        <is>
          <t>Stomach acid</t>
        </is>
      </c>
      <c r="C5802" t="inlineStr">
        <is>
          <t>Hey guys, i’ve been having terrible bloating and gas for a while know. I’ve tested for h.pylori, took xifaxan for sibo , been on PPI’s and still nothing has helped with bloating. My main symptoms are bad bloating, lots of gas, frequency of going to the bathroom has lowered.  So my question are
1. Can low stomach acid cause bloating and gas and the other symptoms I mentioned ?
2. I’ve had an x ray of my stomach that showed that I have lots of gas built up and that i also have rapid gastric emptying or “dumping syndrome” is it possible to have that and also low stomach acid?
3. I purchased Betaine Hcl and waiting for it to come in. How long does it take betaine hcl to kick in and start to feel better if low stomach acid is really my problem? Its not an instant fix right?</t>
        </is>
      </c>
      <c r="D5802" t="n">
        <v>1</v>
      </c>
      <c r="E5802" t="n">
        <v>4</v>
      </c>
      <c r="F5802">
        <f>HYPERLINK("https://www.reddit.com/r/GERD/comments/fitybf/stomach_acid/")</f>
        <v/>
      </c>
      <c r="G5802" t="inlineStr">
        <is>
          <t>2020-03-14 19:02:49</t>
        </is>
      </c>
      <c r="H5802" t="inlineStr"/>
    </row>
    <row r="5803">
      <c r="A5803" t="inlineStr">
        <is>
          <t>fiwkyo</t>
        </is>
      </c>
      <c r="B5803" t="inlineStr">
        <is>
          <t>M 31 in good health - Shortness of breath persists, where to from here?</t>
        </is>
      </c>
      <c r="C5803" t="inlineStr">
        <is>
          <t>This will be a slightly long post, I’m just very lost right now and am looking for any sort of feedback based on people’s personal experience. First off, I’m an M31 in good health (fit, don’t smoke) who has always been an overthinker that probably has led to excessive stress in the past. I spent January in China, but returned to London due to the virus situation. This was obviously a very stressful experience. 
Upon returning to London, I noticed the desire to take random deep breaths while I was walking around, as well as feeling slightly breathless when walking up stairs. I figured this might have been from Beijing’s pollution or from anxiety. Fast forward a week, I noticed a lump in my throat as well as a slightly bitter taste in my mouth. Did some googling, put two and two together and realised it could be reflux. Me being me, I spent the entire day googling everything I could about reflux and shortness of breath and started to treat that evening with 40 mg of Omeprazole. That night, I woke up feeling breathless, cue a panic attack and a trip to the A and E (more for comfort than anything else). As an aside, I was tested for covid-19 and it came back negative. 
After having a call with my gastro back home, he suggested 40mg in the morning and 40mg in the evening for 2 weeks and to see the outcome. Meanwhile, I did a lung x ray (nothing showed up) and a spirometry lung test that the lung specialist said showed a slight allergic issue (taking Telfast for that). He didn’t seem concerned. Bloodwork for thyroid was all normal. I spent 3 weeks on 80 mg Omeprazole and Gaviscon (regular) after every meal and before bed and didn’t feel a significant improvement. If anything, I felt a little worse every time I ate as I started to feel bloated. I hypothesised that this was from the PPIs messing with my digestion. My diet was very strict, largely following the Low Acid, eating things like Oatmeal with almond milk and banana for breakfast, and salmon/chicken with veggies for lunch and snacking on melon. After 3 weeks of this, I decided I wanted to see a specialist in London (where I’m living). 
I saw a highly recommended gastro, explained my issues to him and he was very confident it wasn’t reflux related. He was also very sceptical of the LPR trend as a whole and discussed it with me extensively. His diagnosis was that this is most likely over sensitised nerves in my throat as a result of either a past infection or anxiety. He mentioned that he could do an endoscopy for me if I felt like it would give me peace of mind but that he really didn’t deem it necessary. He put me on 10mg of Amitriptyline each night and told me to gradually wane myself off of PPIs. He also suggested that I go about eating whatever I please as he felt I had made too many drastic lifestyle changes that were contributing to my stress levels. After a week, he increased the dose to 20 mg. The lump in throat sensation has completely subsided and even the heavy feeling in the chest is slightly better. The issue is that I am still suffering from shortness of breath in bed and do not feel 100% right. I feel as though my breath can sometimes get caught in the hollow at the bottom of my neck. It is very frustrating as I am not sure how to proceed. I feel like my body is giving me mixed signals. 
There is definitely a huge anxiety component to this, as I feel okay most of the day with regards to the shortness of breath and it mainly shows up as soon as I get in bed; however, I am working hard to treat this through seeing a psychologist, meditating, and attending breathing classes. I do feel as though there is some lung irritation though, and I am trying to figure out if anyone has experienced similar symptoms along with a similar course of treatment. If you were me, where would you go from here?
TLDR: Shortness of breath and tight chest. Self-diagnosed as reflux, PPIs and diet didn’t really help much after 3 weeks. Diagnosed as oversensitised nerves by very competent gastro, given Amitriptyline. Feel a little better, but shortness of breath persists along with slight tightness behind the hollow at the bottom of my neck. Shortness of breath is okay when I’m distracted, always kicks in at bedtime though. What next?</t>
        </is>
      </c>
      <c r="D5803" t="n">
        <v>1</v>
      </c>
      <c r="E5803" t="n">
        <v>18</v>
      </c>
      <c r="F5803">
        <f>HYPERLINK("https://www.reddit.com/r/GERD/comments/fiwkyo/m_31_in_good_health_shortness_of_breath_persists/")</f>
        <v/>
      </c>
      <c r="G5803" t="inlineStr">
        <is>
          <t>2020-03-14 22:32:27</t>
        </is>
      </c>
      <c r="H5803" t="inlineStr"/>
    </row>
    <row r="5804">
      <c r="A5804" t="inlineStr">
        <is>
          <t>fix79z</t>
        </is>
      </c>
      <c r="B5804" t="inlineStr">
        <is>
          <t>Goldfish causing acidic feeling?</t>
        </is>
      </c>
      <c r="C5804" t="inlineStr">
        <is>
          <t>What ingredient(s) in just regular cheddar or flavor blasted cheddar goldfish crackers could cause acid reflux to act up? Any time I have these snacks I get a metallic taste in my mouth and an acidy taste in the back of my throat, a little bit of an aching feeling in my chest. I always thought these were supposed to be pretty bland, I was sitting up when I ate them every time.</t>
        </is>
      </c>
      <c r="D5804" t="n">
        <v>1</v>
      </c>
      <c r="E5804" t="n">
        <v>9</v>
      </c>
      <c r="F5804">
        <f>HYPERLINK("https://www.reddit.com/r/GERD/comments/fix79z/goldfish_causing_acidic_feeling/")</f>
        <v/>
      </c>
      <c r="G5804" t="inlineStr">
        <is>
          <t>2020-03-14 23:33:37</t>
        </is>
      </c>
      <c r="H5804" t="inlineStr"/>
    </row>
    <row r="5805">
      <c r="A5805" t="inlineStr">
        <is>
          <t>fizife</t>
        </is>
      </c>
      <c r="B5805" t="inlineStr">
        <is>
          <t>Is mucous/throat clearing a sign of GERD?</t>
        </is>
      </c>
      <c r="C5805" t="inlineStr">
        <is>
          <t>I have gerd, I’m well aware. Undiagnosed, but know enough to know I’ve got it.   I’ll get heartburn, upper esophageal burning, and occasionally acid into the back of my throat/mouth (while laying)
One thing that I wonder is that if mucous and throat clearing after eating (10minutes or more) is a sign of GERD?</t>
        </is>
      </c>
      <c r="D5805" t="n">
        <v>1</v>
      </c>
      <c r="E5805" t="n">
        <v>14</v>
      </c>
      <c r="F5805">
        <f>HYPERLINK("https://www.reddit.com/r/GERD/comments/fizife/is_mucousthroat_clearing_a_sign_of_gerd/")</f>
        <v/>
      </c>
      <c r="G5805" t="inlineStr">
        <is>
          <t>2020-03-15 03:41:45</t>
        </is>
      </c>
      <c r="H5805" t="inlineStr"/>
    </row>
    <row r="5806">
      <c r="A5806" t="inlineStr">
        <is>
          <t>fj3x73</t>
        </is>
      </c>
      <c r="B5806" t="inlineStr">
        <is>
          <t>When I breathe I have to belch</t>
        </is>
      </c>
      <c r="C5806" t="inlineStr">
        <is>
          <t>Whenever I breathe there is a sound in my throat and I get the urge to belch after that. I've had this since I got GERD which was years ago. Does anyone know if this condition has a name, and if there is any way to fix it?</t>
        </is>
      </c>
      <c r="D5806" t="n">
        <v>1</v>
      </c>
      <c r="E5806" t="n">
        <v>0</v>
      </c>
      <c r="F5806">
        <f>HYPERLINK("https://www.reddit.com/r/GERD/comments/fj3x73/when_i_breathe_i_have_to_belch/")</f>
        <v/>
      </c>
      <c r="G5806" t="inlineStr">
        <is>
          <t>2020-03-15 09:27:30</t>
        </is>
      </c>
      <c r="H5806" t="inlineStr"/>
    </row>
    <row r="5807">
      <c r="A5807" t="inlineStr">
        <is>
          <t>fj4f8f</t>
        </is>
      </c>
      <c r="B5807" t="inlineStr">
        <is>
          <t>Could I have Esophagal Cancer?</t>
        </is>
      </c>
      <c r="C5807" t="inlineStr">
        <is>
          <t>Last few days swallowing I can feel a pain and discomfort, it feels like the food is stuck in the chest after. Also right when I swallow it takes a few seconds then I can feel it, some discomfort. I worry because I read that people with that cancer also feel the discomfort a few seconds after once it hits the tumor, I am 24 year old male , Canadian . Thanks</t>
        </is>
      </c>
      <c r="D5807" t="n">
        <v>1</v>
      </c>
      <c r="E5807" t="n">
        <v>16</v>
      </c>
      <c r="F5807">
        <f>HYPERLINK("https://www.reddit.com/r/GERD/comments/fj4f8f/could_i_have_esophagal_cancer/")</f>
        <v/>
      </c>
      <c r="G5807" t="inlineStr">
        <is>
          <t>2020-03-15 09:58:50</t>
        </is>
      </c>
      <c r="H5807" t="inlineStr"/>
    </row>
    <row r="5808">
      <c r="A5808" t="inlineStr">
        <is>
          <t>fj4obn</t>
        </is>
      </c>
      <c r="B5808" t="inlineStr">
        <is>
          <t>Living with family is hard with gerd</t>
        </is>
      </c>
      <c r="C5808" t="inlineStr">
        <is>
          <t>Just as the title says I find it tedious and downright miserable to live with my family when I have gerd (let’s not mention food problems for now) when the family goes out to do something if I don’t want to go it’s cuz I’m selfish or because I’m too young to be home alone (17 here people) they are going somewhere that is considerably far and I already have motion sickness not to mention I’m already feeling nauseous and my stomach is burning I also have a headache the rain is falling it’s wet and damp outside why would I want to sit in a car for possibly hours? Travel medicine they say I have no problem with that the thing is though I take medicine for this disease and I find it that if I take my travel medicine with it even if it’s a while later I feel sick like not upset sick but like by body literally just feels like it’s falling apart and I can’t move for a good hour afterwards am I being a dick here?is it wrong that I went off on my mom because she said I’m faking it I always do this?dont you see I take medication everyday so you think I want this?just because I don’t complain about my problems 24/7 like you dosent mean I’m not in pain I’m a guy I just don’t want to seem weak you should know this so of course I’m not gonna go about my day moaning and groaning about how much I’m suffering what right do u have to call me selfish when you constantly put me in danger of having a reflux attack by not being straight forward and honest about what you put into your food?</t>
        </is>
      </c>
      <c r="D5808" t="n">
        <v>1</v>
      </c>
      <c r="E5808" t="n">
        <v>2</v>
      </c>
      <c r="F5808">
        <f>HYPERLINK("https://www.reddit.com/r/GERD/comments/fj4obn/living_with_family_is_hard_with_gerd/")</f>
        <v/>
      </c>
      <c r="G5808" t="inlineStr">
        <is>
          <t>2020-03-15 10:13:50</t>
        </is>
      </c>
      <c r="H5808" t="inlineStr"/>
    </row>
    <row r="5809">
      <c r="A5809" t="inlineStr">
        <is>
          <t>fj4q68</t>
        </is>
      </c>
      <c r="B5809" t="inlineStr">
        <is>
          <t>PPI and increased risk of pneumonia</t>
        </is>
      </c>
      <c r="C5809" t="inlineStr">
        <is>
          <t>I read several studies pointing association between use of PPI's and **bacterial** associated pneumonia.  I'm still looking to see if there's a link between use of PPI's and **viral** pneumonia. Anyone? How about H2 blockers?</t>
        </is>
      </c>
      <c r="D5809" t="n">
        <v>1</v>
      </c>
      <c r="E5809" t="n">
        <v>8</v>
      </c>
      <c r="F5809">
        <f>HYPERLINK("https://www.reddit.com/r/GERD/comments/fj4q68/ppi_and_increased_risk_of_pneumonia/")</f>
        <v/>
      </c>
      <c r="G5809" t="inlineStr">
        <is>
          <t>2020-03-15 10:17:01</t>
        </is>
      </c>
      <c r="H5809" t="inlineStr"/>
    </row>
    <row r="5810">
      <c r="A5810" t="inlineStr">
        <is>
          <t>fj4tja</t>
        </is>
      </c>
      <c r="B5810" t="inlineStr">
        <is>
          <t>What could this be on my tonsils?</t>
        </is>
      </c>
      <c r="C5810" t="inlineStr">
        <is>
          <t>https://imgur.com/a/t4w2mP3
No pain or anything but bad breath</t>
        </is>
      </c>
      <c r="D5810" t="n">
        <v>1</v>
      </c>
      <c r="E5810" t="n">
        <v>8</v>
      </c>
      <c r="F5810">
        <f>HYPERLINK("https://www.reddit.com/r/GERD/comments/fj4tja/what_could_this_be_on_my_tonsils/")</f>
        <v/>
      </c>
      <c r="G5810" t="inlineStr">
        <is>
          <t>2020-03-15 10:22:38</t>
        </is>
      </c>
      <c r="H5810" t="inlineStr"/>
    </row>
    <row r="5811">
      <c r="A5811" t="inlineStr">
        <is>
          <t>fj69xr</t>
        </is>
      </c>
      <c r="B5811" t="inlineStr">
        <is>
          <t>Anxiety leading up to endoscopy.</t>
        </is>
      </c>
      <c r="C5811" t="inlineStr">
        <is>
          <t>Hey everyone,
Quick backstory - I’m a 36f, and my major issues started this past November, after what I’ve taken to lovingly calling my Hell Trial — work, ending a 6 year relationship, pets getting sick, family getting sick, if it was something that could spike my anxiety, I went through it. 
The major issues were that I wasn’t able to swallow anything more than broth and feeling like someone was choking me.  I didn’t really have pain or reflux at all, but not being able to eat - thats a problem. Went to the doc, said it was likely GERD, gave me pills (omeprazole) and told me to wait until my insurance kicked in at the beginning of Jan to go to the GI. Did that, and he scheduled an endoscopy for the first earliest he had available: March 31. Five friggin months after this shit started. 
ANYWAY, that time is almost upon me now, and of course NOW I’m getting anxious about it. You likely know the drill, the “OMG IS THIS CANCER OR GERD???” Dilemma.  The choking and not being able to eat more than broth resolved by the end of December, but I’m still having some issues — mainly pain behind my breastbone, some food “sticking” at times (not always though), and just mucousy stuff. The pain is what’s getting to me the most — it’s not terrible, but it’s a constant feeling like someone’s stepping on my chest.  
Basically, I’m just looking for some words of support from folks who’ve been through this shit, so I’m not spending half my day consulting Dr Google. I’ve noticed that the symptoms vary in severity, and I’d think that if this was a tumor or something, that wouldn’t be the case, and considering my lifestyle - I’m not terribly overweight, i rarely smoke and when I do, i don’t let it go in my lungs (it’s like, one cigar a month), rarely drink (maybe one a week), I’m fairly active, and my diet already requires me to eat pretty clean. But god help me, that damn anxiety is kicking in, and it’s a pain in the ass, which of course exacerbates the whole thing. 
ANYWAY. Folks who’ve been in this situation, sound off!  
Thank you!</t>
        </is>
      </c>
      <c r="D5811" t="n">
        <v>1</v>
      </c>
      <c r="E5811" t="n">
        <v>19</v>
      </c>
      <c r="F5811">
        <f>HYPERLINK("https://www.reddit.com/r/GERD/comments/fj69xr/anxiety_leading_up_to_endoscopy/")</f>
        <v/>
      </c>
      <c r="G5811" t="inlineStr">
        <is>
          <t>2020-03-15 11:50:02</t>
        </is>
      </c>
      <c r="H5811" t="inlineStr"/>
    </row>
    <row r="5812">
      <c r="A5812" t="inlineStr">
        <is>
          <t>fj79fv</t>
        </is>
      </c>
      <c r="B5812" t="inlineStr">
        <is>
          <t>Buying Gaviscon UK?</t>
        </is>
      </c>
      <c r="C5812" t="inlineStr">
        <is>
          <t>Does anyone have a trustworthy seller on Amazon to recommend? How do you know it’s the UK version? I looked but I wasn’t able to Id which one it is. Thank you.</t>
        </is>
      </c>
      <c r="D5812" t="n">
        <v>1</v>
      </c>
      <c r="E5812" t="n">
        <v>11</v>
      </c>
      <c r="F5812">
        <f>HYPERLINK("https://www.reddit.com/r/GERD/comments/fj79fv/buying_gaviscon_uk/")</f>
        <v/>
      </c>
      <c r="G5812" t="inlineStr">
        <is>
          <t>2020-03-15 12:48:11</t>
        </is>
      </c>
      <c r="H5812" t="inlineStr"/>
    </row>
    <row r="5813">
      <c r="A5813" t="inlineStr">
        <is>
          <t>fjan90</t>
        </is>
      </c>
      <c r="B5813" t="inlineStr">
        <is>
          <t>PH Bravo test - how to cope?</t>
        </is>
      </c>
      <c r="C5813" t="inlineStr">
        <is>
          <t>As per doctors orders I've stopped taking my PPI meds, its been about 3 days and the acid is back in full force.  Been taking Pepcid and that's helping.  My worry is, how do you cope for the 24 hours before when you can't take any acid supressors and the 2 days you are going through the monitoring process.  Do you just drink a bunch of milk?  I have no idea how I'm going to get sleep through those 3 days.  Anyone been through this process? I have a Hiatal Hernia, so my GERD/regurgitation is pretty much constant, and especially bad at night.</t>
        </is>
      </c>
      <c r="D5813" t="n">
        <v>1</v>
      </c>
      <c r="E5813" t="n">
        <v>4</v>
      </c>
      <c r="F5813">
        <f>HYPERLINK("https://www.reddit.com/r/GERD/comments/fjan90/ph_bravo_test_how_to_cope/")</f>
        <v/>
      </c>
      <c r="G5813" t="inlineStr">
        <is>
          <t>2020-03-15 16:17:09</t>
        </is>
      </c>
      <c r="H5813" t="inlineStr"/>
    </row>
    <row r="5814">
      <c r="A5814" t="inlineStr">
        <is>
          <t>fjb14v</t>
        </is>
      </c>
      <c r="B5814" t="inlineStr">
        <is>
          <t>Sweet Taste/sensation?</t>
        </is>
      </c>
      <c r="C5814" t="inlineStr">
        <is>
          <t>Does anyone have post nasal drip and/or GERD and have this gross sweet taste/sensation in their mouth/lungs? So hard to explain! 
Thanks!</t>
        </is>
      </c>
      <c r="D5814" t="n">
        <v>1</v>
      </c>
      <c r="E5814" t="n">
        <v>6</v>
      </c>
      <c r="F5814">
        <f>HYPERLINK("https://www.reddit.com/r/GERD/comments/fjb14v/sweet_tastesensation/")</f>
        <v/>
      </c>
      <c r="G5814" t="inlineStr">
        <is>
          <t>2020-03-15 16:41:08</t>
        </is>
      </c>
      <c r="H5814" t="inlineStr"/>
    </row>
    <row r="5815">
      <c r="A5815" t="inlineStr">
        <is>
          <t>fjc0o3</t>
        </is>
      </c>
      <c r="B5815" t="inlineStr">
        <is>
          <t>How to enjoy food once again</t>
        </is>
      </c>
      <c r="C5815" t="inlineStr">
        <is>
          <t>Hi. I don't know if this is the right place to post about my condition, but I've been diagnosed with functional dyspepsia and it has been a hell of 6 months for me.
I've struggled with almost every meal I had since my symptoms started, I grew to dislike food. I don't hate food but it feels like a chore, as if it is something I have to do. I've been on medication for almost 4 weeks now and it took me a while to adjust to my medication. 
Problem is I have to take 3 prescription drugs 3 times a day before and after food. And that has forced me to have 3 meals everyday even when I can't stand food. Yes, I need food to survive, but when you've struggled for a while with dyspepsia and numerous other symptoms, food becomes more of a challenge.
Have you ever faced such a problem? How can I enjoy food once again or at least find it bearable? Will this change in time?</t>
        </is>
      </c>
      <c r="D5815" t="n">
        <v>1</v>
      </c>
      <c r="E5815" t="n">
        <v>6</v>
      </c>
      <c r="F5815">
        <f>HYPERLINK("https://www.reddit.com/r/GERD/comments/fjc0o3/how_to_enjoy_food_once_again/")</f>
        <v/>
      </c>
      <c r="G5815" t="inlineStr">
        <is>
          <t>2020-03-15 17:45:55</t>
        </is>
      </c>
      <c r="H5815" t="inlineStr"/>
    </row>
    <row r="5816">
      <c r="A5816" t="inlineStr">
        <is>
          <t>fjf6ro</t>
        </is>
      </c>
      <c r="B5816" t="inlineStr">
        <is>
          <t>LPR Update</t>
        </is>
      </c>
      <c r="C5816" t="inlineStr">
        <is>
          <t>hey ya’ll so basically last I left I was feeling better
but Christmas came and went and then my birthday passed and now I feel like shit again
I have not been eating AT ALL what the doc told me to eat and now I feel like utter shit.
Can’t breathe, difficulty swallowing again, dry mouth and a slight burn and can barely taste anything. My ears and nose are feeling weird again ugh.
Im posting this so that way I can go back to the diet and shit
Also to just remind my brain that I DO NOT have COVID-19 it’s just LPR symptoms. So hopefully I do myself a favor and follow my own advice 😭</t>
        </is>
      </c>
      <c r="D5816" t="n">
        <v>1</v>
      </c>
      <c r="E5816" t="n">
        <v>2</v>
      </c>
      <c r="F5816">
        <f>HYPERLINK("https://www.reddit.com/r/GERD/comments/fjf6ro/lpr_update/")</f>
        <v/>
      </c>
      <c r="G5816" t="inlineStr">
        <is>
          <t>2020-03-15 21:37:09</t>
        </is>
      </c>
      <c r="H5816" t="inlineStr"/>
    </row>
    <row r="5817">
      <c r="A5817" t="inlineStr">
        <is>
          <t>fjgcun</t>
        </is>
      </c>
      <c r="B5817" t="inlineStr">
        <is>
          <t>Idk who needs to hear this but...itll be okay.</t>
        </is>
      </c>
      <c r="C5817" t="inlineStr">
        <is>
          <t>It took me a very long time to believe this. My symptoms include extreme nausea and vomiting, and they began at 18 yrs old. It took 3 yrs or so for them to finally accept that it wasn't a stomach bug and send me to a specialist. After an endoscopy, I was officially diagnosed with GERD and put me on PPIs.
That was 11 yrs ago. 2 yrs before that diagnosis, I was introduced to marijuana to help with nausea and eating. But still I've had maybe 6 months worth of days overall that wasn't spent puking, dry heaving, or sticking a finger down my throat to release the air building so painfully inside my chest.
Earlier this yr after symptoms hit its worst since the diagnosis I took severe action and significantly improved my diet, threw down cigs (again) and am awaiting an appointment with a specialist.
I know the risks of what I'm facing and putting it off so long. I know that with the pandemic, I may not be able to get that appointment for a bit longer. I know taking PPIs multiple times a day and living in a smoke cloud is not a productive or happy life. But I feel relief knowing I took that first step.
I'm very new to this forum, so feel free to comment with advice or personal experiences.</t>
        </is>
      </c>
      <c r="D5817" t="n">
        <v>1</v>
      </c>
      <c r="E5817" t="n">
        <v>15</v>
      </c>
      <c r="F5817">
        <f>HYPERLINK("https://www.reddit.com/r/GERD/comments/fjgcun/idk_who_needs_to_hear_this_butitll_be_okay/")</f>
        <v/>
      </c>
      <c r="G5817" t="inlineStr">
        <is>
          <t>2020-03-15 23:19:56</t>
        </is>
      </c>
      <c r="H5817" t="inlineStr"/>
    </row>
    <row r="5818">
      <c r="A5818" t="inlineStr">
        <is>
          <t>fjhfw4</t>
        </is>
      </c>
      <c r="B5818" t="inlineStr">
        <is>
          <t>Stomach feels weird after eating</t>
        </is>
      </c>
      <c r="C5818" t="inlineStr">
        <is>
          <t>My stomach feels weird after eating however the sensation goes away after i burp. No pain or anything tho just like really full feeling. Is this gerd or H plyori or stomach cancer or what? My dr gave me proton pump inhibitors the first round for 1 week so it recovered but came back and i took it for a second round for around 3 weeks which also recovered but im not sure why i suddenly feel like this:( Should i start on the proton pump inhibitors or wld ginger help? Any help would be appreciated! I hope its nothing serious though:( The first time this started was in Dec 2019.</t>
        </is>
      </c>
      <c r="D5818" t="n">
        <v>1</v>
      </c>
      <c r="E5818" t="n">
        <v>2</v>
      </c>
      <c r="F5818">
        <f>HYPERLINK("https://www.reddit.com/r/GERD/comments/fjhfw4/stomach_feels_weird_after_eating/")</f>
        <v/>
      </c>
      <c r="G5818" t="inlineStr">
        <is>
          <t>2020-03-16 01:05:34</t>
        </is>
      </c>
      <c r="H5818" t="inlineStr"/>
    </row>
    <row r="5819">
      <c r="A5819" t="inlineStr">
        <is>
          <t>fjhkoe</t>
        </is>
      </c>
      <c r="B5819" t="inlineStr">
        <is>
          <t>What were your symtpoms (early &amp;amp; current) that led to your diagnosis?</t>
        </is>
      </c>
      <c r="C5819" t="inlineStr">
        <is>
          <t>My current symptoms;
- Bloating (Feeling like i have absolutely no space in my body)
- Chest discomfort (shooting shatp pains)
- Pain in my rib cage
- Constant Burping
- Constant Flatulence
- Feeling like my throat and esophagus is swollen(sob)
- Feeling need for bowel movement, but cant
- lethargic (at its worst)
Former: Smoker, Vaper, and dip user(i would get dip)
The symptoms were sometimes so severe it would cause panic attacks.
Lately i cant eat a god damn thing without experiencing the above. Doc thinks my intestines are clogged and thats causing everything. 
Whats your story?</t>
        </is>
      </c>
      <c r="D5819" t="n">
        <v>1</v>
      </c>
      <c r="E5819" t="n">
        <v>13</v>
      </c>
      <c r="F5819">
        <f>HYPERLINK("https://www.reddit.com/r/GERD/comments/fjhkoe/what_were_your_symtpoms_early_current_that_led_to/")</f>
        <v/>
      </c>
      <c r="G5819" t="inlineStr">
        <is>
          <t>2020-03-16 01:19:26</t>
        </is>
      </c>
      <c r="H5819" t="inlineStr"/>
    </row>
    <row r="5820">
      <c r="A5820" t="inlineStr">
        <is>
          <t>fjivfv</t>
        </is>
      </c>
      <c r="B5820" t="inlineStr">
        <is>
          <t>H Pylori coming back?</t>
        </is>
      </c>
      <c r="C5820" t="inlineStr">
        <is>
          <t>Hey guys, so about two weeks ago I was diagnosed with an H Pylori infection and was put on clarithromycin and doxycycline for two weeks. The doctor also said that I could take bismuth subcitrate and a ppi if I didn’t feel well. I took only the two antibiotics for the first 10 days then started with the bismuth subcitrate after 10 days. I do feel a substantial improvement however as soon as I stopped my antibiotics, my symptoms are back. The doctor told me try taking the antibiotics for 3-5 more days if I can which I am planning to do. Any advice on how I can get rid of this bacteria for good?</t>
        </is>
      </c>
      <c r="D5820" t="n">
        <v>1</v>
      </c>
      <c r="E5820" t="n">
        <v>3</v>
      </c>
      <c r="F5820">
        <f>HYPERLINK("https://www.reddit.com/r/GERD/comments/fjivfv/h_pylori_coming_back/")</f>
        <v/>
      </c>
      <c r="G5820" t="inlineStr">
        <is>
          <t>2020-03-16 03:31:25</t>
        </is>
      </c>
      <c r="H5820" t="inlineStr"/>
    </row>
    <row r="5821">
      <c r="A5821" t="inlineStr">
        <is>
          <t>fjkizx</t>
        </is>
      </c>
      <c r="B5821" t="inlineStr">
        <is>
          <t>Trigger warning - update \</t>
        </is>
      </c>
      <c r="C5821" t="inlineStr">
        <is>
          <t>I wish to express my thanks to all on this forum who have shared their journeys with LPR and Gerd.
I am not AusDad40, however, I am his wife and have noticed a few kind questions and pms regarding his condition. Obviously it's not good. Please don't continue to read if you are not in the right state to read this, I am serious about the trigger warning.
.
.
.
.
.
.
.
I now believe that my husband had some retained fluid in his oesophagus after the Nissan fundoplication and this can happen in some cases. It causes severe pain and can last for a while during the recovery process. Unfortunately my husband succumbed to his illness due to his extreme pain and is no longer with us.
&amp;amp;#x200B;
For you all on your own journey, please fight it as hard as you can, and I pray for you and give you strength. It is a horrendous thing to live with, especially if you are starving, and the medical community can be very unhelpful. For those who are in recovery or considering the fundoplication, be aware that the trapped fluid can happen, cause severe  and incredible pain and result in the sufferer believing that the surgery has come undone. It apparently subsides over a period of time, I'm not sure how long the duration. I also believe it is rare. 
Good luck in your journey and I am praying that you all have a better outcome than what we had. &amp;lt;3</t>
        </is>
      </c>
      <c r="D5821" t="n">
        <v>1</v>
      </c>
      <c r="E5821" t="n">
        <v>18</v>
      </c>
      <c r="F5821">
        <f>HYPERLINK("https://www.reddit.com/r/GERD/comments/fjkizx/trigger_warning_update/")</f>
        <v/>
      </c>
      <c r="G5821" t="inlineStr">
        <is>
          <t>2020-03-16 05:56:48</t>
        </is>
      </c>
      <c r="H5821" t="inlineStr"/>
    </row>
    <row r="5822">
      <c r="A5822" t="inlineStr">
        <is>
          <t>fjl4ia</t>
        </is>
      </c>
      <c r="B5822" t="inlineStr">
        <is>
          <t>Today I start a better diet!</t>
        </is>
      </c>
      <c r="C5822" t="inlineStr">
        <is>
          <t xml:space="preserve"> I've had issues with GERD and more recently LPR for a while now. I've just sort of suffered through it with antacids and raising the head of my bed. But I never really took any proactive steps to change the things I was eating. 
That begins today! I'm going to try a diet based around avoiding my own triggers and other good recommendations I've researched. I'll stick with it for a few months and see how I'm feeling at the end of that time before attempting to reintroduce various foods.  
Time to go make a bowl of oatmeal for breakfast. Cheers!</t>
        </is>
      </c>
      <c r="D5822" t="n">
        <v>1</v>
      </c>
      <c r="E5822" t="n">
        <v>6</v>
      </c>
      <c r="F5822">
        <f>HYPERLINK("https://www.reddit.com/r/GERD/comments/fjl4ia/today_i_start_a_better_diet/")</f>
        <v/>
      </c>
      <c r="G5822" t="inlineStr">
        <is>
          <t>2020-03-16 06:41:25</t>
        </is>
      </c>
      <c r="H5822" t="inlineStr"/>
    </row>
    <row r="5823">
      <c r="A5823" t="inlineStr">
        <is>
          <t>fjm0z3</t>
        </is>
      </c>
      <c r="B5823" t="inlineStr">
        <is>
          <t>Omeprazole and Constipation</t>
        </is>
      </c>
      <c r="C5823" t="inlineStr">
        <is>
          <t>I've been taking a prescribed, slow-release omeprazole every morning for about a year now. I find that I have moderate-severe constipation and bloating to the point where I can't even pass gas. 
I know those are side effects of the disease and meds but I'm at the point where I'd just rather be able to go #2 than take this pill. 
I have stopped taking it for 3 days and have been able to go #2 without much strain, surprisingly. Bad thing is, I have been getting random heart burn attacks cause I'm not taking my meds.
I have to take laxatives regularly just to get relief which is not good for the bowels. Not to mention they sometimes don't even work.
My question is: do any of you know some antacids that **do not cause constipation**? I don't need a double dose of bowel clogging with my already painful symptoms!
Thanks.</t>
        </is>
      </c>
      <c r="D5823" t="n">
        <v>1</v>
      </c>
      <c r="E5823" t="n">
        <v>6</v>
      </c>
      <c r="F5823">
        <f>HYPERLINK("https://www.reddit.com/r/GERD/comments/fjm0z3/omeprazole_and_constipation/")</f>
        <v/>
      </c>
      <c r="G5823" t="inlineStr">
        <is>
          <t>2020-03-16 07:43:30</t>
        </is>
      </c>
      <c r="H5823" t="inlineStr"/>
    </row>
    <row r="5824">
      <c r="A5824" t="inlineStr">
        <is>
          <t>fjo1b6</t>
        </is>
      </c>
      <c r="B5824" t="inlineStr">
        <is>
          <t>New GERD person with questions! Heart stuff and medicine?</t>
        </is>
      </c>
      <c r="C5824" t="inlineStr">
        <is>
          <t>Hi!
Can GERD cause what feels like weird heart palpitations?  I've had a history of acid reflux and heartburn and the doctor thinks I may have GERD (from an appointment over a year ago).
So, I was standing in the store and felt something like my heart beating a weird tempo.  My lips felt a little weird and it all capped off with a low grade headache after it was done.  Later that night I did feel like I had more of an acid stomach and more feel and kinda gross but my head hurt a little and my chest felt cramped.  
Is that a thing?
Also, what over-the-counter stuff are y'all taking?  I'm taking 40 mg of Omeprazole from Costco.</t>
        </is>
      </c>
      <c r="D5824" t="n">
        <v>1</v>
      </c>
      <c r="E5824" t="n">
        <v>3</v>
      </c>
      <c r="F5824">
        <f>HYPERLINK("https://www.reddit.com/r/GERD/comments/fjo1b6/new_gerd_person_with_questions_heart_stuff_and/")</f>
        <v/>
      </c>
      <c r="G5824" t="inlineStr">
        <is>
          <t>2020-03-16 09:48:42</t>
        </is>
      </c>
      <c r="H5824" t="inlineStr"/>
    </row>
    <row r="5825">
      <c r="A5825" t="inlineStr">
        <is>
          <t>fjob9t</t>
        </is>
      </c>
      <c r="B5825" t="inlineStr">
        <is>
          <t>LPR throat acid</t>
        </is>
      </c>
      <c r="C5825" t="inlineStr">
        <is>
          <t>How long does it take for stomach acid to burn your throat? I've had an inflamed throat for a couple of years and now I've been able to deal with it and prevent any build-up. However, I do occasionally feel acid in my throat which I can quickly stop by drinking Baking soda + water. But is my throat okay if it happens? I'm not sure if the inflammation comes from stomach acid being in my throat for a long while (e.g. when you sleep), or if it's just from the acid being there for like 20 seconds.</t>
        </is>
      </c>
      <c r="D5825" t="n">
        <v>1</v>
      </c>
      <c r="E5825" t="n">
        <v>5</v>
      </c>
      <c r="F5825">
        <f>HYPERLINK("https://www.reddit.com/r/GERD/comments/fjob9t/lpr_throat_acid/")</f>
        <v/>
      </c>
      <c r="G5825" t="inlineStr">
        <is>
          <t>2020-03-16 10:04:58</t>
        </is>
      </c>
      <c r="H5825" t="inlineStr"/>
    </row>
    <row r="5826">
      <c r="A5826" t="inlineStr">
        <is>
          <t>fjoggk</t>
        </is>
      </c>
      <c r="B5826" t="inlineStr">
        <is>
          <t>Any tips on quitting PPI?</t>
        </is>
      </c>
      <c r="C5826" t="inlineStr">
        <is>
          <t>I’m pretty tired of all of the side effects and lowered immune system. I don’t want to be on this overkill medication forever. I’ve been on Protonix delayed release 40mg once a day for 7 months. I know the rebound is going to be horrible. Wish me luck and any and all tips are welcomed!</t>
        </is>
      </c>
      <c r="D5826" t="n">
        <v>1</v>
      </c>
      <c r="E5826" t="n">
        <v>18</v>
      </c>
      <c r="F5826">
        <f>HYPERLINK("https://www.reddit.com/r/GERD/comments/fjoggk/any_tips_on_quitting_ppi/")</f>
        <v/>
      </c>
      <c r="G5826" t="inlineStr">
        <is>
          <t>2020-03-16 10:13:25</t>
        </is>
      </c>
      <c r="H5826" t="inlineStr"/>
    </row>
    <row r="5827">
      <c r="A5827" t="inlineStr">
        <is>
          <t>fjp53d</t>
        </is>
      </c>
      <c r="B5827" t="inlineStr">
        <is>
          <t>Shortness of breath, mild airway obstruction, and sharp chest/lung pains</t>
        </is>
      </c>
      <c r="C5827" t="inlineStr">
        <is>
          <t>Has anyone else experienced this? I’m wondering if it’s from my gerd or something else. I’ve had 2 chest x-rays and a spirometry test. Everything came back fine except for a “mild obstructive pattern” on my spirometry test. My chest pains almost feel like gas pains, or really bad growing pains. Are these just more gerd symptoms?</t>
        </is>
      </c>
      <c r="D5827" t="n">
        <v>1</v>
      </c>
      <c r="E5827" t="n">
        <v>3</v>
      </c>
      <c r="F5827">
        <f>HYPERLINK("https://www.reddit.com/r/GERD/comments/fjp53d/shortness_of_breath_mild_airway_obstruction_and/")</f>
        <v/>
      </c>
      <c r="G5827" t="inlineStr">
        <is>
          <t>2020-03-16 10:53:54</t>
        </is>
      </c>
      <c r="H5827" t="inlineStr"/>
    </row>
    <row r="5828">
      <c r="A5828" t="inlineStr">
        <is>
          <t>fjuyd8</t>
        </is>
      </c>
      <c r="B5828" t="inlineStr">
        <is>
          <t>First Endoscopy</t>
        </is>
      </c>
      <c r="C5828" t="inlineStr">
        <is>
          <t>Just had my first endoscopy this morning. Results came back good, no inflammation, no scarring. We’ll see what the biopsies show. Although that doesn’t really explain what’s been going on though. Anyway, my throat, esophagus, and stomach are all pretty sore. My understanding is that this is typical. How long does this usually last? Hoping only a day or so. Is it from the biopsies or from the procedure itself?</t>
        </is>
      </c>
      <c r="D5828" t="n">
        <v>1</v>
      </c>
      <c r="E5828" t="n">
        <v>7</v>
      </c>
      <c r="F5828">
        <f>HYPERLINK("https://www.reddit.com/r/GERD/comments/fjuyd8/first_endoscopy/")</f>
        <v/>
      </c>
      <c r="G5828" t="inlineStr">
        <is>
          <t>2020-03-16 16:40:16</t>
        </is>
      </c>
      <c r="H5828" t="inlineStr"/>
    </row>
    <row r="5829">
      <c r="A5829" t="inlineStr">
        <is>
          <t>fjvgt0</t>
        </is>
      </c>
      <c r="B5829" t="inlineStr">
        <is>
          <t>Esophagitis</t>
        </is>
      </c>
      <c r="C5829" t="inlineStr">
        <is>
          <t>Anyone ever have esophagitis and what type did you have? Also if you were on omeprazole and caraphate for this condition how long did it take to go away? Thanks in advance!</t>
        </is>
      </c>
      <c r="D5829" t="n">
        <v>1</v>
      </c>
      <c r="E5829" t="n">
        <v>4</v>
      </c>
      <c r="F5829">
        <f>HYPERLINK("https://www.reddit.com/r/GERD/comments/fjvgt0/esophagitis/")</f>
        <v/>
      </c>
      <c r="G5829" t="inlineStr">
        <is>
          <t>2020-03-16 17:13:37</t>
        </is>
      </c>
      <c r="H5829" t="inlineStr"/>
    </row>
    <row r="5830">
      <c r="A5830" t="inlineStr">
        <is>
          <t>fk0thf</t>
        </is>
      </c>
      <c r="B5830" t="inlineStr">
        <is>
          <t>Did anyone manage to gain weight on the GERD-friendly diet?</t>
        </is>
      </c>
      <c r="C5830" t="inlineStr">
        <is>
          <t>I'm so scared right now, I was really skinny before but right now my BMI is 14, I'm 169cm (~5 ft 7) and weigh 40kg (88 lbs). I lost almost 3kg (~6lbs) this week. I should start eating huge meals so that it doesn't keep going down but I can't since I'm supposed to "eat small portions but don't eat (insert here a million of triggers)". How do you manage to gain weight/sustain an already low one?</t>
        </is>
      </c>
      <c r="D5830" t="n">
        <v>1</v>
      </c>
      <c r="E5830" t="n">
        <v>24</v>
      </c>
      <c r="F5830">
        <f>HYPERLINK("https://www.reddit.com/r/GERD/comments/fk0thf/did_anyone_manage_to_gain_weight_on_the/")</f>
        <v/>
      </c>
      <c r="G5830" t="inlineStr">
        <is>
          <t>2020-03-17 00:01:15</t>
        </is>
      </c>
      <c r="H5830" t="inlineStr"/>
    </row>
    <row r="5831">
      <c r="A5831" t="inlineStr">
        <is>
          <t>fk23au</t>
        </is>
      </c>
      <c r="B5831" t="inlineStr">
        <is>
          <t>Does anyone have symptoms or 'conditions' that have nothing to do with GERD/LPR ?</t>
        </is>
      </c>
      <c r="C5831" t="inlineStr">
        <is>
          <t>Reason I ask. Ever since I've developed LPR, I've also had a few other conditions that came with it.
1) Dry skin, dry scalp, mild but very annoying. If I don't have my essentials like face wash or moisturizer im basically fucked. 
2) Geographic tongue... EVERY morning since 2 years ago my tongue looks like it went through world war 3 during my sleep, and just looks overall weird af. (look up geographic tongue to see what I mean) 
3) Anxiety. best way I could describe is randomly feeling like im in panic mode for absolutely no reason, and heart beating fast as hell. 
&amp;amp;#x200B;
Is there a possible link to having these conditions or symptoms , and having GERD/LPR ? I'm honestly sooooooo annoyed of all this, I'm willing to do ANYTHING to get rid of all this shit. And I've noticed that every time I start eating things with more bread, my life goes to absolute shit.</t>
        </is>
      </c>
      <c r="D5831" t="n">
        <v>1</v>
      </c>
      <c r="E5831" t="n">
        <v>18</v>
      </c>
      <c r="F5831">
        <f>HYPERLINK("https://www.reddit.com/r/GERD/comments/fk23au/does_anyone_have_symptoms_or_conditions_that_have/")</f>
        <v/>
      </c>
      <c r="G5831" t="inlineStr">
        <is>
          <t>2020-03-17 02:06:39</t>
        </is>
      </c>
      <c r="H5831" t="inlineStr"/>
    </row>
    <row r="5832">
      <c r="A5832" t="inlineStr">
        <is>
          <t>fk53ne</t>
        </is>
      </c>
      <c r="B5832" t="inlineStr">
        <is>
          <t>Baby (5 month old) with GERD and Severe Congestion, Help?</t>
        </is>
      </c>
      <c r="C5832" t="inlineStr">
        <is>
          <t>My son (5 month old) has GERD and severe congestion, I am hoping someone out there has a similar experience and can help. He is currently taking baby claritin to try to help with the congestion but 4 days in there really hasn't been a change. He is constantly congested, wakes up with coughing fits throughout the night.  We are going to give it a few more days but in the meantime does anyone have anything that worked for their little ones with congestion?
We run a humidifier every night, recently its been a hot humidifier but we also have a cold ultrasonic. He is eating enfamil A.R. and was on Lansoprazole but we took him off of it when he started Claritin as the doctor didnt like him being on it long. We use saline spray multiple times daily we are also sucking snot out 3-4 times a day. 
Any suggestions are greatly appreciated, it sucks seeing him like this and I pray he will grow out of it.</t>
        </is>
      </c>
      <c r="D5832" t="n">
        <v>1</v>
      </c>
      <c r="E5832" t="n">
        <v>10</v>
      </c>
      <c r="F5832">
        <f>HYPERLINK("https://www.reddit.com/r/GERD/comments/fk53ne/baby_5_month_old_with_gerd_and_severe_congestion/")</f>
        <v/>
      </c>
      <c r="G5832" t="inlineStr">
        <is>
          <t>2020-03-17 06:18:41</t>
        </is>
      </c>
      <c r="H5832" t="inlineStr"/>
    </row>
    <row r="5833">
      <c r="A5833" t="inlineStr">
        <is>
          <t>fk5ufb</t>
        </is>
      </c>
      <c r="B5833" t="inlineStr">
        <is>
          <t>Reflux worse day 2 of Omeprazole?</t>
        </is>
      </c>
      <c r="C5833" t="inlineStr">
        <is>
          <t>I've been dealing with asthma-like symptoms, fatigue and a globus sensation for about 45 days. PCP/ENT both think it's allergies or complications from pneumonia in November. I've tried inhalers and Singulair with no improvement. Come to find out I had a grandfather with esophageal cancer but outside of a tightness in chest (presumably from allergies) I've had no heartburn symptoms. I brought this up with my PCP and he's not worried given my medical history doesn't indicate a problem with reflux. I have appointments coming up in the next couple months with an allergist and pulmonologist but those are farther out than I'd like.
Probably foolishly, I picked up a 14 day course of Omeprazole as a process of elimination trial while I wait for other appointments. Yesterday was day 2 of Omeprazole, and a few hours after dinner I had reflux come up into the back of my mouth for the first time that I can remember. My chest and throat were on fire throughout the night.
I realize these types of posts are often frowned upon, but I'm wondering what is going on if reflux is suddenly a noticable problem on day 2 of PPI. I've been all over the place trying to figure out what's going on and pretty sure my wife can't handle much more of my complaining 😂 - so if anyone has a relatable experience to share that would be appreciated.</t>
        </is>
      </c>
      <c r="D5833" t="n">
        <v>1</v>
      </c>
      <c r="E5833" t="n">
        <v>17</v>
      </c>
      <c r="F5833">
        <f>HYPERLINK("https://www.reddit.com/r/GERD/comments/fk5ufb/reflux_worse_day_2_of_omeprazole/")</f>
        <v/>
      </c>
      <c r="G5833" t="inlineStr">
        <is>
          <t>2020-03-17 07:08:01</t>
        </is>
      </c>
      <c r="H5833" t="inlineStr"/>
    </row>
    <row r="5834">
      <c r="A5834" t="inlineStr">
        <is>
          <t>fk67v1</t>
        </is>
      </c>
      <c r="B5834" t="inlineStr">
        <is>
          <t>Mustard</t>
        </is>
      </c>
      <c r="C5834" t="inlineStr">
        <is>
          <t>I have replaced ketchup and BBQ sauce with mustard for some time. Suddenly, a few days ago, it started to burn my tongue (a reaction i get when i get GERD). Does anyone else have vinegar triggers? So far, i hadn’t had problems with vinegar at all until the mustard a few days ago. :(</t>
        </is>
      </c>
      <c r="D5834" t="n">
        <v>1</v>
      </c>
      <c r="E5834" t="n">
        <v>2</v>
      </c>
      <c r="F5834">
        <f>HYPERLINK("https://www.reddit.com/r/GERD/comments/fk67v1/mustard/")</f>
        <v/>
      </c>
      <c r="G5834" t="inlineStr">
        <is>
          <t>2020-03-17 07:31:33</t>
        </is>
      </c>
      <c r="H5834" t="inlineStr"/>
    </row>
    <row r="5835">
      <c r="A5835" t="inlineStr">
        <is>
          <t>fk7tmd</t>
        </is>
      </c>
      <c r="B5835" t="inlineStr">
        <is>
          <t>Barium Swallow - Stomach Pain</t>
        </is>
      </c>
      <c r="C5835" t="inlineStr">
        <is>
          <t>Just got done doing a barium swallow and right after  I left the hospital, I began to feel very bloated and the onset of severe stomach pain. I feel better when I hunch over but when upright it hurts pretty bad. Is this an infrequent side effect or should I get this checked out?</t>
        </is>
      </c>
      <c r="D5835" t="n">
        <v>1</v>
      </c>
      <c r="E5835" t="n">
        <v>3</v>
      </c>
      <c r="F5835">
        <f>HYPERLINK("https://www.reddit.com/r/GERD/comments/fk7tmd/barium_swallow_stomach_pain/")</f>
        <v/>
      </c>
      <c r="G5835" t="inlineStr">
        <is>
          <t>2020-03-17 09:08:08</t>
        </is>
      </c>
      <c r="H5835" t="inlineStr"/>
    </row>
    <row r="5836">
      <c r="A5836" t="inlineStr">
        <is>
          <t>fkamyd</t>
        </is>
      </c>
      <c r="B5836" t="inlineStr">
        <is>
          <t>Please help gerd &amp;amp; allergies combined advice needed.</t>
        </is>
      </c>
      <c r="C5836" t="inlineStr">
        <is>
          <t>Shortness of breathe. Now a runny nose. Getting fed up.  Back on my flonase. And I have pets so it's a never ending cycle .. my doctors dont answer. And with this corona I am petrified. I never had allergies so bad in my life.. back on nasal sprays its clearing me out more and using tea tree oil but I am off insurance and can barely breathe. Took my singular. But wtf. Shortness of breathe because this corona getting so bad.. I am scared for my life. Can barely speak that's how short of breathe I am. Idk if its anxiety as well but i am scared.  Because i have gerd which makes breathing so much harder.</t>
        </is>
      </c>
      <c r="D5836" t="n">
        <v>1</v>
      </c>
      <c r="E5836" t="n">
        <v>4</v>
      </c>
      <c r="F5836">
        <f>HYPERLINK("https://www.reddit.com/r/GERD/comments/fkamyd/please_help_gerd_allergies_combined_advice_needed/")</f>
        <v/>
      </c>
      <c r="G5836" t="inlineStr">
        <is>
          <t>2020-03-17 11:46:37</t>
        </is>
      </c>
      <c r="H5836" t="inlineStr"/>
    </row>
    <row r="5837">
      <c r="A5837" t="inlineStr">
        <is>
          <t>fkatb2</t>
        </is>
      </c>
      <c r="B5837" t="inlineStr">
        <is>
          <t>Please help gerd &amp;amp; allergies combined advice needed.</t>
        </is>
      </c>
      <c r="C5837" t="inlineStr">
        <is>
          <t>Shortness of breathe. Now a runny nose. Getting fed up.  Back on my flonase. And I have pets so it's a never ending cycle .. my doctors dont answer. And with this corona I am petrified. I never had allergies so bad in my life.. back on nasal sprays its clearing me out more and using tea tree oil but I am off insurance and can barely breathe. Took my singular. But wtf. Shortness of breathe because this corona getting so bad.. I am scared for my life. Can barely speak that's how short of breathe I am. Idk if its anxiety as well but i am scared.  Because i have gerd which makes breathing so much harder.</t>
        </is>
      </c>
      <c r="D5837" t="n">
        <v>1</v>
      </c>
      <c r="E5837" t="n">
        <v>0</v>
      </c>
      <c r="F5837">
        <f>HYPERLINK("https://www.reddit.com/r/GERD/comments/fkatb2/please_help_gerd_allergies_combined_advice_needed/")</f>
        <v/>
      </c>
      <c r="G5837" t="inlineStr">
        <is>
          <t>2020-03-17 11:56:27</t>
        </is>
      </c>
      <c r="H5837" t="inlineStr"/>
    </row>
    <row r="5838">
      <c r="A5838" t="inlineStr">
        <is>
          <t>fkavdh</t>
        </is>
      </c>
      <c r="B5838" t="inlineStr">
        <is>
          <t>GERD, Hiatal Hernias, PPIs, the immune system in light of coronavirus?</t>
        </is>
      </c>
      <c r="C5838" t="inlineStr">
        <is>
          <t>For those on ppi's (Protonix, Nexium, Prevacid), do they have an effect on the immune system?
The UK &amp;amp; French government recommends not taking ibuprofen or anything that lower's the immune system's response.
Do PPI's have that effect? ( saw another post in the sub about pneumonia b/c of PPI's)
In general, what is the risk of the Coronavirus to people with GERDs or Hiatal Hernias?</t>
        </is>
      </c>
      <c r="D5838" t="n">
        <v>1</v>
      </c>
      <c r="E5838" t="n">
        <v>25</v>
      </c>
      <c r="F5838">
        <f>HYPERLINK("https://www.reddit.com/r/GERD/comments/fkavdh/gerd_hiatal_hernias_ppis_the_immune_system_in/")</f>
        <v/>
      </c>
      <c r="G5838" t="inlineStr">
        <is>
          <t>2020-03-17 11:59:29</t>
        </is>
      </c>
      <c r="H5838" t="inlineStr"/>
    </row>
    <row r="5839">
      <c r="A5839" t="inlineStr">
        <is>
          <t>fkaw0b</t>
        </is>
      </c>
      <c r="B5839" t="inlineStr">
        <is>
          <t>Please help gerd &amp;amp; allergies combined advice needed.</t>
        </is>
      </c>
      <c r="C5839" t="inlineStr">
        <is>
          <t>Shortness of breathe. Now a runny nose. Getting fed up.  Back on my flonase. And I have pets so it's a never ending cycle .. my doctors dont answer. And with this corona I am petrified. I never had allergies so bad in my life.. back on nasal sprays its clearing me out more and using tea tree oil but I am off insurance and can barely breathe. Took my singular. But wtf. Shortness of breathe because this corona getting so bad.. I am scared for my life. Can barely speak that's how short of breathe I am. Idk if its anxiety as well but i am scared.  Because i have gerd which makes breathing so much harder.</t>
        </is>
      </c>
      <c r="D5839" t="n">
        <v>1</v>
      </c>
      <c r="E5839" t="n">
        <v>1</v>
      </c>
      <c r="F5839">
        <f>HYPERLINK("https://www.reddit.com/r/GERD/comments/fkaw0b/please_help_gerd_allergies_combined_advice_needed/")</f>
        <v/>
      </c>
      <c r="G5839" t="inlineStr">
        <is>
          <t>2020-03-17 12:00:27</t>
        </is>
      </c>
      <c r="H5839" t="inlineStr"/>
    </row>
    <row r="5840">
      <c r="A5840" t="inlineStr">
        <is>
          <t>fkczoi</t>
        </is>
      </c>
      <c r="B5840" t="inlineStr">
        <is>
          <t>Who is best to diagnose/treat GERD/LPR: Otolaryngologist vs Gastroenterologist</t>
        </is>
      </c>
      <c r="C5840" t="inlineStr">
        <is>
          <t>My dentist believes dental erosion is likely to acid reflux and recommended to see a specialist, but did not specify which one.
I'm looking for feedback on who might be the best specialist for diagnosis/treatment  for GERD/LPR?
**Otolaryngologist** vs **Gastroenterologist**</t>
        </is>
      </c>
      <c r="D5840" t="n">
        <v>1</v>
      </c>
      <c r="E5840" t="n">
        <v>6</v>
      </c>
      <c r="F5840">
        <f>HYPERLINK("https://www.reddit.com/r/GERD/comments/fkczoi/who_is_best_to_diagnosetreat_gerdlpr/")</f>
        <v/>
      </c>
      <c r="G5840" t="inlineStr">
        <is>
          <t>2020-03-17 14:00:02</t>
        </is>
      </c>
      <c r="H5840" t="inlineStr"/>
    </row>
    <row r="5841">
      <c r="A5841" t="inlineStr">
        <is>
          <t>fke5pe</t>
        </is>
      </c>
      <c r="B5841" t="inlineStr">
        <is>
          <t>Effective remedies for breathing problems</t>
        </is>
      </c>
      <c r="C5841" t="inlineStr">
        <is>
          <t>Been diagnosed with GORD/GERD for a couple of years. Omeparazole and ranitidine helping to contain daily side effects and changes to diet has also helped. 
However, this Covid-19 pandemic is causing me all sorts of anxiety which has had a direct effect on my GORD - mostly bringing on more burps a day than I’ve ever had and causing me difficulty bringing up deep breaths - which I’m not sure is directly anxiety related or anxiety - &amp;gt; GORD related. 
Apart from upping my dose and taking about a million antacids a day (which are doing nothing) has anyone got any good suggestions of what to try to help alleviate symptoms?</t>
        </is>
      </c>
      <c r="D5841" t="n">
        <v>1</v>
      </c>
      <c r="E5841" t="n">
        <v>0</v>
      </c>
      <c r="F5841">
        <f>HYPERLINK("https://www.reddit.com/r/GERD/comments/fke5pe/effective_remedies_for_breathing_problems/")</f>
        <v/>
      </c>
      <c r="G5841" t="inlineStr">
        <is>
          <t>2020-03-17 15:09:35</t>
        </is>
      </c>
      <c r="H5841" t="inlineStr"/>
    </row>
    <row r="5842">
      <c r="A5842" t="inlineStr">
        <is>
          <t>fkfdov</t>
        </is>
      </c>
      <c r="B5842" t="inlineStr">
        <is>
          <t>does anyone else experience food feeling stuck in bottom of throat and back? I’m new to this. is this normal? any tips for relief or how to prevent it?</t>
        </is>
      </c>
      <c r="C5842" t="inlineStr">
        <is>
          <t>I can’t see a doctor right now (not seeing any patients) and I’ve never experienced GERD before, but I’ve had a rotation of symptoms and I think that GERD sounds like it is possible. I really need some comfort in these crazy times.</t>
        </is>
      </c>
      <c r="D5842" t="n">
        <v>1</v>
      </c>
      <c r="E5842" t="n">
        <v>6</v>
      </c>
      <c r="F5842">
        <f>HYPERLINK("https://www.reddit.com/r/GERD/comments/fkfdov/does_anyone_else_experience_food_feeling_stuck_in/")</f>
        <v/>
      </c>
      <c r="G5842" t="inlineStr">
        <is>
          <t>2020-03-17 16:25:37</t>
        </is>
      </c>
      <c r="H5842" t="inlineStr"/>
    </row>
    <row r="5843">
      <c r="A5843" t="inlineStr">
        <is>
          <t>fkgl3t</t>
        </is>
      </c>
      <c r="B5843" t="inlineStr">
        <is>
          <t>Breathing issues Running</t>
        </is>
      </c>
      <c r="C5843" t="inlineStr">
        <is>
          <t>Does anyone else suffer thick breaths like an inability to Cauchy your breath/ bronchospasm after running. My doctor is pretty sure I have a hiatal hernia I am waiting on b results. I am trying to push through this and tried to go run a mile. Half way through I had to stop because I had tightness in chest, burning and couldn’t catch my breath for the life of me. Is this normal for gerd. My doctor seems clueless and has not been of much help. He told me my issue is non urgent with this new virus going around which I understand</t>
        </is>
      </c>
      <c r="D5843" t="n">
        <v>1</v>
      </c>
      <c r="E5843" t="n">
        <v>5</v>
      </c>
      <c r="F5843">
        <f>HYPERLINK("https://www.reddit.com/r/GERD/comments/fkgl3t/breathing_issues_running/")</f>
        <v/>
      </c>
      <c r="G5843" t="inlineStr">
        <is>
          <t>2020-03-17 17:44:27</t>
        </is>
      </c>
      <c r="H5843" t="inlineStr"/>
    </row>
    <row r="5844">
      <c r="A5844" t="inlineStr">
        <is>
          <t>fkhoex</t>
        </is>
      </c>
      <c r="B5844" t="inlineStr">
        <is>
          <t>Swollen lymphnode</t>
        </is>
      </c>
      <c r="C5844" t="inlineStr">
        <is>
          <t>So I've been told by my ENT that I have an acid reflux issue despite not feeling heartburn. The only thing I've been noticing is a slight super mild almost not even there sore throat for the past two months. I've also developed what he said was a swollen lymphnode on my neck. He gave me steroids for 5 days and it definitely shrunk in size but now about 2 weeks later it's back to the same size. Anyone else experienced a swollen lymphnode as a result of GERD? Thanks</t>
        </is>
      </c>
      <c r="D5844" t="n">
        <v>1</v>
      </c>
      <c r="E5844" t="n">
        <v>7</v>
      </c>
      <c r="F5844">
        <f>HYPERLINK("https://www.reddit.com/r/GERD/comments/fkhoex/swollen_lymphnode/")</f>
        <v/>
      </c>
      <c r="G5844" t="inlineStr">
        <is>
          <t>2020-03-17 18:59:51</t>
        </is>
      </c>
      <c r="H5844" t="inlineStr"/>
    </row>
    <row r="5845">
      <c r="A5845" t="inlineStr">
        <is>
          <t>fkic7u</t>
        </is>
      </c>
      <c r="B5845" t="inlineStr">
        <is>
          <t>Globus sensation with coughing?</t>
        </is>
      </c>
      <c r="C5845" t="inlineStr">
        <is>
          <t>I hope everyone is ok in this crazy time with COVID-19!
For the past 4 days i’ve had a globus sensation in my throat and it’s making me cough. It’s not a tickle feeling that makes me cough, more like an irritation or wheeze (without the noise of wheezing). The feeling is in my trachea I think (just a guess of course). 
I have a history of GERD and hiatal hernia but i’ve never had symptoms like this. Has anyone else had this type of issue?  
I take a PPI in the morning and an antacid at night. Often times in the morning it’s totally gone. Then that makes me wonder if it’s a tight muscle or something. 
Either way, the Drs are not taking patients at the moment so I’m looking to see if anyone has had this issue before. 
Stay healthy all!</t>
        </is>
      </c>
      <c r="D5845" t="n">
        <v>1</v>
      </c>
      <c r="E5845" t="n">
        <v>13</v>
      </c>
      <c r="F5845">
        <f>HYPERLINK("https://www.reddit.com/r/GERD/comments/fkic7u/globus_sensation_with_coughing/")</f>
        <v/>
      </c>
      <c r="G5845" t="inlineStr">
        <is>
          <t>2020-03-17 19:46:15</t>
        </is>
      </c>
      <c r="H5845" t="inlineStr"/>
    </row>
    <row r="5846">
      <c r="A5846" t="inlineStr">
        <is>
          <t>fkioee</t>
        </is>
      </c>
      <c r="B5846" t="inlineStr">
        <is>
          <t>The smell of food creeps up in back of my throat with lpr</t>
        </is>
      </c>
      <c r="C5846" t="inlineStr">
        <is>
          <t>There's no physical food objects or even acid because I try and make myself vomit but nothing comes out, like I have an empty stomach, I know it's coming from stomach or in back of throat because when I stixk my tounge out the smell comes from behind the tounge and even on the tounge</t>
        </is>
      </c>
      <c r="D5846" t="n">
        <v>1</v>
      </c>
      <c r="E5846" t="n">
        <v>0</v>
      </c>
      <c r="F5846">
        <f>HYPERLINK("https://www.reddit.com/r/GERD/comments/fkioee/the_smell_of_food_creeps_up_in_back_of_my_throat/")</f>
        <v/>
      </c>
      <c r="G5846" t="inlineStr">
        <is>
          <t>2020-03-17 20:10:19</t>
        </is>
      </c>
      <c r="H5846" t="inlineStr"/>
    </row>
    <row r="5847">
      <c r="A5847" t="inlineStr">
        <is>
          <t>fkjekd</t>
        </is>
      </c>
      <c r="B5847" t="inlineStr">
        <is>
          <t>Barium swallow follow up - cant poop after first time?</t>
        </is>
      </c>
      <c r="C5847" t="inlineStr">
        <is>
          <t>This is a follow up to the previous post I made but basically I had a barium swallow today that went pretty well but suffered abdominal pain shortly after leaving the hospital. It went away after I went to the bathroom but then the stomach cramps came on. 
But then I noticed something, I didnt have to poop anymore after that, or well, couldn't. I've been drinking tons of water as well, trying to sooth the muscle cramps, which did work, but I haven't pooped once since right after getting home after the procedure.
Is this a medical emergency or should I wait till tomorrow and see if it still persists? At the moment, I'm getting very little pain on the lower left side of my abdomen, not nearly as much pain when leaving the hospital. Thank you and have a great day guys.</t>
        </is>
      </c>
      <c r="D5847" t="n">
        <v>1</v>
      </c>
      <c r="E5847" t="n">
        <v>2</v>
      </c>
      <c r="F5847">
        <f>HYPERLINK("https://www.reddit.com/r/GERD/comments/fkjekd/barium_swallow_follow_up_cant_poop_after_first/")</f>
        <v/>
      </c>
      <c r="G5847" t="inlineStr">
        <is>
          <t>2020-03-17 21:04:58</t>
        </is>
      </c>
      <c r="H5847" t="inlineStr"/>
    </row>
    <row r="5848">
      <c r="A5848" t="inlineStr">
        <is>
          <t>fkjze0</t>
        </is>
      </c>
      <c r="B5848" t="inlineStr">
        <is>
          <t>Carnivore and or Keto</t>
        </is>
      </c>
      <c r="C5848" t="inlineStr">
        <is>
          <t>Has anyone had success curing their GERD with Carnivore diet or Keto?</t>
        </is>
      </c>
      <c r="D5848" t="n">
        <v>1</v>
      </c>
      <c r="E5848" t="n">
        <v>4</v>
      </c>
      <c r="F5848">
        <f>HYPERLINK("https://www.reddit.com/r/GERD/comments/fkjze0/carnivore_and_or_keto/")</f>
        <v/>
      </c>
      <c r="G5848" t="inlineStr">
        <is>
          <t>2020-03-17 21:51:20</t>
        </is>
      </c>
      <c r="H5848" t="inlineStr"/>
    </row>
    <row r="5849">
      <c r="A5849" t="inlineStr">
        <is>
          <t>fklrbj</t>
        </is>
      </c>
      <c r="B5849" t="inlineStr">
        <is>
          <t>What can I do about cough at night?</t>
        </is>
      </c>
      <c r="C5849" t="inlineStr">
        <is>
          <t>I think I might have LPR or GERD. The symptoms started to appear after a cold/sinus infection. I started getting heartburn I think and this pain in my chest. Now finally after adjusting my diet my chest doesn’t hurt as much but now at night I seem to produce much more mucus than during the day and get this coughing fit every night and cough to the point of almost wanting to throw up to try to get Rid of the mucus it seems. In the daytime the urge to cough is okay and seems  to stop and manageable. Anyone have any suggestions on how to stop the cough at night?? I can’t get any sleep and doesn’t seem to be getting better even though I’ve been following all the diet restrictions and sleeping with a elevated head. Thank you for any suggestions!!</t>
        </is>
      </c>
      <c r="D5849" t="n">
        <v>1</v>
      </c>
      <c r="E5849" t="n">
        <v>2</v>
      </c>
      <c r="F5849">
        <f>HYPERLINK("https://www.reddit.com/r/GERD/comments/fklrbj/what_can_i_do_about_cough_at_night/")</f>
        <v/>
      </c>
      <c r="G5849" t="inlineStr">
        <is>
          <t>2020-03-18 00:37:09</t>
        </is>
      </c>
      <c r="H5849" t="inlineStr"/>
    </row>
    <row r="5850">
      <c r="A5850" t="inlineStr">
        <is>
          <t>fkow0v</t>
        </is>
      </c>
      <c r="B5850" t="inlineStr">
        <is>
          <t>stomach pains/cramps with GERD</t>
        </is>
      </c>
      <c r="C5850" t="inlineStr">
        <is>
          <t>Just wondering if anyone else on here gets stomach pains with their reflux, more specifically in the lower abdominal area. There are a number of reasons I could be experiencing it being: 1. Had a barium swallow and didn't drink a ton of water afterward leading me to be constipated. 2. A  couple of weeks agoI lowered my nexiumd dose to 20mg instead of 40mg as it was dulling my senses somehow. 3. Something isn't agreeing with me more than usual. 
Also, if you do experience how do you deal with it. I can't take nurofen for obvious reasons, and for some reason when I take Panadol it seems to make the pain in my hand worse not better. ( I recently had surgery on my hand). 
&amp;amp;#x200B;
'</t>
        </is>
      </c>
      <c r="D5850" t="n">
        <v>1</v>
      </c>
      <c r="E5850" t="n">
        <v>6</v>
      </c>
      <c r="F5850">
        <f>HYPERLINK("https://www.reddit.com/r/GERD/comments/fkow0v/stomach_painscramps_with_gerd/")</f>
        <v/>
      </c>
      <c r="G5850" t="inlineStr">
        <is>
          <t>2020-03-18 05:40:57</t>
        </is>
      </c>
      <c r="H5850" t="inlineStr"/>
    </row>
    <row r="5851">
      <c r="A5851" t="inlineStr">
        <is>
          <t>fkqusp</t>
        </is>
      </c>
      <c r="B5851" t="inlineStr">
        <is>
          <t>Lost and looking for answers. Anyone can relate?</t>
        </is>
      </c>
      <c r="C5851" t="inlineStr">
        <is>
          <t>Hi all, 
I tried posting this in r/HiatalHernia but they have restrictions on posting and looks like the mod has not been active in quite a while. Considering I also have GERD, figured maybe someone here can relate.
For about 3 weeks, I have been having excruciating pain after eating. Seems to be happening the in digestion process. To the point that I cannot eat, I've lost 10lbs in 2 weeks. I've been on an all Slimfast/yogurt diet for about a 2 weeks now. The pain is NOT burning pain. I've had acid reflux for a while now, and this pain is unlike anything that I've ever experienced. And definitely not typical of reflux, in my non-expert opinion.
Had an Endoscopy yesterday and my Dr. informed me that I have a Hiatal Hernia, mild gastritis and GERD. He test for a number of other issues, Hep B, Celiac, Parasites, EoE, H Pylori, all came back negative. My blood work looks normal and I was told it appears to be nothing super serious. I've been on Omeprezole for 2 weeks and it has not helped at all. In fact, I think the pain is getting worse (not from the omperezole, just because whatever the issue is, is not being treated)
I decided to check out this sub as well as r/HiatalHernia and as I'm scrolling through the post, I can't really seem to find any mention of similar symptoms.
Anyone else experience something similar to what I'm feeling? Anyone have any ideas? I get that most of us probably are not doctors, but even suggestions of questions to ask my Dr would be helpful. As I'm seeing him tomorrow for a follow up. 
Thanks!</t>
        </is>
      </c>
      <c r="D5851" t="n">
        <v>1</v>
      </c>
      <c r="E5851" t="n">
        <v>10</v>
      </c>
      <c r="F5851">
        <f>HYPERLINK("https://www.reddit.com/r/GERD/comments/fkqusp/lost_and_looking_for_answers_anyone_can_relate/")</f>
        <v/>
      </c>
      <c r="G5851" t="inlineStr">
        <is>
          <t>2020-03-18 08:00:20</t>
        </is>
      </c>
      <c r="H5851" t="inlineStr"/>
    </row>
    <row r="5852">
      <c r="A5852" t="inlineStr">
        <is>
          <t>fkwcdi</t>
        </is>
      </c>
      <c r="B5852" t="inlineStr">
        <is>
          <t>Looking H pylori diet/tips</t>
        </is>
      </c>
      <c r="C5852" t="inlineStr">
        <is>
          <t>Can’t post to r/HPlyori so I’m gonna post here:
Just started antibiotics for h pylori, amoxicillin, omeprazole, clarithromycin. All three in the morning and just amoxicillin and clarithromycin in the evening.  I’ve read around about some treatments or diets but I would rather have it all in one place; I was wondering what diets you follow and some tips like probiotics or supplements you take to help.</t>
        </is>
      </c>
      <c r="D5852" t="n">
        <v>1</v>
      </c>
      <c r="E5852" t="n">
        <v>4</v>
      </c>
      <c r="F5852">
        <f>HYPERLINK("https://www.reddit.com/r/GERD/comments/fkwcdi/looking_h_pylori_diettips/")</f>
        <v/>
      </c>
      <c r="G5852" t="inlineStr">
        <is>
          <t>2020-03-18 13:17:30</t>
        </is>
      </c>
      <c r="H5852" t="inlineStr"/>
    </row>
    <row r="5853">
      <c r="A5853" t="inlineStr">
        <is>
          <t>fkxr12</t>
        </is>
      </c>
      <c r="B5853" t="inlineStr">
        <is>
          <t>Is it possible for GERD to only activate on physical activity?</t>
        </is>
      </c>
      <c r="C5853" t="inlineStr">
        <is>
          <t>So I've had moderate experience with lifting heavy with no problems until now. On certain lifts like the landmine press, my heart rate will start as it normally does before speeding up fast enough that it feels uncomfortable.
I mostly get the uncomfortably fast heart rate on the land mine press but it happens on other lifts occasionally and sometimes before I can really get a burn in the lift.
I've heard acid reflux / GERD could be behind feelings of chest irritability but I only get this fast heart rate when lifting and I feel totally fine outside of that scenario.
I'm not obese, I'm 195 pounds, 6'1 and I've been actually trying to gain weight for the last 5 months to bulk up but now I'm worried that eating a lot is affecting me.
Could this be GERD?</t>
        </is>
      </c>
      <c r="D5853" t="n">
        <v>2</v>
      </c>
      <c r="E5853" t="n">
        <v>3</v>
      </c>
      <c r="F5853">
        <f>HYPERLINK("https://www.reddit.com/r/GERD/comments/fkxr12/is_it_possible_for_gerd_to_only_activate_on/")</f>
        <v/>
      </c>
      <c r="G5853" t="inlineStr">
        <is>
          <t>2020-03-18 14:38:48</t>
        </is>
      </c>
      <c r="H5853" t="inlineStr"/>
    </row>
    <row r="5854">
      <c r="A5854" t="inlineStr">
        <is>
          <t>fkylcg</t>
        </is>
      </c>
      <c r="B5854" t="inlineStr">
        <is>
          <t>Does it sound like GERD or LPR?</t>
        </is>
      </c>
      <c r="C5854" t="inlineStr">
        <is>
          <t>Hi all,  I am a 28 yo male 5'7 125lbs, non-smoker and non-drinker.  I have never been diagnosed with GERD/LPR before, so I am very new to this. 
Three weeks ago, I got hit with the flu (confirmed by nose swab) and recovered after 5 days.  All the major coughing had stopped, but there was still a bit of residual throat and nose irritations that lead to some slight coughing and spitting here and there. 
For the past 10 days, I have experienced intense and debilitating stresses (due to work and a voluntarily self-quarantine for the coronavirus outbreak).  I couldn't sleep well, was severely dehydrated, and ate poorly. 
Last Sunday, I noticed the very first symptom. While lying and reading for one hour before bedtime, I sensed a bitter taste in the mouth. At that time, I blamed myself for being uncareful for sipping on the cup I had just wiped with Lysol.  The feeling went away after I gargled with saltwater.  However, the bitterness returned after I woke up the next morning, as well as after the noon nap.  This morning, in addition to the bitter taste,  my first few spits were brown/yellowish mucus, then it all came clear mucus/saliva for the rest of the day.  So far, I have had a very mild "heartburn." Other symptoms are hoarseness, belching, and hiccups.  No trouble breathing or swallowing. 
I went to my GP right away. She diagnosed me with GERD and gave me Famotidine (Pepcid) 20mg for ten days. I also asked her if I had to worry about the brown/yellowish spits that had a little bit of dried blood mixed in. She said since my lung sounded normal and I didn't have a fever, she wouldn't worry about it now, and it was probably due to bleeding from the nose/sinus from dryness. 
Now putting the pieces together, I recalled that in the past year, I had a few occasions where food stuck in throat due to phlegm, hoarseness, and periods with excessive saliva (especially after a cold). However, I didn't remember having any noticeable heartburn. 
 I have a few questions, and I appreciate your time to help me with:
1) Do you think I have a typical GERD or a "silent" one? 
2) Sorry, I am still so new to all of this, but would you call a silent GERD an LPR?  
3) Do you think if my experiences with the bitter taste and early morning spiting typical at all for GERD/LPR?
4) Could stresses trigger all of these? I have rarely been as stressed as of now, and I am extremely hypochondriac, which always makes things worse.   
Thanks all!</t>
        </is>
      </c>
      <c r="D5854" t="n">
        <v>1</v>
      </c>
      <c r="E5854" t="n">
        <v>4</v>
      </c>
      <c r="F5854">
        <f>HYPERLINK("https://www.reddit.com/r/GERD/comments/fkylcg/does_it_sound_like_gerd_or_lpr/")</f>
        <v/>
      </c>
      <c r="G5854" t="inlineStr">
        <is>
          <t>2020-03-18 15:29:00</t>
        </is>
      </c>
      <c r="H5854" t="inlineStr"/>
    </row>
    <row r="5855">
      <c r="A5855" t="inlineStr">
        <is>
          <t>fkzpti</t>
        </is>
      </c>
      <c r="B5855" t="inlineStr">
        <is>
          <t>Can I substitute pantoprazole for Omeprazole?</t>
        </is>
      </c>
      <c r="C5855" t="inlineStr">
        <is>
          <t>So my doctor prescribed me pantoprazole for a more than normal gastritis episode where burning pain was accompanied by some random pinching pain and making some intestinal inflammation
He described me pantoprazole 40mg twice a day 30min - 1hr before eating. For 4 to 6 weeks if I wasn't fully recovered
I bought the treatment for 4 weeks and it's running out, I still feeling some hearthburn and some discomfort after eating some things so I was planing to buy another pantoprazole box
But due to Covid most pharmacies near me are closed and I can't find it, I found a big pack of Omeprazole at a good price. Can I use it instead of the panto? 
How much would it be an equivalent dose?</t>
        </is>
      </c>
      <c r="D5855" t="n">
        <v>2</v>
      </c>
      <c r="E5855" t="n">
        <v>10</v>
      </c>
      <c r="F5855">
        <f>HYPERLINK("https://www.reddit.com/r/GERD/comments/fkzpti/can_i_substitute_pantoprazole_for_omeprazole/")</f>
        <v/>
      </c>
      <c r="G5855" t="inlineStr">
        <is>
          <t>2020-03-18 16:37:42</t>
        </is>
      </c>
      <c r="H5855" t="inlineStr"/>
    </row>
    <row r="5856">
      <c r="A5856" t="inlineStr">
        <is>
          <t>fl0ut7</t>
        </is>
      </c>
      <c r="B5856" t="inlineStr">
        <is>
          <t>What does heartburn feel like?</t>
        </is>
      </c>
      <c r="C5856" t="inlineStr">
        <is>
          <t>I got an endoscopy done around the end of January. Prior to the procedure, I had no chest pain whatsoever. However, the day after the procedure, I woke up with this extreme chest pain. It felt like constant pressure on my heart and like someone was stamping down on my heart. I was afraid that I had gotten some perforation or irritation or some kind of complication from the procedure. However, my PCP told me that if my chest wall got perforated, I would be vomitting blood. He told me that it’s probably just heart burn and that my psychiatric problems are just making it worse. (I’m 20 year old female) I feel pain at random times and especially if I consume liquids or dairy. What do you think and how does heart burn for those with GERD feel like? I’ve had GERD for 1 and a half years and I never had chest pain before. He prescribed me Nexium for it as well. 
The chest pain’s been going on for two months.</t>
        </is>
      </c>
      <c r="D5856" t="n">
        <v>1</v>
      </c>
      <c r="E5856" t="n">
        <v>6</v>
      </c>
      <c r="F5856">
        <f>HYPERLINK("https://www.reddit.com/r/GERD/comments/fl0ut7/what_does_heartburn_feel_like/")</f>
        <v/>
      </c>
      <c r="G5856" t="inlineStr">
        <is>
          <t>2020-03-18 17:52:15</t>
        </is>
      </c>
      <c r="H5856" t="inlineStr"/>
    </row>
    <row r="5857">
      <c r="A5857" t="inlineStr">
        <is>
          <t>fl0zt1</t>
        </is>
      </c>
      <c r="B5857" t="inlineStr">
        <is>
          <t>Is it true that you need to eat every few hrs with GERD\ACid Reflux problem.</t>
        </is>
      </c>
      <c r="C5857" t="inlineStr">
        <is>
          <t>Is it true that you need to eat every few hrs with GERD\\ACid Reflux problem.</t>
        </is>
      </c>
      <c r="D5857" t="n">
        <v>1</v>
      </c>
      <c r="E5857" t="n">
        <v>5</v>
      </c>
      <c r="F5857">
        <f>HYPERLINK("https://www.reddit.com/r/GERD/comments/fl0zt1/is_it_true_that_you_need_to_eat_every_few_hrs/")</f>
        <v/>
      </c>
      <c r="G5857" t="inlineStr">
        <is>
          <t>2020-03-18 18:01:29</t>
        </is>
      </c>
      <c r="H5857" t="inlineStr"/>
    </row>
    <row r="5858">
      <c r="A5858" t="inlineStr">
        <is>
          <t>fl180b</t>
        </is>
      </c>
      <c r="B5858" t="inlineStr">
        <is>
          <t>Went way off track with diet from self-quarantine :(</t>
        </is>
      </c>
      <c r="C5858" t="inlineStr">
        <is>
          <t>I've been less respectful of my GERD since I started self-quarantining (not sick, just taking precautions). What a mistake this has been. Everything I eat makes my stomach hurt. Plus I worked out for a whooooole 15 minutes and I'm feeling worse than ever! Just purchased the acid reflux diet book. I'm ready to be better again. No point of this post really...just know if you're suffering, you're not alone! And don't get off your GERD diet!</t>
        </is>
      </c>
      <c r="D5858" t="n">
        <v>2</v>
      </c>
      <c r="E5858" t="n">
        <v>23</v>
      </c>
      <c r="F5858">
        <f>HYPERLINK("https://www.reddit.com/r/GERD/comments/fl180b/went_way_off_track_with_diet_from_selfquarantine/")</f>
        <v/>
      </c>
      <c r="G5858" t="inlineStr">
        <is>
          <t>2020-03-18 18:16:57</t>
        </is>
      </c>
      <c r="H5858" t="inlineStr"/>
    </row>
    <row r="5859">
      <c r="A5859" t="inlineStr">
        <is>
          <t>fl2y7r</t>
        </is>
      </c>
      <c r="B5859" t="inlineStr">
        <is>
          <t>People are being ignorant with the aloe vera gel gallon. Sold out everywhere. Screw the people with this disease. Its bullshit</t>
        </is>
      </c>
      <c r="C5859" t="inlineStr">
        <is>
          <t>The only thing that works for my acid reflex and makes my gerd tolerable with protonix. Cant tell you how many times I have puked in my mouth because I cant get it . Its fucking pathetic and I am mad af since people want to act like this ignorant ..</t>
        </is>
      </c>
      <c r="D5859" t="n">
        <v>1</v>
      </c>
      <c r="E5859" t="n">
        <v>6</v>
      </c>
      <c r="F5859">
        <f>HYPERLINK("https://www.reddit.com/r/GERD/comments/fl2y7r/people_are_being_ignorant_with_the_aloe_vera_gel/")</f>
        <v/>
      </c>
      <c r="G5859" t="inlineStr">
        <is>
          <t>2020-03-18 20:16:40</t>
        </is>
      </c>
      <c r="H5859" t="inlineStr"/>
    </row>
    <row r="5860">
      <c r="A5860" t="inlineStr">
        <is>
          <t>fl49qu</t>
        </is>
      </c>
      <c r="B5860" t="inlineStr">
        <is>
          <t>Anyone else have trouble with pantaprazole 40 mg??</t>
        </is>
      </c>
      <c r="C5860" t="inlineStr">
        <is>
          <t>Before they ever knew I had a hiatal hernia, and just thought it was GERD, I was prescribed pantaprazole. Took it every day and was eventually every other day. Worked pretty good for a while. 
After a heavy night drinking it quit working(in the past I have went way harder with no problems). After that night, the next day it was the worst I have ever experienced. Chest was so tight, my legs and arms were going numb and trouble breathing. Super light headed.
Doctor told me to take it every day again...made it worse. I quit taking it cold turkey and felt way better, not great though. 
4 months later...now... I take over the counter omeprazole twice a day and its hit or miss. 
Supposed to have an endoscopy done, but it takes like 3 damn months to even schedule one. 
Any pointers other than eating healthy(have tried) to get some damn relief!?! It's all the time with the shortness of breath and tightness.</t>
        </is>
      </c>
      <c r="D5860" t="n">
        <v>1</v>
      </c>
      <c r="E5860" t="n">
        <v>5</v>
      </c>
      <c r="F5860">
        <f>HYPERLINK("https://www.reddit.com/r/GERD/comments/fl49qu/anyone_else_have_trouble_with_pantaprazole_40_mg/")</f>
        <v/>
      </c>
      <c r="G5860" t="inlineStr">
        <is>
          <t>2020-03-18 21:58:29</t>
        </is>
      </c>
      <c r="H5860" t="inlineStr"/>
    </row>
    <row r="5861">
      <c r="A5861" t="inlineStr">
        <is>
          <t>fl6m5h</t>
        </is>
      </c>
      <c r="B5861" t="inlineStr">
        <is>
          <t>GERD friendly snacks?</t>
        </is>
      </c>
      <c r="C5861" t="inlineStr">
        <is>
          <t>I posted about the goldfish conundrum the other night, had no idea all the stuff in them that could irritate my acid reflux. Do you guys have any suggestions for snacks that are GERD friendly and hopefully not too expensive? Something with flavor to it, I can’t get behind plain/salted nuts or granola. Thank you in advance</t>
        </is>
      </c>
      <c r="D5861" t="n">
        <v>1</v>
      </c>
      <c r="E5861" t="n">
        <v>12</v>
      </c>
      <c r="F5861">
        <f>HYPERLINK("https://www.reddit.com/r/GERD/comments/fl6m5h/gerd_friendly_snacks/")</f>
        <v/>
      </c>
      <c r="G5861" t="inlineStr">
        <is>
          <t>2020-03-19 01:30:04</t>
        </is>
      </c>
      <c r="H5861" t="inlineStr"/>
    </row>
    <row r="5862">
      <c r="A5862" t="inlineStr">
        <is>
          <t>fl7qp0</t>
        </is>
      </c>
      <c r="B5862" t="inlineStr">
        <is>
          <t>Could I have GERD?</t>
        </is>
      </c>
      <c r="C5862" t="inlineStr">
        <is>
          <t>Last 5 days Swallowing has become uncomfortable, and feels like the food is sticking the chest sometimes for a long time. Also, it feels like a sharp jabbing pain. Another weird thing I notice is it almost feels the same in my upper back area as if food is going down there too.... I had some heartburn off and on for a month before but it has turned into this. I am a 24 year old male. Also, 20mg of hasn’t helped so far, I’m on day 5.  Thanks</t>
        </is>
      </c>
      <c r="D5862" t="n">
        <v>1</v>
      </c>
      <c r="E5862" t="n">
        <v>8</v>
      </c>
      <c r="F5862">
        <f>HYPERLINK("https://www.reddit.com/r/GERD/comments/fl7qp0/could_i_have_gerd/")</f>
        <v/>
      </c>
      <c r="G5862" t="inlineStr">
        <is>
          <t>2020-03-19 03:19:03</t>
        </is>
      </c>
      <c r="H5862" t="inlineStr"/>
    </row>
    <row r="5863">
      <c r="A5863" t="inlineStr">
        <is>
          <t>fl8sbq</t>
        </is>
      </c>
      <c r="B5863" t="inlineStr">
        <is>
          <t>Chances of gerd?</t>
        </is>
      </c>
      <c r="C5863" t="inlineStr">
        <is>
          <t>I’m 17 and have been having chest pain recently on the left side, feels really uncomfortable. After I eat I always feel like there’s trapped gas in stomach/throat or something and end up tasting a weird acidic thing in my mouth when trying to burp (I have to force myself to burp) Also very recently feels like there’s a bubble in right side of chest when trying to breathe, might be corona tbh. XD pretty concerning symptoms that have been on going for a bit now. Any GERD experts in the chat?</t>
        </is>
      </c>
      <c r="D5863" t="n">
        <v>1</v>
      </c>
      <c r="E5863" t="n">
        <v>2</v>
      </c>
      <c r="F5863">
        <f>HYPERLINK("https://www.reddit.com/r/GERD/comments/fl8sbq/chances_of_gerd/")</f>
        <v/>
      </c>
      <c r="G5863" t="inlineStr">
        <is>
          <t>2020-03-19 04:52:45</t>
        </is>
      </c>
      <c r="H5863" t="inlineStr"/>
    </row>
    <row r="5864">
      <c r="A5864" t="inlineStr">
        <is>
          <t>fl8vtn</t>
        </is>
      </c>
      <c r="B5864" t="inlineStr">
        <is>
          <t>A little tip when you are are dealing with Gerd symptoms! :-)</t>
        </is>
      </c>
      <c r="C5864" t="inlineStr">
        <is>
          <t>Hello everyone, I have a weak LES valve and I have had to take 20mg Pantoprazolo daily for 2 years. (I wonder if there is any chance for people with my problem to not take pills all their lives)
So I was told that when I have Gerd symptoms I could try to help them drinking WARM WATER and OMG guys... It helps a lot in my case. I warm it as much as I can, really close to boiling usually, then I wait that it colds down a bit and I drink it slowly, not all at once. It helps a lot when my belly is in pain during hard digestion! Please try it!!!
I hope It will help all of you as well, good luck!
Ps. A little reminder that us, more than others, need to stock food before the quarantine or during it because we can't eat everything like other people. So Im buying a lot of fish and saving it in the freezer and the only vegetables I digest (carrots).</t>
        </is>
      </c>
      <c r="D5864" t="n">
        <v>1</v>
      </c>
      <c r="E5864" t="n">
        <v>10</v>
      </c>
      <c r="F5864">
        <f>HYPERLINK("https://www.reddit.com/r/GERD/comments/fl8vtn/a_little_tip_when_you_are_are_dealing_with_gerd/")</f>
        <v/>
      </c>
      <c r="G5864" t="inlineStr">
        <is>
          <t>2020-03-19 05:00:50</t>
        </is>
      </c>
      <c r="H5864" t="inlineStr"/>
    </row>
    <row r="5865">
      <c r="A5865" t="inlineStr">
        <is>
          <t>flb029</t>
        </is>
      </c>
      <c r="B5865" t="inlineStr">
        <is>
          <t>Should I go?</t>
        </is>
      </c>
      <c r="C5865" t="inlineStr">
        <is>
          <t>I’ve been suffering since Christmas and prepaid for a cheap endoscope on Monday... should I still go? I’m scared of the virus but at the same time want answers. I don’t have insurance so the prepayment was all I could do.</t>
        </is>
      </c>
      <c r="D5865" t="n">
        <v>1</v>
      </c>
      <c r="E5865" t="n">
        <v>0</v>
      </c>
      <c r="F5865">
        <f>HYPERLINK("https://www.reddit.com/r/GERD/comments/flb029/should_i_go/")</f>
        <v/>
      </c>
      <c r="G5865" t="inlineStr">
        <is>
          <t>2020-03-19 07:34:47</t>
        </is>
      </c>
      <c r="H5865" t="inlineStr"/>
    </row>
    <row r="5866">
      <c r="A5866" t="inlineStr">
        <is>
          <t>flb3qn</t>
        </is>
      </c>
      <c r="B5866" t="inlineStr">
        <is>
          <t>GERD and lymph node problems.</t>
        </is>
      </c>
      <c r="C5866" t="inlineStr">
        <is>
          <t>So I’ve been reading mixed information about GERD making lymph nodes slightly enlarged and I’m getting extremely confused. So I have some enlarged ones in my neck, nothing bigger than a cm, but my GERD sometimes literally burns my fucking throat and irritates it and I was wondering would it be possible for a lymph node to swell due to the throat getting irritated and producing mucus or whatever. This may be an extremely stupid question but I can’t find any answers online.</t>
        </is>
      </c>
      <c r="D5866" t="n">
        <v>1</v>
      </c>
      <c r="E5866" t="n">
        <v>2</v>
      </c>
      <c r="F5866">
        <f>HYPERLINK("https://www.reddit.com/r/GERD/comments/flb3qn/gerd_and_lymph_node_problems/")</f>
        <v/>
      </c>
      <c r="G5866" t="inlineStr">
        <is>
          <t>2020-03-19 07:41:22</t>
        </is>
      </c>
      <c r="H5866" t="inlineStr"/>
    </row>
    <row r="5867">
      <c r="A5867" t="inlineStr">
        <is>
          <t>fldxxc</t>
        </is>
      </c>
      <c r="B5867" t="inlineStr">
        <is>
          <t>Is it OK to cut Aciphex pills in half?</t>
        </is>
      </c>
      <c r="C5867" t="inlineStr">
        <is>
          <t>Hello,
I struggle with terrible stomach pain and side effects from the 20mg pills my Dr prescribed me. I tried cutting them in half one day and taking them once in the morning and once at night instead and the side effects are much more manageable. 
Does anyone else do this? I am pretty sure it is not advised but it seems to be working for me. Is it dangerous to do this?
Thanks!</t>
        </is>
      </c>
      <c r="D5867" t="n">
        <v>1</v>
      </c>
      <c r="E5867" t="n">
        <v>1</v>
      </c>
      <c r="F5867">
        <f>HYPERLINK("https://www.reddit.com/r/GERD/comments/fldxxc/is_it_ok_to_cut_aciphex_pills_in_half/")</f>
        <v/>
      </c>
      <c r="G5867" t="inlineStr">
        <is>
          <t>2020-03-19 10:28:38</t>
        </is>
      </c>
      <c r="H5867" t="inlineStr"/>
    </row>
    <row r="5868">
      <c r="A5868" t="inlineStr">
        <is>
          <t>flehrh</t>
        </is>
      </c>
      <c r="B5868" t="inlineStr">
        <is>
          <t>Joining the GERD crew. Esophageal ulcers</t>
        </is>
      </c>
      <c r="C5868" t="inlineStr">
        <is>
          <t>Hi all, just found this sub.  I recently had an endoscopy which revealed some ulcers in my esophagus.  I am taking 40mg Pantoprazole every day and I have been feeling better.  
My journey here began a couple months ago.  My fiance and I had returned from a trip to a tropical island and I was very sick.  Mid-grade fever, unable to eat anything, chills, and a LOT of runs to the bathroom.  I was seeing a lot of black stool as well so I booked an appointment to see my family doctor.  She told me I had Travelers sickness but also recommended I get a scope done because she said the black stool could be internal bleeding somewhere higher up.  I spent the entire month of February working from home.  I had frequent bowel movements, sometimes painful, and heavy hemorrhoid problems on a daily basis.  I told my boss it was no use going into the office because I would be in the bathroom half of the time.   I finally got in to see a specialist at the hospital in late February, and I was able to get in for a colonoscopy and endoscopy on March 2nd because someone had cancelled.   I was pretty lucky since I had heard it could take months to get one done.  Also, I have to admit, the scope was a breeze, except for parts of the bowel prep.  Anyone who has tried the purge liquid knows what I mean.
I was almost positive they would find something wrong with my colon but the doc said everything looked fine aside from some irritation.  That's when he showed me a picture of the ulcers in my esophagus.  Historically I get heartburn very seldomly, so I guess I have some type of silent GERD.   
 Who knows if the bleeding ulcers were causing all of the other problems, but since I've been on the Pantoprazole, my digestive system has slowed way down and my food seems to be staying in me longer.  I have way less IBS symptoms happening.  This has led to me feeling better overall.
Anyway, just wanted to share my story.  If anyone reading this has similar symptoms, maybe go see your family doctor.</t>
        </is>
      </c>
      <c r="D5868" t="n">
        <v>1</v>
      </c>
      <c r="E5868" t="n">
        <v>6</v>
      </c>
      <c r="F5868">
        <f>HYPERLINK("https://www.reddit.com/r/GERD/comments/flehrh/joining_the_gerd_crew_esophageal_ulcers/")</f>
        <v/>
      </c>
      <c r="G5868" t="inlineStr">
        <is>
          <t>2020-03-19 10:59:52</t>
        </is>
      </c>
      <c r="H5868" t="inlineStr"/>
    </row>
    <row r="5869">
      <c r="A5869" t="inlineStr">
        <is>
          <t>fljp88</t>
        </is>
      </c>
      <c r="B5869" t="inlineStr">
        <is>
          <t>What helps chest blocks?</t>
        </is>
      </c>
      <c r="C5869" t="inlineStr">
        <is>
          <t>My chest feels blocked after eating something, to the point where I have difficulties breathing ranging from a few minutes to a few hours.  This is occuring to me only recently due to bad habits during quarantine ( lying down right after eating, as I have nothing else to do ) . I feel that burping helps eases the the difficulties quite a lot. I had the same thing happen to me this afternoon (I made the mistake of lying down right after eating ) , and burping did improve the situation, but my chest still feels a bit blocked. Can anybody tell me what to eat/drink or even any exercises  in this situation to relieve the blocks in my chest? 
Note to self: I won't lie down anymore after eating.</t>
        </is>
      </c>
      <c r="D5869" t="n">
        <v>1</v>
      </c>
      <c r="E5869" t="n">
        <v>1</v>
      </c>
      <c r="F5869">
        <f>HYPERLINK("https://www.reddit.com/r/GERD/comments/fljp88/what_helps_chest_blocks/")</f>
        <v/>
      </c>
      <c r="G5869" t="inlineStr">
        <is>
          <t>2020-03-19 15:56:08</t>
        </is>
      </c>
      <c r="H5869" t="inlineStr"/>
    </row>
    <row r="5870">
      <c r="A5870" t="inlineStr">
        <is>
          <t>flk35v</t>
        </is>
      </c>
      <c r="B5870" t="inlineStr">
        <is>
          <t>How do you guys beat the nausea?</t>
        </is>
      </c>
      <c r="C5870" t="inlineStr">
        <is>
          <t>I've been taking pepto every night. Anybody have any other tips or remedies?</t>
        </is>
      </c>
      <c r="D5870" t="n">
        <v>1</v>
      </c>
      <c r="E5870" t="n">
        <v>16</v>
      </c>
      <c r="F5870">
        <f>HYPERLINK("https://www.reddit.com/r/GERD/comments/flk35v/how_do_you_guys_beat_the_nausea/")</f>
        <v/>
      </c>
      <c r="G5870" t="inlineStr">
        <is>
          <t>2020-03-19 16:19:32</t>
        </is>
      </c>
      <c r="H5870" t="inlineStr"/>
    </row>
    <row r="5871">
      <c r="A5871" t="inlineStr">
        <is>
          <t>fll9a6</t>
        </is>
      </c>
      <c r="B5871" t="inlineStr">
        <is>
          <t>NEED HELP! REGARDING PPI!!!</t>
        </is>
      </c>
      <c r="C5871" t="inlineStr">
        <is>
          <t>So I starts Nexium(20mg xr ) today which is a reversible MAOI.
I didn't know that it didn't go well with d-phenylalanine. (500mg)
I started getting a bad headache.
I did some research and saw how it turns to tyramine and can raise blood pressure.
I immediately took some cayenne pepper extract as well as this other supplement I have that lowers blood pressure. also was able to take a benzo.
I also took some activated charcoal to maybe get some of that phen out of me.
headache went away but was still slightly there.
so about 5 hours go by and headache comes back a bit again. 
I take some more pepper and some more blood pressure supplement's. ( natural )
headache is going away again.
I haven't been throwing up or being confused or had tremors but we are now going on maybe 6 or 7 hours.
am I in the clear?
I'm trying to avoid the hospital for obvious reasons.
I have been drinking a lot of water as well.
need some advice on what I should so and what is to come this week with regard to me eating whatever seeing as I'm pumped full of tyramine.
should I fast all week? how long until the MAO can start killing the excess tyramine.
Or is that tyramine used up or being stored in my body?
please help.
thanks.
edit: just checked my blood pressure about 10 hours later and it was perfect.</t>
        </is>
      </c>
      <c r="D5871" t="n">
        <v>1</v>
      </c>
      <c r="E5871" t="n">
        <v>0</v>
      </c>
      <c r="F5871">
        <f>HYPERLINK("https://www.reddit.com/r/GERD/comments/fll9a6/need_help_regarding_ppi/")</f>
        <v/>
      </c>
      <c r="G5871" t="inlineStr">
        <is>
          <t>2020-03-19 17:31:44</t>
        </is>
      </c>
      <c r="H5871" t="inlineStr"/>
    </row>
    <row r="5872">
      <c r="A5872" t="inlineStr">
        <is>
          <t>fln1dz</t>
        </is>
      </c>
      <c r="B5872" t="inlineStr">
        <is>
          <t>Do you just wake up with GERD forever? What is the common onset?</t>
        </is>
      </c>
      <c r="C5872" t="inlineStr">
        <is>
          <t xml:space="preserve">
I have never had acid reflux my entire life and then about 5 weeks ago I woke up and there it was - severe acid reflux, sore throat, sore ears 
I'm on 20 mg PPI and have been eating an extremely restricted diet ever since, and symptoms have improved a lot but are not gone
My symptoms have also changed - at first it was all acid reflux and all my ears, nose and throat.  Now for about a week it's mostly heartburn and coughing, sometimes pain in my ribs.  
Also - does anybody else feel like nothing gives them heartburn sometimes specifically, symptoms are just random? 
When this happens does it ever just go away, or once it happens you've got it forever?
I went to see my doc after about 5 days, got tested for h pylori and was negative (blood test, but was already on a PPI), and then got a barium swallow.  Havent gotten the results and have a phone call with my doctor Monday.  Pushing for an endonoscopy but everything will be on the back burner now due to covid 19.
It just seems like from talking to people lots have GERD but they seem to have it way more under control than I can seem to.  I just don't get what happened, and how long I'll be like this for.  I wanted to get off my ppis so I could get a proper h pylori test, but it doesn't seem time for that yet.</t>
        </is>
      </c>
      <c r="D5872" t="n">
        <v>1</v>
      </c>
      <c r="E5872" t="n">
        <v>13</v>
      </c>
      <c r="F5872">
        <f>HYPERLINK("https://www.reddit.com/r/GERD/comments/fln1dz/do_you_just_wake_up_with_gerd_forever_what_is_the/")</f>
        <v/>
      </c>
      <c r="G5872" t="inlineStr">
        <is>
          <t>2020-03-19 19:29:16</t>
        </is>
      </c>
      <c r="H5872" t="inlineStr"/>
    </row>
    <row r="5873">
      <c r="A5873" t="inlineStr">
        <is>
          <t>flo7lh</t>
        </is>
      </c>
      <c r="B5873" t="inlineStr">
        <is>
          <t>Gerd for last 4 months, my update,im getting better</t>
        </is>
      </c>
      <c r="C5873" t="inlineStr">
        <is>
          <t>Ok i posted here  before that i have been having severe heartburn, excessive burping. Doctors put me ppi(omeprazole 20mg) have been on it for last 3 months plus bland healthy diet , this helped me alot with heartburn.decided to get off the ppi, as my side effects were getting really bad, been off them for 3 weeks now, im alot better now, but get mild heartburn sometimes. But burping has not improved much, still burp alot 1-2 hours after meals. Doctors were supposed refer me to a specialist, now with conovirurs outbreark, thats been put on hold. What do u guys think i should do, should i go back on omeprazole for another 3 months, or just wait it out?</t>
        </is>
      </c>
      <c r="D5873" t="n">
        <v>1</v>
      </c>
      <c r="E5873" t="n">
        <v>3</v>
      </c>
      <c r="F5873">
        <f>HYPERLINK("https://www.reddit.com/r/GERD/comments/flo7lh/gerd_for_last_4_months_my_updateim_getting_better/")</f>
        <v/>
      </c>
      <c r="G5873" t="inlineStr">
        <is>
          <t>2020-03-19 20:51:13</t>
        </is>
      </c>
      <c r="H5873" t="inlineStr"/>
    </row>
    <row r="5874">
      <c r="A5874" t="inlineStr">
        <is>
          <t>flofzw</t>
        </is>
      </c>
      <c r="B5874" t="inlineStr">
        <is>
          <t>acid reflux from antibiotics</t>
        </is>
      </c>
      <c r="C5874" t="inlineStr">
        <is>
          <t>i took my first dose of doxycycline today and within 3 hours it felt like a stick was stuck in the bottom of my throat and i felt sharp and burning pain there even when breathing. and it felt like i constantly wanted to burp but no air came out. i also made sure to drink a lot of water and not lay down after taking it. how should i go about this guys?</t>
        </is>
      </c>
      <c r="D5874" t="n">
        <v>1</v>
      </c>
      <c r="E5874" t="n">
        <v>3</v>
      </c>
      <c r="F5874">
        <f>HYPERLINK("https://www.reddit.com/r/GERD/comments/flofzw/acid_reflux_from_antibiotics/")</f>
        <v/>
      </c>
      <c r="G5874" t="inlineStr">
        <is>
          <t>2020-03-19 21:07:55</t>
        </is>
      </c>
      <c r="H5874" t="inlineStr"/>
    </row>
    <row r="5875">
      <c r="A5875" t="inlineStr">
        <is>
          <t>flow68</t>
        </is>
      </c>
      <c r="B5875" t="inlineStr">
        <is>
          <t>Immediate Help Question</t>
        </is>
      </c>
      <c r="C5875" t="inlineStr">
        <is>
          <t>Hello all, glad to have found you here. So I am living at home during the pandemic, and my mom's GERD is back (likely associated with all this stress). She's had a couple of really horrible episodes in front of me before, but nothing like this. She is currently groaning, and regularly vomiting. She says the pain is worse than childbirth. Normally she keeps a good diet but it was getting better and she fell off the wagon and had some wine and some tomato sauce tonight, plus little sleep last night and pandemic /economy stress today. I've never seen her this bad. She tried her antacid meds, tums, licorice/cammomile tea, and I even gave her some baking soda water. I don't know what advice to trust online but this is a tough lady who is breaking in front of my eyes. Could this really be GERD? She's had all the screenings and that's what her doc thinks, but I just didn't realize it could be like this. Any advice to help pull her out of this episode? I know there is plenty to do going forward but right now shes on the floor sobbing  and I dont know what to do.</t>
        </is>
      </c>
      <c r="D5875" t="n">
        <v>1</v>
      </c>
      <c r="E5875" t="n">
        <v>2</v>
      </c>
      <c r="F5875">
        <f>HYPERLINK("https://www.reddit.com/r/GERD/comments/flow68/immediate_help_question/")</f>
        <v/>
      </c>
      <c r="G5875" t="inlineStr">
        <is>
          <t>2020-03-19 21:41:34</t>
        </is>
      </c>
      <c r="H5875" t="inlineStr"/>
    </row>
    <row r="5876">
      <c r="A5876" t="inlineStr">
        <is>
          <t>flqe82</t>
        </is>
      </c>
      <c r="B5876" t="inlineStr">
        <is>
          <t>Omeprazole 20 vs 40 mg</t>
        </is>
      </c>
      <c r="C5876" t="inlineStr">
        <is>
          <t>Im at a crossroad I wished I didn't reach. I'm contemplating upping my dosage after seeing three gastros continuously tell me the same thing.
Up your dose. Up your dose. See what happens.
I hear all the negatives, I'm so scared especially nowadays with this Corona bullshit.
20mgs used to work but I never improved my diet and I'm back where I started. I tried ACV, I tried just living off Gaviscon. Nothing's works.
I've been using 20mgs on and off for about 2 years but just cant make up my mind on this drug.
Any food for thought from yal? Should I do it. As I write this, I'm on absolute fire in my throat and right side of my chest.
My endoscopy is in June... Dependent on this pandemic unfortunately. Hope yal are safe as can be!</t>
        </is>
      </c>
      <c r="D5876" t="n">
        <v>1</v>
      </c>
      <c r="E5876" t="n">
        <v>6</v>
      </c>
      <c r="F5876">
        <f>HYPERLINK("https://www.reddit.com/r/GERD/comments/flqe82/omeprazole_20_vs_40_mg/")</f>
        <v/>
      </c>
      <c r="G5876" t="inlineStr">
        <is>
          <t>2020-03-19 23:45:36</t>
        </is>
      </c>
      <c r="H5876" t="inlineStr"/>
    </row>
    <row r="5877">
      <c r="A5877" t="inlineStr">
        <is>
          <t>flqvw8</t>
        </is>
      </c>
      <c r="B5877" t="inlineStr">
        <is>
          <t>So apparently COIVID has digestive symptoms</t>
        </is>
      </c>
      <c r="C5877" t="inlineStr">
        <is>
          <t>I’ve had bubble gut today. Guess I’m dying. That is all. Hope everyone takes their acid reducers</t>
        </is>
      </c>
      <c r="D5877" t="n">
        <v>1</v>
      </c>
      <c r="E5877" t="n">
        <v>1</v>
      </c>
      <c r="F5877">
        <f>HYPERLINK("https://www.reddit.com/r/GERD/comments/flqvw8/so_apparently_coivid_has_digestive_symptoms/")</f>
        <v/>
      </c>
      <c r="G5877" t="inlineStr">
        <is>
          <t>2020-03-20 00:27:37</t>
        </is>
      </c>
      <c r="H5877" t="inlineStr"/>
    </row>
    <row r="5878">
      <c r="A5878" t="inlineStr">
        <is>
          <t>flrtfo</t>
        </is>
      </c>
      <c r="B5878" t="inlineStr">
        <is>
          <t>acid reflux and nauseau on waking up</t>
        </is>
      </c>
      <c r="C5878" t="inlineStr">
        <is>
          <t>I have been recently diagnosed with acid reflux I have been given medication. My pain in the abdomen is much better. However when i wake up from a nap, i feel like nausea and feels like throwing up. 
At first my doctor recommended to do an endoscopy but i am afraid of the pain and consequences. So trying  my best to fix it with medication 
Any suggestion or natural remedies that you are aware of.</t>
        </is>
      </c>
      <c r="D5878" t="n">
        <v>1</v>
      </c>
      <c r="E5878" t="n">
        <v>4</v>
      </c>
      <c r="F5878">
        <f>HYPERLINK("https://www.reddit.com/r/GERD/comments/flrtfo/acid_reflux_and_nauseau_on_waking_up/")</f>
        <v/>
      </c>
      <c r="G5878" t="inlineStr">
        <is>
          <t>2020-03-20 01:57:09</t>
        </is>
      </c>
      <c r="H5878" t="inlineStr"/>
    </row>
    <row r="5879">
      <c r="A5879" t="inlineStr">
        <is>
          <t>flsgi1</t>
        </is>
      </c>
      <c r="B5879" t="inlineStr">
        <is>
          <t>Is there anyone on this thread that got rid of all their symptoms ?</t>
        </is>
      </c>
      <c r="C5879" t="inlineStr">
        <is>
          <t>I’m starting to get REALLY frustrated at this point. PPI’s simply do NOT work, and I refuse to take more than 40 mg daily. My diet isn’t bad at all and for the most part I’ve removed ALL triggers. I’ve had difficulty swallowing for over a year now, with NO explanation why (done all the testing). That’s not even the worst symptom. At this point I’m willing to try a one food diet. This is driving me nuts &amp;amp; especially with this quarantine crap, I’m not even worried one single bit about covid, as my LPR is the ONLY thing I think about at this point. Nothing about this disease is normal , I look at my friends while I’m sitting their smiling but dying inside, and wonder why me. I just want to eat food without thinking if it’s gonna drill me later</t>
        </is>
      </c>
      <c r="D5879" t="n">
        <v>1</v>
      </c>
      <c r="E5879" t="n">
        <v>11</v>
      </c>
      <c r="F5879">
        <f>HYPERLINK("https://www.reddit.com/r/GERD/comments/flsgi1/is_there_anyone_on_this_thread_that_got_rid_of/")</f>
        <v/>
      </c>
      <c r="G5879" t="inlineStr">
        <is>
          <t>2020-03-20 02:58:26</t>
        </is>
      </c>
      <c r="H5879" t="inlineStr"/>
    </row>
    <row r="5880">
      <c r="A5880" t="inlineStr">
        <is>
          <t>flu7r2</t>
        </is>
      </c>
      <c r="B5880" t="inlineStr">
        <is>
          <t>Could this be caused by acid reflux?</t>
        </is>
      </c>
      <c r="C5880" t="inlineStr">
        <is>
          <t>I'm 20 years old, female, and for the last 5 months have been experiencing difficulty breathing in fully.
I have been to a general doctor (said it might be stress) and a lung specialist (is unsure, but gave me an inhaler to try and see if it gets better).
Symptoms I have (that might or might not be connected with it):  
\- feels like I cannot breathe in fully (only every 10 or 20 breath it feels satisfying)  
\- burps often feel stuck in throat (also I burp a lot more)  
\- I have to yawn alot and often cannot "complete" the yawn which feels very unsatisfying/annyoing  
\- I sometimes get tingly fingers when it's very bad
Right now (with all the coronavirus things happening) I am feeling very bad. My doctor's appointment will have to be postponed and the inhaler I got just does nothing for me (does not feel better but also not worse).
Could this all be caused by acid reflux?</t>
        </is>
      </c>
      <c r="D5880" t="n">
        <v>1</v>
      </c>
      <c r="E5880" t="n">
        <v>17</v>
      </c>
      <c r="F5880">
        <f>HYPERLINK("https://www.reddit.com/r/GERD/comments/flu7r2/could_this_be_caused_by_acid_reflux/")</f>
        <v/>
      </c>
      <c r="G5880" t="inlineStr">
        <is>
          <t>2020-03-20 05:29:37</t>
        </is>
      </c>
      <c r="H5880" t="inlineStr"/>
    </row>
    <row r="5881">
      <c r="A5881" t="inlineStr">
        <is>
          <t>flufkj</t>
        </is>
      </c>
      <c r="B5881" t="inlineStr">
        <is>
          <t>Is it GERD or something else? No fever, just sore throat and occasional swallowing down wrong chute.</t>
        </is>
      </c>
      <c r="C5881" t="inlineStr">
        <is>
          <t>So was told a long time ago due to globus sensation that I had GERD. Fastforward to today I've had occassional throat swallowing/stricture problems. Sometimes I swallow saliva and choke on it. Also sleep apnea. Trust, if I say this - all the doctors and tests brought nothing in relief. Went to endless ENT's and gastros. Right now I've been hoarse and sore throat. Some mucus. Did ultrasounds too and x-rays of neck. I do have hyperparathyroidism and lordosis of the cervical area which could possibly cause weakness of the area. Also TMJ and tinnitus. So basically am asking how prevalent is hoarseness and sore throat and what has absolutely worked for you - I don't care how whacky is may seem. Just no acid inhibitors. Can't take them. Cheers and thank you!!</t>
        </is>
      </c>
      <c r="D5881" t="n">
        <v>1</v>
      </c>
      <c r="E5881" t="n">
        <v>1</v>
      </c>
      <c r="F5881">
        <f>HYPERLINK("https://www.reddit.com/r/GERD/comments/flufkj/is_it_gerd_or_something_else_no_fever_just_sore/")</f>
        <v/>
      </c>
      <c r="G5881" t="inlineStr">
        <is>
          <t>2020-03-20 05:46:30</t>
        </is>
      </c>
      <c r="H5881" t="inlineStr"/>
    </row>
    <row r="5882">
      <c r="A5882" t="inlineStr">
        <is>
          <t>fluxsd</t>
        </is>
      </c>
      <c r="B5882" t="inlineStr">
        <is>
          <t>Those with severe GERD should not fear the corona virus [JOKE]</t>
        </is>
      </c>
      <c r="C5882" t="inlineStr">
        <is>
          <t>The virus will have a hard time getting past that protective layer of stomach acid that’s already coating your lungs.</t>
        </is>
      </c>
      <c r="D5882" t="n">
        <v>1</v>
      </c>
      <c r="E5882" t="n">
        <v>3</v>
      </c>
      <c r="F5882">
        <f>HYPERLINK("https://www.reddit.com/r/GERD/comments/fluxsd/those_with_severe_gerd_should_not_fear_the_corona/")</f>
        <v/>
      </c>
      <c r="G5882" t="inlineStr">
        <is>
          <t>2020-03-20 06:22:51</t>
        </is>
      </c>
      <c r="H5882" t="inlineStr"/>
    </row>
    <row r="5883">
      <c r="A5883" t="inlineStr">
        <is>
          <t>flvrzw</t>
        </is>
      </c>
      <c r="B5883" t="inlineStr">
        <is>
          <t>endoscopy painful</t>
        </is>
      </c>
      <c r="C5883" t="inlineStr">
        <is>
          <t>Is endoscopy painful . I have been advised to undergo coz of acid reflux . Can anyone of you share your experience. This will be to be prepared mentally</t>
        </is>
      </c>
      <c r="D5883" t="n">
        <v>1</v>
      </c>
      <c r="E5883" t="n">
        <v>10</v>
      </c>
      <c r="F5883">
        <f>HYPERLINK("https://www.reddit.com/r/GERD/comments/flvrzw/endoscopy_painful/")</f>
        <v/>
      </c>
      <c r="G5883" t="inlineStr">
        <is>
          <t>2020-03-20 07:19:46</t>
        </is>
      </c>
      <c r="H5883" t="inlineStr"/>
    </row>
    <row r="5884">
      <c r="A5884" t="inlineStr">
        <is>
          <t>flw82u</t>
        </is>
      </c>
      <c r="B5884" t="inlineStr">
        <is>
          <t>Anyone having trouble breathing even on protonix</t>
        </is>
      </c>
      <c r="C5884" t="inlineStr">
        <is>
          <t>Yes its bullshit...my chest hurts so much.. the severe heartburn seems to go away but chest feels inflamed could that be? I was suppose to have stomach doctor but corona hit and now my doctors cant get me in for a chest xray this sucks trying to breathe with anxiety and allergies wtf. Anyone deal with chest hurting and feel like its inflamed but u will never know because of will this corona sweeping our nation. But my heart rate varies so not sure its anxiety . Idk but this hurts trying to breathe most hours of the day. I am starting a cough but that could be from gerd. But it scares me and idk what to do. I am on singular and flonase and zyrtec and protonix. Starting to think this is maybe corona. Idk I just never had these bad issues before. On antibotic as of yesterday. Tommrw if it dont get better calling my doctor to demand a chest x ray.
Can you tough out chest inflammation? I am on zpack maybe that will help idk.</t>
        </is>
      </c>
      <c r="D5884" t="n">
        <v>1</v>
      </c>
      <c r="E5884" t="n">
        <v>1</v>
      </c>
      <c r="F5884">
        <f>HYPERLINK("https://www.reddit.com/r/GERD/comments/flw82u/anyone_having_trouble_breathing_even_on_protonix/")</f>
        <v/>
      </c>
      <c r="G5884" t="inlineStr">
        <is>
          <t>2020-03-20 07:48:50</t>
        </is>
      </c>
      <c r="H5884" t="inlineStr"/>
    </row>
    <row r="5885">
      <c r="A5885" t="inlineStr">
        <is>
          <t>fly1wl</t>
        </is>
      </c>
      <c r="B5885" t="inlineStr">
        <is>
          <t>Unbearable pain eating or drinking, losing consciousness due to dehydration (20M)</t>
        </is>
      </c>
      <c r="C5885" t="inlineStr">
        <is>
          <t>Hi. 
I don’t know what to do. I’ve had GERD since I was a baby, throwing up multiple times a day. On Friday of last week I ate vegan eggs Benedict and immediately began to feel some gerd pain. I thought “this is normal, i’ll take some tums and give it a day to go away” it’s been getting worse and worse each day. I’ve now been to the hospital twice because of the unbearable pain breathing, eating and drinking. I have been prescribed hydro, Pepcid, and a few other gi meds but it is getting worse. I also have awful bronchitis rn. 
I don’t know what to do, I’m such a positive person but I’m really losing it here. If you have any advice of how to get fluids in or just can give me some support, it’d mean the world to me. 
Please everyone stay safe in this crazy time. So much love, 
Andy</t>
        </is>
      </c>
      <c r="D5885" t="n">
        <v>1</v>
      </c>
      <c r="E5885" t="n">
        <v>4</v>
      </c>
      <c r="F5885">
        <f>HYPERLINK("https://www.reddit.com/r/GERD/comments/fly1wl/unbearable_pain_eating_or_drinking_losing/")</f>
        <v/>
      </c>
      <c r="G5885" t="inlineStr">
        <is>
          <t>2020-03-20 09:36:33</t>
        </is>
      </c>
      <c r="H5885" t="inlineStr"/>
    </row>
    <row r="5886">
      <c r="A5886" t="inlineStr">
        <is>
          <t>fly85p</t>
        </is>
      </c>
      <c r="B5886" t="inlineStr">
        <is>
          <t>Is having Esophagus pain that is Stabbing normal?</t>
        </is>
      </c>
      <c r="C5886" t="inlineStr">
        <is>
          <t>For 7 days whenever I swallow I have a stabbing sharp pain in my esopgus that sometimes radiates to the upper back (feels like food is stuck in back) it also feels like food is stuck in chest. My stomache is also a bit upset but not too bad. Sometimes it’s not too bad (pain) and others it flairs up and is very uncomfortable. Been on 20mg of nexium for 6 days and it hasn’t helped, just upped my dose to 40mg yesterday and haven’t noticed a difference. I am a 24 year old male. Thank you</t>
        </is>
      </c>
      <c r="D5886" t="n">
        <v>1</v>
      </c>
      <c r="E5886" t="n">
        <v>1</v>
      </c>
      <c r="F5886">
        <f>HYPERLINK("https://www.reddit.com/r/GERD/comments/fly85p/is_having_esophagus_pain_that_is_stabbing_normal/")</f>
        <v/>
      </c>
      <c r="G5886" t="inlineStr">
        <is>
          <t>2020-03-20 09:46:32</t>
        </is>
      </c>
      <c r="H5886" t="inlineStr"/>
    </row>
    <row r="5887">
      <c r="A5887" t="inlineStr">
        <is>
          <t>fm0kyj</t>
        </is>
      </c>
      <c r="B5887" t="inlineStr">
        <is>
          <t>Constant squeezing pain in chest</t>
        </is>
      </c>
      <c r="C5887" t="inlineStr">
        <is>
          <t>Is this a symptom of GERD? I feel this constant squeezing pain in my chest like someone is pressing down on my chest. However, I never had chest pain before my endoscopy and now I have it. It feels unbearable and it feels like a heart attack. I told my GI doctor and he said it’s almost impossible to feel irritation and my PCP says it’s heartburn. If it’s heartburn, why do I feel it after the procedure? Should I see a different doctor? It’s too painful at times.</t>
        </is>
      </c>
      <c r="D5887" t="n">
        <v>1</v>
      </c>
      <c r="E5887" t="n">
        <v>1</v>
      </c>
      <c r="F5887">
        <f>HYPERLINK("https://www.reddit.com/r/GERD/comments/fm0kyj/constant_squeezing_pain_in_chest/")</f>
        <v/>
      </c>
      <c r="G5887" t="inlineStr">
        <is>
          <t>2020-03-20 12:00:25</t>
        </is>
      </c>
      <c r="H5887" t="inlineStr"/>
    </row>
    <row r="5888">
      <c r="A5888" t="inlineStr">
        <is>
          <t>fm1zmi</t>
        </is>
      </c>
      <c r="B5888" t="inlineStr">
        <is>
          <t>Should I switch to Nexium ?</t>
        </is>
      </c>
      <c r="C5888" t="inlineStr">
        <is>
          <t>[18 M]
I have had GERD for as long as I can remember. However, it progressively got worse 3 years ago. My main issue was heartburn. 2 months ago I started Prilosec and the heartburn is 98% eliminated. However I still get regurgitation into my throat. Is this an indication that I need something stronger like Nexium.</t>
        </is>
      </c>
      <c r="D5888" t="n">
        <v>1</v>
      </c>
      <c r="E5888" t="n">
        <v>2</v>
      </c>
      <c r="F5888">
        <f>HYPERLINK("https://www.reddit.com/r/GERD/comments/fm1zmi/should_i_switch_to_nexium/")</f>
        <v/>
      </c>
      <c r="G5888" t="inlineStr">
        <is>
          <t>2020-03-20 13:20:59</t>
        </is>
      </c>
      <c r="H5888" t="inlineStr"/>
    </row>
    <row r="5889">
      <c r="A5889" t="inlineStr">
        <is>
          <t>fm4jwx</t>
        </is>
      </c>
      <c r="B5889" t="inlineStr">
        <is>
          <t>dealing with gerd my whole life</t>
        </is>
      </c>
      <c r="C5889" t="inlineStr">
        <is>
          <t>This will be a long post, but I am going to lay out my experiences. This Tuesday I had an endoscopy and it was a wake up call. I have dealt with reflux my whole life it seems. reflux is my only symptom really. It has always been bad at night in bed. These past few years I've gained weight got addicted to sugary caffeine/coffee drinks, and at times I have stress eaten( I work in food service). So anyway I have done a lot of research and chosen not to take ppis or h2 blockers. I have taken them in the past. I also have an issue with vomiting but it isn't gerd related, it's usually when I am nervous or anxious. SO since my endoscopy and discovering I have bad scarring in my esophagus I have given up sugar. I still drink coffee with just cream in the morning and I usually do okay with it. I am following the FODMAP diet which is used to treat ibs but it can help with gerd. I am taking HCL pepsin before meals. the 650mg. I am trying not to eat before bed. Since doing all this my symptoms have definitely backed off. I also was on antibiotics twice these past 2 yrs which I think got my gut bacteria out of wack. I am taking a generic probiotic and taking metamucil powder(psyllium husk), I get the plain kind because metamucil has sugar and a lot of other added ingredients. the taste isn't great but it works and helps me stay regular. I am not a dr. or medical professional so take my advice with a grain of salt. Every GI I've had insists that ppis or h2 blockers are the way to treat reflux, but I seem to be headed in the right direction with my changes. Stress is also a trigger. best wishes.</t>
        </is>
      </c>
      <c r="D5889" t="n">
        <v>1</v>
      </c>
      <c r="E5889" t="n">
        <v>4</v>
      </c>
      <c r="F5889">
        <f>HYPERLINK("https://www.reddit.com/r/GERD/comments/fm4jwx/dealing_with_gerd_my_whole_life/")</f>
        <v/>
      </c>
      <c r="G5889" t="inlineStr">
        <is>
          <t>2020-03-20 15:55:00</t>
        </is>
      </c>
      <c r="H5889" t="inlineStr"/>
    </row>
    <row r="5890">
      <c r="A5890" t="inlineStr">
        <is>
          <t>fm4q0f</t>
        </is>
      </c>
      <c r="B5890" t="inlineStr">
        <is>
          <t>Ginger tea for nausea??</t>
        </is>
      </c>
      <c r="C5890" t="inlineStr">
        <is>
          <t>So everyone says ginger tea is good for nausea but when I tried it, it was way too spicy. I thought spicy things were bad for GERD. Does anyone else gag and throw up from producing too much saliva/foam in your mouth?</t>
        </is>
      </c>
      <c r="D5890" t="n">
        <v>1</v>
      </c>
      <c r="E5890" t="n">
        <v>1</v>
      </c>
      <c r="F5890">
        <f>HYPERLINK("https://www.reddit.com/r/GERD/comments/fm4q0f/ginger_tea_for_nausea/")</f>
        <v/>
      </c>
      <c r="G5890" t="inlineStr">
        <is>
          <t>2020-03-20 16:05:27</t>
        </is>
      </c>
      <c r="H5890" t="inlineStr"/>
    </row>
    <row r="5891">
      <c r="A5891" t="inlineStr">
        <is>
          <t>fm5ay0</t>
        </is>
      </c>
      <c r="B5891" t="inlineStr">
        <is>
          <t>HELP: Should I see an ENT for my water brash?</t>
        </is>
      </c>
      <c r="C5891" t="inlineStr">
        <is>
          <t>I’ve already seen GI doctors and they’ve prescribed me PPIs which help with my stomach burning. I try to eat healthy and my chest doesn’t hurt as much when I do. But, my biggest symptom is water brash and hypersalivation. I keep having foams of saliva coming up my mouth and it tastes sour and acidic. The ENT last time mentioned there’s medicine to reduce hypersalivation, but it has terrible side effects. She said to try the heartburn medicine but it hasn’t worked and it’s been months. I’m so miserable because of this symptom. What should I do?</t>
        </is>
      </c>
      <c r="D5891" t="n">
        <v>1</v>
      </c>
      <c r="E5891" t="n">
        <v>2</v>
      </c>
      <c r="F5891">
        <f>HYPERLINK("https://www.reddit.com/r/GERD/comments/fm5ay0/help_should_i_see_an_ent_for_my_water_brash/")</f>
        <v/>
      </c>
      <c r="G5891" t="inlineStr">
        <is>
          <t>2020-03-20 16:41:19</t>
        </is>
      </c>
      <c r="H5891" t="inlineStr"/>
    </row>
    <row r="5892">
      <c r="A5892" t="inlineStr">
        <is>
          <t>fm5j8v</t>
        </is>
      </c>
      <c r="B5892" t="inlineStr">
        <is>
          <t>Does regular vigorous exercise really aggravates GERD symptoms?</t>
        </is>
      </c>
      <c r="C5892" t="inlineStr">
        <is>
          <t>Does anyone have good experiences with treating GERD symptoms by only applying vigorous exercise on an almost daily routine?</t>
        </is>
      </c>
      <c r="D5892" t="n">
        <v>1</v>
      </c>
      <c r="E5892" t="n">
        <v>4</v>
      </c>
      <c r="F5892">
        <f>HYPERLINK("https://www.reddit.com/r/GERD/comments/fm5j8v/does_regular_vigorous_exercise_really_aggravates/")</f>
        <v/>
      </c>
      <c r="G5892" t="inlineStr">
        <is>
          <t>2020-03-20 16:55:55</t>
        </is>
      </c>
      <c r="H5892" t="inlineStr"/>
    </row>
    <row r="5893">
      <c r="A5893" t="inlineStr">
        <is>
          <t>fm5z7m</t>
        </is>
      </c>
      <c r="B5893" t="inlineStr">
        <is>
          <t>Diarrhea becoz of Antibiotic</t>
        </is>
      </c>
      <c r="C5893" t="inlineStr">
        <is>
          <t>I was prescribed to take clindamycin for 1wk becoz of my (hidradenitis) by derma.
my concern is since march 16 when i start taking clindamycin i start having diarrhea. Do i just ignore it becoz its the side effect? 
Taking this every 6hrs pls help me pls.</t>
        </is>
      </c>
      <c r="D5893" t="n">
        <v>1</v>
      </c>
      <c r="E5893" t="n">
        <v>1</v>
      </c>
      <c r="F5893">
        <f>HYPERLINK("https://www.reddit.com/r/GERD/comments/fm5z7m/diarrhea_becoz_of_antibiotic/")</f>
        <v/>
      </c>
      <c r="G5893" t="inlineStr">
        <is>
          <t>2020-03-20 17:25:00</t>
        </is>
      </c>
      <c r="H5893" t="inlineStr"/>
    </row>
    <row r="5894">
      <c r="A5894" t="inlineStr">
        <is>
          <t>fm63t0</t>
        </is>
      </c>
      <c r="B5894" t="inlineStr">
        <is>
          <t>Exercise</t>
        </is>
      </c>
      <c r="C5894" t="inlineStr">
        <is>
          <t>Hello
I feel like I can’t do anything but walking 
And I want build abs muscles how can I do that ?
I have heard alot that abs exercises cause acid reflux flare ups</t>
        </is>
      </c>
      <c r="D5894" t="n">
        <v>1</v>
      </c>
      <c r="E5894" t="n">
        <v>4</v>
      </c>
      <c r="F5894">
        <f>HYPERLINK("https://www.reddit.com/r/GERD/comments/fm63t0/exercise/")</f>
        <v/>
      </c>
      <c r="G5894" t="inlineStr">
        <is>
          <t>2020-03-20 17:33:15</t>
        </is>
      </c>
      <c r="H5894" t="inlineStr"/>
    </row>
    <row r="5895">
      <c r="A5895" t="inlineStr">
        <is>
          <t>fm6eze</t>
        </is>
      </c>
      <c r="B5895" t="inlineStr">
        <is>
          <t>Taking Antibiotic</t>
        </is>
      </c>
      <c r="C5895" t="inlineStr">
        <is>
          <t>I was prescribed to take clindamycin for 1week because of my (hidradenitis) by my dermatologist.
My concern is since march 16 when I started taking clindamycin I started having diarrhea. Im very worried about it.  Please help me.</t>
        </is>
      </c>
      <c r="D5895" t="n">
        <v>1</v>
      </c>
      <c r="E5895" t="n">
        <v>7</v>
      </c>
      <c r="F5895">
        <f>HYPERLINK("https://www.reddit.com/r/GERD/comments/fm6eze/taking_antibiotic/")</f>
        <v/>
      </c>
      <c r="G5895" t="inlineStr">
        <is>
          <t>2020-03-20 17:53:25</t>
        </is>
      </c>
      <c r="H5895" t="inlineStr"/>
    </row>
    <row r="5896">
      <c r="A5896" t="inlineStr">
        <is>
          <t>fm9dw9</t>
        </is>
      </c>
      <c r="B5896" t="inlineStr">
        <is>
          <t>could any of these things have CAUSED GERD?</t>
        </is>
      </c>
      <c r="C5896" t="inlineStr">
        <is>
          <t>I began getting heartburn some night after doing the following:
&amp;amp;#x200B;
\- I ate mushrooms, crimini, for the first time
\- I ate sprouts which I didn't wash, I thought they were washed but they weren't, and then upon realizing they weren't washed, washed the rest and ate them
\- I completed using Wobenzym @ 5 pills x 3 times a day (perhaps this changed something in my tummy?)
\- Drinking a bunch of mineral water
\- Drinking alkaline water</t>
        </is>
      </c>
      <c r="D5896" t="n">
        <v>1</v>
      </c>
      <c r="E5896" t="n">
        <v>2</v>
      </c>
      <c r="F5896">
        <f>HYPERLINK("https://www.reddit.com/r/GERD/comments/fm9dw9/could_any_of_these_things_have_caused_gerd/")</f>
        <v/>
      </c>
      <c r="G5896" t="inlineStr">
        <is>
          <t>2020-03-20 21:31:14</t>
        </is>
      </c>
      <c r="H5896" t="inlineStr"/>
    </row>
    <row r="5897">
      <c r="A5897" t="inlineStr">
        <is>
          <t>fm9f5t</t>
        </is>
      </c>
      <c r="B5897" t="inlineStr">
        <is>
          <t>if GERD is caused by low stomach acid, why does it get worse when you quit PPI?</t>
        </is>
      </c>
      <c r="C5897" t="inlineStr">
        <is>
          <t>Wouldn't that cause more stomach acid to make the problem worse?
I'm just basing this on what I've heard online so too little stomach acid means your food doesn't get processed properly which means your body produces more gas which means your lower esophageal sphincter gets pressed open which produces GERD.
Does the PPI theory disprove this or am I misunderstanding it?</t>
        </is>
      </c>
      <c r="D5897" t="n">
        <v>1</v>
      </c>
      <c r="E5897" t="n">
        <v>2</v>
      </c>
      <c r="F5897">
        <f>HYPERLINK("https://www.reddit.com/r/GERD/comments/fm9f5t/if_gerd_is_caused_by_low_stomach_acid_why_does_it/")</f>
        <v/>
      </c>
      <c r="G5897" t="inlineStr">
        <is>
          <t>2020-03-20 21:34:03</t>
        </is>
      </c>
      <c r="H5897" t="inlineStr"/>
    </row>
    <row r="5898">
      <c r="A5898" t="inlineStr">
        <is>
          <t>fmaqpo</t>
        </is>
      </c>
      <c r="B5898" t="inlineStr">
        <is>
          <t>Would HCL + Pepsin be bad for LPR?</t>
        </is>
      </c>
      <c r="C5898" t="inlineStr">
        <is>
          <t>Hi! I have many reasons to believe my LPR symptoms are caused by low motility/low acid/etc. I want to try some new things. I feel like my throat hurts but isn't exactly inflamed, just kind of irritated. It could be pepsin. So I was wondering if trying out HCL + pepsin would make things worse? Does it mean I already have too much pepsin? Or does it work differently and it wouldn't affect my throat (that is - if the supplement even works for me)?</t>
        </is>
      </c>
      <c r="D5898" t="n">
        <v>1</v>
      </c>
      <c r="E5898" t="n">
        <v>0</v>
      </c>
      <c r="F5898">
        <f>HYPERLINK("https://www.reddit.com/r/GERD/comments/fmaqpo/would_hcl_pepsin_be_bad_for_lpr/")</f>
        <v/>
      </c>
      <c r="G5898" t="inlineStr">
        <is>
          <t>2020-03-20 23:31:01</t>
        </is>
      </c>
      <c r="H5898" t="inlineStr"/>
    </row>
    <row r="5899">
      <c r="A5899" t="inlineStr">
        <is>
          <t>fmba0g</t>
        </is>
      </c>
      <c r="B5899" t="inlineStr">
        <is>
          <t>H Pylori still there? Please help</t>
        </is>
      </c>
      <c r="C5899" t="inlineStr">
        <is>
          <t>Hey guys it’s been 2 days since I’m off my H Pylori antibiotics. I took them for a total of 3 weeks with 2 antibiotics, bismuth, and a ppi. I felt much better during the first two weeks but it felt as if the drugs had stopped affecting after the second week. I still took them and now two days after I’ve stopped I feel a burning in my stomach and I feel bloated again like I used to before my H pylori was diagnosed. However, it isn’t as severe
What should I do? Is there a chance that the H Pylori didn’t go completely?
Any help is appreciated.</t>
        </is>
      </c>
      <c r="D5899" t="n">
        <v>1</v>
      </c>
      <c r="E5899" t="n">
        <v>2</v>
      </c>
      <c r="F5899">
        <f>HYPERLINK("https://www.reddit.com/r/GERD/comments/fmba0g/h_pylori_still_there_please_help/")</f>
        <v/>
      </c>
      <c r="G5899" t="inlineStr">
        <is>
          <t>2020-03-21 00:23:29</t>
        </is>
      </c>
      <c r="H5899" t="inlineStr"/>
    </row>
    <row r="5900">
      <c r="A5900" t="inlineStr">
        <is>
          <t>fmbe14</t>
        </is>
      </c>
      <c r="B5900" t="inlineStr">
        <is>
          <t>Why every damn study says LPR its curable with ppi for 6 months and later you don't need it for life and you can resume your life ?</t>
        </is>
      </c>
      <c r="C5900" t="inlineStr">
        <is>
          <t>Is this true?I am losing something?  Is any one out there that cures his lpr with medication and diet and later on can go back to their old habits? Since ppis give me stomach pains but im desesperate to relief , I aleays feel like having strep, so I think I should let double dose of ppis a try since diet is doing nothing for me, literally this damn LPR destroyed my life, sorry for the rant and the english.</t>
        </is>
      </c>
      <c r="D5900" t="n">
        <v>1</v>
      </c>
      <c r="E5900" t="n">
        <v>53</v>
      </c>
      <c r="F5900">
        <f>HYPERLINK("https://www.reddit.com/r/GERD/comments/fmbe14/why_every_damn_study_says_lpr_its_curable_with/")</f>
        <v/>
      </c>
      <c r="G5900" t="inlineStr">
        <is>
          <t>2020-03-21 00:35:35</t>
        </is>
      </c>
      <c r="H5900" t="inlineStr"/>
    </row>
    <row r="5901">
      <c r="A5901" t="inlineStr">
        <is>
          <t>fmfgjc</t>
        </is>
      </c>
      <c r="B5901" t="inlineStr">
        <is>
          <t>Anybody successfully gotten off their meds and willing to share their schedule?</t>
        </is>
      </c>
      <c r="C5901" t="inlineStr">
        <is>
          <t>Hey guys
I've been on 40mg of pantoprazole for about 10months, and taking pepcid at night as well.  Looking to get off of it as it's lowering my blood pressure (I think) and I just don't want to be reliant on drugs forever. I still get heartburn with the meds but I'm thinking the meds are causing it, because I never had heartburn until I started taking them.
I went from 40mg to 20g for one day and the next day I had a terrible cough as if I was sick (regular heartburn tho, nothing worse). I resumed my 40mg and the cough went away so I think it was script related. Anyone care to share their weening off schedule and the symptoms they experienced?</t>
        </is>
      </c>
      <c r="D5901" t="n">
        <v>1</v>
      </c>
      <c r="E5901" t="n">
        <v>10</v>
      </c>
      <c r="F5901">
        <f>HYPERLINK("https://www.reddit.com/r/GERD/comments/fmfgjc/anybody_successfully_gotten_off_their_meds_and/")</f>
        <v/>
      </c>
      <c r="G5901" t="inlineStr">
        <is>
          <t>2020-03-21 07:05:38</t>
        </is>
      </c>
      <c r="H5901" t="inlineStr"/>
    </row>
    <row r="5902">
      <c r="A5902" t="inlineStr">
        <is>
          <t>fmhxjd</t>
        </is>
      </c>
      <c r="B5902" t="inlineStr">
        <is>
          <t>Sore under right breastbone</t>
        </is>
      </c>
      <c r="C5902" t="inlineStr">
        <is>
          <t>Hello for the past 3 weeks I have had problems with digestion. I get severe bloatedness, heavyness after eating, constant belching or failed belch and feeling that food is up my throat. Furthermore I have discovered that I am a bit sore and hard under my right breastbone above the belly button. I used to eat a lot of good fats(have reduced now)as I was on a keto diet but my digestion is also bad and I'm constipated. Has anyone experieced this pain, could this be because of stomach acidity or something like that? Sadly can't go to the doctors for atleast 2 weeks because of isolation... thanks</t>
        </is>
      </c>
      <c r="D5902" t="n">
        <v>1</v>
      </c>
      <c r="E5902" t="n">
        <v>6</v>
      </c>
      <c r="F5902">
        <f>HYPERLINK("https://www.reddit.com/r/GERD/comments/fmhxjd/sore_under_right_breastbone/")</f>
        <v/>
      </c>
      <c r="G5902" t="inlineStr">
        <is>
          <t>2020-03-21 09:48:33</t>
        </is>
      </c>
      <c r="H5902" t="inlineStr"/>
    </row>
    <row r="5903">
      <c r="A5903" t="inlineStr">
        <is>
          <t>fmoci8</t>
        </is>
      </c>
      <c r="B5903" t="inlineStr">
        <is>
          <t>Bit the bullet</t>
        </is>
      </c>
      <c r="C5903" t="inlineStr">
        <is>
          <t>Spare you the back story. I finally started taking Nexium today. I was hoping to control my Gerd with diet and some Pepcid. However, my throat has been bothering me and I'm a bit paranoid with this viral Covid-19 affliction we're all facing -- so, started the PPI. 
My ENT / GI told me to start a few weeks back. I've been reluctant to do it until I got an endoscopy done. I just want to know exactly where the cause is, given the various different causes out there. 
Has anyone taken PPI's for say a month or two, and then weened off them to more of a diet/lifestyle change? 
What are the various tests to get done to isolate the different sources of Gerd? 
Wishing all of you good health,</t>
        </is>
      </c>
      <c r="D5903" t="n">
        <v>1</v>
      </c>
      <c r="E5903" t="n">
        <v>2</v>
      </c>
      <c r="F5903">
        <f>HYPERLINK("https://www.reddit.com/r/GERD/comments/fmoci8/bit_the_bullet/")</f>
        <v/>
      </c>
      <c r="G5903" t="inlineStr">
        <is>
          <t>2020-03-21 15:26:56</t>
        </is>
      </c>
      <c r="H5903" t="inlineStr"/>
    </row>
    <row r="5904">
      <c r="A5904" t="inlineStr">
        <is>
          <t>fmp3jc</t>
        </is>
      </c>
      <c r="B5904" t="inlineStr">
        <is>
          <t>Can we get a think-tank of what we know that helps this disorder and things that could possibly be cures?</t>
        </is>
      </c>
      <c r="C5904" t="inlineStr">
        <is>
          <t>Can be anything from any field - be it diet/lifestyle/healing modalities/herbs/nootropics - in short - anything that has been proven in at least 1 peer review to work. Can we start this now?</t>
        </is>
      </c>
      <c r="D5904" t="n">
        <v>1</v>
      </c>
      <c r="E5904" t="n">
        <v>9</v>
      </c>
      <c r="F5904">
        <f>HYPERLINK("https://www.reddit.com/r/GERD/comments/fmp3jc/can_we_get_a_thinktank_of_what_we_know_that_helps/")</f>
        <v/>
      </c>
      <c r="G5904" t="inlineStr">
        <is>
          <t>2020-03-21 16:09:26</t>
        </is>
      </c>
      <c r="H5904" t="inlineStr"/>
    </row>
    <row r="5905">
      <c r="A5905" t="inlineStr">
        <is>
          <t>fmrfut</t>
        </is>
      </c>
      <c r="B5905" t="inlineStr">
        <is>
          <t>Why am I all of a sudden getting bloating and stomach pain after taking Pepcid?</t>
        </is>
      </c>
      <c r="C5905" t="inlineStr">
        <is>
          <t>Hi all,
Been on Pepcid since September with no huge issues. I have noticed lately that almost 10-15 minutes after taking Pepcid, my stomach bloats and feels tight and painful. 
Is it time to switch to a different H2 blocker?</t>
        </is>
      </c>
      <c r="D5905" t="n">
        <v>1</v>
      </c>
      <c r="E5905" t="n">
        <v>0</v>
      </c>
      <c r="F5905">
        <f>HYPERLINK("https://www.reddit.com/r/GERD/comments/fmrfut/why_am_i_all_of_a_sudden_getting_bloating_and/")</f>
        <v/>
      </c>
      <c r="G5905" t="inlineStr">
        <is>
          <t>2020-03-21 18:35:27</t>
        </is>
      </c>
      <c r="H5905" t="inlineStr"/>
    </row>
    <row r="5906">
      <c r="A5906" t="inlineStr">
        <is>
          <t>fmrkqc</t>
        </is>
      </c>
      <c r="B5906" t="inlineStr">
        <is>
          <t>am i ok??? (kinda urgent?)</t>
        </is>
      </c>
      <c r="C5906" t="inlineStr">
        <is>
          <t>so i’ve seen a few posts where people talk abt their meds. most say like 20mgs- 40mgs of something a day. do you all also take yours twice a day or is my body just messed up? i’m on 40mgs 2x a day (morning before breakfast and night before dinner) and it barely helps me. is anyone else like this? not sure what else i can do. i’ve cut out everything that was very bothersome (meat, dairy, leafy greens, too much grease, excess sugar, spicy, caffeine, and a few other things. i’m vegan now) and i’m moderately active as i walk at least 3hrs in total a day. not sure what else i can do. i’m only 16 and have been on 40mgs 2x a day for 5-6 months now. do you think it’ll get worse?? it’s really holding me back. i can’t exercise other than regular walking. i can’t sleep laying down. i can’t eat a majority of what the people around me eat. it sucks :-( any tips?</t>
        </is>
      </c>
      <c r="D5906" t="n">
        <v>1</v>
      </c>
      <c r="E5906" t="n">
        <v>10</v>
      </c>
      <c r="F5906">
        <f>HYPERLINK("https://www.reddit.com/r/GERD/comments/fmrkqc/am_i_ok_kinda_urgent/")</f>
        <v/>
      </c>
      <c r="G5906" t="inlineStr">
        <is>
          <t>2020-03-21 18:44:41</t>
        </is>
      </c>
      <c r="H5906" t="inlineStr"/>
    </row>
    <row r="5907">
      <c r="A5907" t="inlineStr">
        <is>
          <t>fmtiz3</t>
        </is>
      </c>
      <c r="B5907" t="inlineStr">
        <is>
          <t>Can gerd cause swollen lymph nodes in your neck?</t>
        </is>
      </c>
      <c r="C5907" t="inlineStr">
        <is>
          <t>Since developing GERD two years ago I also developed this on and off swelling in my lymph nodes under my jaw.  Could it be related? I notice it also happens when I over eat/eat foods that trigger the acid reflux really bad.
I’ve been taking a ppi now for over a year to manage it.
Also if you view my post history, I do have an eating disorder but do not purge therefore the swollen nodes aren’t from that.</t>
        </is>
      </c>
      <c r="D5907" t="n">
        <v>1</v>
      </c>
      <c r="E5907" t="n">
        <v>13</v>
      </c>
      <c r="F5907">
        <f>HYPERLINK("https://www.reddit.com/r/GERD/comments/fmtiz3/can_gerd_cause_swollen_lymph_nodes_in_your_neck/")</f>
        <v/>
      </c>
      <c r="G5907" t="inlineStr">
        <is>
          <t>2020-03-21 20:56:57</t>
        </is>
      </c>
      <c r="H5907" t="inlineStr"/>
    </row>
    <row r="5908">
      <c r="A5908" t="inlineStr">
        <is>
          <t>fmvqe0</t>
        </is>
      </c>
      <c r="B5908" t="inlineStr">
        <is>
          <t>Anybody else have LPR/GERD like symptoms and get bloated after almost everything they eat?</t>
        </is>
      </c>
      <c r="C5908" t="inlineStr">
        <is>
          <t>It seems to be anything high in carbs or sugar, after eating it, I get bloated sometimes very badly, and constantly belch out gas
I think this is the root problem and has caused my lower sphincter to be weakened leading to LPR and sometimes GERD-like symptoms
My own guess is something like SIBO but they don't do the test for it here in Ontario and the medication is too expensive to try</t>
        </is>
      </c>
      <c r="D5908" t="n">
        <v>1</v>
      </c>
      <c r="E5908" t="n">
        <v>13</v>
      </c>
      <c r="F5908">
        <f>HYPERLINK("https://www.reddit.com/r/GERD/comments/fmvqe0/anybody_else_have_lprgerd_like_symptoms_and_get/")</f>
        <v/>
      </c>
      <c r="G5908" t="inlineStr">
        <is>
          <t>2020-03-21 23:58:01</t>
        </is>
      </c>
      <c r="H5908" t="inlineStr"/>
    </row>
    <row r="5909">
      <c r="A5909" t="inlineStr">
        <is>
          <t>fmx5cg</t>
        </is>
      </c>
      <c r="B5909" t="inlineStr">
        <is>
          <t>This might help you with GERD/LPR</t>
        </is>
      </c>
      <c r="C5909" t="inlineStr">
        <is>
          <t>This is completely anecdotal &amp;amp; the only reason I'm posting this is because I haven't felt this good in about 2 years.  I thought I was getting sick 2 days ago, with this whole corona virus thing going on I was pretty anxious.   On a average day, the amount of water I drink is probably little none, maybe 1 water bottle max.  Anyway, since 2 days ago, I've drank about 3-4 liters of water each day. My symptoms have almost completely subsided (my silent reflux &amp;amp; gerd symptoms). I was able to eat a very big sandwich today, with sauce on it and everything, zero symptoms no bloating , nothing. I don't know if this would help you, but if you want to tough it out and start drinking large amounts of water to see if your symptoms change for the better, try it out. Not calling this a cure.... yet. But my stomach feels AMAZING. And I haven't taken a Nexium either today.
&amp;amp;#x200B;
Any questions about specifics, just ask me</t>
        </is>
      </c>
      <c r="D5909" t="n">
        <v>1</v>
      </c>
      <c r="E5909" t="n">
        <v>12</v>
      </c>
      <c r="F5909">
        <f>HYPERLINK("https://www.reddit.com/r/GERD/comments/fmx5cg/this_might_help_you_with_gerdlpr/")</f>
        <v/>
      </c>
      <c r="G5909" t="inlineStr">
        <is>
          <t>2020-03-22 02:18:38</t>
        </is>
      </c>
      <c r="H5909" t="inlineStr"/>
    </row>
    <row r="5910">
      <c r="A5910" t="inlineStr">
        <is>
          <t>fn0n7t</t>
        </is>
      </c>
      <c r="B5910" t="inlineStr">
        <is>
          <t>White tongue</t>
        </is>
      </c>
      <c r="C5910" t="inlineStr">
        <is>
          <t>Anybody have a white tongue caused by GERD? My ENT said mine was caused by the acid?</t>
        </is>
      </c>
      <c r="D5910" t="n">
        <v>1</v>
      </c>
      <c r="E5910" t="n">
        <v>3</v>
      </c>
      <c r="F5910">
        <f>HYPERLINK("https://www.reddit.com/r/GERD/comments/fn0n7t/white_tongue/")</f>
        <v/>
      </c>
      <c r="G5910" t="inlineStr">
        <is>
          <t>2020-03-22 07:22:42</t>
        </is>
      </c>
      <c r="H5910" t="inlineStr"/>
    </row>
    <row r="5911">
      <c r="A5911" t="inlineStr">
        <is>
          <t>fn2r24</t>
        </is>
      </c>
      <c r="B5911" t="inlineStr">
        <is>
          <t>Anyone else feel a brain freeze feeling in their chest and upper middle back?</t>
        </is>
      </c>
      <c r="C5911" t="inlineStr">
        <is>
          <t>For a while it was a stabbing pain that radiated now it’s more of a brain freeze feeling. I think I have a gerd or esophatis.</t>
        </is>
      </c>
      <c r="D5911" t="n">
        <v>1</v>
      </c>
      <c r="E5911" t="n">
        <v>6</v>
      </c>
      <c r="F5911">
        <f>HYPERLINK("https://www.reddit.com/r/GERD/comments/fn2r24/anyone_else_feel_a_brain_freeze_feeling_in_their/")</f>
        <v/>
      </c>
      <c r="G5911" t="inlineStr">
        <is>
          <t>2020-03-22 09:52:54</t>
        </is>
      </c>
      <c r="H5911" t="inlineStr"/>
    </row>
    <row r="5912">
      <c r="A5912" t="inlineStr">
        <is>
          <t>fn3jrr</t>
        </is>
      </c>
      <c r="B5912" t="inlineStr">
        <is>
          <t>Scared to get GERD checked out cause COVID</t>
        </is>
      </c>
      <c r="C5912" t="inlineStr">
        <is>
          <t>I don’t know if this sounds dumb, but I’m scared to go to the clinic and see a doctor. I’ve had these really annoying symptoms that I want to get checked out (unrelated to COVID!). I’m pretty sure I have GERD. I’m not sure what to do. Do I wait this social distancing out and live with this pain? Do I go and hope I don’t catch the virus while waiting in the clinic? I honestly am being a little paranoid and don’t know what to do but the pain gets worse everyday.</t>
        </is>
      </c>
      <c r="D5912" t="n">
        <v>1</v>
      </c>
      <c r="E5912" t="n">
        <v>28</v>
      </c>
      <c r="F5912">
        <f>HYPERLINK("https://www.reddit.com/r/GERD/comments/fn3jrr/scared_to_get_gerd_checked_out_cause_covid/")</f>
        <v/>
      </c>
      <c r="G5912" t="inlineStr">
        <is>
          <t>2020-03-22 10:39:37</t>
        </is>
      </c>
      <c r="H5912" t="inlineStr"/>
    </row>
    <row r="5913">
      <c r="A5913" t="inlineStr">
        <is>
          <t>fn47yq</t>
        </is>
      </c>
      <c r="B5913" t="inlineStr">
        <is>
          <t>Anyone tried the Reflux Reboot plan by Tama Galactica?</t>
        </is>
      </c>
      <c r="C5913" t="inlineStr">
        <is>
          <t>I recently stumbled upon her youtube channel and it looks pretty good. She is selling an ebook on how to beat reflux like she did. I was thinking of buying it but  it's $37. I don't want to waste this much money on a book that wouldn't be helpful in any way or at least give me some valuable information that I didn't know before. Did any of you try it? Or has this book and could tell me if it's worth the money?</t>
        </is>
      </c>
      <c r="D5913" t="n">
        <v>1</v>
      </c>
      <c r="E5913" t="n">
        <v>8</v>
      </c>
      <c r="F5913">
        <f>HYPERLINK("https://www.reddit.com/r/GERD/comments/fn47yq/anyone_tried_the_reflux_reboot_plan_by_tama/")</f>
        <v/>
      </c>
      <c r="G5913" t="inlineStr">
        <is>
          <t>2020-03-22 11:16:48</t>
        </is>
      </c>
      <c r="H5913" t="inlineStr"/>
    </row>
    <row r="5914">
      <c r="A5914" t="inlineStr">
        <is>
          <t>fn5503</t>
        </is>
      </c>
      <c r="B5914" t="inlineStr">
        <is>
          <t>Constant/chronic dry cough and nose sniffles</t>
        </is>
      </c>
      <c r="C5914" t="inlineStr">
        <is>
          <t>Hey GERD Fam - I wanted to write you all today regarding the title. My partner was diagnosed with GERD about two years ago and in the last 6 months his constant (every 15-30 seconds) dry cough/ throat clearing has become really *really* bad. Whats interesting is that he's totally fine when he sleeps, but as soon as he wakes up, the throat clearing and coughing starts. To add to that, in the last 3 months or so, I've noticed that he's constantly sniffing his nose (always followed by a throat clearing). When he goes to blow his nose, it's completely dry - nothing comes out. This has been exasperated by the fact that we are in quarantine and, well, its just constant.
After lurking in this sub the last few hours, I'm starting to wonder if its LPR... I am also starting to wonder, and this might be controversial, if these might be nervous ticks that he doesn't even notice he has anymore?
I'd be interested to hear anyones experience and welcome any and all suggestions. Thanks!</t>
        </is>
      </c>
      <c r="D5914" t="n">
        <v>1</v>
      </c>
      <c r="E5914" t="n">
        <v>7</v>
      </c>
      <c r="F5914">
        <f>HYPERLINK("https://www.reddit.com/r/GERD/comments/fn5503/constantchronic_dry_cough_and_nose_sniffles/")</f>
        <v/>
      </c>
      <c r="G5914" t="inlineStr">
        <is>
          <t>2020-03-22 12:07:38</t>
        </is>
      </c>
      <c r="H5914" t="inlineStr"/>
    </row>
    <row r="5915">
      <c r="A5915" t="inlineStr">
        <is>
          <t>fn61er</t>
        </is>
      </c>
      <c r="B5915" t="inlineStr">
        <is>
          <t>PPI Side Effect</t>
        </is>
      </c>
      <c r="C5915" t="inlineStr">
        <is>
          <t>I have severe joint and nerve pain, I have severe pain in my intestinal tract and lower stomach, I feel dizzy and nauseated with extreme fatigue after taking any kind of PPI. I am confused and highly nervous. 
I also have rash in my chest and in all my skin, I find it difficult to urinate with some burning. 
I tried: esomip. pantop. omep. lanzop. ranitidine. rapep.
anyone else suffered from this. what you did about it guys? 
it seems like Gaviscon is giving me the same symptoms. 
I am evaluating the surgery but timing is very long. 
unfortunately as I stop PPIs I start getting Gerd issues.</t>
        </is>
      </c>
      <c r="D5915" t="n">
        <v>1</v>
      </c>
      <c r="E5915" t="n">
        <v>6</v>
      </c>
      <c r="F5915">
        <f>HYPERLINK("https://www.reddit.com/r/GERD/comments/fn61er/ppi_side_effect/")</f>
        <v/>
      </c>
      <c r="G5915" t="inlineStr">
        <is>
          <t>2020-03-22 12:58:05</t>
        </is>
      </c>
      <c r="H5915" t="inlineStr"/>
    </row>
    <row r="5916">
      <c r="A5916" t="inlineStr">
        <is>
          <t>fn9yit</t>
        </is>
      </c>
      <c r="B5916" t="inlineStr">
        <is>
          <t>For those who received nerve medication for LPR like symptoms (tricyclic antidepressants etc), what did your ideal dosage look like?</t>
        </is>
      </c>
      <c r="C5916" t="inlineStr">
        <is>
          <t>I have been on 10 mg amitriptyline once a day for about 8 days with good success. It worked within the first two days to where I could finally talk without strain, effort, or discomfort. It’s lost a tiny bit of luster since those first two days, so I am wondering if upping my dose to 20-25mg per day would be better?
What did your dosing regimen look like?</t>
        </is>
      </c>
      <c r="D5916" t="n">
        <v>1</v>
      </c>
      <c r="E5916" t="n">
        <v>10</v>
      </c>
      <c r="F5916">
        <f>HYPERLINK("https://www.reddit.com/r/GERD/comments/fn9yit/for_those_who_received_nerve_medication_for_lpr/")</f>
        <v/>
      </c>
      <c r="G5916" t="inlineStr">
        <is>
          <t>2020-03-22 16:51:55</t>
        </is>
      </c>
      <c r="H5916" t="inlineStr"/>
    </row>
    <row r="5917">
      <c r="A5917" t="inlineStr">
        <is>
          <t>fna3vt</t>
        </is>
      </c>
      <c r="B5917" t="inlineStr">
        <is>
          <t>Can someone tell me if this sounds anything like GERD, I am unsure because it is very minor and don't want to self diagnose.</t>
        </is>
      </c>
      <c r="C5917" t="inlineStr">
        <is>
          <t>I've had problems with acid reflux before, nothing too major, it would just cause me to throw up some of the stuff I eat, and sharp pains in my chest that would heal with eating tums or an anti acid pill. 
\-A couple days ago, I was eating toast with my breakfast and had trouble getting a swallow to go all the way down, drank some water and it went down but not completely (I was still able to breathe normally and eat so I thought nothing of it). Ever since then, after every meal I have been burping a lot, and feeling like I have food stuck in my lower throat/chest, and I feel that I could throw it up very easily if I had the desire to.</t>
        </is>
      </c>
      <c r="D5917" t="n">
        <v>1</v>
      </c>
      <c r="E5917" t="n">
        <v>3</v>
      </c>
      <c r="F5917">
        <f>HYPERLINK("https://www.reddit.com/r/GERD/comments/fna3vt/can_someone_tell_me_if_this_sounds_anything_like/")</f>
        <v/>
      </c>
      <c r="G5917" t="inlineStr">
        <is>
          <t>2020-03-22 17:01:35</t>
        </is>
      </c>
      <c r="H5917" t="inlineStr"/>
    </row>
    <row r="5918">
      <c r="A5918" t="inlineStr">
        <is>
          <t>fnb673</t>
        </is>
      </c>
      <c r="B5918" t="inlineStr">
        <is>
          <t>Need some help</t>
        </is>
      </c>
      <c r="C5918" t="inlineStr">
        <is>
          <t>Hi all,
so I've been experiencing something that's really been destroying me. Around February of this year I began to develop what felt like a sinus infection, it lasted a while, almost the entire month. Right as it seemed like it was beginning to clear up towards the beginning of March I was hit with something and I have no idea what. The sinuses got much worse, constant burping and farting, chills, no appetite. the worst lasted about 3 days, however ever since then (im talking like 3 weeks now) I've still had milder symptoms of these but the stomach churning and feeling of acid in my esophagus has not let up. I've been living only on Ensures because I have no appetite whatsoever. It's really starting to scare me and I don't know what's happening. anyone ever experienced something like this? I'm set to go to a GI doctor later this week but I'm afraid I'm dealing with something more than just GERD.</t>
        </is>
      </c>
      <c r="D5918" t="n">
        <v>1</v>
      </c>
      <c r="E5918" t="n">
        <v>3</v>
      </c>
      <c r="F5918">
        <f>HYPERLINK("https://www.reddit.com/r/GERD/comments/fnb673/need_some_help/")</f>
        <v/>
      </c>
      <c r="G5918" t="inlineStr">
        <is>
          <t>2020-03-22 18:10:17</t>
        </is>
      </c>
      <c r="H5918" t="inlineStr"/>
    </row>
    <row r="5919">
      <c r="A5919" t="inlineStr">
        <is>
          <t>fnbuhi</t>
        </is>
      </c>
      <c r="B5919" t="inlineStr">
        <is>
          <t>What Abdominal Exercises Can I Do With GERD? Also, any breathing exercises to strengthen this as well?</t>
        </is>
      </c>
      <c r="C5919" t="inlineStr">
        <is>
          <t>I've read online that strengthening the abs and core can strengthen the LES muscle. Has anyone felt the same or had similar results?</t>
        </is>
      </c>
      <c r="D5919" t="n">
        <v>1</v>
      </c>
      <c r="E5919" t="n">
        <v>11</v>
      </c>
      <c r="F5919">
        <f>HYPERLINK("https://www.reddit.com/r/GERD/comments/fnbuhi/what_abdominal_exercises_can_i_do_with_gerd_also/")</f>
        <v/>
      </c>
      <c r="G5919" t="inlineStr">
        <is>
          <t>2020-03-22 18:56:17</t>
        </is>
      </c>
      <c r="H5919" t="inlineStr"/>
    </row>
    <row r="5920">
      <c r="A5920" t="inlineStr">
        <is>
          <t>fnc03c</t>
        </is>
      </c>
      <c r="B5920" t="inlineStr">
        <is>
          <t>Question regarding when to take a PPI</t>
        </is>
      </c>
      <c r="C5920" t="inlineStr">
        <is>
          <t>When is it time to switch back to PPIs? My typical symptoms are the constant urge to belch to the point of discomfort. 
About 4 months ago I stopped taking my PPI because I was feeling a lot better and would take the occasional tums to ease any discomfort.
Now I am getting the occasional urge again, but on top of that I am also getting the urge to take a deep breathe. Not that I am out of breathe or anything. I also think my GERD is tied to anxiety which given the time we are living in, it is pretty high. Should I go back on the PPI or just continue taking tums occasionally when it gets bad?
I know this isn't as good as a doctors recommendation and I'm planning to try and schedule a telecommunication with my doctor to discuss this, but was curious to peoples insights.</t>
        </is>
      </c>
      <c r="D5920" t="n">
        <v>1</v>
      </c>
      <c r="E5920" t="n">
        <v>0</v>
      </c>
      <c r="F5920">
        <f>HYPERLINK("https://www.reddit.com/r/GERD/comments/fnc03c/question_regarding_when_to_take_a_ppi/")</f>
        <v/>
      </c>
      <c r="G5920" t="inlineStr">
        <is>
          <t>2020-03-22 19:06:16</t>
        </is>
      </c>
      <c r="H5920" t="inlineStr"/>
    </row>
    <row r="5921">
      <c r="A5921" t="inlineStr">
        <is>
          <t>fndl6j</t>
        </is>
      </c>
      <c r="B5921" t="inlineStr">
        <is>
          <t>Manometry to surgery</t>
        </is>
      </c>
      <c r="C5921" t="inlineStr">
        <is>
          <t>How many of you had a manometry and the doctor recommended fundoplication?</t>
        </is>
      </c>
      <c r="D5921" t="n">
        <v>1</v>
      </c>
      <c r="E5921" t="n">
        <v>8</v>
      </c>
      <c r="F5921">
        <f>HYPERLINK("https://www.reddit.com/r/GERD/comments/fndl6j/manometry_to_surgery/")</f>
        <v/>
      </c>
      <c r="G5921" t="inlineStr">
        <is>
          <t>2020-03-22 21:02:07</t>
        </is>
      </c>
      <c r="H5921" t="inlineStr"/>
    </row>
    <row r="5922">
      <c r="A5922" t="inlineStr">
        <is>
          <t>fnet3w</t>
        </is>
      </c>
      <c r="B5922" t="inlineStr">
        <is>
          <t>How long does dysphagia takes to resolve?</t>
        </is>
      </c>
      <c r="C5922" t="inlineStr">
        <is>
          <t>I have had various levels of GERD since 2012. But since Sept 2018 I think my GERD progressed to LPR and last year was horrible. I burped for 6 months straight and daily. I have lot numerous tests like endoscopy, MRI, CT scan, manometry and Ph studies not a lot found. I was eventually diagnosed with IBS and LPR as they both kind a go hand in hand. 
&amp;amp;#x200B;
So fast forward to Jan 2020, I have been having sensation of extra mucus or something in my throat and for 2-3 weeks was confident that food was sticking to my throat. But since i started on "Prevaicd 30 mg" my symptoms have improved but still find some food gets stuck to my middle part of the throat, no issue as far as swallowing goes, but its not seamless as it was before Jan 2020. 
My throat also feels irritated/scratchy after/during a meal and i have to either clear my throat or dry cough, not with every bite though.
So my question is how long does it take for the swallowing to get back to normal? I am pushing for a swallow study as I want to see if I am aspirating or if my food is really getting stuck on to my throat.
&amp;amp;#x200B;
Has any one had anything similar to this, what did you do to resolve this and how long did it take for the throat and the swallowing to get back to normal?
&amp;amp;#x200B;
Thanks</t>
        </is>
      </c>
      <c r="D5922" t="n">
        <v>1</v>
      </c>
      <c r="E5922" t="n">
        <v>13</v>
      </c>
      <c r="F5922">
        <f>HYPERLINK("https://www.reddit.com/r/GERD/comments/fnet3w/how_long_does_dysphagia_takes_to_resolve/")</f>
        <v/>
      </c>
      <c r="G5922" t="inlineStr">
        <is>
          <t>2020-03-22 22:44:08</t>
        </is>
      </c>
      <c r="H5922" t="inlineStr"/>
    </row>
    <row r="5923">
      <c r="A5923" t="inlineStr">
        <is>
          <t>fnih4d</t>
        </is>
      </c>
      <c r="B5923" t="inlineStr">
        <is>
          <t>Getting off of prilosec</t>
        </is>
      </c>
      <c r="C5923" t="inlineStr">
        <is>
          <t>Okay so I'm hoping someone can help. I've been on ppis for about 4 months.  2 x 20mg per day. I'm worried because my life has steadily spiraled down since taking these. I now have relux mostly all the time as well as sinis drip. Throat pain and trouble swallowing. I spend most of day sitting in a chair... and sleep is awful having to sleep almost sitting up. Prior to taking the ppis inhad reflux occasionally but never anything like this 
My fear is that getting off these will be hell and mu system is already raw and sore. My doctor wants me to take more.. I ve read a ton of info about this and I know what I am experiencing is common..also anxiety and depression are bad. But what I'm not reading are alot of success stories of people who have weaned off and how to do it. Any suggestions would be very appreciated
Thanks</t>
        </is>
      </c>
      <c r="D5923" t="n">
        <v>1</v>
      </c>
      <c r="E5923" t="n">
        <v>2</v>
      </c>
      <c r="F5923">
        <f>HYPERLINK("https://www.reddit.com/r/GERD/comments/fnih4d/getting_off_of_prilosec/")</f>
        <v/>
      </c>
      <c r="G5923" t="inlineStr">
        <is>
          <t>2020-03-23 04:33:49</t>
        </is>
      </c>
      <c r="H5923" t="inlineStr"/>
    </row>
    <row r="5924">
      <c r="A5924" t="inlineStr">
        <is>
          <t>fnjpoy</t>
        </is>
      </c>
      <c r="B5924" t="inlineStr">
        <is>
          <t>Whose symptoms are worse with coronavirus fears?</t>
        </is>
      </c>
      <c r="C5924" t="inlineStr">
        <is>
          <t>Hi everyone....gerd and gastritis sufferer for 10 months now. My symptoms have been bad these last couple of weeks due to being quarantined. I'm going down the rabbit hole of anxiety about getting the virus. My eating has been poor and I'm paying the price for doing so. How are you guys coping? I am back on pantoprazole but it makes me so bloated, constipated, and makes my throat hurt. This might go on for weeks with the quarantine...ugh. any advice is appreciated</t>
        </is>
      </c>
      <c r="D5924" t="n">
        <v>1</v>
      </c>
      <c r="E5924" t="n">
        <v>57</v>
      </c>
      <c r="F5924">
        <f>HYPERLINK("https://www.reddit.com/r/GERD/comments/fnjpoy/whose_symptoms_are_worse_with_coronavirus_fears/")</f>
        <v/>
      </c>
      <c r="G5924" t="inlineStr">
        <is>
          <t>2020-03-23 06:10:49</t>
        </is>
      </c>
      <c r="H5924" t="inlineStr"/>
    </row>
    <row r="5925">
      <c r="A5925" t="inlineStr">
        <is>
          <t>fnk8fn</t>
        </is>
      </c>
      <c r="B5925" t="inlineStr">
        <is>
          <t>Relux with moment or deep breathing</t>
        </is>
      </c>
      <c r="C5925" t="inlineStr">
        <is>
          <t>Is there anyone in this group that can relate to this? My reflux seems to be made worse when I move about or even deep breath? I find it particular bothersome after a meal. I was told I do not have a hernia but I do have a chest deformity that I had from birth perhaps that is putting pressure on my diaphragm?
I do have a lot of gurling noises and internal gas which I think has been made much worse with prilosec twice daily. This is ruining my life..I am 47 and use to a very active life..but now I mostly sit and am very anxious</t>
        </is>
      </c>
      <c r="D5925" t="n">
        <v>1</v>
      </c>
      <c r="E5925" t="n">
        <v>0</v>
      </c>
      <c r="F5925">
        <f>HYPERLINK("https://www.reddit.com/r/GERD/comments/fnk8fn/relux_with_moment_or_deep_breathing/")</f>
        <v/>
      </c>
      <c r="G5925" t="inlineStr">
        <is>
          <t>2020-03-23 06:47:34</t>
        </is>
      </c>
      <c r="H5925" t="inlineStr"/>
    </row>
    <row r="5926">
      <c r="A5926" t="inlineStr">
        <is>
          <t>fnku2u</t>
        </is>
      </c>
      <c r="B5926" t="inlineStr">
        <is>
          <t>Can't figure out why this spice blend is so bad for GERD!</t>
        </is>
      </c>
      <c r="C5926" t="inlineStr">
        <is>
          <t>I occasionally cook Ethiopian food which usually involves a teaspoon of two of [berebere](https://www.allrecipes.com/recipe/255863/berbere-spice-blend/), which is the main spice mix used in that cuisine. 
It causes severe GERD literally every time!
I can't quite work out why because I tolerate Indian food and curry powder absolutely fine and don't generally find chilli a major trigger either surprisingly ... but this stuff gets me every time.
The exact formulation will vary by manufacturer (I buy mine from an Ethiopian store and can't read the label as it's in Amhairc). 
But internet recipes list its ingredients as containing:
* Chilli
* Paprika
* Onion powder
* Cumin
* Cardamom
* Fenugreek
* Garlic
* Nutmeg
* Allspice
Besides chilli are any of these spices considered notorious GERD triggers? 
It's delicious so perhaps I could make it myself without one of these.</t>
        </is>
      </c>
      <c r="D5926" t="n">
        <v>1</v>
      </c>
      <c r="E5926" t="n">
        <v>4</v>
      </c>
      <c r="F5926">
        <f>HYPERLINK("https://www.reddit.com/r/GERD/comments/fnku2u/cant_figure_out_why_this_spice_blend_is_so_bad/")</f>
        <v/>
      </c>
      <c r="G5926" t="inlineStr">
        <is>
          <t>2020-03-23 07:27:26</t>
        </is>
      </c>
      <c r="H5926" t="inlineStr"/>
    </row>
    <row r="5927">
      <c r="A5927" t="inlineStr">
        <is>
          <t>fnqrlx</t>
        </is>
      </c>
      <c r="B5927" t="inlineStr">
        <is>
          <t>Esophagytis or LPR</t>
        </is>
      </c>
      <c r="C5927" t="inlineStr">
        <is>
          <t xml:space="preserve">  Hi Im Robert and recently i was diagnosed with esophagytis type 2 which in the first step i had GERD, now i only feel acid in my throat..
Its like 1 or 2 months when happened, i had a dirty lifestyle.. Lots of fastfood and coffee until now.
Doc prescribed me esomeprazol 40mg/day and gaviscon, but mostly diet.
My problem is at the night that i just cant find a way to sleep without feeling the taste in mouth and throat.. I tried lifting, but i swear its like a volcano and the thing im really scared of is my throat is getting really bad, i have some small bumps in the back of throat and problem with tonsils. At least my vocal cords are safe somehow.
I saw a lot of videos on youtube about ACV and HCL tablets, but still my throat is damaged and if i drink that it may get worse?
Im scared to sleep, if i knew this could happen i woudnt eat fast food in my life or coffee this is horrible..
Someone went through this and found a solution? Is this thing permanent? 😣😢</t>
        </is>
      </c>
      <c r="D5927" t="n">
        <v>1</v>
      </c>
      <c r="E5927" t="n">
        <v>3</v>
      </c>
      <c r="F5927">
        <f>HYPERLINK("https://www.reddit.com/r/GERD/comments/fnqrlx/esophagytis_or_lpr/")</f>
        <v/>
      </c>
      <c r="G5927" t="inlineStr">
        <is>
          <t>2020-03-23 13:00:00</t>
        </is>
      </c>
      <c r="H5927" t="inlineStr"/>
    </row>
    <row r="5928">
      <c r="A5928" t="inlineStr">
        <is>
          <t>fnqs2j</t>
        </is>
      </c>
      <c r="B5928" t="inlineStr">
        <is>
          <t>hey</t>
        </is>
      </c>
      <c r="C5928" t="inlineStr">
        <is>
          <t>I have alot of issues with my stomach lately and acid reflux for about 3 years now after graduating highschool I have dry throat currently and for weeks now This is new I feel like the lining of my throat is damaged everytime i swallow there is like no sensation and when my glands are swollen like they currently are  i dont even feel that has anyone dealt with this its hard to even enjoy a meal i just need advice  on where to go from here i noticed also lots of saliva when eating</t>
        </is>
      </c>
      <c r="D5928" t="n">
        <v>1</v>
      </c>
      <c r="E5928" t="n">
        <v>2</v>
      </c>
      <c r="F5928">
        <f>HYPERLINK("https://www.reddit.com/r/GERD/comments/fnqs2j/hey/")</f>
        <v/>
      </c>
      <c r="G5928" t="inlineStr">
        <is>
          <t>2020-03-23 13:00:35</t>
        </is>
      </c>
      <c r="H5928" t="inlineStr"/>
    </row>
    <row r="5929">
      <c r="A5929" t="inlineStr">
        <is>
          <t>fnrqqf</t>
        </is>
      </c>
      <c r="B5929" t="inlineStr">
        <is>
          <t>Worried about COVID-19 and current GERD symptoms . Can anyone recommend something?</t>
        </is>
      </c>
      <c r="C5929" t="inlineStr">
        <is>
          <t>I've been diagnosed with GERD after having an endoscopy done in novemeber( even tho to this day my symptoms feel more like LPR.)  With everything going on with the Virus , it's been hard to distinguish what's normal of my regular cleaning throat and coughing routine , to a possible virus .  I feel that part of it is possibly anxiety causing a flare up this past week , I feel like I have that tight chest feeling again that's causing me to cough. I have been okay for the past months  but this past week it's been rough and I'm wondering if it's all just worry and stress , or if my coughing is just a product  of the LPR. It feels like I've been dealing with it more this past week then I have in sometime.   Can any one recommend any tips or advice to either prevent worry or be able to distinguish GERD from this virus going around?</t>
        </is>
      </c>
      <c r="D5929" t="n">
        <v>1</v>
      </c>
      <c r="E5929" t="n">
        <v>5</v>
      </c>
      <c r="F5929">
        <f>HYPERLINK("https://www.reddit.com/r/GERD/comments/fnrqqf/worried_about_covid19_and_current_gerd_symptoms/")</f>
        <v/>
      </c>
      <c r="G5929" t="inlineStr">
        <is>
          <t>2020-03-23 13:54:14</t>
        </is>
      </c>
      <c r="H5929" t="inlineStr"/>
    </row>
    <row r="5930">
      <c r="A5930" t="inlineStr">
        <is>
          <t>fntid4</t>
        </is>
      </c>
      <c r="B5930" t="inlineStr">
        <is>
          <t>Shortness of breath?</t>
        </is>
      </c>
      <c r="C5930" t="inlineStr">
        <is>
          <t>Do ya’ll experience shortness of breath with your GERD? I find my stomach feels full when it’s not so I’m assuming that’s what causes my SOB but wanted to hear your thoughts. It’s definitely anxiety inducing due to everything that is going on right now. What do you find helps?</t>
        </is>
      </c>
      <c r="D5930" t="n">
        <v>1</v>
      </c>
      <c r="E5930" t="n">
        <v>36</v>
      </c>
      <c r="F5930">
        <f>HYPERLINK("https://www.reddit.com/r/GERD/comments/fntid4/shortness_of_breath/")</f>
        <v/>
      </c>
      <c r="G5930" t="inlineStr">
        <is>
          <t>2020-03-23 15:33:17</t>
        </is>
      </c>
      <c r="H5930" t="inlineStr"/>
    </row>
    <row r="5931">
      <c r="A5931" t="inlineStr">
        <is>
          <t>fnwdz2</t>
        </is>
      </c>
      <c r="B5931" t="inlineStr">
        <is>
          <t>Should I be worried if I have GERD and I catch Covid-19?</t>
        </is>
      </c>
      <c r="C5931" t="inlineStr">
        <is>
          <t>I’m afraid of maybe if I were to catch it my condition would be very very bad idk why. Probably my anxiety</t>
        </is>
      </c>
      <c r="D5931" t="n">
        <v>1</v>
      </c>
      <c r="E5931" t="n">
        <v>6</v>
      </c>
      <c r="F5931">
        <f>HYPERLINK("https://www.reddit.com/r/GERD/comments/fnwdz2/should_i_be_worried_if_i_have_gerd_and_i_catch/")</f>
        <v/>
      </c>
      <c r="G5931" t="inlineStr">
        <is>
          <t>2020-03-23 18:33:13</t>
        </is>
      </c>
      <c r="H5931" t="inlineStr"/>
    </row>
    <row r="5932">
      <c r="A5932" t="inlineStr">
        <is>
          <t>fnzari</t>
        </is>
      </c>
      <c r="B5932" t="inlineStr">
        <is>
          <t>3 months of omeprazole at 40mg</t>
        </is>
      </c>
      <c r="C5932" t="inlineStr">
        <is>
          <t>I've been prescribed this dosage by my ENT for what he so far thinks is acid reflux. I've been on it for about 3-4 weeks and haven't really noticed anything bad or good from it so far. Is this a long treatment schedule and a high dosage, should I be worried about any long term consequences of it? Thanks</t>
        </is>
      </c>
      <c r="D5932" t="n">
        <v>1</v>
      </c>
      <c r="E5932" t="n">
        <v>2</v>
      </c>
      <c r="F5932">
        <f>HYPERLINK("https://www.reddit.com/r/GERD/comments/fnzari/3_months_of_omeprazole_at_40mg/")</f>
        <v/>
      </c>
      <c r="G5932" t="inlineStr">
        <is>
          <t>2020-03-23 21:58:45</t>
        </is>
      </c>
      <c r="H5932" t="inlineStr"/>
    </row>
    <row r="5933">
      <c r="A5933" t="inlineStr">
        <is>
          <t>fo0b7i</t>
        </is>
      </c>
      <c r="B5933" t="inlineStr">
        <is>
          <t>Different chest pains each time</t>
        </is>
      </c>
      <c r="C5933" t="inlineStr">
        <is>
          <t>Do you guys have a variety of chest pains for GERD? When I have chest pain it’s usually a short, sharp, surface felt pain but some days I get deeper pains yet still short in time. Not a dramatic squeezing but sharp squeeze lasting for a minute or like someone is poking their finger in your chest.
Fyi I’ve had 3 EKG’s and chest X-rays in the last 4-5 months and 3 diff emergency doctors plus my GP have cleared me of any cardiac related disease. But I can’t help but entertain the chance of it undetected because of my anxiety. 
I ground myself to the fact that it is my GERD based on these tests but looking to see if anyone else if anyone experiences like symptoms</t>
        </is>
      </c>
      <c r="D5933" t="n">
        <v>1</v>
      </c>
      <c r="E5933" t="n">
        <v>9</v>
      </c>
      <c r="F5933">
        <f>HYPERLINK("https://www.reddit.com/r/GERD/comments/fo0b7i/different_chest_pains_each_time/")</f>
        <v/>
      </c>
      <c r="G5933" t="inlineStr">
        <is>
          <t>2020-03-23 23:26:08</t>
        </is>
      </c>
      <c r="H5933" t="inlineStr"/>
    </row>
    <row r="5934">
      <c r="A5934" t="inlineStr">
        <is>
          <t>fo1esa</t>
        </is>
      </c>
      <c r="B5934" t="inlineStr">
        <is>
          <t>Just got diagnosed with GERD.</t>
        </is>
      </c>
      <c r="C5934" t="inlineStr">
        <is>
          <t>It’s 3am and after being diagnosed with GERD and given 3 different meds, I cannot sleep not can I do lie down. I’ve drunk tons of water as they told me too. Didn’t eat any hard foods but it’s just as bad as it was the night before if not worse. If I bend over it feels like I’m about to throw up. The only way I feel decent is if I stand up completely. I can feel the stuff slushing in my stomach from every movement. What am I supposed to do? Do go back to the doctor when it’s open a day after or suffer another day as she recommends me trying 48 hours</t>
        </is>
      </c>
      <c r="D5934" t="n">
        <v>1</v>
      </c>
      <c r="E5934" t="n">
        <v>5</v>
      </c>
      <c r="F5934">
        <f>HYPERLINK("https://www.reddit.com/r/GERD/comments/fo1esa/just_got_diagnosed_with_gerd/")</f>
        <v/>
      </c>
      <c r="G5934" t="inlineStr">
        <is>
          <t>2020-03-24 01:11:43</t>
        </is>
      </c>
      <c r="H5934" t="inlineStr"/>
    </row>
    <row r="5935">
      <c r="A5935" t="inlineStr">
        <is>
          <t>fo3b8w</t>
        </is>
      </c>
      <c r="B5935" t="inlineStr">
        <is>
          <t>Nsfw gerd symptoms and solutions.</t>
        </is>
      </c>
      <c r="C5935" t="inlineStr">
        <is>
          <t>Shortness of breath, arm pain, general nervous feelings, waking up in the middle of the night choking on acid. Obviously my gerd is coupled with what i now know to he anxiety. It really didnt start until i had a child and became the primary care giver. Its rough doing that and running a business. Ive found that daily orgasms help. As awkward as it sounds, pegging also helps. I assume it relieves the anxiety by not being in control, i dont really know. I don't believe it could have any physiological effects.</t>
        </is>
      </c>
      <c r="D5935" t="n">
        <v>1</v>
      </c>
      <c r="E5935" t="n">
        <v>3</v>
      </c>
      <c r="F5935">
        <f>HYPERLINK("https://www.reddit.com/r/GERD/comments/fo3b8w/nsfw_gerd_symptoms_and_solutions/")</f>
        <v/>
      </c>
      <c r="G5935" t="inlineStr">
        <is>
          <t>2020-03-24 04:05:05</t>
        </is>
      </c>
      <c r="H5935" t="inlineStr"/>
    </row>
    <row r="5936">
      <c r="A5936" t="inlineStr">
        <is>
          <t>fo6235</t>
        </is>
      </c>
      <c r="B5936" t="inlineStr">
        <is>
          <t>Heavy uncomfortable Chest/Feeling heart beat after eating</t>
        </is>
      </c>
      <c r="C5936" t="inlineStr">
        <is>
          <t>Ever since I can remember, after eating certain foods, my chest feels uncomfortably heavy and I can feel my heart beating obnoxiously in my chest. It is extremely hard to get comfortable, especially if I sit or lay down after eating. I have asked around and I know this happens to some people after heavy meals, every once in a while but mine probably happens once a day. I was diagnosed with gerd about 4 years ago and I do get heartburn, which is manageable with famotidine and tums but the uncomfortable chest issues are definitely the worst part. Is this common??</t>
        </is>
      </c>
      <c r="D5936" t="n">
        <v>1</v>
      </c>
      <c r="E5936" t="n">
        <v>7</v>
      </c>
      <c r="F5936">
        <f>HYPERLINK("https://www.reddit.com/r/GERD/comments/fo6235/heavy_uncomfortable_chestfeeling_heart_beat_after/")</f>
        <v/>
      </c>
      <c r="G5936" t="inlineStr">
        <is>
          <t>2020-03-24 07:31:50</t>
        </is>
      </c>
      <c r="H5936" t="inlineStr"/>
    </row>
    <row r="5937">
      <c r="A5937" t="inlineStr">
        <is>
          <t>fo6o3l</t>
        </is>
      </c>
      <c r="B5937" t="inlineStr">
        <is>
          <t>Why is my esophagus sensitive to cold liquids?</t>
        </is>
      </c>
      <c r="C5937" t="inlineStr">
        <is>
          <t>Is anyone else having this? It feels like my esopgus is cold for hours after too at times. Thanks</t>
        </is>
      </c>
      <c r="D5937" t="n">
        <v>1</v>
      </c>
      <c r="E5937" t="n">
        <v>1</v>
      </c>
      <c r="F5937">
        <f>HYPERLINK("https://www.reddit.com/r/GERD/comments/fo6o3l/why_is_my_esophagus_sensitive_to_cold_liquids/")</f>
        <v/>
      </c>
      <c r="G5937" t="inlineStr">
        <is>
          <t>2020-03-24 08:10:20</t>
        </is>
      </c>
      <c r="H5937" t="inlineStr"/>
    </row>
    <row r="5938">
      <c r="A5938" t="inlineStr">
        <is>
          <t>fo7vj9</t>
        </is>
      </c>
      <c r="B5938" t="inlineStr">
        <is>
          <t>Swollen tonsil from reflux?</t>
        </is>
      </c>
      <c r="C5938" t="inlineStr">
        <is>
          <t>This night I felt my right tonsil inflammed or swollen and keeps getting bigger with ear pain unless i take esomeprazole i feel relief..
This is weird, i went to doc and he told me i got cold and gave me ampicilin so.. I started to take it but nothing happen, only antiacid keeps me safe :(
(https://i.postimg.cc/TPJ3pP98/IMG-20200324-175712.jpg)
I read an article that using high dose of esomeprazole (80mg) can a lot more heal damaged tissue and prevent barret esophagus. This is the only condition im very scared of 😟
But still what should i do with  my tonsil?
Help pls</t>
        </is>
      </c>
      <c r="D5938" t="n">
        <v>1</v>
      </c>
      <c r="E5938" t="n">
        <v>18</v>
      </c>
      <c r="F5938">
        <f>HYPERLINK("https://www.reddit.com/r/GERD/comments/fo7vj9/swollen_tonsil_from_reflux/")</f>
        <v/>
      </c>
      <c r="G5938" t="inlineStr">
        <is>
          <t>2020-03-24 09:20:57</t>
        </is>
      </c>
      <c r="H5938" t="inlineStr"/>
    </row>
    <row r="5939">
      <c r="A5939" t="inlineStr">
        <is>
          <t>fo87uh</t>
        </is>
      </c>
      <c r="B5939" t="inlineStr">
        <is>
          <t>Any ideas?</t>
        </is>
      </c>
      <c r="C5939" t="inlineStr">
        <is>
          <t>This has happened in the last, but would eventually go away over time. I’ve had the barium swallow done with no findings. 
For the past month, I’ve had trouble eating and swallowing foods. It feels as though it is getting stuck in my throat as I’m eating, and I rush to try and rinse it down with something to drink. 
Because it’s gotten worse (I’ve noticed when my anxiety ramps up) I’ve lost more weight. Overall I feel weaker and tired. I bruise more easily than usual. I don’t sleep much right now due to having a little one, so there is definitely a lack of sleep. Gummies are hard to swallow, along with pills, so vitamin options are limited for adults. Obviously my diet is not where it should be because of this issue. I am supposed to start medication daily for the GERD but currently cannot go out to the store. Stomach isn’t really in pain but feels different in a sense when eating. I don’t know how else to describe it. 
Any tips on how to handle this situation, things to try and eat or help the throat situation? I’ve asked my family doctor- who said to start the gerd medicine - but looking for other ways to assist in the muscle weakness and fatigue issue due to the lack of nutrients.</t>
        </is>
      </c>
      <c r="D5939" t="n">
        <v>1</v>
      </c>
      <c r="E5939" t="n">
        <v>6</v>
      </c>
      <c r="F5939">
        <f>HYPERLINK("https://www.reddit.com/r/GERD/comments/fo87uh/any_ideas/")</f>
        <v/>
      </c>
      <c r="G5939" t="inlineStr">
        <is>
          <t>2020-03-24 09:40:01</t>
        </is>
      </c>
      <c r="H5939" t="inlineStr"/>
    </row>
    <row r="5940">
      <c r="A5940" t="inlineStr">
        <is>
          <t>fo8f5n</t>
        </is>
      </c>
      <c r="B5940" t="inlineStr">
        <is>
          <t>What is your diet??</t>
        </is>
      </c>
      <c r="C5940" t="inlineStr">
        <is>
          <t>I'm just curious what your diet was before you identified you had GERD? 
Have you changed your diet and what is improving the problem?
Have you not changed your diet and are you relying on medications to fix the problem?</t>
        </is>
      </c>
      <c r="D5940" t="n">
        <v>1</v>
      </c>
      <c r="E5940" t="n">
        <v>3</v>
      </c>
      <c r="F5940">
        <f>HYPERLINK("https://www.reddit.com/r/GERD/comments/fo8f5n/what_is_your_diet/")</f>
        <v/>
      </c>
      <c r="G5940" t="inlineStr">
        <is>
          <t>2020-03-24 09:51:30</t>
        </is>
      </c>
      <c r="H5940" t="inlineStr"/>
    </row>
    <row r="5941">
      <c r="A5941" t="inlineStr">
        <is>
          <t>fo9gld</t>
        </is>
      </c>
      <c r="B5941" t="inlineStr">
        <is>
          <t>How I'm managing GERD (not cured, but well managed)</t>
        </is>
      </c>
      <c r="C5941" t="inlineStr">
        <is>
          <t>If you need to stay on medication because of something like Barretts etc. then it's probably best to stay on it. 
Diagnosed with GERD in 2016. Was put on 15mg Lanzoprazole, then 20mg Omeprazole, then 40mg of Esomeprazole. I was on it for 2 years. 
Decided to have an endoscopy so I had to get off the medication so they could see what's up.  In the build up to it, I read some people saying that when they came off these medications after a while on them, the level of acid they had was the same as when they were on it. This was all I needed to hear. 
I bought slippery elm bark capsules to have in between meals, chewable DGL liquorice tablets - having two at a time 20 minutes before meals (Deglycerolized Liquorice takes away the harmful effects of Liquorice to a large degree). These allowed me to transition to not requiring reflux medication. If the reflux spiked, I had Gaviscon Advance at hand (not the normal Gaviscon chewable tablets). 
Diet:
Softer meats! I boil my chicken. I boiled lamb/beef or opted for minced meat. I split my main meal portion sizes into 4-5 portions. I used to have a LOT of spices (even if they weren't necessarily chilli powder) - that isn't a great idea. 
I benefited from avoiding processed foods, onions, bell peppers, avoid having copious amounts of garlic. 
I didn't mix carbohydrates with protein. I had them separately.  
I chewed my food like I was a camel - up to 20 times before swallowing. Just chew it, don't throw it down the gob. Breathe calmly when chewing and eating. Trust me. 
Have your last meal 3-4 hours before you hit the bed. 
Lifestyle:
If you're starting to get reflux, keep your throat lubricated by going for a FAST walk for 20-30 minutes. Great for if you want to get some exercise in. A gym routine is great. 
Don't stay in one position for so many hours. Get up, move. 
Elevate your head, neck, shoulders more at bedtime. Ideally you have a bed where you can put bed raisers at the bottom! 
Screw your radiator off at night during sleep or very low if you're cold. This was a big deal for me. 
Results: 
I only have shortness of breath if my body feels too physically stressed to want to be in a certain position i.e seated - I would get up and move around and then sit back down when my body is more physically relaxed. 
I don't have this burning sensation in my throat anymore. I can get away with eating very spicy meals, sweets, fast food, chocolate etc. now, **but** none of these can be a staple part of my everyday diet (nor should the latter three be for anybody). 
I can workout well at the gym, I do all of the compound lifts and go very heavy with no reflux. Same for Judo. 
Next Phase:
I will probably start introducing apple cider vinegar in my diet. Lemon still gives me reflux.
There are many other herbal things people get benefit from i.e Acidophilus, Marshmallow root, ginger root etc. but I didn't try them. 
All the best to you.</t>
        </is>
      </c>
      <c r="D5941" t="n">
        <v>1</v>
      </c>
      <c r="E5941" t="n">
        <v>40</v>
      </c>
      <c r="F5941">
        <f>HYPERLINK("https://www.reddit.com/r/GERD/comments/fo9gld/how_im_managing_gerd_not_cured_but_well_managed/")</f>
        <v/>
      </c>
      <c r="G5941" t="inlineStr">
        <is>
          <t>2020-03-24 10:47:45</t>
        </is>
      </c>
      <c r="H5941" t="inlineStr"/>
    </row>
    <row r="5942">
      <c r="A5942" t="inlineStr">
        <is>
          <t>fo9l1s</t>
        </is>
      </c>
      <c r="B5942" t="inlineStr">
        <is>
          <t>GERD or TMJ?</t>
        </is>
      </c>
      <c r="C5942" t="inlineStr">
        <is>
          <t>Hey guys,
Not looking for a diagnosis, but wanted to see if others have had similar symptoms (can’t go to the doctor for a while given the current situation anyway).
For the past 1.5 months, I have had the following symptoms:
- Recurring sore throat that comes and goes (and sometimes move sides). The throat also looks a bit red/irritated
- Pain in my jaw/cheek area - sometimes it gets close to/around my ear. Started on the right side but now I also have it sometimes on the left
- Feeling of lump in throat most days, and chest tightness (in the middle of my chest, right above the breast area)
- Neck and shoulder/upper back pain that is worse on the left side. I have had this before in the past, but never with the above accompanying symptoms
- Arm pain on the left, which seems to be radiating from the shoulder/neck pain, and sometimes tingly hands
It seems that many of these point to either GERD, TMJ, or something else. However, I won’t be able to go to the doctor for a while (quarantine). Have people here experienced these symptoms, and what can I do to alleviate them in the meantime?</t>
        </is>
      </c>
      <c r="D5942" t="n">
        <v>1</v>
      </c>
      <c r="E5942" t="n">
        <v>3</v>
      </c>
      <c r="F5942">
        <f>HYPERLINK("https://www.reddit.com/r/GERD/comments/fo9l1s/gerd_or_tmj/")</f>
        <v/>
      </c>
      <c r="G5942" t="inlineStr">
        <is>
          <t>2020-03-24 10:54:27</t>
        </is>
      </c>
      <c r="H5942" t="inlineStr"/>
    </row>
    <row r="5943">
      <c r="A5943" t="inlineStr">
        <is>
          <t>fo9yqr</t>
        </is>
      </c>
      <c r="B5943" t="inlineStr">
        <is>
          <t>Advice on how to deal with anxiety</t>
        </is>
      </c>
      <c r="C5943" t="inlineStr">
        <is>
          <t>I’m kinda young, nineteen to be exact and was diagnosed not even a week ago with GERD, when diagnosed my doctor told me that my anxiety will definitely heighten. let me tell you, it has. I keep convincing myself I’m dying every second of everyday (sorry if that sounds dramatic) I’m really worried. I was in pain for a LOOONG time before the doctors diagnosed me, I recently moved away from home for university and am living alone, the covid-19 outbreak has only just made it to Canada, I got laid off from my job &amp;amp; Still have a household to still maintain. I get anxious more than 20 times daily, Which worsens the GERD. I feel like I’m just sitting still while I watch the world and my health collapse upon me. Is there any advice on how to deal with the anxiousness, my health is deteriorating. :(</t>
        </is>
      </c>
      <c r="D5943" t="n">
        <v>1</v>
      </c>
      <c r="E5943" t="n">
        <v>0</v>
      </c>
      <c r="F5943">
        <f>HYPERLINK("https://www.reddit.com/r/GERD/comments/fo9yqr/advice_on_how_to_deal_with_anxiety/")</f>
        <v/>
      </c>
      <c r="G5943" t="inlineStr">
        <is>
          <t>2020-03-24 11:13:38</t>
        </is>
      </c>
      <c r="H5943" t="inlineStr"/>
    </row>
    <row r="5944">
      <c r="A5944" t="inlineStr">
        <is>
          <t>foa53f</t>
        </is>
      </c>
      <c r="B5944" t="inlineStr">
        <is>
          <t>My mouth is yellow</t>
        </is>
      </c>
      <c r="C5944" t="inlineStr">
        <is>
          <t>Yeah I know that isn’t the color it’s supposed to be so I’m wondering is it just bad hygiene on my part? PLEASE say so I’d rather it be something I can fix</t>
        </is>
      </c>
      <c r="D5944" t="n">
        <v>1</v>
      </c>
      <c r="E5944" t="n">
        <v>3</v>
      </c>
      <c r="F5944">
        <f>HYPERLINK("https://www.reddit.com/r/GERD/comments/foa53f/my_mouth_is_yellow/")</f>
        <v/>
      </c>
      <c r="G5944" t="inlineStr">
        <is>
          <t>2020-03-24 11:22:32</t>
        </is>
      </c>
      <c r="H5944" t="inlineStr"/>
    </row>
    <row r="5945">
      <c r="A5945" t="inlineStr">
        <is>
          <t>foaall</t>
        </is>
      </c>
      <c r="B5945" t="inlineStr">
        <is>
          <t>LPR or GERD</t>
        </is>
      </c>
      <c r="C5945" t="inlineStr">
        <is>
          <t>Hello all. I am a 22 year old female and i have acid reflux issues that are related with my anxiety. Recently with all the coronavirus news, I have been feeling very anxious. With my increased anxiety, my acid has flared up again. One night last week I could feel my entire stomach burning couped with heartburn. I woke up on friday with a sore/scratchy throat. I feel like whenever I swallow there is a lump. I am extremely hoarse in the morning and don't regain my voice until much later in the day. I also have a bit of a cough which is brought on when i swallow because I feel like I have a tickle. There is some phlegm too which makes me believe that my acid has caused a post nasal drip. At first my anxiety made me believe this was the coronavirus but after calming myself down I was able to pinpoint my issues to gerd. It's been a few days so i'm not sure why it hasn't cleared up yet. Rambling aside, is the LPR or just GERD? Any tips on how to treat it? Thank you.</t>
        </is>
      </c>
      <c r="D5945" t="n">
        <v>1</v>
      </c>
      <c r="E5945" t="n">
        <v>7</v>
      </c>
      <c r="F5945">
        <f>HYPERLINK("https://www.reddit.com/r/GERD/comments/foaall/lpr_or_gerd/")</f>
        <v/>
      </c>
      <c r="G5945" t="inlineStr">
        <is>
          <t>2020-03-24 11:30:21</t>
        </is>
      </c>
      <c r="H5945" t="inlineStr"/>
    </row>
    <row r="5946">
      <c r="A5946" t="inlineStr">
        <is>
          <t>fobh64</t>
        </is>
      </c>
      <c r="B5946" t="inlineStr">
        <is>
          <t>No more acid but still reflux?</t>
        </is>
      </c>
      <c r="C5946" t="inlineStr">
        <is>
          <t>I was diagnosed with GERD at a really young age and i’ve been managing it with omeprazole. While this takes away the acid and burning sensation, I’m still unable to keep anything down.  Pills, food, drinks.  It all comes back up and i have to swallow it down multiple times, everytime i eat. Frankly, it’s disgusting and i’m getting to the point where I can’t take it anymore. 
Would laparoscopy be a good choice? Anyone have any experience with this?</t>
        </is>
      </c>
      <c r="D5946" t="n">
        <v>1</v>
      </c>
      <c r="E5946" t="n">
        <v>9</v>
      </c>
      <c r="F5946">
        <f>HYPERLINK("https://www.reddit.com/r/GERD/comments/fobh64/no_more_acid_but_still_reflux/")</f>
        <v/>
      </c>
      <c r="G5946" t="inlineStr">
        <is>
          <t>2020-03-24 12:34:03</t>
        </is>
      </c>
      <c r="H5946" t="inlineStr"/>
    </row>
    <row r="5947">
      <c r="A5947" t="inlineStr">
        <is>
          <t>fodacs</t>
        </is>
      </c>
      <c r="B5947" t="inlineStr">
        <is>
          <t>Biopsy</t>
        </is>
      </c>
      <c r="C5947" t="inlineStr">
        <is>
          <t>So my biopsy came back and the results said I do indeed have GERD. My symptoms aren't as bad as they were before. Every now and then I experience a dull ache in my chest and back and sometimes the only relief I get is if I  burp so I need to ask my doctor about that. I'm kinda concerned my nexium isn't as effective anymore. My mom said the same thing happened to her and to try dexilant. I've also noticed I can eat normal foods like yesterday I had French fries. The only food I  have to avoid is  orange juice and dark soda which breaks my heart since I love orange juice. The only time I do experience a flare up is if I eat too much or if I don't eat at all. I'm still regurgitating water which is weird. Has anyone else experienced any of this?</t>
        </is>
      </c>
      <c r="D5947" t="n">
        <v>1</v>
      </c>
      <c r="E5947" t="n">
        <v>0</v>
      </c>
      <c r="F5947">
        <f>HYPERLINK("https://www.reddit.com/r/GERD/comments/fodacs/biopsy/")</f>
        <v/>
      </c>
      <c r="G5947" t="inlineStr">
        <is>
          <t>2020-03-24 14:11:25</t>
        </is>
      </c>
      <c r="H5947" t="inlineStr"/>
    </row>
    <row r="5948">
      <c r="A5948" t="inlineStr">
        <is>
          <t>fof0jd</t>
        </is>
      </c>
      <c r="B5948" t="inlineStr">
        <is>
          <t>Burning Throat, Nausea, Back Pain and more?</t>
        </is>
      </c>
      <c r="C5948" t="inlineStr">
        <is>
          <t>So I’m just asking here for peoples opinion and to see if anyone else has had something similar happen. About two days ago I was kept up at night with a hot feeling traveling up my throat. I already had post nasal drip so I already had breathing and chest problems. Now, after taking my medicine, I had a really bad nausea attack that ended with me having really bad back pain. It was all in my throat too.
Has anyone experienced this before?</t>
        </is>
      </c>
      <c r="D5948" t="n">
        <v>1</v>
      </c>
      <c r="E5948" t="n">
        <v>2</v>
      </c>
      <c r="F5948">
        <f>HYPERLINK("https://www.reddit.com/r/GERD/comments/fof0jd/burning_throat_nausea_back_pain_and_more/")</f>
        <v/>
      </c>
      <c r="G5948" t="inlineStr">
        <is>
          <t>2020-03-24 15:49:30</t>
        </is>
      </c>
      <c r="H5948" t="inlineStr"/>
    </row>
    <row r="5949">
      <c r="A5949" t="inlineStr">
        <is>
          <t>fofppn</t>
        </is>
      </c>
      <c r="B5949" t="inlineStr">
        <is>
          <t>Storytime: I was misdiagnosed with a Mid-Sized Hiatus Hernia</t>
        </is>
      </c>
      <c r="C5949" t="inlineStr">
        <is>
          <t>Had acid reflux - increased my medication over time. 
Half a year in, had an endoscopy (4mg midazolam and over 10 throat sprays - I recall nothing, was dead to the world until he told me the procedure was over).
Was told I had a mid-sized hiatus hernia (HH) with the GERD. Told I was to take medication for life. 
Not having antihistamine further aggravated my GERD. I suspected I had Eosinophillic Oesophagitis. I got my GP sent a letter to the consultant who did my endoscopy asking if I really have the hiatus hernia, he said 'I honestly cannot recall if you had one or not'.   Went to see another consultant who agreed with my suspicions and told me I needed another endoscopy. 
I tried my best to avoid it. Opted for Barium Swallow test. NO Hiatus hernia found. WHAT? No hiatus hernia? I felt, ok well we need another endoscopy to break the tie. 
Had another endoscopy like 6 months after the swallow test (so overall, it was roughly a year of being unsure if I had an HH or not). 2mg midazolam - the consultant rushed me in, wouldn't give me 4mg. 2mg personally had ZERO sedative effects for me. I felt it, but it was no more annoying than getting your teeth cleaned by the dentist when you have gum disease - less painful than the latter IMO even if you're gagging - like whatever. 
Result? NO HIATUS HERNIA. Both the endoscopy and the barium swallow test confirms it. I had GERD with no damage despite the horrific attacks of GERD I used to have in the first 16-18 weeks.
I had spent all that time going to the gym not tensing my core at all, doing exercises that only target smaller muscle groups in isolation. I spent all that time thinking I have a damn HH. 
What do I read on the net? Some people have small hiatus hernias but they disappear when they have repeat endoscopies a few years later. Some people have what looks like an HH perhaps because of retching - this is what my consultant said (he retired, he was a godsend). 
Now I train my core a hell of a lot. 
My lesson: Nothing wrong with double checking. Even if you're not misdiagnosed, some people are diagnosed with Barrett's but they control it so well that the repeat endoscopy they have in the future reveals no Barretts - meaning what you're doing to control your Barrett's is working. To many, what the result is of one endoscopy may not define your future. 
To the endoscopist you say 'we shall meet again'.</t>
        </is>
      </c>
      <c r="D5949" t="n">
        <v>1</v>
      </c>
      <c r="E5949" t="n">
        <v>3</v>
      </c>
      <c r="F5949">
        <f>HYPERLINK("https://www.reddit.com/r/GERD/comments/fofppn/storytime_i_was_misdiagnosed_with_a_midsized/")</f>
        <v/>
      </c>
      <c r="G5949" t="inlineStr">
        <is>
          <t>2020-03-24 16:30:31</t>
        </is>
      </c>
      <c r="H5949" t="inlineStr"/>
    </row>
    <row r="5950">
      <c r="A5950" t="inlineStr">
        <is>
          <t>fohdy9</t>
        </is>
      </c>
      <c r="B5950" t="inlineStr">
        <is>
          <t>Hiatal Hernia, gerd, palpitations</t>
        </is>
      </c>
      <c r="C5950" t="inlineStr">
        <is>
          <t>I am 45 years old and have had gerd symptoms for a while. For the longest time, it really only bothered me when I overate and went to bed- sometimes I would wake up choking and gasping for air. Those episodes were so upsetting that I managed to avoid causing them for a long time.
Last fall, I had a very strange experience while at a conference. I had a wonderful big lunch with soup and sandwiches and dessert, but shortly after I didn't feel very well. I retreated to my room and tried to lay down, but I felt my heart racing and felt as though I had a lump in my throat. I tried to use my heart rate monitor on my phone but my heart was beating quickly and irregular. Despite massive anxiety, I controlled my breathing, chewed a tums and it subsided after about an hour. It seemed like a one time thing?
About three weeks later it happened to me again. This time I was preparing dinner for my family on a Friday. I went to emergency with chest pains and was admitted- ecg, chest xray and bloodwork. Discharged two hours later with nothing wrong and a cardio appointment. Cardio turned up nothing except to warn me about being overweight.
I decided to stop chewing nicorette at that time, and cut my portion sizes down as well as cut out alcohol. I did just fine for about three months, and then it returned. Since the beginning of February, it feels like I have a burp stuck in my throat and I get palpitations. Happens at least once a week. I cut coffee down to once a day and ceased recreational cannabis.
My doctor prescribed 2× 40 mg pantoprazole, and that seemed to be working until yesterday, when the palpitations returned but this time only for a quarter of an hour.
After reading some posts on this site, I am starting a  fodmap diet. I know to avoid the usual gerd suspects- garlic, onion, mint, alcohol, smoking, tomatoes, caffeine... but I dont know what my triggers are. 
The palpitations really shake me up. Seems like it is a stuck burp. Usually the eventual belch makes me feel better, but I have no idea what is causing this. Anyone else have this experience? What did you do to control it?</t>
        </is>
      </c>
      <c r="D5950" t="n">
        <v>1</v>
      </c>
      <c r="E5950" t="n">
        <v>5</v>
      </c>
      <c r="F5950">
        <f>HYPERLINK("https://www.reddit.com/r/GERD/comments/fohdy9/hiatal_hernia_gerd_palpitations/")</f>
        <v/>
      </c>
      <c r="G5950" t="inlineStr">
        <is>
          <t>2020-03-24 18:14:12</t>
        </is>
      </c>
      <c r="H5950" t="inlineStr"/>
    </row>
    <row r="5951">
      <c r="A5951" t="inlineStr">
        <is>
          <t>foi18s</t>
        </is>
      </c>
      <c r="B5951" t="inlineStr">
        <is>
          <t>Differences between PPIs?</t>
        </is>
      </c>
      <c r="C5951" t="inlineStr">
        <is>
          <t>I'm on Rabeprazole and wondering what the differences are between the different -zoles?</t>
        </is>
      </c>
      <c r="D5951" t="n">
        <v>1</v>
      </c>
      <c r="E5951" t="n">
        <v>0</v>
      </c>
      <c r="F5951">
        <f>HYPERLINK("https://www.reddit.com/r/GERD/comments/foi18s/differences_between_ppis/")</f>
        <v/>
      </c>
      <c r="G5951" t="inlineStr">
        <is>
          <t>2020-03-24 18:57:37</t>
        </is>
      </c>
      <c r="H5951" t="inlineStr"/>
    </row>
    <row r="5952">
      <c r="A5952" t="inlineStr">
        <is>
          <t>foi1ng</t>
        </is>
      </c>
      <c r="B5952" t="inlineStr">
        <is>
          <t>Alcohol?</t>
        </is>
      </c>
      <c r="C5952" t="inlineStr">
        <is>
          <t>How do y’all drink alcohol with gerd? Completely abstain? Or? I’m finding when I drink more than 1 day in a row it takes a long time to get my stomach back to normal. Any tips? Or do I have to stop completely..</t>
        </is>
      </c>
      <c r="D5952" t="n">
        <v>1</v>
      </c>
      <c r="E5952" t="n">
        <v>12</v>
      </c>
      <c r="F5952">
        <f>HYPERLINK("https://www.reddit.com/r/GERD/comments/foi1ng/alcohol/")</f>
        <v/>
      </c>
      <c r="G5952" t="inlineStr">
        <is>
          <t>2020-03-24 18:58:22</t>
        </is>
      </c>
      <c r="H5952" t="inlineStr"/>
    </row>
    <row r="5953">
      <c r="A5953" t="inlineStr">
        <is>
          <t>foiizd</t>
        </is>
      </c>
      <c r="B5953" t="inlineStr">
        <is>
          <t>How close to time of eating/drinking do silent-GERD symptoms usually occur? Someone suggested my chronic postnasal drip could that, but I get it when I wake up/times not eating, too.</t>
        </is>
      </c>
      <c r="C5953" t="inlineStr">
        <is>
          <t>Thanks for helping me get an idea of this. I will also be asking a Dr. in person but wanted to check, because it seemed kind of unlikely. I don't have other symptoms of GERD/silent-GERD, except chronic postnasal drip. Occasionally (rarely), I also get regular GERD if I eat too fast, or maybe, with certain foods.</t>
        </is>
      </c>
      <c r="D5953" t="n">
        <v>1</v>
      </c>
      <c r="E5953" t="n">
        <v>5</v>
      </c>
      <c r="F5953">
        <f>HYPERLINK("https://www.reddit.com/r/GERD/comments/foiizd/how_close_to_time_of_eatingdrinking_do_silentgerd/")</f>
        <v/>
      </c>
      <c r="G5953" t="inlineStr">
        <is>
          <t>2020-03-24 19:31:10</t>
        </is>
      </c>
      <c r="H5953" t="inlineStr"/>
    </row>
    <row r="5954">
      <c r="A5954" t="inlineStr">
        <is>
          <t>foj6nl</t>
        </is>
      </c>
      <c r="B5954" t="inlineStr">
        <is>
          <t>Anyone else get chest pain when holding your breath / puffing out your chest?</t>
        </is>
      </c>
      <c r="C5954" t="inlineStr">
        <is>
          <t>I get a sharp pain in my chest kinda near my lungs when doing either of these things: it’s almost like I’m straining a muscle. Has anyone else experienced this?</t>
        </is>
      </c>
      <c r="D5954" t="n">
        <v>1</v>
      </c>
      <c r="E5954" t="n">
        <v>1</v>
      </c>
      <c r="F5954">
        <f>HYPERLINK("https://www.reddit.com/r/GERD/comments/foj6nl/anyone_else_get_chest_pain_when_holding_your/")</f>
        <v/>
      </c>
      <c r="G5954" t="inlineStr">
        <is>
          <t>2020-03-24 20:17:41</t>
        </is>
      </c>
      <c r="H5954" t="inlineStr"/>
    </row>
    <row r="5955">
      <c r="A5955" t="inlineStr">
        <is>
          <t>fok866</t>
        </is>
      </c>
      <c r="B5955" t="inlineStr">
        <is>
          <t>Chocolate?</t>
        </is>
      </c>
      <c r="C5955" t="inlineStr">
        <is>
          <t>I had a bite-size Mars bar tonight and immediately my throat began to feel sore. It kind of ruined my night and gave me a slight headache. 
I've really never noticed an issue with candy/chocolate before. But that's very disappointing.</t>
        </is>
      </c>
      <c r="D5955" t="n">
        <v>1</v>
      </c>
      <c r="E5955" t="n">
        <v>5</v>
      </c>
      <c r="F5955">
        <f>HYPERLINK("https://www.reddit.com/r/GERD/comments/fok866/chocolate/")</f>
        <v/>
      </c>
      <c r="G5955" t="inlineStr">
        <is>
          <t>2020-03-24 21:35:53</t>
        </is>
      </c>
      <c r="H5955" t="inlineStr"/>
    </row>
    <row r="5956">
      <c r="A5956" t="inlineStr">
        <is>
          <t>fomohg</t>
        </is>
      </c>
      <c r="B5956" t="inlineStr">
        <is>
          <t>What is the likelihood of getting cancer if you have mild LPR?</t>
        </is>
      </c>
      <c r="C5956" t="inlineStr">
        <is>
          <t>Just curious what the stats are if anyone knows because I couldnt find it anywhere</t>
        </is>
      </c>
      <c r="D5956" t="n">
        <v>1</v>
      </c>
      <c r="E5956" t="n">
        <v>3</v>
      </c>
      <c r="F5956">
        <f>HYPERLINK("https://www.reddit.com/r/GERD/comments/fomohg/what_is_the_likelihood_of_getting_cancer_if_you/")</f>
        <v/>
      </c>
      <c r="G5956" t="inlineStr">
        <is>
          <t>2020-03-25 01:17:58</t>
        </is>
      </c>
      <c r="H5956" t="inlineStr"/>
    </row>
    <row r="5957">
      <c r="A5957" t="inlineStr">
        <is>
          <t>fopswu</t>
        </is>
      </c>
      <c r="B5957" t="inlineStr">
        <is>
          <t>I can eat pizza?</t>
        </is>
      </c>
      <c r="C5957" t="inlineStr">
        <is>
          <t>I was diagnosed with gerd a little while ago and have been following a regular healthy diet &amp;amp; taking zantac. Yesterday for the first time I tried pizza, I thought it was going to cause such bad heartburn but it never at all? This morning I hopped back on my diet and had yogurt with blueberries &amp;amp; almonds now I have heartburn. Im super confused can anyone explain?</t>
        </is>
      </c>
      <c r="D5957" t="n">
        <v>1</v>
      </c>
      <c r="E5957" t="n">
        <v>20</v>
      </c>
      <c r="F5957">
        <f>HYPERLINK("https://www.reddit.com/r/GERD/comments/fopswu/i_can_eat_pizza/")</f>
        <v/>
      </c>
      <c r="G5957" t="inlineStr">
        <is>
          <t>2020-03-25 05:55:46</t>
        </is>
      </c>
      <c r="H5957" t="inlineStr"/>
    </row>
    <row r="5958">
      <c r="A5958" t="inlineStr">
        <is>
          <t>foqjga</t>
        </is>
      </c>
      <c r="B5958" t="inlineStr">
        <is>
          <t>Smoke/dust-like substance leaving the mouth?</t>
        </is>
      </c>
      <c r="C5958" t="inlineStr">
        <is>
          <t>The weirdest thing just happened to me a few minutes ago. I was talking to my kids and a cloud of something exited my mouth and I suddenly had the feeling there was sawdust or something similar in my mouth. Has anyone ever experienced this before? Is it possibly stomach acid? It doesn’t taste like stomach acid I don’t think, but what else could it be?</t>
        </is>
      </c>
      <c r="D5958" t="n">
        <v>1</v>
      </c>
      <c r="E5958" t="n">
        <v>6</v>
      </c>
      <c r="F5958">
        <f>HYPERLINK("https://www.reddit.com/r/GERD/comments/foqjga/smokedustlike_substance_leaving_the_mouth/")</f>
        <v/>
      </c>
      <c r="G5958" t="inlineStr">
        <is>
          <t>2020-03-25 06:46:36</t>
        </is>
      </c>
      <c r="H5958" t="inlineStr"/>
    </row>
    <row r="5959">
      <c r="A5959" t="inlineStr">
        <is>
          <t>forpz1</t>
        </is>
      </c>
      <c r="B5959" t="inlineStr">
        <is>
          <t>Recurrent epigastric pain 20(m)</t>
        </is>
      </c>
      <c r="C5959" t="inlineStr">
        <is>
          <t>I'm a 20yo male. I've had recurrent stomach pain just above the belly button. The first episode was August 2018, I had constant stomach pain for 5 days. Literally woke up and went to sleep with stomach pain. Same thing in May 2019. 
I had that same pain but only for 2 days in September 2019, then again for 1 day in February 2020 and just last night. It's always the same kind of pain, just above my belly button. It's never accompanied by diarrhea or constipation, only stomach pain. However in that May 2019 episode I did do liquid poo the last day when the pain subsided. Other than that, each time it has been only the pain. 
I've had a gallbladder ultrasound, I've had antibiotics to treat h pylori, I've had omenprazole - but I keep getting it. September 2019 was the first time I took the omenprazole, maybe that's why it didn't last 5 days that time? I'm starting to think if it isn't diet related (eg I get awful heartburn when I eat Weetabix, but no stomach pain), then maybe it's all a coincidence? Anyone have similar story?</t>
        </is>
      </c>
      <c r="D5959" t="n">
        <v>1</v>
      </c>
      <c r="E5959" t="n">
        <v>0</v>
      </c>
      <c r="F5959">
        <f>HYPERLINK("https://www.reddit.com/r/GERD/comments/forpz1/recurrent_epigastric_pain_20m/")</f>
        <v/>
      </c>
      <c r="G5959" t="inlineStr">
        <is>
          <t>2020-03-25 08:00:43</t>
        </is>
      </c>
      <c r="H5959" t="inlineStr"/>
    </row>
    <row r="5960">
      <c r="A5960" t="inlineStr">
        <is>
          <t>fotyxl</t>
        </is>
      </c>
      <c r="B5960" t="inlineStr">
        <is>
          <t>Fundoplication surgery, looking for people that have had it done</t>
        </is>
      </c>
      <c r="C5960" t="inlineStr">
        <is>
          <t>What were the pros/cons?  What type of surgery did you have. I heard there are a few different types.</t>
        </is>
      </c>
      <c r="D5960" t="n">
        <v>1</v>
      </c>
      <c r="E5960" t="n">
        <v>13</v>
      </c>
      <c r="F5960">
        <f>HYPERLINK("https://www.reddit.com/r/GERD/comments/fotyxl/fundoplication_surgery_looking_for_people_that/")</f>
        <v/>
      </c>
      <c r="G5960" t="inlineStr">
        <is>
          <t>2020-03-25 10:08:46</t>
        </is>
      </c>
      <c r="H5960" t="inlineStr"/>
    </row>
    <row r="5961">
      <c r="A5961" t="inlineStr">
        <is>
          <t>fou63v</t>
        </is>
      </c>
      <c r="B5961" t="inlineStr">
        <is>
          <t>Carafate (ulcer) question</t>
        </is>
      </c>
      <c r="C5961" t="inlineStr">
        <is>
          <t>My carafate says take 1 hr before or 2 hrs after meal. So: If i take it two hrs after a meal, can i eat right after taking it? OR, do I still have to wait 1 hr before eating?</t>
        </is>
      </c>
      <c r="D5961" t="n">
        <v>1</v>
      </c>
      <c r="E5961" t="n">
        <v>2</v>
      </c>
      <c r="F5961">
        <f>HYPERLINK("https://www.reddit.com/r/GERD/comments/fou63v/carafate_ulcer_question/")</f>
        <v/>
      </c>
      <c r="G5961" t="inlineStr">
        <is>
          <t>2020-03-25 10:20:03</t>
        </is>
      </c>
      <c r="H5961" t="inlineStr"/>
    </row>
    <row r="5962">
      <c r="A5962" t="inlineStr">
        <is>
          <t>fovt33</t>
        </is>
      </c>
      <c r="B5962" t="inlineStr">
        <is>
          <t>Lower back pain</t>
        </is>
      </c>
      <c r="C5962" t="inlineStr">
        <is>
          <t>I one of those diagnosed with Gerd and Barrett’s.  I never feel heartburn.  I do have what is I think silent reflux that causes dizziness, ear popping, and lately back and especially lower back pain.  I take protonix 40 daily.  Felt good a while back and tried going off PPI and then went on a beer trip.  Now every time I eat or drink water it’s pain.   Anyone else?</t>
        </is>
      </c>
      <c r="D5962" t="n">
        <v>1</v>
      </c>
      <c r="E5962" t="n">
        <v>3</v>
      </c>
      <c r="F5962">
        <f>HYPERLINK("https://www.reddit.com/r/GERD/comments/fovt33/lower_back_pain/")</f>
        <v/>
      </c>
      <c r="G5962" t="inlineStr">
        <is>
          <t>2020-03-25 11:51:23</t>
        </is>
      </c>
      <c r="H5962" t="inlineStr"/>
    </row>
    <row r="5963">
      <c r="A5963" t="inlineStr">
        <is>
          <t>fowb8o</t>
        </is>
      </c>
      <c r="B5963" t="inlineStr">
        <is>
          <t>Currently 6 weeks on pantoprazole/Pepcid</t>
        </is>
      </c>
      <c r="C5963" t="inlineStr">
        <is>
          <t>Hi everyone. I’m currently taking medication for the symptoms I’ve been having. My doctor finally recommended me an ultrasound after 6 weeks. Is this as effective as an endoscopy?</t>
        </is>
      </c>
      <c r="D5963" t="n">
        <v>1</v>
      </c>
      <c r="E5963" t="n">
        <v>5</v>
      </c>
      <c r="F5963">
        <f>HYPERLINK("https://www.reddit.com/r/GERD/comments/fowb8o/currently_6_weeks_on_pantoprazolepepcid/")</f>
        <v/>
      </c>
      <c r="G5963" t="inlineStr">
        <is>
          <t>2020-03-25 12:19:41</t>
        </is>
      </c>
      <c r="H5963" t="inlineStr"/>
    </row>
    <row r="5964">
      <c r="A5964" t="inlineStr">
        <is>
          <t>fowgts</t>
        </is>
      </c>
      <c r="B5964" t="inlineStr">
        <is>
          <t>Doc got no free appointments due to coronavirus- quick questions</t>
        </is>
      </c>
      <c r="C5964" t="inlineStr">
        <is>
          <t>So im 31 years old, male and not overweight, no smoking etc. 
For the past...like 13 or 14 years i have been experiencing constant heartburn and for about 6 years now sometimes reflux. So i went to the doctor last week because my symptoms are getting worse and he said it might be GERD but they have to do a endoscopy. Now we got the whole corona thing going on and its impossible to get an appointment. 
What kind of symptoms do you guys have? I have a constant feeling of a hair stuck at the top of my throat, very dry food (cookies) can get stuck in my throat (like the crumbs of it, or at least it feels that way), i sometimes have random dry coughs and certain foods like white bread cause instant acid reflux that gets a lot worse when i lay down. 
Told my doc that i can eat solid foods just fine and have no issues swallowing, but those other symptoms are kinda scary considering the horror stories google tells me.</t>
        </is>
      </c>
      <c r="D5964" t="n">
        <v>1</v>
      </c>
      <c r="E5964" t="n">
        <v>6</v>
      </c>
      <c r="F5964">
        <f>HYPERLINK("https://www.reddit.com/r/GERD/comments/fowgts/doc_got_no_free_appointments_due_to_coronavirus/")</f>
        <v/>
      </c>
      <c r="G5964" t="inlineStr">
        <is>
          <t>2020-03-25 12:28:12</t>
        </is>
      </c>
      <c r="H5964" t="inlineStr"/>
    </row>
    <row r="5965">
      <c r="A5965" t="inlineStr">
        <is>
          <t>fp05yr</t>
        </is>
      </c>
      <c r="B5965" t="inlineStr">
        <is>
          <t>Constant need to clear my throat all hours of day and night. Is there a treatment or fix for this?</t>
        </is>
      </c>
      <c r="C5965" t="inlineStr">
        <is>
          <t>Had my gallbladder removed at 17 due to gallstones and have had acid reflux ever since usually only affects me at night while I sleep if I've consumed pizza, chili, spaghetti or similar but I find I always feel kind of like something is stick in my throat and constantly clear it.  It's been happening so long I don't notice but sometimes it annoys others or I find random people asking if I need some water or something quite frequently</t>
        </is>
      </c>
      <c r="D5965" t="n">
        <v>1</v>
      </c>
      <c r="E5965" t="n">
        <v>2</v>
      </c>
      <c r="F5965">
        <f>HYPERLINK("https://www.reddit.com/r/GERD/comments/fp05yr/constant_need_to_clear_my_throat_all_hours_of_day/")</f>
        <v/>
      </c>
      <c r="G5965" t="inlineStr">
        <is>
          <t>2020-03-25 15:56:50</t>
        </is>
      </c>
      <c r="H5965" t="inlineStr"/>
    </row>
    <row r="5966">
      <c r="A5966" t="inlineStr">
        <is>
          <t>fp0js9</t>
        </is>
      </c>
      <c r="B5966" t="inlineStr">
        <is>
          <t>Too scared to eat...</t>
        </is>
      </c>
      <c r="C5966" t="inlineStr">
        <is>
          <t>I have GERD and I’m tired of playing Russian roulette with my body every time I have to put anything in my body. At this point I really don’t want to eat anything. What can I do</t>
        </is>
      </c>
      <c r="D5966" t="n">
        <v>1</v>
      </c>
      <c r="E5966" t="n">
        <v>1</v>
      </c>
      <c r="F5966">
        <f>HYPERLINK("https://www.reddit.com/r/GERD/comments/fp0js9/too_scared_to_eat/")</f>
        <v/>
      </c>
      <c r="G5966" t="inlineStr">
        <is>
          <t>2020-03-25 16:19:05</t>
        </is>
      </c>
      <c r="H5966" t="inlineStr"/>
    </row>
    <row r="5967">
      <c r="A5967" t="inlineStr">
        <is>
          <t>fp0p46</t>
        </is>
      </c>
      <c r="B5967" t="inlineStr">
        <is>
          <t>hello i am new here</t>
        </is>
      </c>
      <c r="C5967" t="inlineStr">
        <is>
          <t>i want to ask if it is ok to take nexuim everyday and can acid cause abdominal pain?</t>
        </is>
      </c>
      <c r="D5967" t="n">
        <v>1</v>
      </c>
      <c r="E5967" t="n">
        <v>1</v>
      </c>
      <c r="F5967">
        <f>HYPERLINK("https://www.reddit.com/r/GERD/comments/fp0p46/hello_i_am_new_here/")</f>
        <v/>
      </c>
      <c r="G5967" t="inlineStr">
        <is>
          <t>2020-03-25 16:28:11</t>
        </is>
      </c>
      <c r="H5967" t="inlineStr"/>
    </row>
    <row r="5968">
      <c r="A5968" t="inlineStr">
        <is>
          <t>fp0qus</t>
        </is>
      </c>
      <c r="B5968" t="inlineStr">
        <is>
          <t>Does anyone here suffer from silent reflux ? I would love to hear any stories similar to mine ! I am four weeks into hell and struggling.</t>
        </is>
      </c>
      <c r="C5968" t="inlineStr">
        <is>
          <t>this may be long. 4 weeks ago I ended up in the ER, I nearly choked and could not get this lodged piece of chicken out of my throat. They gave my glucagon and sent me on my way. I was a mess for 3 days because I could still feel it there and hardly swallow, so I went back to the ER where they completely dismissed me. 1 week later I had lost weight because I could barely eat or swallow so I got an endoscopy scheduled . He found a boat load of things.. medium hiatal hernia , gastritis , Esophagitis , and reflux. He also stretched my esophagus. When I went in for the follow up he said don’t eat chocolate and don’t drink coffee and sent me on my way (this doctor was not good ). A few days after getting back to normal eating I got another piece of chicken stuck in my throat . This spurred all the same symptoms as before . Difficulty swallowing , shortness of breath, and of course anxiety because of this. I got an ASAP appt w a new gi who mentioned GERD and all the other things my precious dr said. I don’t get the difference from reflux or GERD at the time.  But my main issue is I do not get heart burn. I have zero symptoms until I nearly choke. Then that will spur the very bad symptoms from there. He prescribed pantoprazole which I have been taking for 2 days. My concern here is what else can I do? It has really uprooted my entire life The past month. Daily crying spells, feeling hopeless, and extreme depression. I feel it is so hard to manage when I don’t have to normal symptoms until it’s to an extreme level. I am 29 and he said I would be on this medication for life, which I do not love seeing as PPIs are very bad for you. I would love to hear anyone’s similar stories to mine.</t>
        </is>
      </c>
      <c r="D5968" t="n">
        <v>1</v>
      </c>
      <c r="E5968" t="n">
        <v>19</v>
      </c>
      <c r="F5968">
        <f>HYPERLINK("https://www.reddit.com/r/GERD/comments/fp0qus/does_anyone_here_suffer_from_silent_reflux_i/")</f>
        <v/>
      </c>
      <c r="G5968" t="inlineStr">
        <is>
          <t>2020-03-25 16:31:10</t>
        </is>
      </c>
      <c r="H5968" t="inlineStr"/>
    </row>
    <row r="5969">
      <c r="A5969" t="inlineStr">
        <is>
          <t>fp12l0</t>
        </is>
      </c>
      <c r="B5969" t="inlineStr">
        <is>
          <t>GERD or COVID?</t>
        </is>
      </c>
      <c r="C5969" t="inlineStr">
        <is>
          <t>im reposting from allergy  
but i am diagnosed with GERD
I am 21 (F) and i was diagnosed with allergies back in 2014. I did the skin-prick test and i had a positive reaction to all 4 at the time (Birch tree, tree, ragweed, and grass - ragweed was mildest of them all).
i considered my allergies to be very mild since i still eat my raw fruits and veggies (some nuts) with caution. Only some times i get the occasional itchy mouth and hands, or slight rash (it would resolve itself after at least 30mins without medication... if it takes longer than 30mins to resolve i take my medication).
Recently, COVID has been giving me some worries. i have also been eating quite a few oranges for the past few days (sometimes bananas if i feel like it).
i have not gone outside since probably wednesday of thursday of last week (a week from now) and other than that i have 2 family members going in and out due to work. i do not come into contact with them unless they wash up well first.
for the past 4 days however i have been have this feeling in my throat, not itching or coughing, but difficulty swallowing. it wont go away.
i have continued to eat like 2-4 oranges a day since say 5 days ago or so. i do not know if it is connected.
i am not sneezing or coughing.
some more medical background:I have GERD (Gastroesophageal reflux disorder) since maybe 2017-18. i also use a CPAP machine during the night (When i woke for these past few days, the settled throat is worst feeling difficulty swallowing). i also used to have asthma as a child and it went away now.
i took a test online to check about COVID but my supposed symptom doesn't add up. is my allergy just worsening with me eating oranges? should me saying my OAS is mild... change to moderate?
Thanks in advance - and yes i am keeping myself isolated for the time being regardless if this is allergies or so just for extra measures and for the ones around me.
edit1: i forgot to add the past few days i have had hives pop up randomly itchy like just single spots at random. it also comes into affect due to being on my period as well. the first day first spot was my stomach area. second was chest area. and then yesterday left bottom between jaw and ear lobe. so i am at a loss for what i think my throat is affected by
edit2: i should've noted, i feel the swollen area around top part of the esophagus, i guess in technical terms the oropharynx area upon initial swallow.</t>
        </is>
      </c>
      <c r="D5969" t="n">
        <v>1</v>
      </c>
      <c r="E5969" t="n">
        <v>18</v>
      </c>
      <c r="F5969">
        <f>HYPERLINK("https://www.reddit.com/r/GERD/comments/fp12l0/gerd_or_covid/")</f>
        <v/>
      </c>
      <c r="G5969" t="inlineStr">
        <is>
          <t>2020-03-25 16:50:23</t>
        </is>
      </c>
      <c r="H5969" t="inlineStr"/>
    </row>
    <row r="5970">
      <c r="A5970" t="inlineStr">
        <is>
          <t>fp13hw</t>
        </is>
      </c>
      <c r="B5970" t="inlineStr">
        <is>
          <t>LPR is so insidious and strange</t>
        </is>
      </c>
      <c r="C5970" t="inlineStr">
        <is>
          <t>Just wanted to say that. It's beyond bizarre to have *major* issues with your throat, but no heartburn/stomach issues. In my case, it's resulted in a lot of damage before I ever knew what was going on</t>
        </is>
      </c>
      <c r="D5970" t="n">
        <v>1</v>
      </c>
      <c r="E5970" t="n">
        <v>1</v>
      </c>
      <c r="F5970">
        <f>HYPERLINK("https://www.reddit.com/r/GERD/comments/fp13hw/lpr_is_so_insidious_and_strange/")</f>
        <v/>
      </c>
      <c r="G5970" t="inlineStr">
        <is>
          <t>2020-03-25 16:51:45</t>
        </is>
      </c>
      <c r="H5970" t="inlineStr"/>
    </row>
    <row r="5971">
      <c r="A5971" t="inlineStr">
        <is>
          <t>fp1nvt</t>
        </is>
      </c>
      <c r="B5971" t="inlineStr">
        <is>
          <t>Random, intense "heat" sensation in stomach/abdomen. Anyone else?.</t>
        </is>
      </c>
      <c r="C5971" t="inlineStr">
        <is>
          <t>I've been having this random "heat" sensation in my stomach/abdomen for awhile. It comes and goes but I don't have a fever or high/low BP. All of my recent bloodwork, urine/fecal tests came back normal also.
I have a history of GERD, Gastritis, IBS and Lactose Intolerance but no amount of antacids, proton pump inhibitors, antihistamines, pain relievers, etc seem to help.
Is this a common symptom of gerd?. Anyone else here have this "heat" sensation?. Sooo uncomfortable ):</t>
        </is>
      </c>
      <c r="D5971" t="n">
        <v>1</v>
      </c>
      <c r="E5971" t="n">
        <v>1</v>
      </c>
      <c r="F5971">
        <f>HYPERLINK("https://www.reddit.com/r/GERD/comments/fp1nvt/random_intense_heat_sensation_in_stomachabdomen/")</f>
        <v/>
      </c>
      <c r="G5971" t="inlineStr">
        <is>
          <t>2020-03-25 17:26:59</t>
        </is>
      </c>
      <c r="H5971" t="inlineStr"/>
    </row>
    <row r="5972">
      <c r="A5972" t="inlineStr">
        <is>
          <t>fp2hda</t>
        </is>
      </c>
      <c r="B5972" t="inlineStr">
        <is>
          <t>Opinions?</t>
        </is>
      </c>
      <c r="C5972" t="inlineStr">
        <is>
          <t>So awhile ago I started getting pretty bad acid reflux and have since seen a Gasto, he prescribed me 40mg of esomeprazole mag and I take Pepcid twice a day. He wanted to do an endoscopy but they are currently against it due to the virus going around and only doing it for severe cases. And after a week I’ve seen good improvements so far but was moved from the esomeprazole to pantoprazole because I’m on another medication that can cause an interactions. Now I have almost no heartburn and the only thing I have left is a pressure feeling in my chest after eating and I’ve started regurgitating food and sometimes liquid a few hours after eating (which ironically helps with the pressure in the chest), My diet hasn’t been great but have really recently started a strict diet but I Was just wondering if anyone has had any similar experiences and any ideas for dealing with the regurgitation that people have tried would be great. Thanks a bunch in advance!</t>
        </is>
      </c>
      <c r="D5972" t="n">
        <v>1</v>
      </c>
      <c r="E5972" t="n">
        <v>0</v>
      </c>
      <c r="F5972">
        <f>HYPERLINK("https://www.reddit.com/r/GERD/comments/fp2hda/opinions/")</f>
        <v/>
      </c>
      <c r="G5972" t="inlineStr">
        <is>
          <t>2020-03-25 18:18:48</t>
        </is>
      </c>
      <c r="H5972" t="inlineStr"/>
    </row>
    <row r="5973">
      <c r="A5973" t="inlineStr">
        <is>
          <t>fp2kn1</t>
        </is>
      </c>
      <c r="B5973" t="inlineStr">
        <is>
          <t>PPIs and Gastric Emptying</t>
        </is>
      </c>
      <c r="C5973" t="inlineStr">
        <is>
          <t>Hi all,
I'm on a heavy dose of PPIs on the recommendation of two GI doctors, approved by my PCP.  With each increase in dose up to this point, I've felt a significant delay in my gastric emptying, which seems to increase my experience of acid reflux.  Now, on such a high dose of PPIs (and H2 blockers on top of that), I am experiencing such a strong delay in gastric emptying that my stomach feels like lead at night, and I get quite nauseous, I burp more than ever and wake up full of burps.  However, both GI doctors tell me that PPIs don't affect the speed of gastric emptying.  
I found the literature below on [pubmed.gov](https://pubmed.gov), but there are many similar pieces of information.  Does anyone else have thoughts on this, or know why my gastro doctors might be denying this?  They're both supposed to be excellent doctors.  Thank you!
&amp;amp;#x200B;
&amp;gt;The proton pump inhibitor (PPI) is widely used for the treatment of gastroesophageal reflux disease, peptic ulcer diseases, and functional dyspepsia. The pathogenesis of these acid-related and/or functional upper gastrointestinal disorders is potentially associated with abnormal gastric emptying. To date, variable effects of PPIs on gastric emptying have been reported. Therefore, it is relevant to gather and analyze published information on this topic. A systematic literature search has been performed, showing that the delaying effect of PPIs on gastric emptying of solid meals is consistent, whereas the effect of PPIs on the emptying of liquids is inconsistent. The underlying mechanisms whereby PPIs may affect gastric emptying have been discussed, most of which still remain hypothetic. Gastric emptying of solids involves a process of peptic hydrolysis. PPIs impair the hydrolytic digestion by inhibiting acid-dependent peptic activity, thereby delaying the solid emptying. Gastric emptying of liquids largely depends on volume and energy density of intragastric contents. PPIs variably modify the volume and the energy density by reducing gastric fluid secretion, thereby modifying the liquid emptying in an unpredictable manner. Hypergastrinemia has been considered to delay gastric emptying, but it seems of minor importance in the regulation of gastric emptying during PPI use. The delayed emptying of solids due to PPI therapy may have clinical implications in the management of gastroesophageal reflux disease, functional dyspepsia, as well as diabetes.</t>
        </is>
      </c>
      <c r="D5973" t="n">
        <v>1</v>
      </c>
      <c r="E5973" t="n">
        <v>3</v>
      </c>
      <c r="F5973">
        <f>HYPERLINK("https://www.reddit.com/r/GERD/comments/fp2kn1/ppis_and_gastric_emptying/")</f>
        <v/>
      </c>
      <c r="G5973" t="inlineStr">
        <is>
          <t>2020-03-25 18:24:22</t>
        </is>
      </c>
      <c r="H5973" t="inlineStr"/>
    </row>
    <row r="5974">
      <c r="A5974" t="inlineStr">
        <is>
          <t>fp2m38</t>
        </is>
      </c>
      <c r="B5974" t="inlineStr">
        <is>
          <t>Hey all</t>
        </is>
      </c>
      <c r="C5974" t="inlineStr">
        <is>
          <t>I have numb throat that seems to worsen with my allergies I have had acid reflux for three years and my throat is for sure damaged I also have lump In throat and nerve pain and a tickle of my nerves i have extreme tight throat that feels like I can't like breath the side of my chest also feels numb has anyone else dealt with this and what did your doctor do?</t>
        </is>
      </c>
      <c r="D5974" t="n">
        <v>1</v>
      </c>
      <c r="E5974" t="n">
        <v>0</v>
      </c>
      <c r="F5974">
        <f>HYPERLINK("https://www.reddit.com/r/GERD/comments/fp2m38/hey_all/")</f>
        <v/>
      </c>
      <c r="G5974" t="inlineStr">
        <is>
          <t>2020-03-25 18:27:04</t>
        </is>
      </c>
      <c r="H5974" t="inlineStr"/>
    </row>
    <row r="5975">
      <c r="A5975" t="inlineStr">
        <is>
          <t>fp2uci</t>
        </is>
      </c>
      <c r="B5975" t="inlineStr">
        <is>
          <t>[Rant] Just need to vent... anxiety... GERD... heart worries. I hate this disease.</t>
        </is>
      </c>
      <c r="C5975" t="inlineStr">
        <is>
          <t>Sorry for any typos - I am on my phone.
I am nearly 25. I was diagnosed with GERD and grade b esophagitus in January 2019 via Upper Endoscopy after a month of chest pain and indigestion (no heartburn).
I was put on a high dose of Pariet (rabeprazole) for 8 weeks to heal the inflammation. After stopping the medication, I had rebound acidity, and had to go back on it. Throughout last year I spent many months doing my best to taper off of the medication. The closest I can seem to get is 3 10mg tabs per week, but within a couple weeks of this routine, I always begin to feel discomfort again.
Alongside thid I have had this symptoms I can describe only as shortness of breath since about 2017 now. It comes on suddenly, and it is like I just miss a breath or two, then have to cough and all is well again. It does seem to hapoen more when I am anxious. Anyway, a month ago I went to a GP about it and he gave me a chest xray, 2 second ECG, tested blood pressure and ordered a CBC/FBC and cholesterol blood tests. He also checked my lungs via a spirometry. All came back glowing apparently. It was around this time that my chest pain and discomfort returned, despite being on a high dose of Pariet. 
Despite having these tests and the doc saying there is nothing wrong with my heart, and despite having a GERD diagnosis at 24. I can't stop worrying about heart problems. Hell of you check my reddit post history you'll see that.
I guess I just wanted to know if any other sufferers get the same concerns? Part of me wants to get an echo stress test from a cardiologist, but the other part of me says this is a waste of time and money.</t>
        </is>
      </c>
      <c r="D5975" t="n">
        <v>1</v>
      </c>
      <c r="E5975" t="n">
        <v>4</v>
      </c>
      <c r="F5975">
        <f>HYPERLINK("https://www.reddit.com/r/GERD/comments/fp2uci/rant_just_need_to_vent_anxiety_gerd_heart_worries/")</f>
        <v/>
      </c>
      <c r="G5975" t="inlineStr">
        <is>
          <t>2020-03-25 18:41:54</t>
        </is>
      </c>
      <c r="H5975" t="inlineStr"/>
    </row>
    <row r="5976">
      <c r="A5976" t="inlineStr">
        <is>
          <t>fp3inx</t>
        </is>
      </c>
      <c r="B5976" t="inlineStr">
        <is>
          <t>Some advice I can give through my journey</t>
        </is>
      </c>
      <c r="C5976" t="inlineStr">
        <is>
          <t>Starting having bad reflux a couple years back and medications weren’t helping that much and it was pure hell. In and out of the ER multiple times like I’m sure many of you have been. Well, it turned out to be that my gallbladder had died and became gangrenous causing me to be extremely ill. It wasn’t caught because like most, I never had gallstones but did have the pain. Continued to have reflux after the removed it and it wasn’t that bad thankfully but still there. So I went through most of the testing but not all like I should have been. Below is what I learned should have been done so that I didn’t need multiple surgeries. 
Make sure you get the tests done. The big ones are 
1. Gastric emptying study
2. Upper endoscopy which you’ve had
3. Bravo ph or ph impedance
4. Esophageal manometey
I had all but the gastric emptying study and ph impedance. I had gotten the Linx device back in may of last year and was still symptomatic. I had the Linx removed and had the Nissen done in October and issues were better, but were still somewhat there. Had a gastric emptying study and it showed my stomach was emptying correctly so I had a procedure to have the Pyloric muscle dilated, and injected with Botox which didn’t really help. The surgeon said my pyloric muscle wasn’t tight and it could just be the contractions in my stomach are off. After that I had the ph impedance which detects acidic, non acidic, and gaseous reflux. It showed hardly any acidic or non acidic (demeester of 5) but showed gaseous reflux. Gastric emptying issues can continue to cause GERD/LPR because the food sits in the stomach too long and the pressure of the contents go upward past the weak esophageal sphincter.</t>
        </is>
      </c>
      <c r="D5976" t="n">
        <v>1</v>
      </c>
      <c r="E5976" t="n">
        <v>11</v>
      </c>
      <c r="F5976">
        <f>HYPERLINK("https://www.reddit.com/r/GERD/comments/fp3inx/some_advice_i_can_give_through_my_journey/")</f>
        <v/>
      </c>
      <c r="G5976" t="inlineStr">
        <is>
          <t>2020-03-25 19:27:05</t>
        </is>
      </c>
      <c r="H5976" t="inlineStr"/>
    </row>
    <row r="5977">
      <c r="A5977" t="inlineStr">
        <is>
          <t>fp3si0</t>
        </is>
      </c>
      <c r="B5977" t="inlineStr">
        <is>
          <t>This disease is just another reason why I want to die.</t>
        </is>
      </c>
      <c r="C5977" t="inlineStr">
        <is>
          <t>I truly hate my life. I wish I was aborted as there is nothing in my life that makes me happy and being diagnosed this disease is the final nail in the coffin for me. Before all of this I already couldn’t sleep. I already couldn’t socialize with majority of people. I already had extreme depression. I already had no interest, passions, or aptitude for anything in life. And now I can’t even eat or drink and I also found out I have high blood pressure.
I’m not going to play fucking Russian roulette with my body to try to finds nasty ass foods I can eat. I don’t give a fuck about doing some weird diet. I rather get a gun and shoot myself in the head. Now due to high blood pressure if I get the virus, it’ll probably kill me in a long painful way. I’m tired of feeling like I’m choking. My feeling like there’s something stuck on my tongue. Fuck this shit. Therapy is completely useless. I want out. I wish my mother aborted me</t>
        </is>
      </c>
      <c r="D5977" t="n">
        <v>1</v>
      </c>
      <c r="E5977" t="n">
        <v>6</v>
      </c>
      <c r="F5977">
        <f>HYPERLINK("https://www.reddit.com/r/GERD/comments/fp3si0/this_disease_is_just_another_reason_why_i_want_to/")</f>
        <v/>
      </c>
      <c r="G5977" t="inlineStr">
        <is>
          <t>2020-03-25 19:46:07</t>
        </is>
      </c>
      <c r="H5977" t="inlineStr"/>
    </row>
    <row r="5978">
      <c r="A5978" t="inlineStr">
        <is>
          <t>fp40ny</t>
        </is>
      </c>
      <c r="B5978" t="inlineStr">
        <is>
          <t>is there any "point of no return" of gerd, or once you got it, you're in for life?</t>
        </is>
      </c>
      <c r="C5978" t="inlineStr">
        <is>
          <t>my symptomps has been going for two weeks now and it's still going. I already took medication and changed my lifestyle.</t>
        </is>
      </c>
      <c r="D5978" t="n">
        <v>1</v>
      </c>
      <c r="E5978" t="n">
        <v>4</v>
      </c>
      <c r="F5978">
        <f>HYPERLINK("https://www.reddit.com/r/GERD/comments/fp40ny/is_there_any_point_of_no_return_of_gerd_or_once/")</f>
        <v/>
      </c>
      <c r="G5978" t="inlineStr">
        <is>
          <t>2020-03-25 20:02:04</t>
        </is>
      </c>
      <c r="H5978" t="inlineStr"/>
    </row>
    <row r="5979">
      <c r="A5979" t="inlineStr">
        <is>
          <t>fp4o8c</t>
        </is>
      </c>
      <c r="B5979" t="inlineStr">
        <is>
          <t>New to GERD - please help?</t>
        </is>
      </c>
      <c r="C5979" t="inlineStr">
        <is>
          <t>Thanks in advance for any answers. 
GERD symptoms are relatively new for me. I probably had some mild symptoms at different points in my life (I'm 33) but never enough to complain or do much more than take a Tums or two.
During a yearly physical just over two years ago, My PCP noticed evidence of GERD on my tongue and recommended that I take Prisolec for 21 days. I was reluctant because I wasn't complaining of symptoms even though the evidence was there, but I did as he instructed. I was feeling very good until towards the end of the 21 days (still on the medicine). 
I informed him that I was feeling worse (probably had my worst symptoms ever then), and he wanted me to increase my dose of Prilosec. I quit taking it instead. Things improved for a while. Eventually though, maybe after taking nothing for a year or so, moderate symptoms appeared again. Not terrible but noticeable. 
I tried apple cider vinegar to see if that would help (PCP said many people swear by it). It may have helped some for a bit or maybe it made no difference, but eventually (I tried for 2-3 weeks) my symptoms worsened. I would describe them as moderate. This was about two weeks ago.
I'm currently back on Prilosec. My plan is a 14-day course (as instructed on the back of the box). It'll conclude this Sunday. It had been helping but today I'm noticing mild to moderate symptoms again. Fearful that nothing I'm trying is working.
Any ideas? Please?</t>
        </is>
      </c>
      <c r="D5979" t="n">
        <v>1</v>
      </c>
      <c r="E5979" t="n">
        <v>0</v>
      </c>
      <c r="F5979">
        <f>HYPERLINK("https://www.reddit.com/r/GERD/comments/fp4o8c/new_to_gerd_please_help/")</f>
        <v/>
      </c>
      <c r="G5979" t="inlineStr">
        <is>
          <t>2020-03-25 20:48:42</t>
        </is>
      </c>
      <c r="H5979" t="inlineStr"/>
    </row>
    <row r="5980">
      <c r="A5980" t="inlineStr">
        <is>
          <t>fp53gy</t>
        </is>
      </c>
      <c r="B5980" t="inlineStr">
        <is>
          <t>Does anyone get a sensation of choking that hits them randomly or after consuming liquids/solids?</t>
        </is>
      </c>
      <c r="C5980" t="inlineStr">
        <is>
          <t>Sometimes I get a feeling that my throat is so tight that I can’t swallow it’s caused me debilitating anxiety and was wondering if anyone has any tips for me. I was diagnosed with LPR by my ENT about a month ago.</t>
        </is>
      </c>
      <c r="D5980" t="n">
        <v>1</v>
      </c>
      <c r="E5980" t="n">
        <v>0</v>
      </c>
      <c r="F5980">
        <f>HYPERLINK("https://www.reddit.com/r/GERD/comments/fp53gy/does_anyone_get_a_sensation_of_choking_that_hits/")</f>
        <v/>
      </c>
      <c r="G5980" t="inlineStr">
        <is>
          <t>2020-03-25 21:19:38</t>
        </is>
      </c>
      <c r="H5980" t="inlineStr"/>
    </row>
    <row r="5981">
      <c r="A5981" t="inlineStr">
        <is>
          <t>fp5b7d</t>
        </is>
      </c>
      <c r="B5981" t="inlineStr">
        <is>
          <t>Where to buy UK Gaviscon Advance Liquid?</t>
        </is>
      </c>
      <c r="C5981" t="inlineStr">
        <is>
          <t>Hi there 
I have the tablets - been scared to take them. Scared to try new meds amidst this whole mess. Think the liquid would be a safer bet but I can’t find it from a reliable source online. Anyone have a link?
Thanks!</t>
        </is>
      </c>
      <c r="D5981" t="n">
        <v>1</v>
      </c>
      <c r="E5981" t="n">
        <v>5</v>
      </c>
      <c r="F5981">
        <f>HYPERLINK("https://www.reddit.com/r/GERD/comments/fp5b7d/where_to_buy_uk_gaviscon_advance_liquid/")</f>
        <v/>
      </c>
      <c r="G5981" t="inlineStr">
        <is>
          <t>2020-03-25 21:36:29</t>
        </is>
      </c>
      <c r="H5981" t="inlineStr"/>
    </row>
    <row r="5982">
      <c r="A5982" t="inlineStr">
        <is>
          <t>fp7dk3</t>
        </is>
      </c>
      <c r="B5982" t="inlineStr">
        <is>
          <t>Is it common with LPR to cough while eating?</t>
        </is>
      </c>
      <c r="C5982" t="inlineStr">
        <is>
          <t>I sometimes, cough while eating. Say, I am eating something like rice or something which is sticky or some seeds when chewed can cause some irritation to the throat , I cough. Also, feel like it stays on the throat for couple of seconds extra rather than going down the throat. 
Is it common with LPR to get these coughs?</t>
        </is>
      </c>
      <c r="D5982" t="n">
        <v>1</v>
      </c>
      <c r="E5982" t="n">
        <v>10</v>
      </c>
      <c r="F5982">
        <f>HYPERLINK("https://www.reddit.com/r/GERD/comments/fp7dk3/is_it_common_with_lpr_to_cough_while_eating/")</f>
        <v/>
      </c>
      <c r="G5982" t="inlineStr">
        <is>
          <t>2020-03-26 00:34:07</t>
        </is>
      </c>
      <c r="H5982" t="inlineStr"/>
    </row>
    <row r="5983">
      <c r="A5983" t="inlineStr">
        <is>
          <t>fp7o5a</t>
        </is>
      </c>
      <c r="B5983" t="inlineStr">
        <is>
          <t>Acid rebound</t>
        </is>
      </c>
      <c r="C5983" t="inlineStr">
        <is>
          <t>Hi, i was diagnosed with gastritis around six months ago. (22M) And my doctor gave me a prescription of omeprazole which i took roughly 2 months. After that 2 months had passed i stopped taking omeprazol and heartburn started coming with some silent reflux. I did what everybody would do. Went to my doctor again and i had gastroscopy. Which they found put that i the bacteria h.pylori, had the prescribed antibiotic treatment and gastritis went away. But heartburn still sits there and im always struggling about it. So i went to my doctor again and ask about it and he said that i should take esomeprazole he said it was a more effective one. I yook it for a week as he said, and every other day after the first week.... I still do have heartburn today. And im scared pf taking omeprazol because i read somewhere that rebound and stuff like that would became much more worst if i continue taking it. 
My question is how long does it take to finally recover from ACID REBOUND?
:(</t>
        </is>
      </c>
      <c r="D5983" t="n">
        <v>1</v>
      </c>
      <c r="E5983" t="n">
        <v>3</v>
      </c>
      <c r="F5983">
        <f>HYPERLINK("https://www.reddit.com/r/GERD/comments/fp7o5a/acid_rebound/")</f>
        <v/>
      </c>
      <c r="G5983" t="inlineStr">
        <is>
          <t>2020-03-26 01:01:58</t>
        </is>
      </c>
      <c r="H5983" t="inlineStr"/>
    </row>
    <row r="5984">
      <c r="A5984" t="inlineStr">
        <is>
          <t>fp8alu</t>
        </is>
      </c>
      <c r="B5984" t="inlineStr">
        <is>
          <t>My tongue has become white, can someone tell me what it is?</t>
        </is>
      </c>
      <c r="C5984" t="inlineStr">
        <is>
          <t>So my tongue has become white like this:
[https://i.imgur.com/XV89HSn.jpg](https://i.imgur.com/XV89HSn.jpg)
It makes my salivation increase a lot too.
Because of corona virus, my doctor prescribed anti-candidiase medicine without seeing me, just by describing the symptoms by phonecall, but since I started taking the pills, the problem isn't going away. It might be something else.
Did any of you had this problem?</t>
        </is>
      </c>
      <c r="D5984" t="n">
        <v>1</v>
      </c>
      <c r="E5984" t="n">
        <v>8</v>
      </c>
      <c r="F5984">
        <f>HYPERLINK("https://www.reddit.com/r/GERD/comments/fp8alu/my_tongue_has_become_white_can_someone_tell_me/")</f>
        <v/>
      </c>
      <c r="G5984" t="inlineStr">
        <is>
          <t>2020-03-26 02:01:52</t>
        </is>
      </c>
      <c r="H5984" t="inlineStr"/>
    </row>
    <row r="5985">
      <c r="A5985" t="inlineStr">
        <is>
          <t>fp8ntj</t>
        </is>
      </c>
      <c r="B5985" t="inlineStr">
        <is>
          <t>Hey idk if anyone can help but i was diagnosed GERD about a year ago and just a couple of months ago I started to get this really persistent feeling of a lump stuck in my throat.</t>
        </is>
      </c>
      <c r="C5985" t="inlineStr">
        <is>
          <t>Been having this really persistent feeling of a lump stuck in my throat for a couple of months now and it usually lasts for about a week and it’ll disappear but I can definitely tell you it’s the most uncomfortable week of your life it’s been so bad that suicide isn’t off the menu completely but I’m really hoping I can get some answers here and finally go to sleep and ease some of this stress thank you for taking the time to read this</t>
        </is>
      </c>
      <c r="D5985" t="n">
        <v>1</v>
      </c>
      <c r="E5985" t="n">
        <v>38</v>
      </c>
      <c r="F5985">
        <f>HYPERLINK("https://www.reddit.com/r/GERD/comments/fp8ntj/hey_idk_if_anyone_can_help_but_i_was_diagnosed/")</f>
        <v/>
      </c>
      <c r="G5985" t="inlineStr">
        <is>
          <t>2020-03-26 02:36:09</t>
        </is>
      </c>
      <c r="H5985" t="inlineStr"/>
    </row>
    <row r="5986">
      <c r="A5986" t="inlineStr">
        <is>
          <t>fpbvvt</t>
        </is>
      </c>
      <c r="B5986" t="inlineStr">
        <is>
          <t>I don't quite understand...</t>
        </is>
      </c>
      <c r="C5986" t="inlineStr">
        <is>
          <t>if I have pain when swallowing, do I have just GERD, esophagitis, barret esophagitis, or esophagal cancer? because all have that symptom.</t>
        </is>
      </c>
      <c r="D5986" t="n">
        <v>1</v>
      </c>
      <c r="E5986" t="n">
        <v>2</v>
      </c>
      <c r="F5986">
        <f>HYPERLINK("https://www.reddit.com/r/GERD/comments/fpbvvt/i_dont_quite_understand/")</f>
        <v/>
      </c>
      <c r="G5986" t="inlineStr">
        <is>
          <t>2020-03-26 06:55:22</t>
        </is>
      </c>
      <c r="H5986" t="inlineStr"/>
    </row>
    <row r="5987">
      <c r="A5987" t="inlineStr">
        <is>
          <t>fpc7yl</t>
        </is>
      </c>
      <c r="B5987" t="inlineStr">
        <is>
          <t>GERD Recipes</t>
        </is>
      </c>
      <c r="C5987" t="inlineStr">
        <is>
          <t>Can someone please share some good low acid recipes. I'm struggling with options these days.</t>
        </is>
      </c>
      <c r="D5987" t="n">
        <v>1</v>
      </c>
      <c r="E5987" t="n">
        <v>9</v>
      </c>
      <c r="F5987">
        <f>HYPERLINK("https://www.reddit.com/r/GERD/comments/fpc7yl/gerd_recipes/")</f>
        <v/>
      </c>
      <c r="G5987" t="inlineStr">
        <is>
          <t>2020-03-26 07:16:30</t>
        </is>
      </c>
      <c r="H5987" t="inlineStr"/>
    </row>
    <row r="5988">
      <c r="A5988" t="inlineStr">
        <is>
          <t>fpdjxp</t>
        </is>
      </c>
      <c r="B5988" t="inlineStr">
        <is>
          <t>Ppis</t>
        </is>
      </c>
      <c r="C5988" t="inlineStr">
        <is>
          <t>I seem to get a Gerd cough about once a year and have just put myself on another round of Nexium in the absence of being able to get to see my GP. I have been coughing like crazy for nearly 2 weeks. Fairly sure it's not coronavirus as I have a pain with the cough that only ever appears alongside the Gerd/ silent reflux symptoms. Also when I am on the verge of waking up in the morning there is a bubbling/ fizzing sound in the back of my throat. 
My inhalers aren't helping at all with the cough and it only seems to subside if I lay on my left side for long periods of time. 
Will the PPIs help to eliminate this symptom or do I need a surgical intervention?</t>
        </is>
      </c>
      <c r="D5988" t="n">
        <v>1</v>
      </c>
      <c r="E5988" t="n">
        <v>0</v>
      </c>
      <c r="F5988">
        <f>HYPERLINK("https://www.reddit.com/r/GERD/comments/fpdjxp/ppis/")</f>
        <v/>
      </c>
      <c r="G5988" t="inlineStr">
        <is>
          <t>2020-03-26 08:35:31</t>
        </is>
      </c>
      <c r="H5988" t="inlineStr"/>
    </row>
    <row r="5989">
      <c r="A5989" t="inlineStr">
        <is>
          <t>fpej23</t>
        </is>
      </c>
      <c r="B5989" t="inlineStr">
        <is>
          <t>Info: Managing GERD and Food list</t>
        </is>
      </c>
      <c r="C5989" t="inlineStr">
        <is>
          <t>Easy chart of recommended foods and foods to avoid:
[https://imgur.com/q3NMak0](https://imgur.com/q3NMak0)
# "How can you manage GERD?
You may need to take medicine for many years to help control the symptoms. But you can also make changes to your lifestyle to help relieve your symptoms of GERD. Here are some things to try:
* Change your eating habits.  
   * It's best to eat several small meals instead of two or three large meals.
   * After you eat, wait 2 to 3 hours before you lie down. Late-night snacks aren't a good idea.
   * Chocolate, mint, and alcohol can make GERD worse. They relax the valve between the esophagus and the stomach.
   * Spicy foods, foods that have a lot of acid (like tomatoes and oranges), and coffee can make GERD symptoms worse in some people. If your symptoms are worse after you eat a certain food, you may want to stop eating that food to see if your symptoms get better.
* Don't smoke or chew tobacco.
* If you get heartburn at night, raise the head of your bed6 in. (15 cm) to8 in. (20 cm) by putting the frame on blocks or placing a foam wedge under the head of your mattress. (Adding extra pillows doesn't work.)
* Don't wear tight clothing around your middle.
* Lose weight if you need to. Losing just 5 to 10 pounds can help."
"**Avoid your triggers**
An important part of treating GERD is avoiding triggers. These things can include:
* Spicy foods.
* Fatty foods.
* Drinks that contain caffeine or alcohol.
* Certain medicines.
If you think that your symptoms are worse after you eat a certain food, you can stop eating that food to see if it helps."
# "Special Considerations
The lower esophageal muscle can be weakened by factors other than food. The following recommendations may be helpful in reducing symptoms:
* Stop using tobacco in all forms. Nicotine weakens the lower esophageal muscle.
* Avoid chewing gum and hard candy. They increase the amount of swallowed air which, in turn, leads to belching and reflux.
* Do not lie down immediately after eating. Avoid late evening snacks.
* Avoid tight clothing and bending over after eating.
* Eat small portions of food at mealtime.
* Lose weight if overweight. Obesity leads to increased reflux.
* Elevate the head of the bed six to eight inches to prevent reflux when sleeping. Extra pillows, by themselves, are not very helpful.
* The following foods weaken the muscle valve in the lower esophagus, aggravate acid reflux, and should be avoided:  
   * fatty or fried foods
   * peppermint and spearmint
   * whole milk
   * oils
   * chocolate
   * creamed foods or soups
* The following foods irritate an inflamed lower esophagus and may need to be limited or avoided:  
   * citrus fruit and juices (grapefruit, orange, pineapple, tomato)
   * coffee (regular and decaffeinated)
   * caffeinated soft drinks
* The following foods strengthen the muscle valve in the lower esophagus and help to prevent avid reflux:  
   * low-fat, high protein foods
   * low-fat carbohydrates (bread, cereal, pasta, crackers)
   * calcium, as in fat-free milk and low-fat yogurt)"
First and second quote taken directly from: [https://www.healthwise.net/atriushealth/Content/StdDocument.aspx?DOCHWID=hw99177](https://www.healthwise.net/atriushealth/Content/StdDocument.aspx?DOCHWID=hw99177)
Third and photo from my printed doctors sheet. Most likely from the same website (I couldn't find a link for the information) 
**Current as of:** **August 11, 2019**
**Author:** [Healthwise StaffYou are leaving this website for information purposes only](https://www.healthwise.org/specialpages/legal/abouthw/en)
[Medical Review:You are leaving this website for information purposes only](https://www.healthwise.org/mdreviewboard.aspx?lang=en-us) **Adam Husney MD - Family Medicine** **&amp;amp;** **E. Gregory Thompson MD - Internal Medicine** **&amp;amp;** **Kathleen Romito MD - Family Medicine** **&amp;amp;** **Elizabeth T. Russo MD - Internal Medicine** **&amp;amp;** **Arvydas D. Vanagunas MD - Gastroenterology**</t>
        </is>
      </c>
      <c r="D5989" t="n">
        <v>2</v>
      </c>
      <c r="E5989" t="n">
        <v>13</v>
      </c>
      <c r="F5989">
        <f>HYPERLINK("https://www.reddit.com/r/GERD/comments/fpej23/info_managing_gerd_and_food_list/")</f>
        <v/>
      </c>
      <c r="G5989" t="inlineStr">
        <is>
          <t>2020-03-26 09:29:43</t>
        </is>
      </c>
      <c r="H5989" t="inlineStr"/>
    </row>
    <row r="5990">
      <c r="A5990" t="inlineStr">
        <is>
          <t>fpfa4l</t>
        </is>
      </c>
      <c r="B5990" t="inlineStr">
        <is>
          <t>Hiatus hernia</t>
        </is>
      </c>
      <c r="C5990" t="inlineStr">
        <is>
          <t>Hey there, I have been looking for a community that actually understands what we’re going through and I’m glad I found this forum. Thank you. 
I’m 32 and about two years ago I was diagnosed with a hiatus hernia when I did my second gastroscope. I have pretty much been suffering from GERD and LPR. Basically ever since I was around 10 years old every 3-6 months my tonsils will flare up and I’ll be down with a full on fever and had to be treated for it. When I was 20 we had my tonsils removed. But back then we still didn’t do any gastroscope. I never ever complained of heartburn so I supposed I had silent LPR. 
Even with tonsils removed I continued having strep throat laryngitis. So eventually  we got about getting a gastroscope when I was about 27 however it wasn’t till the second gastroscope that I was diagnosed with a hiatus hernia. Following which I did a mammogram but according to the doctors my hernia isn’t so bad and that it doesn’t warrant surgical intervention. 
So I’d like to find out more the partial wrap fundoplication surgery. My doctors told me that I will forever have difficulties in swallowing. But I’m getting real tired of s the GERD and lethargy in general. I like working out and used to be a rock climber but I would fall ill (strep throat) because of engaging my core. I just want to have a normal life again, where I can have a couple of beers every now and then and not be worried about what I eat or if I got enough sleep. Please share with me your experience. Thank you.</t>
        </is>
      </c>
      <c r="D5990" t="n">
        <v>2</v>
      </c>
      <c r="E5990" t="n">
        <v>10</v>
      </c>
      <c r="F5990">
        <f>HYPERLINK("https://www.reddit.com/r/GERD/comments/fpfa4l/hiatus_hernia/")</f>
        <v/>
      </c>
      <c r="G5990" t="inlineStr">
        <is>
          <t>2020-03-26 10:09:48</t>
        </is>
      </c>
      <c r="H5990" t="inlineStr"/>
    </row>
    <row r="5991">
      <c r="A5991" t="inlineStr">
        <is>
          <t>fpfzf8</t>
        </is>
      </c>
      <c r="B5991" t="inlineStr">
        <is>
          <t>Prozac dose change and heartburn/acid reflux?</t>
        </is>
      </c>
      <c r="C5991" t="inlineStr">
        <is>
          <t>I’ve been on Prozac for over four years, at varying dosages. Around the start of this year I went from 20mg to 10mg, and within about a month I started experiencing daily heartburn. I’ve now had heartburn for about two months and it’s reached the point where it’s all day every day regardless of what I eat. A doctor put me on 20mg omeprazole and while that helped initially it now feels like it’s not doing anything. The Prozac dose change is the only think I can think of that could have set this off. 
Has anyone else experienced this? I’m set to talk with a doctor tomorrow about raising my Prozac dose but I wanted to know if others had experienced something similar.</t>
        </is>
      </c>
      <c r="D5991" t="n">
        <v>2</v>
      </c>
      <c r="E5991" t="n">
        <v>1</v>
      </c>
      <c r="F5991">
        <f>HYPERLINK("https://www.reddit.com/r/GERD/comments/fpfzf8/prozac_dose_change_and_heartburnacid_reflux/")</f>
        <v/>
      </c>
      <c r="G5991" t="inlineStr">
        <is>
          <t>2020-03-26 10:46:03</t>
        </is>
      </c>
      <c r="H5991" t="inlineStr"/>
    </row>
    <row r="5992">
      <c r="A5992" t="inlineStr">
        <is>
          <t>fph57f</t>
        </is>
      </c>
      <c r="B5992" t="inlineStr">
        <is>
          <t>*RANT*What a time...</t>
        </is>
      </c>
      <c r="C5992" t="inlineStr">
        <is>
          <t>Ok so I’ve been suffering from heartburn due to stress, illness and other stuff and anytime I try to eat/drink anything it acts up. I’ve been on a water and cracker diet for four days. So I got interested in why and did a google search on foods/drinks for those who suffer from anything heartburn related and ohmygod.
You can literally eat nothing. 😐 
I’m tired of water and I have to fight the urge to spit out the peppermint tea I’ve been drinking at night for my post nasal drip. I tried juice this morning, just to take my meds, and was hit with the start of heartburn within minutes. It’s ridiculous. No cheese, pizza, fruits, pastries, certain veggies, meats. 
I already have IBS and anemia 🤦‍♀️. If it continues like this after I finish my meds I’ll tell my doctor because this literally came out of nowhere.
Also I can’t express just how sick I am of water. I know it’s important but bleh.</t>
        </is>
      </c>
      <c r="D5992" t="n">
        <v>1</v>
      </c>
      <c r="E5992" t="n">
        <v>3</v>
      </c>
      <c r="F5992">
        <f>HYPERLINK("https://www.reddit.com/r/GERD/comments/fph57f/rantwhat_a_time/")</f>
        <v/>
      </c>
      <c r="G5992" t="inlineStr">
        <is>
          <t>2020-03-26 11:46:56</t>
        </is>
      </c>
      <c r="H5992" t="inlineStr"/>
    </row>
    <row r="5993">
      <c r="A5993" t="inlineStr">
        <is>
          <t>fph6p0</t>
        </is>
      </c>
      <c r="B5993" t="inlineStr">
        <is>
          <t>How do I even eat?</t>
        </is>
      </c>
      <c r="C5993" t="inlineStr">
        <is>
          <t>So I’m overweight and I was diagnosed with GERD around 3 days ago and ever since I haven’t really ate anything. It’s really hard for me to not be scared of food anymore. It seems like everything has potential to either kill me, cause me a shit ton of pain, or even send me to the hospital. I can’t go out because I’m stuck at home and I’m pretty sure I can’t eat anything at home because of this bullshit disease. 
I already drink two shakes for breakfast and lunch but what am I supposed to do about dinner? I literally cannot eat anything. All I have is extremely dry and bland chicken breast that taste like cardboard. I can’t eat any sauces anymore apparently. I hate eating now and it feels like I’m playing Russian roulette with my body every time I have to eat because now I have to force myself to eat stuff. 
This is also making my depression,anxiety, and stress worse which increased my blood pressure all the way up so I can’t even eat soup because of the sodium. So I basically cannot eat anymore and the other stuff I’m allowed to eat taste like crap. What am I supposed to do?
Edit: I used to be an athlete got depressed gained a lot of weight. I hope to everything that my muscle and fat is causing GERD and once I lose my weight that I will lose GERD too because this issue came out of nowhere for me overnight.</t>
        </is>
      </c>
      <c r="D5993" t="n">
        <v>1</v>
      </c>
      <c r="E5993" t="n">
        <v>1</v>
      </c>
      <c r="F5993">
        <f>HYPERLINK("https://www.reddit.com/r/GERD/comments/fph6p0/how_do_i_even_eat/")</f>
        <v/>
      </c>
      <c r="G5993" t="inlineStr">
        <is>
          <t>2020-03-26 11:49:13</t>
        </is>
      </c>
      <c r="H5993" t="inlineStr"/>
    </row>
    <row r="5994">
      <c r="A5994" t="inlineStr">
        <is>
          <t>fphiyu</t>
        </is>
      </c>
      <c r="B5994" t="inlineStr">
        <is>
          <t>Dealing w/ Silent Reflux</t>
        </is>
      </c>
      <c r="C5994" t="inlineStr">
        <is>
          <t>Hi, I'm mid-20s and seem to have symptoms of silent reflux. I get post-nasal drip constantly (with no other allergy-like symptoms) and do a lot of throat clearing. The post-nasal drip gets especially worse after I eat (and even more so after I eat dairy, coffee, or chips/crackers).  It's been much worse over the past few weeks  because I've been high-anxiety. I can't see my GP right now, and I'm trying to get an online appt with my university's health center, but won't be seen anytime soon. I think seeing an ENT or GE is out of the question, considering the current circumstances. :/
Do you have any advice for taking a PPI? My dad has been taking omeprazole for years, so I have that at home. In other posts, I've seen many users suggest taking a PPI for two weeks  to get symptoms under control while also changing diet. I'm going to work on changing my diet, but I'm concerned about taking a PPI without the discretion of a doctor, even though omeprazole is OTC. 
 Is 20mg a day going to help? Do I have to wean myself off of that low of a dose? If so, how do I wean myself off and when? 
Thanks for any help!</t>
        </is>
      </c>
      <c r="D5994" t="n">
        <v>1</v>
      </c>
      <c r="E5994" t="n">
        <v>16</v>
      </c>
      <c r="F5994">
        <f>HYPERLINK("https://www.reddit.com/r/GERD/comments/fphiyu/dealing_w_silent_reflux/")</f>
        <v/>
      </c>
      <c r="G5994" t="inlineStr">
        <is>
          <t>2020-03-26 12:07:24</t>
        </is>
      </c>
      <c r="H5994" t="inlineStr"/>
    </row>
    <row r="5995">
      <c r="A5995" t="inlineStr">
        <is>
          <t>fphjhr</t>
        </is>
      </c>
      <c r="B5995" t="inlineStr">
        <is>
          <t>Protonix and Heavy Metal Taste???</t>
        </is>
      </c>
      <c r="C5995" t="inlineStr">
        <is>
          <t>On it for over 3 weeks and has helped reflux and hiatal hernia but the metal taste is really bad and swallowing sucks too. Anyone else experience this? Seems like my GERD transformed to LPR. ARGH!!!! Seems like it’s seeping from my gums all fucking day.</t>
        </is>
      </c>
      <c r="D5995" t="n">
        <v>1</v>
      </c>
      <c r="E5995" t="n">
        <v>2</v>
      </c>
      <c r="F5995">
        <f>HYPERLINK("https://www.reddit.com/r/GERD/comments/fphjhr/protonix_and_heavy_metal_taste/")</f>
        <v/>
      </c>
      <c r="G5995" t="inlineStr">
        <is>
          <t>2020-03-26 12:08:12</t>
        </is>
      </c>
      <c r="H5995" t="inlineStr"/>
    </row>
    <row r="5996">
      <c r="A5996" t="inlineStr">
        <is>
          <t>fpj3o6</t>
        </is>
      </c>
      <c r="B5996" t="inlineStr">
        <is>
          <t>Anybody experience a hunger feeling in the throat during ppi induced acid rebound?</t>
        </is>
      </c>
      <c r="C5996" t="inlineStr">
        <is>
          <t>I'm on day 6 after having cut my dose of dexilant and felt wonderful for two days immediately following.
Day 3 until now I've had some really bad heartburn, burning stomach, nausea, a sore throat and a hunger feeling in my throat lower down around my heart area that wont go away even with eating.
The stomach burning and heartburn has settled a little today on day 6 but that hunger feeling is really annoying. I'll keep eating until I make myself sick cause I think I'm still hungry..
Is this just a symptom brought on by acid rebound? How long can I expect this to last and for my throat to heal?</t>
        </is>
      </c>
      <c r="D5996" t="n">
        <v>1</v>
      </c>
      <c r="E5996" t="n">
        <v>0</v>
      </c>
      <c r="F5996">
        <f>HYPERLINK("https://www.reddit.com/r/GERD/comments/fpj3o6/anybody_experience_a_hunger_feeling_in_the_throat/")</f>
        <v/>
      </c>
      <c r="G5996" t="inlineStr">
        <is>
          <t>2020-03-26 13:34:31</t>
        </is>
      </c>
      <c r="H5996" t="inlineStr"/>
    </row>
    <row r="5997">
      <c r="A5997" t="inlineStr">
        <is>
          <t>fpnhiv</t>
        </is>
      </c>
      <c r="B5997" t="inlineStr">
        <is>
          <t>I have GERD, but is it causing my palps?</t>
        </is>
      </c>
      <c r="C5997" t="inlineStr">
        <is>
          <t>16 M, don't take medicine for it anymore and I work at a Mexican restaurant so you can imagine what my lunch breaks do to me. Also have anxiety, been to cardiologist numerous times only had benign murmur</t>
        </is>
      </c>
      <c r="D5997" t="n">
        <v>1</v>
      </c>
      <c r="E5997" t="n">
        <v>9</v>
      </c>
      <c r="F5997">
        <f>HYPERLINK("https://www.reddit.com/r/GERD/comments/fpnhiv/i_have_gerd_but_is_it_causing_my_palps/")</f>
        <v/>
      </c>
      <c r="G5997" t="inlineStr">
        <is>
          <t>2020-03-26 17:51:35</t>
        </is>
      </c>
      <c r="H5997" t="inlineStr"/>
    </row>
    <row r="5998">
      <c r="A5998" t="inlineStr">
        <is>
          <t>fppgdv</t>
        </is>
      </c>
      <c r="B5998" t="inlineStr">
        <is>
          <t>2 Questions. Burn when hungry? Burps laying on left side?</t>
        </is>
      </c>
      <c r="C5998" t="inlineStr">
        <is>
          <t>2 separate questions.
1.Does anyone else’s heartburn get WICKED in an empty stomach? I eat oatmeal every day for breakfast and by the time lunch comes around I’m in horrible burning pain until I eat. (My off days I snack through the day and don’t have that problem.) Did I just answer my own question?
2.	Does anyone get big burps when laying on your left side? I can’t lay on my right without heartburn after a while but not long after laying on my left side I’m burping. It’s not a just ate a full meal belch, it’s a weird, forced feeling burp. Not long after, I fart a couple times. No real heartburn pain during any of this.</t>
        </is>
      </c>
      <c r="D5998" t="n">
        <v>1</v>
      </c>
      <c r="E5998" t="n">
        <v>18</v>
      </c>
      <c r="F5998">
        <f>HYPERLINK("https://www.reddit.com/r/GERD/comments/fppgdv/2_questions_burn_when_hungry_burps_laying_on_left/")</f>
        <v/>
      </c>
      <c r="G5998" t="inlineStr">
        <is>
          <t>2020-03-26 20:02:25</t>
        </is>
      </c>
      <c r="H5998" t="inlineStr"/>
    </row>
    <row r="5999">
      <c r="A5999" t="inlineStr">
        <is>
          <t>fppm0s</t>
        </is>
      </c>
      <c r="B5999" t="inlineStr">
        <is>
          <t>Gerd</t>
        </is>
      </c>
      <c r="C5999" t="inlineStr">
        <is>
          <t>Why is it that only certain people land up with gerd. while others can eat and drink whatever they want there whole life and it not bother them?</t>
        </is>
      </c>
      <c r="D5999" t="n">
        <v>1</v>
      </c>
      <c r="E5999" t="n">
        <v>4</v>
      </c>
      <c r="F5999">
        <f>HYPERLINK("https://www.reddit.com/r/GERD/comments/fppm0s/gerd/")</f>
        <v/>
      </c>
      <c r="G5999" t="inlineStr">
        <is>
          <t>2020-03-26 20:13:54</t>
        </is>
      </c>
      <c r="H5999" t="inlineStr"/>
    </row>
    <row r="6000">
      <c r="A6000" t="inlineStr">
        <is>
          <t>fpr3is</t>
        </is>
      </c>
      <c r="B6000" t="inlineStr">
        <is>
          <t>Anxiety about scope tomorrow.</t>
        </is>
      </c>
      <c r="C6000" t="inlineStr">
        <is>
          <t>So tomorrow is my upper scope. I deal with awful anxiety and today I went in to talk to the GI doc, they checked my BP and it was very high.  ( Normal at home) They freaked on me, just stressing me more. How am I going to control this tomorrow? I know it'll be very high the whole morning. I won't sleep tonight, so between that and the stress of this, the anxiety, and the fear that I'll have high bp complications from all this because having high bp scares me, will cause it to just get very very high. Any words of wisdom? I'm scared of anesthesia because of palpitations and it's all got me very scared. Best!</t>
        </is>
      </c>
      <c r="D6000" t="n">
        <v>1</v>
      </c>
      <c r="E6000" t="n">
        <v>0</v>
      </c>
      <c r="F6000">
        <f>HYPERLINK("https://www.reddit.com/r/GERD/comments/fpr3is/anxiety_about_scope_tomorrow/")</f>
        <v/>
      </c>
      <c r="G6000" t="inlineStr">
        <is>
          <t>2020-03-26 22:05:27</t>
        </is>
      </c>
      <c r="H6000" t="inlineStr"/>
    </row>
    <row r="6001">
      <c r="A6001" t="inlineStr">
        <is>
          <t>fprfnh</t>
        </is>
      </c>
      <c r="B6001" t="inlineStr">
        <is>
          <t>could sleeping on the ground with no padding be something that aggravates gerd?</t>
        </is>
      </c>
      <c r="C6001" t="inlineStr">
        <is>
          <t>The past few days I've been visiting someone and my bed has been the ground with a pillow. I've been noticing my stomach making nonstop noise when ever i'm laying down before i go to sleep and it was freaking me out and I've been trying to think of things I've been doing differently that could cause it and sleeping on the floor is about the only thing.</t>
        </is>
      </c>
      <c r="D6001" t="n">
        <v>1</v>
      </c>
      <c r="E6001" t="n">
        <v>4</v>
      </c>
      <c r="F6001">
        <f>HYPERLINK("https://www.reddit.com/r/GERD/comments/fprfnh/could_sleeping_on_the_ground_with_no_padding_be/")</f>
        <v/>
      </c>
      <c r="G6001" t="inlineStr">
        <is>
          <t>2020-03-26 22:32:55</t>
        </is>
      </c>
      <c r="H6001" t="inlineStr"/>
    </row>
    <row r="6002">
      <c r="A6002" t="inlineStr">
        <is>
          <t>fpub7v</t>
        </is>
      </c>
      <c r="B6002" t="inlineStr">
        <is>
          <t>Just found out I don't have GERD and it's fucking me up.</t>
        </is>
      </c>
      <c r="C6002" t="inlineStr">
        <is>
          <t>For years I thought I had GERD caused by a weak LES - all symptoms pointed to that and my Gastro specialist thought the same.
I completed the motility and 24 hour impedence monitoring tears a couple months ago and got my results today.
My LES is working properly - I was diagnosed with rumination syndrome. I'm doing this to myself. There's nothing anatomically wrong with me.
I never thought I had this because my symptoms don't totally match up with the syndrome, but apparently it's rare and every case is different.
I can't wrap my head around the idea that I'm doing this to myself. Supposedly surgery will do nothing and I'm going to need therapy to literally teach myself to stop regurgitating.
If you're dealing with nausea and instant regurgitation, you might have this too. It was spotted immediately in the motility test apparently.</t>
        </is>
      </c>
      <c r="D6002" t="n">
        <v>1</v>
      </c>
      <c r="E6002" t="n">
        <v>27</v>
      </c>
      <c r="F6002">
        <f>HYPERLINK("https://www.reddit.com/r/GERD/comments/fpub7v/just_found_out_i_dont_have_gerd_and_its_fucking/")</f>
        <v/>
      </c>
      <c r="G6002" t="inlineStr">
        <is>
          <t>2020-03-27 02:59:21</t>
        </is>
      </c>
      <c r="H6002" t="inlineStr"/>
    </row>
    <row r="6003">
      <c r="A6003" t="inlineStr">
        <is>
          <t>fpw6vh</t>
        </is>
      </c>
      <c r="B6003" t="inlineStr">
        <is>
          <t>Hunger feeling in throat?</t>
        </is>
      </c>
      <c r="C6003" t="inlineStr">
        <is>
          <t>I'm on day 6 after having cut my dose of dexilant and felt wonderful for two days immediately following.
Day 3 until now I've had some really bad heartburn, burning stomach, nausea, a sore throat and a hunger feeling in my throat lower down around my heart area that wont go away even with eating.
The stomach burning and heartburn has settled a little today on day 6 but that hunger feeling is really annoying. I'll keep eating until I make myself sick cause I think I'm still hungry..
Is this just a symptom brought on by acid rebound? How long can I expect this to last and for my throat to heal?</t>
        </is>
      </c>
      <c r="D6003" t="n">
        <v>1</v>
      </c>
      <c r="E6003" t="n">
        <v>0</v>
      </c>
      <c r="F6003">
        <f>HYPERLINK("https://www.reddit.com/r/GERD/comments/fpw6vh/hunger_feeling_in_throat/")</f>
        <v/>
      </c>
      <c r="G6003" t="inlineStr">
        <is>
          <t>2020-03-27 05:36:37</t>
        </is>
      </c>
      <c r="H6003" t="inlineStr"/>
    </row>
    <row r="6004">
      <c r="A6004" t="inlineStr">
        <is>
          <t>fpw792</t>
        </is>
      </c>
      <c r="B6004" t="inlineStr">
        <is>
          <t>Can GERD feel like a squeezing choking pain that starts in your sternum and goes up to throat?</t>
        </is>
      </c>
      <c r="C6004" t="inlineStr">
        <is>
          <t>It can't be described as a normal pain and it's probably not what heart pains feel like either but it's just this deep...squeeze... so painful, uncomfortable, my entire chest and throat like it's trying to choke me from the inside.</t>
        </is>
      </c>
      <c r="D6004" t="n">
        <v>1</v>
      </c>
      <c r="E6004" t="n">
        <v>2</v>
      </c>
      <c r="F6004">
        <f>HYPERLINK("https://www.reddit.com/r/GERD/comments/fpw792/can_gerd_feel_like_a_squeezing_choking_pain_that/")</f>
        <v/>
      </c>
      <c r="G6004" t="inlineStr">
        <is>
          <t>2020-03-27 05:37:26</t>
        </is>
      </c>
      <c r="H6004" t="inlineStr"/>
    </row>
    <row r="6005">
      <c r="A6005" t="inlineStr">
        <is>
          <t>fpwq68</t>
        </is>
      </c>
      <c r="B6005" t="inlineStr">
        <is>
          <t>Had coffee for the first time ...</t>
        </is>
      </c>
      <c r="C6005" t="inlineStr">
        <is>
          <t>Just had coffee for the first time since January when I was diagnosed with GERD... its been under control so I decided to treat myself to just half a cup since I’m tired and up early. Big mistake, I’m having heart burn again :( thankfully not as bad but it seems to automatically trigger my body into anxiety mode. It sucks lol. Just sharing my experience</t>
        </is>
      </c>
      <c r="D6005" t="n">
        <v>1</v>
      </c>
      <c r="E6005" t="n">
        <v>2</v>
      </c>
      <c r="F6005">
        <f>HYPERLINK("https://www.reddit.com/r/GERD/comments/fpwq68/had_coffee_for_the_first_time/")</f>
        <v/>
      </c>
      <c r="G6005" t="inlineStr">
        <is>
          <t>2020-03-27 06:14:38</t>
        </is>
      </c>
      <c r="H6005" t="inlineStr"/>
    </row>
    <row r="6006">
      <c r="A6006" t="inlineStr">
        <is>
          <t>fpx9n2</t>
        </is>
      </c>
      <c r="B6006" t="inlineStr">
        <is>
          <t>What is this?</t>
        </is>
      </c>
      <c r="C6006" t="inlineStr">
        <is>
          <t>Appreciate there’s messages all the time here which vary around “is this LPR/GERD!?” but I’m holed up in my house and have been for two weeks and whatever this thing is it’s driving me around the bend, possibly because I have all day to think about it.
I feel like something is stuck in my throat, just to the left of my Adam’s apple. My throat feels tight, almost like I’m being strangled. I feel a slight dull ache in the same region. My voice is sometimes a little hoarse and I occasionally have a cough. I feel constantly nauseous. I feel like I’m baulking quite a lot. I often feel like the contents of my stomach are at the back of my throat, even if I haven’t eaten for hours (even when I’ve just woken up and haven’t had breakfast yet). Also feel a pressure on my chest between the collar bones and around my lower neck. It never goes away and it’s been present constantly now for two weeks. I’m not in great pain but it’s very uncomfortable.
I’ve been waking up in the middle of the night with a burning sensation in my stomach. I wake up nauseous every single morning. This isn’t just heartburn – I’ve been on omeprazole 40mg a day for five years to deal with the symptoms of acid reflux. This is a distinct feeling of discomfort and burning I feel in my stomach which I’ve had for the last six months. Most days I feel nauseous as a result of this.
One weird thing is that when I try to burp to relieve bloating the air seems to get lost, like it’s got down but something it preventing it from getting back up.
I had an endoscopy scheduled which has now been cancelled due to COVID-19. As such I’m just trying to figure out what’s most likely wrong with me so I can take steps to limit the symptoms. I know I’ve had gastritis and acid reflux for years. I’ve read here about the symptoms of LPR/silent reflux (my acid reflux generally doesn’t develop into heartburn any more, the omeprazole keeps a lid on that) and it sounds pretty similar to what I’ve been going through. Does this sound about right? Does anyone have the same thing and if so, what worked in terms of home treatment?</t>
        </is>
      </c>
      <c r="D6006" t="n">
        <v>1</v>
      </c>
      <c r="E6006" t="n">
        <v>1</v>
      </c>
      <c r="F6006">
        <f>HYPERLINK("https://www.reddit.com/r/GERD/comments/fpx9n2/what_is_this/")</f>
        <v/>
      </c>
      <c r="G6006" t="inlineStr">
        <is>
          <t>2020-03-27 06:51:09</t>
        </is>
      </c>
      <c r="H6006" t="inlineStr"/>
    </row>
    <row r="6007">
      <c r="A6007" t="inlineStr">
        <is>
          <t>fpxako</t>
        </is>
      </c>
      <c r="B6007" t="inlineStr">
        <is>
          <t>Struggling with sleep</t>
        </is>
      </c>
      <c r="C6007" t="inlineStr">
        <is>
          <t>Anyone take anything to get through the night? the elevated bed is driving me nuts too.</t>
        </is>
      </c>
      <c r="D6007" t="n">
        <v>1</v>
      </c>
      <c r="E6007" t="n">
        <v>3</v>
      </c>
      <c r="F6007">
        <f>HYPERLINK("https://www.reddit.com/r/GERD/comments/fpxako/struggling_with_sleep/")</f>
        <v/>
      </c>
      <c r="G6007" t="inlineStr">
        <is>
          <t>2020-03-27 06:52:51</t>
        </is>
      </c>
      <c r="H6007" t="inlineStr"/>
    </row>
    <row r="6008">
      <c r="A6008" t="inlineStr">
        <is>
          <t>fq01jr</t>
        </is>
      </c>
      <c r="B6008" t="inlineStr">
        <is>
          <t>Weird reflux</t>
        </is>
      </c>
      <c r="C6008" t="inlineStr">
        <is>
          <t>Ok so i wanted to watch a movie in bed so basically i stood like normal ppl and didnt felt anything but a cold sensation in my chest. But when i try to sleep like it activates itself, same pozition or even higher, but i feel the acid in my throat and my mouth and cant sleep cuz i know if i fall asleep im done...
I even stood in sit position in bed still i got acid is this even logically normal?
Should i take esomeprazole 2 times including 1 at night?</t>
        </is>
      </c>
      <c r="D6008" t="n">
        <v>1</v>
      </c>
      <c r="E6008" t="n">
        <v>0</v>
      </c>
      <c r="F6008">
        <f>HYPERLINK("https://www.reddit.com/r/GERD/comments/fq01jr/weird_reflux/")</f>
        <v/>
      </c>
      <c r="G6008" t="inlineStr">
        <is>
          <t>2020-03-27 09:28:23</t>
        </is>
      </c>
      <c r="H6008" t="inlineStr"/>
    </row>
    <row r="6009">
      <c r="A6009" t="inlineStr">
        <is>
          <t>fq0q42</t>
        </is>
      </c>
      <c r="B6009" t="inlineStr">
        <is>
          <t>Best OTC for GERD?</t>
        </is>
      </c>
      <c r="C6009" t="inlineStr">
        <is>
          <t>Hey, so I’m 18 and currently experiencing pretty much every symptom of GERD except the heartburn, and since it’s sort of a tough time to go and see a doctor right now, I was wondering what the best OTC meds were for GERD. I took some tums last night but I was skeptical of those being effective before I even tried them. Any advice would be great! Thanks.</t>
        </is>
      </c>
      <c r="D6009" t="n">
        <v>1</v>
      </c>
      <c r="E6009" t="n">
        <v>1</v>
      </c>
      <c r="F6009">
        <f>HYPERLINK("https://www.reddit.com/r/GERD/comments/fq0q42/best_otc_for_gerd/")</f>
        <v/>
      </c>
      <c r="G6009" t="inlineStr">
        <is>
          <t>2020-03-27 10:01:28</t>
        </is>
      </c>
      <c r="H6009" t="inlineStr"/>
    </row>
    <row r="6010">
      <c r="A6010" t="inlineStr">
        <is>
          <t>fq1def</t>
        </is>
      </c>
      <c r="B6010" t="inlineStr">
        <is>
          <t>Free For All Friday - How You Durin'?</t>
        </is>
      </c>
      <c r="C6010" t="inlineStr">
        <is>
          <t xml:space="preserve"> Its been a stressful week for most of us. Just checking to see how  everyone is managing. Feel free to discuss whatever you'd like (SFW only  please) it does not need to be GERD related. We're a community here,  and should be here for each other. We'll do weekly, or multiple weekly  chats until things calm down.</t>
        </is>
      </c>
      <c r="D6010" t="n">
        <v>1</v>
      </c>
      <c r="E6010" t="n">
        <v>72</v>
      </c>
      <c r="F6010">
        <f>HYPERLINK("https://www.reddit.com/r/GERD/comments/fq1def/free_for_all_friday_how_you_durin/")</f>
        <v/>
      </c>
      <c r="G6010" t="inlineStr">
        <is>
          <t>2020-03-27 10:32:48</t>
        </is>
      </c>
      <c r="H6010" t="inlineStr"/>
    </row>
    <row r="6011">
      <c r="A6011" t="inlineStr">
        <is>
          <t>fq1urx</t>
        </is>
      </c>
      <c r="B6011" t="inlineStr">
        <is>
          <t>I set myself up for failure</t>
        </is>
      </c>
      <c r="C6011" t="inlineStr">
        <is>
          <t>3 cigs at 2 am, 3 hours of sleep, venti iced coffee for breakfast. I don’t deserve to complain.</t>
        </is>
      </c>
      <c r="D6011" t="n">
        <v>1</v>
      </c>
      <c r="E6011" t="n">
        <v>1</v>
      </c>
      <c r="F6011">
        <f>HYPERLINK("https://www.reddit.com/r/GERD/comments/fq1urx/i_set_myself_up_for_failure/")</f>
        <v/>
      </c>
      <c r="G6011" t="inlineStr">
        <is>
          <t>2020-03-27 10:56:21</t>
        </is>
      </c>
      <c r="H6011" t="inlineStr"/>
    </row>
    <row r="6012">
      <c r="A6012" t="inlineStr">
        <is>
          <t>fq8rh4</t>
        </is>
      </c>
      <c r="B6012" t="inlineStr">
        <is>
          <t>See a nutritionist!</t>
        </is>
      </c>
      <c r="C6012" t="inlineStr">
        <is>
          <t>My symptoms started almost 2 years ago. I would get a tight throat, a feeling of a lump in my throat, can feel/taste acid on the back of my throat, and sometimes tons of bloating. For background, I’m (22M) healthy, extremely active, however my diet was terrible. I love Chick-Fil-A (who doesn’t), soda, and sweets. Well.. it all caught up to me.
Anxiety was through the roof as I had no idea what it was. Once I found out it was acid reflux, that helped me calm down. I saw a Gastro, and they naturally go straight to PPI’s and Zantac. I found no relief and struggled for a better part of a year on and off PPI’s. I would get reflux even on Prilosec. Finally, 2 months ago, I started considering surgery bc I needed to be off medication for my career after I graduate college.
Before I took that step, I was told to see a nutritionist and figured why not. I did not want to see a Gastro as they just throw you on PPI’s. He’s not just any nutritionist, he used a “weak muscle” test and tested different supplements during the visit to see which had an affect. I was not buying it at all, but gave it a chance. Well he gave me a few dietary supplements and tapered me off of Prilosec over the course of a month.
I can not tell you how long it has been since I have felt this normal. I have had trigger foods and had no ill-affects . I’ve had little to no lump in throat feeling/ tightness of throat. BUT, the last few weeks have been stressful (as you can imagine) so I was eating trigger foods without regulating myself. Well all of the symptoms came back. Cleaned my diet back up again, and back to normal within a few days! When I say clean my diet up, I literally mean a normal balanced diet, nothing crazy. The supplements I have been taking are HCL-Ease, Boswellia Complex, and Gastrazyme. That is for ME, everyone is different, so take those with a grain of salt (not literally). I still needed to change my diet for the better, but I am way less sensitive. 
Moral of the story: If you haven’t already, see a nutritionist and give it a shot. Find one who will “test” you on different dietary supplements. I wish I could tell you what method he actually did, but I honestly don’t know what they call it. This will most likely not work for everyone, as we’re all different. But if it helps someone, I’ll be happy! 
Disclaimer: I don’t feel perfect, but MUCH better. Also, my nutritionist doesn’t want me on these forever. He believes I’ll be able to be off of everything soon. 
Tl;DR: See a nutritionist if you’ve found no relief elsewhere. Try out different digestive enzymes. I found relief taking HCL-Ease, Boswellia Complex, and Gastrazyme. I hope this helps somebody.
Stay safe!</t>
        </is>
      </c>
      <c r="D6012" t="n">
        <v>1</v>
      </c>
      <c r="E6012" t="n">
        <v>16</v>
      </c>
      <c r="F6012">
        <f>HYPERLINK("https://www.reddit.com/r/GERD/comments/fq8rh4/see_a_nutritionist/")</f>
        <v/>
      </c>
      <c r="G6012" t="inlineStr">
        <is>
          <t>2020-03-27 16:42:31</t>
        </is>
      </c>
      <c r="H6012" t="inlineStr"/>
    </row>
    <row r="6013">
      <c r="A6013" t="inlineStr">
        <is>
          <t>fqadti</t>
        </is>
      </c>
      <c r="B6013" t="inlineStr">
        <is>
          <t>Food</t>
        </is>
      </c>
      <c r="C6013" t="inlineStr">
        <is>
          <t>I want a grilled cheese but I have 5 day old heartburn. Can I have said grilled cheese?
No google did not answer my question, I was very disappointed ☹️</t>
        </is>
      </c>
      <c r="D6013" t="n">
        <v>1</v>
      </c>
      <c r="E6013" t="n">
        <v>4</v>
      </c>
      <c r="F6013">
        <f>HYPERLINK("https://www.reddit.com/r/GERD/comments/fqadti/food/")</f>
        <v/>
      </c>
      <c r="G6013" t="inlineStr">
        <is>
          <t>2020-03-27 18:17:17</t>
        </is>
      </c>
      <c r="H6013" t="inlineStr"/>
    </row>
    <row r="6014">
      <c r="A6014" t="inlineStr">
        <is>
          <t>fqazwv</t>
        </is>
      </c>
      <c r="B6014" t="inlineStr">
        <is>
          <t>Does anyone else have only cough as symptom?</t>
        </is>
      </c>
      <c r="C6014" t="inlineStr">
        <is>
          <t>Hi everyone,
I was diagnosed with LPR 1.5 years ago. Back then cough was my primary symptom along with occasional hoarse voice.
Took Zantac for a week or so and saw a good improvement back then though mild cough has persisted.
Recently LPR came back with some hoarse voice and more moderate cough. I even had chest pain, which leads me to believe I had GERD too. It was stupid of me to drink lemon tea and lie down.
Has anyone gotten rid of their cough through only dietary adjustments? I have been on vegetable, fruit and fish diet for 2 weeks and saw big improvement in throat clearing and hoarse voice. Cough has only gotten slightly better though it hasn't gone away.
Not sure if it's relevant, but my cough goes away almost completely once I lie down. But somehow my cough is worse at night. It's weird.
Any tip would be appreciated.</t>
        </is>
      </c>
      <c r="D6014" t="n">
        <v>1</v>
      </c>
      <c r="E6014" t="n">
        <v>2</v>
      </c>
      <c r="F6014">
        <f>HYPERLINK("https://www.reddit.com/r/GERD/comments/fqazwv/does_anyone_else_have_only_cough_as_symptom/")</f>
        <v/>
      </c>
      <c r="G6014" t="inlineStr">
        <is>
          <t>2020-03-27 18:54:21</t>
        </is>
      </c>
      <c r="H6014" t="inlineStr"/>
    </row>
    <row r="6015">
      <c r="A6015" t="inlineStr">
        <is>
          <t>fqc4tk</t>
        </is>
      </c>
      <c r="B6015" t="inlineStr">
        <is>
          <t>Anyone else relate to this? Is this GERD-related?</t>
        </is>
      </c>
      <c r="C6015" t="inlineStr">
        <is>
          <t>I've had GERD for over 15 years now. Had all the tests, all the diets, everything. Have been on 4 Nexium's per day and am told I need to maintain this level the rest of my life. Sometimes the GERD gets worse and I up that to 5 a day for awhile, then wean back down. Can't go any lower than 4. 
I've got a new symptom and I am wondering if it's GERD related or something else: the past few months, I've had this weird pain just under the ribs on the sides. It is on both sides, and alternates sides, which is why I don't think it's gallbladder, and why I can't figure out what the heck it is. 
The pain comes and goes and is present during the day. But is a lot worse at night. It frequently wakes me up out of a dead sleep such that I cry in pain. Seems worse at night than during the day.
It almost feels like a muscular pain, like I tore muscles, but I'm not very active and it's been going on for months now so I don't think it's muscular. It could be my ribs (osteoporosis?) but I'm not sure it's that, as it seems to be just under my ribs.
To describe the pain it's like this -- slather Icy Rub on your hands. Stand up straight. Place your hands on either side of your waist just under your ribs. Now squeeze hard. 
I'm in my mid-50s and female if that matters. Also post-menopausal.  My last checkup was fine, but that was a few years ago. I have been generally in good health. 
The reason I wonder if it's GERD (or gastritis) related is that I've seemed to need the higher dose of Nexium a lot lately.</t>
        </is>
      </c>
      <c r="D6015" t="n">
        <v>1</v>
      </c>
      <c r="E6015" t="n">
        <v>2</v>
      </c>
      <c r="F6015">
        <f>HYPERLINK("https://www.reddit.com/r/GERD/comments/fqc4tk/anyone_else_relate_to_this_is_this_gerdrelated/")</f>
        <v/>
      </c>
      <c r="G6015" t="inlineStr">
        <is>
          <t>2020-03-27 20:07:41</t>
        </is>
      </c>
      <c r="H6015" t="inlineStr"/>
    </row>
    <row r="6016">
      <c r="A6016" t="inlineStr">
        <is>
          <t>fqcv0y</t>
        </is>
      </c>
      <c r="B6016" t="inlineStr">
        <is>
          <t>Is this GERD or?</t>
        </is>
      </c>
      <c r="C6016" t="inlineStr">
        <is>
          <t>Hello everyone and thanks for taking the time to read my post. I'm not sure if what I'm experiencing is GERD or something else, something similar. I know I'll probably get some replies telling me to go see a Doc, which I fully intend to do at this point. Just trying to get some insight into what I may be dealing with. 
So starting maybe 3 to 4 years ago I started to get frequent and very bad heartburn. It got to the point that it was almost a daily occurrence and I finally talked to my Doc about it. He prescribed me prilosec and I have been taking it daily for about 3 years now. I rarely get heartburn anymore. One thing I do get, and this is my big concern, is woken up by choking. Typically I wake up because I choke on my own saliva/stomach acid. This is usually very irritating to my throat which causes me to go into what are essentially coughing spasms. Sometimes this even results in me vomiting. 
One odd thing I've noticed is when I'm trying to breathe when this happens, I can hear a 'crackling' in my breaths as tho something is in my lungs. I assume it may be the fluid I had regurgitated while sleeping but not sure. After coughing for an extended period of time I manage to clear my airway and the crackling goes away and I feel much better. Not without losing a lot of sleep and a sore throat with some coughing following the next 24-48 hours. 
My diet isn't great and I'm sure that's the majority of the reason I experience this. Typically this only happens when I eat a lot of food within a few hours of laying down to go to bed or if I eat something spicy. If I skip dinner altogether it seems to help tremendously. Spicy food causes the regurgitation to burn so bad that my eyes water and my throat will be on fire for hours. It seems to continue to get worse and I'm more and more susceptible as time goes on. 
This is starting to greatly impact my life as I work 2 jobs and have 2 children under 2, one of which is only a few months old. I can deal with a lack of sleep to an extent but this has me downright miserable. I do intend on talking with my Doc now that this has started to become frequent but figured I'd ask here to maybe get an idea of what I might be dealing with beforehand. 
Anyhow, thanks in advance for any input.</t>
        </is>
      </c>
      <c r="D6016" t="n">
        <v>1</v>
      </c>
      <c r="E6016" t="n">
        <v>3</v>
      </c>
      <c r="F6016">
        <f>HYPERLINK("https://www.reddit.com/r/GERD/comments/fqcv0y/is_this_gerd_or/")</f>
        <v/>
      </c>
      <c r="G6016" t="inlineStr">
        <is>
          <t>2020-03-27 20:57:33</t>
        </is>
      </c>
      <c r="H6016" t="inlineStr"/>
    </row>
    <row r="6017">
      <c r="A6017" t="inlineStr">
        <is>
          <t>fqd40q</t>
        </is>
      </c>
      <c r="B6017" t="inlineStr">
        <is>
          <t>17 and I need help with Pantoprazole</t>
        </is>
      </c>
      <c r="C6017" t="inlineStr">
        <is>
          <t>Three months ago, I was prescribed 40mg pantoprazole for acid reflux a day. I'm trying to get off it. My doctor isn't aware of the rebound effects, so I have to go to reddit.
Now, instead of taking it everyday,  I take it every other day. And now, I've been noticing the reboun</t>
        </is>
      </c>
      <c r="D6017" t="n">
        <v>1</v>
      </c>
      <c r="E6017" t="n">
        <v>0</v>
      </c>
      <c r="F6017">
        <f>HYPERLINK("https://www.reddit.com/r/GERD/comments/fqd40q/17_and_i_need_help_with_pantoprazole/")</f>
        <v/>
      </c>
      <c r="G6017" t="inlineStr">
        <is>
          <t>2020-03-27 21:14:35</t>
        </is>
      </c>
      <c r="H6017" t="inlineStr"/>
    </row>
    <row r="6018">
      <c r="A6018" t="inlineStr">
        <is>
          <t>fqd7h8</t>
        </is>
      </c>
      <c r="B6018" t="inlineStr">
        <is>
          <t>17 and I need help with pantoprazole</t>
        </is>
      </c>
      <c r="C6018" t="inlineStr">
        <is>
          <t>Three months ago, I was prescribed 40mg pantoprazole for acid reflux a day. Since then, the medicine has worked and I'm trying to get off it. My doctor isn't aware of the rebound effects, so I have to go to reddit because she wants me to it immediately...
Now, instead of taking it everyday,  I take it every other day. And now, I've been noticing the rebound effects. I can feel my chest and throat burning.  What do I do??? I don't want to reply on pantoprazole again because of the long term side effects are bad.
What do I do? I really need a plan here? Do I go back on it again?  I'm so confused on what to do? Natural remedies? 
Please... I really need help.</t>
        </is>
      </c>
      <c r="D6018" t="n">
        <v>1</v>
      </c>
      <c r="E6018" t="n">
        <v>3</v>
      </c>
      <c r="F6018">
        <f>HYPERLINK("https://www.reddit.com/r/GERD/comments/fqd7h8/17_and_i_need_help_with_pantoprazole/")</f>
        <v/>
      </c>
      <c r="G6018" t="inlineStr">
        <is>
          <t>2020-03-27 21:21:27</t>
        </is>
      </c>
      <c r="H6018" t="inlineStr"/>
    </row>
    <row r="6019">
      <c r="A6019" t="inlineStr">
        <is>
          <t>fqdm4l</t>
        </is>
      </c>
      <c r="B6019" t="inlineStr">
        <is>
          <t>PPIs decreasing in effectiveness?</t>
        </is>
      </c>
      <c r="C6019" t="inlineStr">
        <is>
          <t>Hi all. Does anyone have experience with PPIs decreasing in effectiveness over time, or even going through periods where they work less effectively than usual?
I have been tqking Pariet (rabeprazole) for a year and a half now, cycling between 10mg/day and 20mg/day depending on how I am feeling. Recently in the last 3 weeks or so I have developed indigestion and chest discomfort despite being on a high dose. I was also under the impression that Pariet was one of the strongest PPIs on the market. So this is surprising to me given I have had no issues with it before.
I have actually become nervous and wondered if it was actually a heart issue. But, I realise given I am young (25) and have a GERD diagnosis that this is likely the culprit.
Any ideas?</t>
        </is>
      </c>
      <c r="D6019" t="n">
        <v>1</v>
      </c>
      <c r="E6019" t="n">
        <v>6</v>
      </c>
      <c r="F6019">
        <f>HYPERLINK("https://www.reddit.com/r/GERD/comments/fqdm4l/ppis_decreasing_in_effectiveness/")</f>
        <v/>
      </c>
      <c r="G6019" t="inlineStr">
        <is>
          <t>2020-03-27 21:50:30</t>
        </is>
      </c>
      <c r="H6019" t="inlineStr"/>
    </row>
    <row r="6020">
      <c r="A6020" t="inlineStr">
        <is>
          <t>fqfkx3</t>
        </is>
      </c>
      <c r="B6020" t="inlineStr">
        <is>
          <t>Gerd and palpitations</t>
        </is>
      </c>
      <c r="C6020" t="inlineStr">
        <is>
          <t>Hi all, I was diagnosed with hiatus hernia 2 years ago, been on PPI for about two years and 4 months ago I ended up in hospital thinking I was having a heart attack. I was dizzy, heart racing, sense of doom, the whole thing. Hospital checked me out, said everything is fine and no issues with the heart. Followed up with my GP and had a stress echo and halter monitor for 24 hours and all is clear. Since the ln I've been working my way back to normal through consistent anxiety that they might have missed something and I'll drop dead at any second. These days I'm much better but however I wonder if the anxiety has worsened the hernia. About two weeks after the initial hospital visit I started to get what I think are heart palpitations. It feels almost like a giant air bubble pops in the centre of my chest. Seems to be generally after eating. I also get a tightness in my throat right at the top of the rib cage. Just wanted to see if this correlates to what other people have experienced as before all this all the issue I had with the hernia was reflux. Thanks for your time.</t>
        </is>
      </c>
      <c r="D6020" t="n">
        <v>1</v>
      </c>
      <c r="E6020" t="n">
        <v>30</v>
      </c>
      <c r="F6020">
        <f>HYPERLINK("https://www.reddit.com/r/GERD/comments/fqfkx3/gerd_and_palpitations/")</f>
        <v/>
      </c>
      <c r="G6020" t="inlineStr">
        <is>
          <t>2020-03-28 00:29:03</t>
        </is>
      </c>
      <c r="H6020" t="inlineStr"/>
    </row>
    <row r="6021">
      <c r="A6021" t="inlineStr">
        <is>
          <t>fqgd2a</t>
        </is>
      </c>
      <c r="B6021" t="inlineStr">
        <is>
          <t>Help plsss. Im scared</t>
        </is>
      </c>
      <c r="C6021" t="inlineStr">
        <is>
          <t>After i ate some chocolate i felt slightly pain and disconfort on the left side near Adam apple where i feel a dot that hurt when i swallow.
I dont know if its tonsil cuz is not that swollen, but something is there..
Please what to do next i dont know... 😫😢</t>
        </is>
      </c>
      <c r="D6021" t="n">
        <v>1</v>
      </c>
      <c r="E6021" t="n">
        <v>7</v>
      </c>
      <c r="F6021">
        <f>HYPERLINK("https://www.reddit.com/r/GERD/comments/fqgd2a/help_plsss_im_scared/")</f>
        <v/>
      </c>
      <c r="G6021" t="inlineStr">
        <is>
          <t>2020-03-28 01:40:07</t>
        </is>
      </c>
      <c r="H6021" t="inlineStr"/>
    </row>
    <row r="6022">
      <c r="A6022" t="inlineStr">
        <is>
          <t>fqh35t</t>
        </is>
      </c>
      <c r="B6022" t="inlineStr">
        <is>
          <t>Being referred to a specialist</t>
        </is>
      </c>
      <c r="C6022" t="inlineStr">
        <is>
          <t>Hi my doctor is referring me to a gastroenterologist when I am there I have questions on certain foods that impact me and my stomach do these doctors help you and point out certain food that are good for acid reflux I know everyone's different but what should I expect and what can I gain from going to one</t>
        </is>
      </c>
      <c r="D6022" t="n">
        <v>1</v>
      </c>
      <c r="E6022" t="n">
        <v>1</v>
      </c>
      <c r="F6022">
        <f>HYPERLINK("https://www.reddit.com/r/GERD/comments/fqh35t/being_referred_to_a_specialist/")</f>
        <v/>
      </c>
      <c r="G6022" t="inlineStr">
        <is>
          <t>2020-03-28 02:47:30</t>
        </is>
      </c>
      <c r="H6022" t="inlineStr"/>
    </row>
    <row r="6023">
      <c r="A6023" t="inlineStr">
        <is>
          <t>fqh3fj</t>
        </is>
      </c>
      <c r="B6023" t="inlineStr">
        <is>
          <t>I solved 80-90% of nightmare gerd symptoms.</t>
        </is>
      </c>
      <c r="C6023" t="inlineStr">
        <is>
          <t>End of 2018 I was a bit irresponsible with a medication and when I stopped, I was sensitive to food and my stomach was weak, bad reflux and before before I stopped eating too much sugar, it felt really painful. I had a gastroscopy to check why I was getting reflux and the results were clear.
Fast forward a couple of months and most of the symptoms subsided after using magnesium, fish oil and vitamin D. I also benefit from ginger.</t>
        </is>
      </c>
      <c r="D6023" t="n">
        <v>1</v>
      </c>
      <c r="E6023" t="n">
        <v>4</v>
      </c>
      <c r="F6023">
        <f>HYPERLINK("https://www.reddit.com/r/GERD/comments/fqh3fj/i_solved_8090_of_nightmare_gerd_symptoms/")</f>
        <v/>
      </c>
      <c r="G6023" t="inlineStr">
        <is>
          <t>2020-03-28 02:48:06</t>
        </is>
      </c>
      <c r="H6023" t="inlineStr"/>
    </row>
    <row r="6024">
      <c r="A6024" t="inlineStr">
        <is>
          <t>fqk6pl</t>
        </is>
      </c>
      <c r="B6024" t="inlineStr">
        <is>
          <t>Supper Saturday! Share your favourite friendly foods (and meals)</t>
        </is>
      </c>
      <c r="C6024" t="inlineStr">
        <is>
          <t>Got a suggestion for foods to eat? Or what's your go to meal or snack. Share any suggestions, and if it is a meal please post the recipe.</t>
        </is>
      </c>
      <c r="D6024" t="n">
        <v>1</v>
      </c>
      <c r="E6024" t="n">
        <v>38</v>
      </c>
      <c r="F6024">
        <f>HYPERLINK("https://www.reddit.com/r/GERD/comments/fqk6pl/supper_saturday_share_your_favourite_friendly/")</f>
        <v/>
      </c>
      <c r="G6024" t="inlineStr">
        <is>
          <t>2020-03-28 06:29:07</t>
        </is>
      </c>
      <c r="H6024" t="inlineStr"/>
    </row>
    <row r="6025">
      <c r="A6025" t="inlineStr">
        <is>
          <t>fqqabe</t>
        </is>
      </c>
      <c r="B6025" t="inlineStr">
        <is>
          <t>Strange acid taste coming up from teeth upon waking?</t>
        </is>
      </c>
      <c r="C6025" t="inlineStr">
        <is>
          <t>Someone have this ? I have a chronic sore throat that feels like strep 24/7  , already done a million of studies no hernia ,no autoonmune disorder no burning mouth, sgorjens etc.throat cultures negative  , when I sleep I feel the acid/bloody taste coming up from my upper third molars, If I try to found the root of the acid it only comes straight up on my teeth , if I put my tongue on my palate , throat , low teeth, cheeks and other part of the mouth I can taste anything beside the normal, I only sense it emanating it from my upper molars , someone relates? Sorry if I can explain me well since english is not my language.</t>
        </is>
      </c>
      <c r="D6025" t="n">
        <v>1</v>
      </c>
      <c r="E6025" t="n">
        <v>5</v>
      </c>
      <c r="F6025">
        <f>HYPERLINK("https://www.reddit.com/r/GERD/comments/fqqabe/strange_acid_taste_coming_up_from_teeth_upon/")</f>
        <v/>
      </c>
      <c r="G6025" t="inlineStr">
        <is>
          <t>2020-03-28 12:05:26</t>
        </is>
      </c>
      <c r="H6025" t="inlineStr"/>
    </row>
    <row r="6026">
      <c r="A6026" t="inlineStr">
        <is>
          <t>fqrunh</t>
        </is>
      </c>
      <c r="B6026" t="inlineStr">
        <is>
          <t>GERD from childhood?</t>
        </is>
      </c>
      <c r="C6026" t="inlineStr">
        <is>
          <t>So recently I've been experiencing a chronic cough, difficulty/pain when swallowing, and a strange bubbling sensation in my stomach when drinking caffeine/alcohol, and a hoarse voice/pain when speaking. Upon researching this, all of these seem clear signs of GERD.
However, I looked up other symptoms of GERD, and I've had many of them since I was very young. I've been prone to drooling/had excessive saliva since I was a kid. I've long had a dry mouth and bad breath. I found that having a feeling of a lump in your throat is a symptom of GERD, and this is when I learned that feeling a lump in your throat is not normal—I can't remember a time when I haven't felt this. 
These symptoms seem to be clear cut. However, I've been if not bullied at least shamed throughout high school for being underweight and having a strange voice. Many people have told me I have a strange accent, but there's no reason I should have one—I grew up here, same as everyone else. I've tried to gain weight and fix my voice several times in the past with little success (especially after I was rejected by a crush and suspected this might be the cause). 
I guess I wanted to ask if anyone has experienced anything similar since the latter two are more conjecture on my part. And if so, how do I get this thing fixed, and is it a straightforward process to rehabilitate my body and voice after that? I know I should probably see a doctor or a specialist, but I'm having a hard time getting appointments right now with COVID running around. But learning that some of the things I don't like about myself have been caused by a condition and my efforts to fix them might have been in vain—it's making me angry, and I really want to do something about it, as soon as I can.</t>
        </is>
      </c>
      <c r="D6026" t="n">
        <v>1</v>
      </c>
      <c r="E6026" t="n">
        <v>1</v>
      </c>
      <c r="F6026">
        <f>HYPERLINK("https://www.reddit.com/r/GERD/comments/fqrunh/gerd_from_childhood/")</f>
        <v/>
      </c>
      <c r="G6026" t="inlineStr">
        <is>
          <t>2020-03-28 13:28:52</t>
        </is>
      </c>
      <c r="H6026" t="inlineStr"/>
    </row>
    <row r="6027">
      <c r="A6027" t="inlineStr">
        <is>
          <t>fqsohj</t>
        </is>
      </c>
      <c r="B6027" t="inlineStr">
        <is>
          <t>Does anyone have experience was very bad throat congestion/post nasal drip?</t>
        </is>
      </c>
      <c r="C6027" t="inlineStr">
        <is>
          <t>I’ve had symptoms for the last two months—it started with a lump in the throat feeling, throat congestion, hoarse voice on/off, sore throat on/off, increase in tonsil stones (may have nothing to do with things, just more aware of them), sometimes difficulty swallowing especially my own spit, burning in throat. I was diagnosed with GERD (although I think my symptoms were more in line with LPR/silent relfux, medical professionals don’t often differentiate it seems though) and put me on 40 mg/day protonix. The meds did help many of the symptoms and I have been religiously following the GERD diet/protocol. I had my first endoscopy done early last week which showed a whole lot of nothing...no hiatal hernia, no esophagitis, no gastritis, negative h pylori, negative celiac. I did have congestion, edema, and some chronic inflammation in my stomach. Recommendation was to continue with the meds for now but they thought I was doing well. Most of my symptoms have gone away at this point—2 months into it. Of course, I am sticking to the diet/protocol though, I’m sure everything would flair up again if I go back to my old ways. 
My biggest remaining symptom is throat congestion. I don’t really get nasal congestion other than sometimes in the evening when I lie down, which I’ve always had certain times of the year. Nasal strips and a humidifier help at night. I feel I can breathe clearer through my nose most of the time during the day. I actually have a lot more difficulty breathing through my mouth (it feels like breathing through mucus). During the day, I get intense throat congestion that can be really uncomfortable. Sometimes my voice becomes hoarse due to it and I get short of breath. I don’t even drink/eat dairy products anymore because it seems to make it worse. The congestion seems to flair up the worst in the early afternoon even if I don’t go outside, so I’m not sure if it’s allergies or the GERD. It did all start around the same time when my GERD issues started up. 
I had a virtual ENT appointment (they wouldn’t see me in person with everything going on) earlier this week where my ENT recommended I use nasacort spray daily, flush out my sinuses with Neil med sinus rinse, and continue to take daily allergy medication (Claritin). He thought my symptoms were a combination of allergies and acid reflux. He was confident it would resolve eventually. I have been doing these things and it hasn’t really helped yet (allergy spray feels worse almost?) but he cautioned me it takes time. 
My question is... can you have throat congestion without much nasal congestion? Has anyone had these symptoms be a result of their GERD instead? I feel like there’s a lot of mucus hanging out in the back of my throat always. It’s different than the lump feeling I had before which went away. It would’ve been helpful if he could actually look with a scope, but I understand why we couldn’t meet in person right now. I had very bad seasonal allergies as a child and I’ve always have food allergies (I’m allergic to all fruit except banana). I need to get into an allergist as I haven’t seen one since I was a child, but it’s difficult to get appointments for anything right now.</t>
        </is>
      </c>
      <c r="D6027" t="n">
        <v>1</v>
      </c>
      <c r="E6027" t="n">
        <v>0</v>
      </c>
      <c r="F6027">
        <f>HYPERLINK("https://www.reddit.com/r/GERD/comments/fqsohj/does_anyone_have_experience_was_very_bad_throat/")</f>
        <v/>
      </c>
      <c r="G6027" t="inlineStr">
        <is>
          <t>2020-03-28 14:12:16</t>
        </is>
      </c>
      <c r="H6027" t="inlineStr"/>
    </row>
    <row r="6028">
      <c r="A6028" t="inlineStr">
        <is>
          <t>fqt33j</t>
        </is>
      </c>
      <c r="B6028" t="inlineStr">
        <is>
          <t>Does anyone else have a cold feeling while drinking?</t>
        </is>
      </c>
      <c r="C6028" t="inlineStr">
        <is>
          <t>While drinking cold liquids? I can feel it go down chest and and back (spine area) it will feel frozen for a while after too . I’m 24</t>
        </is>
      </c>
      <c r="D6028" t="n">
        <v>2</v>
      </c>
      <c r="E6028" t="n">
        <v>3</v>
      </c>
      <c r="F6028">
        <f>HYPERLINK("https://www.reddit.com/r/GERD/comments/fqt33j/does_anyone_else_have_a_cold_feeling_while/")</f>
        <v/>
      </c>
      <c r="G6028" t="inlineStr">
        <is>
          <t>2020-03-28 14:34:01</t>
        </is>
      </c>
      <c r="H6028" t="inlineStr"/>
    </row>
    <row r="6029">
      <c r="A6029" t="inlineStr">
        <is>
          <t>fqtmlw</t>
        </is>
      </c>
      <c r="B6029" t="inlineStr">
        <is>
          <t>Shortness of breath from GERD (no it is not COVID)</t>
        </is>
      </c>
      <c r="C6029" t="inlineStr">
        <is>
          <t>20 year old male, diagnosed with GERD but recently have been burping a lot, having tightness in chest, taste of acid in my mouth and shortness of breath. I bit the bullet and sent to a pulmonologist in the middle of this crazy pandemic and he says it is either anxiety or asthma and I and that GERD usually doesn’t cause shortness of breath, is this true in you guys experience, I am also scheduled for breathing tests towards the end of the month. My question for this thread is if anyone has experienced prolonged (1-2 week) shortness of breath symptoms from GERD. I have a pulse oximeter and monitor my oxygen saturation which is always good and it leaves me puzzled.</t>
        </is>
      </c>
      <c r="D6029" t="n">
        <v>1</v>
      </c>
      <c r="E6029" t="n">
        <v>39</v>
      </c>
      <c r="F6029">
        <f>HYPERLINK("https://www.reddit.com/r/GERD/comments/fqtmlw/shortness_of_breath_from_gerd_no_it_is_not_covid/")</f>
        <v/>
      </c>
      <c r="G6029" t="inlineStr">
        <is>
          <t>2020-03-28 15:02:23</t>
        </is>
      </c>
      <c r="H6029" t="inlineStr"/>
    </row>
    <row r="6030">
      <c r="A6030" t="inlineStr">
        <is>
          <t>fqtrzk</t>
        </is>
      </c>
      <c r="B6030" t="inlineStr">
        <is>
          <t>Are there any drinks (besides water) that you have found you can tolerate?</t>
        </is>
      </c>
      <c r="C6030" t="inlineStr">
        <is>
          <t>I recently learned that sodas were making it worse, but water is just getting so boring. Any other options?</t>
        </is>
      </c>
      <c r="D6030" t="n">
        <v>1</v>
      </c>
      <c r="E6030" t="n">
        <v>16</v>
      </c>
      <c r="F6030">
        <f>HYPERLINK("https://www.reddit.com/r/GERD/comments/fqtrzk/are_there_any_drinks_besides_water_that_you_have/")</f>
        <v/>
      </c>
      <c r="G6030" t="inlineStr">
        <is>
          <t>2020-03-28 15:10:14</t>
        </is>
      </c>
      <c r="H6030" t="inlineStr"/>
    </row>
    <row r="6031">
      <c r="A6031" t="inlineStr">
        <is>
          <t>fqttsw</t>
        </is>
      </c>
      <c r="B6031" t="inlineStr">
        <is>
          <t>Does this sound like GERD?</t>
        </is>
      </c>
      <c r="C6031" t="inlineStr">
        <is>
          <t>The past couple days I have been having extreme anxiety over tons of different things about my health. Started with small amounts of stomach discomfort in the upper stomach area and lower stomach on and off with a mix of diarrhea and constipation. Recently that has stopped being as bad but then I noticed when I am eating food (no pain, no heartburn, nothing really) and drink water it feels like im washing down food stuck in my throat almost. There isnt much pain just the slight discomfort. Is this all just my anxiety screwing with me? I know this isnt a place to get diagnosed and rest assured I am planning on scheduling a doctors appointment as soon as I can.</t>
        </is>
      </c>
      <c r="D6031" t="n">
        <v>1</v>
      </c>
      <c r="E6031" t="n">
        <v>1</v>
      </c>
      <c r="F6031">
        <f>HYPERLINK("https://www.reddit.com/r/GERD/comments/fqttsw/does_this_sound_like_gerd/")</f>
        <v/>
      </c>
      <c r="G6031" t="inlineStr">
        <is>
          <t>2020-03-28 15:12:56</t>
        </is>
      </c>
      <c r="H6031" t="inlineStr"/>
    </row>
    <row r="6032">
      <c r="A6032" t="inlineStr">
        <is>
          <t>fqw94r</t>
        </is>
      </c>
      <c r="B6032" t="inlineStr">
        <is>
          <t>GERD and Night Sweats plus occasional chills when laying down?</t>
        </is>
      </c>
      <c r="C6032" t="inlineStr">
        <is>
          <t>Hey everyone, just wanted to ask if anyone else is experiencing this. I pretty much have all the classic GERD symptoms and when I got checked by my Provider, I was put on 20 mg of omeprazole. The only thing is I seem to be getting night sweats and chills. I usually get the chills when I’m laying down in the afternoon/during the day. The night sweats usually happen when I accidentally end up laying flat down from moving too much since I usually prop my pillows high up. The night sweats seems to be usually accompanied by a sore throat when I wale up in the middle of the night. I always check my temp but no fever. I saw some articles online that GERD can cause night sweats but was wondering if anyone else was experiencing the same thing. I have health anxiety and kinda wanted some peace of mind. Unfortunately, it’s tough to see my doc right now cause of the COVID-19.</t>
        </is>
      </c>
      <c r="D6032" t="n">
        <v>1</v>
      </c>
      <c r="E6032" t="n">
        <v>6</v>
      </c>
      <c r="F6032">
        <f>HYPERLINK("https://www.reddit.com/r/GERD/comments/fqw94r/gerd_and_night_sweats_plus_occasional_chills_when/")</f>
        <v/>
      </c>
      <c r="G6032" t="inlineStr">
        <is>
          <t>2020-03-28 17:33:28</t>
        </is>
      </c>
      <c r="H6032" t="inlineStr"/>
    </row>
    <row r="6033">
      <c r="A6033" t="inlineStr">
        <is>
          <t>fqwb1d</t>
        </is>
      </c>
      <c r="B6033" t="inlineStr">
        <is>
          <t>Icecream, cheesecake etc</t>
        </is>
      </c>
      <c r="C6033" t="inlineStr">
        <is>
          <t>I love the taste but feeling sick for the rest of the day, and knowing that I won't be able to exercise or walk is not worth it. The mix of anything creamy with sugar, or just cream on it's own sets me off so bad. 
If I want ice cream in the summer, it's nearly a mission to do all daily tasks before hand so I can sit in regret for the night.</t>
        </is>
      </c>
      <c r="D6033" t="n">
        <v>2</v>
      </c>
      <c r="E6033" t="n">
        <v>7</v>
      </c>
      <c r="F6033">
        <f>HYPERLINK("https://www.reddit.com/r/GERD/comments/fqwb1d/icecream_cheesecake_etc/")</f>
        <v/>
      </c>
      <c r="G6033" t="inlineStr">
        <is>
          <t>2020-03-28 17:36:30</t>
        </is>
      </c>
      <c r="H6033" t="inlineStr"/>
    </row>
    <row r="6034">
      <c r="A6034" t="inlineStr">
        <is>
          <t>fqwp9k</t>
        </is>
      </c>
      <c r="B6034" t="inlineStr">
        <is>
          <t>Does anyone have experience with bad post nasal drip?</t>
        </is>
      </c>
      <c r="C6034" t="inlineStr">
        <is>
          <t>I’ve had symptoms for the last two months—it started with a lump in the throat feeling, throat congestion, hoarse voice on/off, sore throat on/off, increase in tonsil stones (may have nothing to do with things, just more aware of them), sometimes difficulty swallowing especially my own spit, burning in throat. I was diagnosed with GERD (although I think my symptoms were more in line with LPR/silent relfux, medical professionals don’t often differentiate it seems though) and put me on 40 mg/day protonix. The meds did help many of the symptoms and I have been religiously following the GERD diet/protocol. I had my first endoscopy done early last week which showed a whole lot of nothing...no hiatal hernia, no esophagitis, no gastritis, negative h pylori, negative celiac. I did have congestion, edema, and some chronic inflammation in my stomach. Recommendation was to continue with the meds for now but they thought I was doing well. Most of my symptoms have gone away at this point—2 months into it. Of course, I am sticking to the diet/protocol though, I’m sure everything would flair up again if I go back to my old ways. 
My biggest remaining symptom is throat congestion. I don’t really get nasal congestion other than sometimes in the evening when I lie down, which I’ve always had certain times of the year. Nasal strips and a humidifier help at night. I feel I can breathe clearer through my nose most of the time during the day. I actually have a lot more difficulty breathing through my mouth (it feels like breathing through mucus). During the day, I get intense throat congestion that can be really uncomfortable. Sometimes my voice becomes hoarse due to it and I get short of breath. I don’t even drink/eat dairy products anymore because it seems to make it worse. The congestion seems to flair up the worst in the early afternoon even if I don’t go outside, so I’m not sure if it’s allergies or the GERD. It did all start around the same time when my GERD issues started up. 
I had a virtual ENT appointment (they wouldn’t see me in person with everything going on) earlier this week where my ENT recommended I use nasacort spray daily, flush out my sinuses with Neil med sinus rinse, and continue to take daily allergy medication (Claritin). He thought my symptoms were a combination of allergies and acid reflux. He was confident it would resolve eventually. I have been doing these things and it hasn’t really helped yet (allergy spray feels worse almost?) but he cautioned me it takes time. 
My question is... can you have throat congestion without much nasal congestion? Has anyone had these symptoms be a result of their GERD instead? I feel like there’s a lot of mucus hanging out in the back of my throat always. It’s different than the lump feeling I had before which went away. It would’ve been helpful if he could actually look with a scope, but I understand why we couldn’t meet in person right now. I had very bad seasonal allergies as a child and I’ve always have food allergies (I’m allergic to all fruit except banana). I need to get into an allergist as I haven’t seen one since I was a child, but it’s difficult to get appointments for anything right now.</t>
        </is>
      </c>
      <c r="D6034" t="n">
        <v>1</v>
      </c>
      <c r="E6034" t="n">
        <v>21</v>
      </c>
      <c r="F6034">
        <f>HYPERLINK("https://www.reddit.com/r/GERD/comments/fqwp9k/does_anyone_have_experience_with_bad_post_nasal/")</f>
        <v/>
      </c>
      <c r="G6034" t="inlineStr">
        <is>
          <t>2020-03-28 18:00:43</t>
        </is>
      </c>
      <c r="H6034" t="inlineStr"/>
    </row>
    <row r="6035">
      <c r="A6035" t="inlineStr">
        <is>
          <t>fqx37y</t>
        </is>
      </c>
      <c r="B6035" t="inlineStr">
        <is>
          <t>Anti-diet CHAOS.</t>
        </is>
      </c>
      <c r="C6035" t="inlineStr">
        <is>
          <t>You may wish to avoid these in your diet, lower the amount consumed, and/or ingest only in the morning with your breakfast.
* CHocolate/Coffee/Caffeine
* Acid/Alcohol (Citrus, tomato, pineapple; vinegar; vitamin C powders)
* Oily foods (deep fried, bacon, high-fat foods)
* Spicy foods (hot pepper, black pepper, hot sauces)
I was trying to find an appropriate acronym to remember what to avoid. Please share yours, if you have a better one. :-) Scrabble generators online are a good resource for making acronyms.
For my normal vitamin C intake, I drink apple juice, or eat fresh/dried fruits.</t>
        </is>
      </c>
      <c r="D6035" t="n">
        <v>2</v>
      </c>
      <c r="E6035" t="n">
        <v>8</v>
      </c>
      <c r="F6035">
        <f>HYPERLINK("https://www.reddit.com/r/GERD/comments/fqx37y/antidiet_chaos/")</f>
        <v/>
      </c>
      <c r="G6035" t="inlineStr">
        <is>
          <t>2020-03-28 18:25:02</t>
        </is>
      </c>
      <c r="H6035" t="inlineStr"/>
    </row>
    <row r="6036">
      <c r="A6036" t="inlineStr">
        <is>
          <t>fqx85c</t>
        </is>
      </c>
      <c r="B6036" t="inlineStr">
        <is>
          <t>Why aren't enteric coated pills played up more for GERD patients?</t>
        </is>
      </c>
      <c r="C6036" t="inlineStr">
        <is>
          <t>So I have severe GERD and a variety of health problems. For one of my health problems, I've been trying supplements such as curcumin and fish oil. I had to limit my dose because they easily triggered GERD.
Then I randomly came across enteric coating, where the pills don't break down in the acidic stomach, but only in the alkaline small intestine. I've noticed significantly less GERD symptoms.
Why hasn't any doctor recommended this really helpful trick? I'm now thinking about buying empty enteric coated capsules and putting my CBD oil in it.
Is there something I'm missing? Does anyone have any experience with this?
Thanks.</t>
        </is>
      </c>
      <c r="D6036" t="n">
        <v>1</v>
      </c>
      <c r="E6036" t="n">
        <v>3</v>
      </c>
      <c r="F6036">
        <f>HYPERLINK("https://www.reddit.com/r/GERD/comments/fqx85c/why_arent_enteric_coated_pills_played_up_more_for/")</f>
        <v/>
      </c>
      <c r="G6036" t="inlineStr">
        <is>
          <t>2020-03-28 18:33:28</t>
        </is>
      </c>
      <c r="H6036" t="inlineStr"/>
    </row>
    <row r="6037">
      <c r="A6037" t="inlineStr">
        <is>
          <t>fqxvdx</t>
        </is>
      </c>
      <c r="B6037" t="inlineStr">
        <is>
          <t>Covid 19 anxiety because of gerd/LPR related cough</t>
        </is>
      </c>
      <c r="C6037" t="inlineStr">
        <is>
          <t>So, I stopped taking my Nexium about 1 week ago, due to me wanting to ween off of acid medication &amp;amp; try to just fix my diet and rid the issue. Today a week later I have a cough, with lpr symptoms, I hadn’t had a cough from LPR since 1+ year ago (before I started taking the meds) I honestly can’t tell if my cough is from LPR or worrying that I might have covid 19. Anyone else In this same dilemma ? I want to take a PPI, but again... I’m kinda scared to do so just in case it might be harder to fight the virus with surprising stomach acid</t>
        </is>
      </c>
      <c r="D6037" t="n">
        <v>1</v>
      </c>
      <c r="E6037" t="n">
        <v>9</v>
      </c>
      <c r="F6037">
        <f>HYPERLINK("https://www.reddit.com/r/GERD/comments/fqxvdx/covid_19_anxiety_because_of_gerdlpr_related_cough/")</f>
        <v/>
      </c>
      <c r="G6037" t="inlineStr">
        <is>
          <t>2020-03-28 19:14:36</t>
        </is>
      </c>
      <c r="H6037" t="inlineStr"/>
    </row>
    <row r="6038">
      <c r="A6038" t="inlineStr">
        <is>
          <t>fqy5d2</t>
        </is>
      </c>
      <c r="B6038" t="inlineStr">
        <is>
          <t>Vertigo?</t>
        </is>
      </c>
      <c r="C6038" t="inlineStr">
        <is>
          <t>Is it possible to get vertigo from GERD ?</t>
        </is>
      </c>
      <c r="D6038" t="n">
        <v>1</v>
      </c>
      <c r="E6038" t="n">
        <v>1</v>
      </c>
      <c r="F6038">
        <f>HYPERLINK("https://www.reddit.com/r/GERD/comments/fqy5d2/vertigo/")</f>
        <v/>
      </c>
      <c r="G6038" t="inlineStr">
        <is>
          <t>2020-03-28 19:32:33</t>
        </is>
      </c>
      <c r="H6038" t="inlineStr"/>
    </row>
    <row r="6039">
      <c r="A6039" t="inlineStr">
        <is>
          <t>fqyqe6</t>
        </is>
      </c>
      <c r="B6039" t="inlineStr">
        <is>
          <t>For GERD sufferers</t>
        </is>
      </c>
      <c r="C6039" t="inlineStr">
        <is>
          <t>For GERD sufferers 
Does ppi work for you? When you take them can you eat whatever you want without any discomfort ?</t>
        </is>
      </c>
      <c r="D6039" t="n">
        <v>1</v>
      </c>
      <c r="E6039" t="n">
        <v>9</v>
      </c>
      <c r="F6039">
        <f>HYPERLINK("https://www.reddit.com/r/GERD/comments/fqyqe6/for_gerd_sufferers/")</f>
        <v/>
      </c>
      <c r="G6039" t="inlineStr">
        <is>
          <t>2020-03-28 20:11:36</t>
        </is>
      </c>
      <c r="H6039" t="inlineStr"/>
    </row>
    <row r="6040">
      <c r="A6040" t="inlineStr">
        <is>
          <t>fqzgaj</t>
        </is>
      </c>
      <c r="B6040" t="inlineStr">
        <is>
          <t>Small red blood spots in my stools.</t>
        </is>
      </c>
      <c r="C6040" t="inlineStr">
        <is>
          <t xml:space="preserve">  anyone else get this? i have gerd but this just started</t>
        </is>
      </c>
      <c r="D6040" t="n">
        <v>1</v>
      </c>
      <c r="E6040" t="n">
        <v>7</v>
      </c>
      <c r="F6040">
        <f>HYPERLINK("https://www.reddit.com/r/GERD/comments/fqzgaj/small_red_blood_spots_in_my_stools/")</f>
        <v/>
      </c>
      <c r="G6040" t="inlineStr">
        <is>
          <t>2020-03-28 21:01:58</t>
        </is>
      </c>
      <c r="H6040" t="inlineStr"/>
    </row>
    <row r="6041">
      <c r="A6041" t="inlineStr">
        <is>
          <t>fr1270</t>
        </is>
      </c>
      <c r="B6041" t="inlineStr">
        <is>
          <t>Flare ups later in life?</t>
        </is>
      </c>
      <c r="C6041" t="inlineStr">
        <is>
          <t>Helloo~ I am a 22 yo woman, and I’ve had GERD for most of my life, since I was about 6. I never had any intense symptoms growing up but in the past year I’ve been having horrible reactions to foods I normally ate without problem... has anyone else found that as they get older their symptoms get worse? 
It’s like I know what can make me sick but every time, I eat it anyways and when I get sick I’m like 😨 “gasp I wonder if it’s [insert triggering food]”
I’ve been drinking a lot of grapefruit juice recently so I’m like... 99% sure that’s the cause of this flare up... haven’t been able to properly sleep or lay down without pain in my upper abdomen, nausea, and occasionally throwing up if it’s too intense.... it’s frustrating. I hate having to change my diet :/</t>
        </is>
      </c>
      <c r="D6041" t="n">
        <v>1</v>
      </c>
      <c r="E6041" t="n">
        <v>4</v>
      </c>
      <c r="F6041">
        <f>HYPERLINK("https://www.reddit.com/r/GERD/comments/fr1270/flare_ups_later_in_life/")</f>
        <v/>
      </c>
      <c r="G6041" t="inlineStr">
        <is>
          <t>2020-03-28 23:04:06</t>
        </is>
      </c>
      <c r="H6041" t="inlineStr"/>
    </row>
    <row r="6042">
      <c r="A6042" t="inlineStr">
        <is>
          <t>fr1bjj</t>
        </is>
      </c>
      <c r="B6042" t="inlineStr">
        <is>
          <t>Prilosec/Omeprazole</t>
        </is>
      </c>
      <c r="C6042" t="inlineStr">
        <is>
          <t>Hey y’all. So, about 5 months ago I went into the ER because a chunk of steak was lodged in my throat. Upon putting me under and using a scope to move the steak, and examine my esophagus/stomach, I was told to take Prilosec for acid reflux, as there was some noticeable “damage” to my stomach/esophagus due to frequent acid reflux. 
In my idiocy, I did not follow the recommendations of my doctor. 
Come 6 days ago, I went into the ER for chest/shoulder pain on the left side. Doc did an EKG and my heart is perfect. Looked at my records and saw the ER visit and recommendations from my DR. Once again, suggested Prilosec. 
I start Prilosec 5 days ago and today, I have experienced mild cramps, some bloating and diarrhea. It’s fucking miserable and I’m WedMD-ing the living shit out of this stuff, and freaking myself out. Worried about Colitis and all of that. I’ve taken some Pepto to try to help, but it doesn’t seem to be doing much. 
Has anyone experienced this? Similar symptoms? Other than the obvious (calling my DR), does anyone else have any suggestions to curb this shit (literally)?</t>
        </is>
      </c>
      <c r="D6042" t="n">
        <v>1</v>
      </c>
      <c r="E6042" t="n">
        <v>3</v>
      </c>
      <c r="F6042">
        <f>HYPERLINK("https://www.reddit.com/r/GERD/comments/fr1bjj/prilosecomeprazole/")</f>
        <v/>
      </c>
      <c r="G6042" t="inlineStr">
        <is>
          <t>2020-03-28 23:25:28</t>
        </is>
      </c>
      <c r="H6042" t="inlineStr"/>
    </row>
    <row r="6043">
      <c r="A6043" t="inlineStr">
        <is>
          <t>fr1j3x</t>
        </is>
      </c>
      <c r="B6043" t="inlineStr">
        <is>
          <t>arytenoid swelling/irritation (larynx) (lpr)</t>
        </is>
      </c>
      <c r="C6043" t="inlineStr">
        <is>
          <t>looks like ive had acid reflux and lpr for over 6months. was keeping late nights, drinking lots of coffee, bit of beer, and eating whatever. would wake up with weird pane in lower throat. started taking ppis and dropped coffee/beer and lower throat pain went away. but i also had something higher up in my throat, which has persisted. vid showed its the cartilage of upper larynx called arytenoid. couple edema bumps there, one bigger. i'm really trying to do everything right in terms of diet, eating habits, ppis, and sleep, but these bumps are persisting. i'm wondering if you've had success with these eventually getting smaller and/or going away. as i don't feel any heartburn of even acid in throat after eating, at this point i'm not sure if these bumps get irritated simply through the swallowing process as opposed to new flux. they never wake up sore/irritated. it's always during or right after eating. can reflux happend that fast? during eating? wondering if anyone else here has experienced this and gotten past it. at this point i'm just looking for shrinkage, as i can feel it 24/7. thanks!</t>
        </is>
      </c>
      <c r="D6043" t="n">
        <v>1</v>
      </c>
      <c r="E6043" t="n">
        <v>27</v>
      </c>
      <c r="F6043">
        <f>HYPERLINK("https://www.reddit.com/r/GERD/comments/fr1j3x/arytenoid_swellingirritation_larynx_lpr/")</f>
        <v/>
      </c>
      <c r="G6043" t="inlineStr">
        <is>
          <t>2020-03-28 23:43:26</t>
        </is>
      </c>
      <c r="H6043" t="inlineStr"/>
    </row>
    <row r="6044">
      <c r="A6044" t="inlineStr">
        <is>
          <t>fr3bcx</t>
        </is>
      </c>
      <c r="B6044" t="inlineStr">
        <is>
          <t>Is a hiatal repair surgery worth it? Is it effective to stop this daily acid reflux?)</t>
        </is>
      </c>
      <c r="C6044" t="inlineStr">
        <is>
          <t>I've recently been diagnosed by endoscopy with a medium sized hiatal hernia. I get bad acid reflux on a daily basis and it's getting out of hand. PPIs and h2 blockers aren't helping either.
My endoscopy showed I had an irregular z line and the biopsy showed it was inflamed and that I had chronic gastritis.
I feel very hopeless and I'm afraid of the long term damage causing esophageal or stomach cancer.
Is a hiatal repair surgery effective and worth it?</t>
        </is>
      </c>
      <c r="D6044" t="n">
        <v>1</v>
      </c>
      <c r="E6044" t="n">
        <v>3</v>
      </c>
      <c r="F6044">
        <f>HYPERLINK("https://www.reddit.com/r/GERD/comments/fr3bcx/is_a_hiatal_repair_surgery_worth_it_is_it/")</f>
        <v/>
      </c>
      <c r="G6044" t="inlineStr">
        <is>
          <t>2020-03-29 02:34:10</t>
        </is>
      </c>
      <c r="H6044" t="inlineStr"/>
    </row>
    <row r="6045">
      <c r="A6045" t="inlineStr">
        <is>
          <t>fr3p92</t>
        </is>
      </c>
      <c r="B6045" t="inlineStr">
        <is>
          <t>Coming Off Nexium</t>
        </is>
      </c>
      <c r="C6045" t="inlineStr">
        <is>
          <t>Hello!
Little back story, I am a 25y/o male who has been on and off Nexium since about the age of 14 or so.  Started with an endoscopy, then got prescribed 40mg Nexium.  All due to severe acid reflux leading to throwing up at time, burping that would taste like sulfur, horrible as a teen to deal with.  I wasn't very healthy at the time and was overweight. I believe around 18 or so I got lowered to 22.5mg which worked fine, then when it went OTC  I just bought it that way.
There was a time for a couple years where I was able to come off and switch to Zantac, and all was relatively okay.  Only times I had issues with heartburn was with drinking alcohol, which is a rare occurrence for me anyway.  And a few months ago I switched back to Nexium when I heard all the news about Zantac...I really should've looked into that more because now I should probably go back!
I would like to come off Nexium due to the digestion side effects (constipation) and how it can create deficiencies in calcium, magnesium etc which could really benefit me.  I have tried the whole HCL w/ Pepsin (when off Nexium and Zantac) idea but it really didn't seem to work for me and would give me heartburn with a meal with only taking 1 tablet? Making me think low stomach acid really isn't my issue, thought it seems to be the hot new trend.  But more so the LES not opening/shutting properly.  Otherwise besides heartburn, that's the only acid reflux side effect I really get.  Not really bloated or burping often, no stomach aches.  I eat very healthy, high protein diet (bodybuilding) and supplement digestive enzyme w/ almost every meal.
Looking for any suggestions to try to come off any PPI/H2 blocker to only deal with heartburn, though if just switching to a H2 blocker is that much safer then the PPI that may be the answer.</t>
        </is>
      </c>
      <c r="D6045" t="n">
        <v>1</v>
      </c>
      <c r="E6045" t="n">
        <v>9</v>
      </c>
      <c r="F6045">
        <f>HYPERLINK("https://www.reddit.com/r/GERD/comments/fr3p92/coming_off_nexium/")</f>
        <v/>
      </c>
      <c r="G6045" t="inlineStr">
        <is>
          <t>2020-03-29 03:11:53</t>
        </is>
      </c>
      <c r="H6045" t="inlineStr"/>
    </row>
    <row r="6046">
      <c r="A6046" t="inlineStr">
        <is>
          <t>fr4t77</t>
        </is>
      </c>
      <c r="B6046" t="inlineStr">
        <is>
          <t>18 is GERD worth seeing a doctor over and can I drink coffee if I have Zantac?</t>
        </is>
      </c>
      <c r="C6046" t="inlineStr">
        <is>
          <t>I remember very young having this very odd pain in the middle of my chest and belly button area. I’m pretty sure this was GERD when I was young but never went to doc for it 
Anyways few years ago I gave up eating oranges, coffee, and tomatoes x days in a row because these would cause me to have very bad acid reflux pain. 
My acid reflux usually is in the upper chest area and throat, the throat pain can hurt a lot. 
Is it worth seeing a doc for this?
I started drinking coffee again two weeks ago maybe around 3 times a week and now I’m getting reflux again 😢 yesterday my throat was in a lot of pain specifically when lying down until I took a Zantac I had from an old prescription and it made a stop after a relatively short interval 
Aside from the pain I’ve been having like throw up come up a few times recently and having to swallow it 
Can I drink coffee if I have a prescription of Zantac at home? Which I think counteracts the negative effects coffee give me? Or does it not matter that I have Zantac and I should just avoid coffee</t>
        </is>
      </c>
      <c r="D6046" t="n">
        <v>1</v>
      </c>
      <c r="E6046" t="n">
        <v>7</v>
      </c>
      <c r="F6046">
        <f>HYPERLINK("https://www.reddit.com/r/GERD/comments/fr4t77/18_is_gerd_worth_seeing_a_doctor_over_and_can_i/")</f>
        <v/>
      </c>
      <c r="G6046" t="inlineStr">
        <is>
          <t>2020-03-29 04:57:01</t>
        </is>
      </c>
      <c r="H6046" t="inlineStr"/>
    </row>
    <row r="6047">
      <c r="A6047" t="inlineStr">
        <is>
          <t>fr573v</t>
        </is>
      </c>
      <c r="B6047" t="inlineStr">
        <is>
          <t>esophageal spasms</t>
        </is>
      </c>
      <c r="C6047" t="inlineStr">
        <is>
          <t>hi, i’m not sure if what i’m experiencing is esophageal spasms but i thought i’d ask coz i’m very worried. i’ve been experiencing this weird left sided chest squeezing/tightness for a second or two but it comes and goes throughout the day. it’s been happening for a week now and i’m very worried that it’s my heart so i spoke to my cardiologist and she said it is not if it only happens for a second or two and not continuous. she mentioned it might be esophageal spasms? i’m also 8 weeks post gastric sleeve. my surgeon did give me a prescription for omeprazole but i don’t take it since i’m not experiencing heartburn. i’m so confused! can someone relate? i did take the omeprazole this morning just to try it and i had a spasm here and there then stopped. haven’t had anything else since then but i’m also afraid to eat breakfast because it might start back up.</t>
        </is>
      </c>
      <c r="D6047" t="n">
        <v>1</v>
      </c>
      <c r="E6047" t="n">
        <v>5</v>
      </c>
      <c r="F6047">
        <f>HYPERLINK("https://www.reddit.com/r/GERD/comments/fr573v/esophageal_spasms/")</f>
        <v/>
      </c>
      <c r="G6047" t="inlineStr">
        <is>
          <t>2020-03-29 05:31:32</t>
        </is>
      </c>
      <c r="H6047" t="inlineStr"/>
    </row>
    <row r="6048">
      <c r="A6048" t="inlineStr">
        <is>
          <t>fr7cxa</t>
        </is>
      </c>
      <c r="B6048" t="inlineStr">
        <is>
          <t>Self-Care Sunday - How do you keep yourself sane?</t>
        </is>
      </c>
      <c r="C6048" t="inlineStr">
        <is>
          <t>What are your remedies? Etc. Lots going on right now, have something to say? Need some reassurance? 
Now's the time to let it all out. We're all here for each other.</t>
        </is>
      </c>
      <c r="D6048" t="n">
        <v>1</v>
      </c>
      <c r="E6048" t="n">
        <v>1</v>
      </c>
      <c r="F6048">
        <f>HYPERLINK("https://www.reddit.com/r/GERD/comments/fr7cxa/selfcare_sunday_how_do_you_keep_yourself_sane/")</f>
        <v/>
      </c>
      <c r="G6048" t="inlineStr">
        <is>
          <t>2020-03-29 08:13:31</t>
        </is>
      </c>
      <c r="H6048" t="inlineStr"/>
    </row>
    <row r="6049">
      <c r="A6049" t="inlineStr">
        <is>
          <t>fr9p9t</t>
        </is>
      </c>
      <c r="B6049" t="inlineStr">
        <is>
          <t>esophageal spasm or something else</t>
        </is>
      </c>
      <c r="C6049" t="inlineStr">
        <is>
          <t>Hi, I have been having some off and on pressure in my chest with some labored breathing more recently. I had the feeling of something stuck in my throat but other than that, no heartburn or bitter taste in my mouth. I was wondering if this is most likely a spasm or something else, such as Costochondritis or pleurisy? 
Thanks!</t>
        </is>
      </c>
      <c r="D6049" t="n">
        <v>1</v>
      </c>
      <c r="E6049" t="n">
        <v>1</v>
      </c>
      <c r="F6049">
        <f>HYPERLINK("https://www.reddit.com/r/GERD/comments/fr9p9t/esophageal_spasm_or_something_else/")</f>
        <v/>
      </c>
      <c r="G6049" t="inlineStr">
        <is>
          <t>2020-03-29 10:36:14</t>
        </is>
      </c>
      <c r="H6049" t="inlineStr"/>
    </row>
    <row r="6050">
      <c r="A6050" t="inlineStr">
        <is>
          <t>fra5tk</t>
        </is>
      </c>
      <c r="B6050" t="inlineStr">
        <is>
          <t>Does this sound like GERD</t>
        </is>
      </c>
      <c r="C6050" t="inlineStr">
        <is>
          <t>Before I start, I know that people get annoyed when people make posts like this, but it’s a bit of a hard time to go to a doctor right now, so this is where I am. My symptoms are: burping (a lot) especially after eating or drinking, indigestion, my stomach and chest constantly making noises, and chest pains that come and go and every so often get worse with a deep breath. Any advice would be appreciated.</t>
        </is>
      </c>
      <c r="D6050" t="n">
        <v>1</v>
      </c>
      <c r="E6050" t="n">
        <v>4</v>
      </c>
      <c r="F6050">
        <f>HYPERLINK("https://www.reddit.com/r/GERD/comments/fra5tk/does_this_sound_like_gerd/")</f>
        <v/>
      </c>
      <c r="G6050" t="inlineStr">
        <is>
          <t>2020-03-29 11:03:10</t>
        </is>
      </c>
      <c r="H6050" t="inlineStr"/>
    </row>
    <row r="6051">
      <c r="A6051" t="inlineStr">
        <is>
          <t>fra8hy</t>
        </is>
      </c>
      <c r="B6051" t="inlineStr">
        <is>
          <t>EoE Flovent Help</t>
        </is>
      </c>
      <c r="C6051" t="inlineStr">
        <is>
          <t>Hi everyone about three months ago I had an upper endoscopy and colonoscopy. It was found that I had EoE and I was prescribed a Flovent inhaler to take twice a day. Sometimes I take the Flovent right other times it seems to be a little difficult to swallow the actual mist down. I was wondering if anyone else takes the Flovent inhaler and would be happy and comfortable to maybe show how they do it and get better tips to improve my swallowing of the medication. I can do Skype if anyone wants to do it and would feel comfortable with that or if someone would feel comfortable taking a video of themselves with the medication and then rinsing their mouth out. I would really appreciate it just because of everything that’s going on right now with the coronavirus it’s difficult for me to get to a doctor. Thank you so much!</t>
        </is>
      </c>
      <c r="D6051" t="n">
        <v>1</v>
      </c>
      <c r="E6051" t="n">
        <v>9</v>
      </c>
      <c r="F6051">
        <f>HYPERLINK("https://www.reddit.com/r/GERD/comments/fra8hy/eoe_flovent_help/")</f>
        <v/>
      </c>
      <c r="G6051" t="inlineStr">
        <is>
          <t>2020-03-29 11:07:29</t>
        </is>
      </c>
      <c r="H6051" t="inlineStr"/>
    </row>
    <row r="6052">
      <c r="A6052" t="inlineStr">
        <is>
          <t>frc42o</t>
        </is>
      </c>
      <c r="B6052" t="inlineStr">
        <is>
          <t>Anybody have chills/extreme sensitivity to cold when not taking acid medication?</t>
        </is>
      </c>
      <c r="C6052" t="inlineStr">
        <is>
          <t>Over the years since my diagnosis, I’ve found that I get unexplained chills (no fever) and oversensitivity to cold out of nowhere and sometimes, I notice that it happens when I forget to take my acid managing meds. I also have ongoing mild gastritis. 
I’m trying to figure out if this is just a coincidence or if the two are somehow related. TIA!</t>
        </is>
      </c>
      <c r="D6052" t="n">
        <v>4</v>
      </c>
      <c r="E6052" t="n">
        <v>11</v>
      </c>
      <c r="F6052">
        <f>HYPERLINK("https://www.reddit.com/r/GERD/comments/frc42o/anybody_have_chillsextreme_sensitivity_to_cold/")</f>
        <v/>
      </c>
      <c r="G6052" t="inlineStr">
        <is>
          <t>2020-03-29 12:56:41</t>
        </is>
      </c>
      <c r="H6052" t="inlineStr"/>
    </row>
    <row r="6053">
      <c r="A6053" t="inlineStr">
        <is>
          <t>frckh7</t>
        </is>
      </c>
      <c r="B6053" t="inlineStr">
        <is>
          <t>I just want to hear if my experiences are normal.</t>
        </is>
      </c>
      <c r="C6053" t="inlineStr">
        <is>
          <t>I have had on and off acid issues for about 9 years (started when I was 16) usually some tums can could help until about 2 months ago. I thought I I strained an ab at the gym but 2 days later I was having weird feelings in my abdomen like a tingling and slight pain. After a few days not being able to sleep and eat right I went and saw a doctor who said he believes it was acid issue may had said gerd in long form and just explained stomach inflammation and gave me 4 weeks of omeprazole.
This helped some over the next few weeks but the real issue I'm having is I cant sleep constantly many night I feel uncomfortable laying down and stay up till 2 or 3.
I don't experience severe pain just a mild tingling almost like extreme anxiousness which makes my anxious only creating a bad loop. I haven't sorted out many food triggers as some times if fine to eat pizza and other days I feel awful afterwards just like a soda. I wasn't officially diagnosed with GERD but it seems to match a good amount of my symptoms and might be what my doctor said. 
I feel I became more cold weather sensitive waking up with shakes having to layer to go to sleep, might just constantly be having gas, also feel sometimes I can't breathe properly at night. It all just feels weird.</t>
        </is>
      </c>
      <c r="D6053" t="n">
        <v>1</v>
      </c>
      <c r="E6053" t="n">
        <v>13</v>
      </c>
      <c r="F6053">
        <f>HYPERLINK("https://www.reddit.com/r/GERD/comments/frckh7/i_just_want_to_hear_if_my_experiences_are_normal/")</f>
        <v/>
      </c>
      <c r="G6053" t="inlineStr">
        <is>
          <t>2020-03-29 13:22:25</t>
        </is>
      </c>
      <c r="H6053" t="inlineStr"/>
    </row>
    <row r="6054">
      <c r="A6054" t="inlineStr">
        <is>
          <t>frd8my</t>
        </is>
      </c>
      <c r="B6054" t="inlineStr">
        <is>
          <t>Chest pain from running</t>
        </is>
      </c>
      <c r="C6054" t="inlineStr">
        <is>
          <t>I get upper left chest pain from running. I had my heart checked out (nuclear stress test) and doctor said it was healthy and in great condition. Doctors think it’s anxiety or GERD. It’s been fine lately however if I run I still get upper left chest pain. Anyone else?</t>
        </is>
      </c>
      <c r="D6054" t="n">
        <v>1</v>
      </c>
      <c r="E6054" t="n">
        <v>5</v>
      </c>
      <c r="F6054">
        <f>HYPERLINK("https://www.reddit.com/r/GERD/comments/frd8my/chest_pain_from_running/")</f>
        <v/>
      </c>
      <c r="G6054" t="inlineStr">
        <is>
          <t>2020-03-29 14:01:40</t>
        </is>
      </c>
      <c r="H6054" t="inlineStr"/>
    </row>
    <row r="6055">
      <c r="A6055" t="inlineStr">
        <is>
          <t>fre8nm</t>
        </is>
      </c>
      <c r="B6055" t="inlineStr">
        <is>
          <t>These annoying symtoms man</t>
        </is>
      </c>
      <c r="C6055" t="inlineStr">
        <is>
          <t>This weird symtom, I have to clear my throat a lot like I need to take out the mucus from my chest, to throat, not by coughing by doing a lot of ahmmmm ahmmmm, I don't know what is going on. A doctor friend told me it might be Gerd related, I can't sleep because of the constant urge to clear my tgrot, a little mucus comes out sometimes. But it's like I have this choking sensation, another whing whenever I am busy I don't feel it that much, happens at night mostly when I am abt to sleep,</t>
        </is>
      </c>
      <c r="D6055" t="n">
        <v>1</v>
      </c>
      <c r="E6055" t="n">
        <v>2</v>
      </c>
      <c r="F6055">
        <f>HYPERLINK("https://www.reddit.com/r/GERD/comments/fre8nm/these_annoying_symtoms_man/")</f>
        <v/>
      </c>
      <c r="G6055" t="inlineStr">
        <is>
          <t>2020-03-29 15:00:27</t>
        </is>
      </c>
      <c r="H6055" t="inlineStr"/>
    </row>
    <row r="6056">
      <c r="A6056" t="inlineStr">
        <is>
          <t>frf0iz</t>
        </is>
      </c>
      <c r="B6056" t="inlineStr">
        <is>
          <t>Please your help, have you had constant upper left abdominal pain for days?</t>
        </is>
      </c>
      <c r="C6056" t="inlineStr">
        <is>
          <t>Hi all. 
I am 33 years old, 181 lb, Hispanic, no previous serious diseases. 
Around six weeks ago, I started feeling some slight pain in my upper left abdomen, along with small but continuous stomach cramps. After clinical examination, the GP said it seemed to be pain referred from my esophagus  and ordered a endoscopy. The result from the test was esophagitis Grade A, with suspicion of metaplasia. They did not take a tissue sample because of the inflamation, instead sent me one month with Esomeprazole 20mg, so they could perform the biopsy once the esophagus was healed.
The first weeks things seemed to improve, but since around two weeks I started to develop epigastric pain again, mainly located in the upper left abdomen. Additionally, I have had the normal symptoms of GERD, heartburn, slight cough in the mornings, sensation of something stuck in my throat. The pain in my stomach is steady, always there, dull, and mild (4/10); it does not seem to change noticeably after taking a meal. I'm in full lock down because of covid19, my city in state of alarm. I managed to contact a gastroenterologist through an app five days ago, who said he believed it to be IBS, and asked me to keep with the Omeprazole, plus Trimebutine 200mg and an antacid after every meal for fourteen days; results should be apparent three days after statrting, according to him. 
However, the pain has not changed at all, and has been bothering me at night when I lie down...I haven't been able to sleep the past two nights because of pain. Additionally, I have a mild pain in my lower back, near the column. I had blood samples this morning, with enzymes inside the normal range. I am worried it could be something more serious, because pain does not seem to be reacting to treatment after 15 days, but it is not easy to go to an specialist right now because of the lock down, which it seems will last for some more weeks. 
Am I exaggerating, this happens with GERD/IBS and I should follow the treatment to the end,? Or should I try something else?
P.S. Edited for clarity</t>
        </is>
      </c>
      <c r="D6056" t="n">
        <v>1</v>
      </c>
      <c r="E6056" t="n">
        <v>1</v>
      </c>
      <c r="F6056">
        <f>HYPERLINK("https://www.reddit.com/r/GERD/comments/frf0iz/please_your_help_have_you_had_constant_upper_left/")</f>
        <v/>
      </c>
      <c r="G6056" t="inlineStr">
        <is>
          <t>2020-03-29 15:46:23</t>
        </is>
      </c>
      <c r="H6056" t="inlineStr"/>
    </row>
    <row r="6057">
      <c r="A6057" t="inlineStr">
        <is>
          <t>frfvam</t>
        </is>
      </c>
      <c r="B6057" t="inlineStr">
        <is>
          <t>Hiatal hernia/gerd and workouts</t>
        </is>
      </c>
      <c r="C6057" t="inlineStr">
        <is>
          <t>Ive had a HH/gerd for at least a year diagnosed last May time and had on and off symptoms for a while, I've always worked out with it, had a bad flare up recently and was wandering what exercises people do and what people avoid, I've always lifted weights and never seem to have had much of a problem, also have always done push ups which I only just found out are bad for a HH</t>
        </is>
      </c>
      <c r="D6057" t="n">
        <v>1</v>
      </c>
      <c r="E6057" t="n">
        <v>2</v>
      </c>
      <c r="F6057">
        <f>HYPERLINK("https://www.reddit.com/r/GERD/comments/frfvam/hiatal_herniagerd_and_workouts/")</f>
        <v/>
      </c>
      <c r="G6057" t="inlineStr">
        <is>
          <t>2020-03-29 16:36:58</t>
        </is>
      </c>
      <c r="H6057" t="inlineStr"/>
    </row>
    <row r="6058">
      <c r="A6058" t="inlineStr">
        <is>
          <t>frfyys</t>
        </is>
      </c>
      <c r="B6058" t="inlineStr">
        <is>
          <t>Anyone drink nutrition / protein shakes when they are struggling to eat? What are your favorites ?</t>
        </is>
      </c>
      <c r="C6058" t="inlineStr">
        <is>
          <t>I am having a hard time getting my calories in. I usually can eat “okay” for breakfast and lunch. But by dinner I cannot eat food , it gets stuck in my throat . I have been drinking ensure plus in the meantime , but wondering other alternatives? I want it to be healthy within means and little additives if possible .</t>
        </is>
      </c>
      <c r="D6058" t="n">
        <v>1</v>
      </c>
      <c r="E6058" t="n">
        <v>11</v>
      </c>
      <c r="F6058">
        <f>HYPERLINK("https://www.reddit.com/r/GERD/comments/frfyys/anyone_drink_nutrition_protein_shakes_when_they/")</f>
        <v/>
      </c>
      <c r="G6058" t="inlineStr">
        <is>
          <t>2020-03-29 16:42:59</t>
        </is>
      </c>
      <c r="H6058" t="inlineStr"/>
    </row>
    <row r="6059">
      <c r="A6059" t="inlineStr">
        <is>
          <t>frh0yq</t>
        </is>
      </c>
      <c r="B6059" t="inlineStr">
        <is>
          <t>Sharp throat pain when looking up?</t>
        </is>
      </c>
      <c r="C6059" t="inlineStr">
        <is>
          <t>Does anyone else have this? It’s also made 10 times worse when holding my breath and looking up. Assuming that this is from my GERD/esophageal stricture, but wanted to be sure.</t>
        </is>
      </c>
      <c r="D6059" t="n">
        <v>1</v>
      </c>
      <c r="E6059" t="n">
        <v>2</v>
      </c>
      <c r="F6059">
        <f>HYPERLINK("https://www.reddit.com/r/GERD/comments/frh0yq/sharp_throat_pain_when_looking_up/")</f>
        <v/>
      </c>
      <c r="G6059" t="inlineStr">
        <is>
          <t>2020-03-29 17:47:43</t>
        </is>
      </c>
      <c r="H6059" t="inlineStr"/>
    </row>
    <row r="6060">
      <c r="A6060" t="inlineStr">
        <is>
          <t>fri20y</t>
        </is>
      </c>
      <c r="B6060" t="inlineStr">
        <is>
          <t>Gastritis question</t>
        </is>
      </c>
      <c r="C6060" t="inlineStr">
        <is>
          <t>How does gastritis differ from Gerd ?</t>
        </is>
      </c>
      <c r="D6060" t="n">
        <v>1</v>
      </c>
      <c r="E6060" t="n">
        <v>1</v>
      </c>
      <c r="F6060">
        <f>HYPERLINK("https://www.reddit.com/r/GERD/comments/fri20y/gastritis_question/")</f>
        <v/>
      </c>
      <c r="G6060" t="inlineStr">
        <is>
          <t>2020-03-29 18:55:14</t>
        </is>
      </c>
      <c r="H6060" t="inlineStr"/>
    </row>
    <row r="6061">
      <c r="A6061" t="inlineStr">
        <is>
          <t>frienc</t>
        </is>
      </c>
      <c r="B6061" t="inlineStr">
        <is>
          <t>Wedge pillow assistance</t>
        </is>
      </c>
      <c r="C6061" t="inlineStr">
        <is>
          <t>Hey guys so I have GERD and smoke weed. Apparently the two to hand in hand.
I digress, I have been sleeping on a wedge pillow and it’s a memory foam one. I have to say this sucks. I love to roll around at night and move, and stretch out. Now I feel like I’m in a hospital bed. The wedge pillow definitely helps my snoring and GERD but it doesn’t at the same time. I usually a pillow on top of it.
Should I not use a pillow on top of it? I’ve tried lying slightly above it, on it, below it. I ended up straining something in my neck where a whole day I couldn’t move my neck past my collar bones or tilt my head up without muscular discomfort.
Should I just be sleeping in the wedge pillow itself? That’s kinda lame but I guess if I smoke enough it’s sleepable.
Any suggestions for something that goes under my mattress? And how the heck do you guys deal with these wedge pillows and not hurt your neck or mid back.</t>
        </is>
      </c>
      <c r="D6061" t="n">
        <v>1</v>
      </c>
      <c r="E6061" t="n">
        <v>4</v>
      </c>
      <c r="F6061">
        <f>HYPERLINK("https://www.reddit.com/r/GERD/comments/frienc/wedge_pillow_assistance/")</f>
        <v/>
      </c>
      <c r="G6061" t="inlineStr">
        <is>
          <t>2020-03-29 19:18:32</t>
        </is>
      </c>
      <c r="H6061" t="inlineStr"/>
    </row>
    <row r="6062">
      <c r="A6062" t="inlineStr">
        <is>
          <t>frihpm</t>
        </is>
      </c>
      <c r="B6062" t="inlineStr">
        <is>
          <t>Banana?</t>
        </is>
      </c>
      <c r="C6062" t="inlineStr">
        <is>
          <t>I have read a lot of post that having a banana helps GERD. I personally tried on an empty stomach and it felt nice</t>
        </is>
      </c>
      <c r="D6062" t="n">
        <v>1</v>
      </c>
      <c r="E6062" t="n">
        <v>18</v>
      </c>
      <c r="F6062">
        <f>HYPERLINK("https://www.reddit.com/r/GERD/comments/frihpm/banana/")</f>
        <v/>
      </c>
      <c r="G6062" t="inlineStr">
        <is>
          <t>2020-03-29 19:24:17</t>
        </is>
      </c>
      <c r="H6062" t="inlineStr"/>
    </row>
    <row r="6063">
      <c r="A6063" t="inlineStr">
        <is>
          <t>frijd1</t>
        </is>
      </c>
      <c r="B6063" t="inlineStr">
        <is>
          <t>Is everyone who has gerd working or had been working a desk job?</t>
        </is>
      </c>
      <c r="C6063" t="inlineStr">
        <is>
          <t>Something just hit me, everyone I know who has gerd mainly works desk jobs or white collar jobs. Is there anyone here who works outdoors and has bad gerd? Is our main problem that we aren't getting full body exercise?</t>
        </is>
      </c>
      <c r="D6063" t="n">
        <v>1</v>
      </c>
      <c r="E6063" t="n">
        <v>9</v>
      </c>
      <c r="F6063">
        <f>HYPERLINK("https://www.reddit.com/r/GERD/comments/frijd1/is_everyone_who_has_gerd_working_or_had_been/")</f>
        <v/>
      </c>
      <c r="G6063" t="inlineStr">
        <is>
          <t>2020-03-29 19:27:28</t>
        </is>
      </c>
      <c r="H6063" t="inlineStr"/>
    </row>
    <row r="6064">
      <c r="A6064" t="inlineStr">
        <is>
          <t>frjpi6</t>
        </is>
      </c>
      <c r="B6064" t="inlineStr">
        <is>
          <t>Can someone help me understand my endoscopy results?</t>
        </is>
      </c>
      <c r="C6064" t="inlineStr">
        <is>
          <t>My GI doctor won’t be available for a visit for literally weeks now because their office has significantly reduced hours. Our area has been hit really hard by the virus. I’m going to keep trying to at least get someone on the phone to explain, but I was wondering if anyone had experience or knew what some things meant just because they had similar results.
My main symptoms are LPR-related and some esophageal spasms. I rarely get heartburn or any stomach pain so I wasn’t expecting to have damage to my esophagus be shown. The doctor cautioned me that this won’t really show acid reflux or my LPR issues when I went to the EDG on the day of. I’m hoping to get a scope done at the ENT soon since most of my issues revolve around my throat but so far I’ve only been able to get a virtual visit. 
So anyway, my EDG showed nothing structurally wrong with me. No hernia, no narrowing, esophagus looked perfect, no ulcers, nothing came out glaringly wrong. They did do biopsies of my stomach, which I got the results from and I’m trying to understand them. It came back negative for h pylori. It also says I have “Antral/transitional mucosa with mild chronic inflammation and focal lymphoid aggregate/follicle formation”. Specifically, the focal lymphoid aggregate is the deep lamina propria, with congestion, edema, as well as scattered lymphocytes and plasma cells. It also says no malignancy is identified. 
Is any of that indicative of GERD or did this basically come back saying all is normal?</t>
        </is>
      </c>
      <c r="D6064" t="n">
        <v>1</v>
      </c>
      <c r="E6064" t="n">
        <v>12</v>
      </c>
      <c r="F6064">
        <f>HYPERLINK("https://www.reddit.com/r/GERD/comments/frjpi6/can_someone_help_me_understand_my_endoscopy/")</f>
        <v/>
      </c>
      <c r="G6064" t="inlineStr">
        <is>
          <t>2020-03-29 20:49:48</t>
        </is>
      </c>
      <c r="H6064" t="inlineStr"/>
    </row>
    <row r="6065">
      <c r="A6065" t="inlineStr">
        <is>
          <t>frjr7q</t>
        </is>
      </c>
      <c r="B6065" t="inlineStr">
        <is>
          <t>Should I be worried?</t>
        </is>
      </c>
      <c r="C6065" t="inlineStr">
        <is>
          <t>After I had an endoscopy done, my chest started hurting. It felt like there was a huge pressure on the left side of my chest, like someone was stepping on my chest. Now, it feels like a sharp, stabbing pain on the left side of my chest. It happens randomly, not necessarily when I’m eating. I have a doctor’s appointment next month but I was wondering if I should see the doctor earlier.</t>
        </is>
      </c>
      <c r="D6065" t="n">
        <v>1</v>
      </c>
      <c r="E6065" t="n">
        <v>17</v>
      </c>
      <c r="F6065">
        <f>HYPERLINK("https://www.reddit.com/r/GERD/comments/frjr7q/should_i_be_worried/")</f>
        <v/>
      </c>
      <c r="G6065" t="inlineStr">
        <is>
          <t>2020-03-29 20:53:20</t>
        </is>
      </c>
      <c r="H6065" t="inlineStr"/>
    </row>
    <row r="6066">
      <c r="A6066" t="inlineStr">
        <is>
          <t>frkd3h</t>
        </is>
      </c>
      <c r="B6066" t="inlineStr">
        <is>
          <t>Sucralfate</t>
        </is>
      </c>
      <c r="C6066" t="inlineStr">
        <is>
          <t xml:space="preserve"> For those who took this. When did you feel relief? 
 Been taking it twice a day for about 3 days. Each time I take it, it makes my symptoms worse initially if anything.                                                                                                                                                
Throat gets super dry and tight. 
But this is more of a long-term drug (8 weeks) to heal any erosions, so it will take a while to feel any relief?</t>
        </is>
      </c>
      <c r="D6066" t="n">
        <v>1</v>
      </c>
      <c r="E6066" t="n">
        <v>10</v>
      </c>
      <c r="F6066">
        <f>HYPERLINK("https://www.reddit.com/r/GERD/comments/frkd3h/sucralfate/")</f>
        <v/>
      </c>
      <c r="G6066" t="inlineStr">
        <is>
          <t>2020-03-29 21:39:32</t>
        </is>
      </c>
      <c r="H6066" t="inlineStr"/>
    </row>
    <row r="6067">
      <c r="A6067" t="inlineStr">
        <is>
          <t>frlc0x</t>
        </is>
      </c>
      <c r="B6067" t="inlineStr">
        <is>
          <t>Stress Management Mondays</t>
        </is>
      </c>
      <c r="C6067" t="inlineStr">
        <is>
          <t>Hey Everyone,
One thing about GERD that we have to take into consideration is stress management. Please talk in this live discussion about ways you deal with stress that helps you against GERD and the other related conditions.</t>
        </is>
      </c>
      <c r="D6067" t="n">
        <v>1</v>
      </c>
      <c r="E6067" t="n">
        <v>27</v>
      </c>
      <c r="F6067">
        <f>HYPERLINK("https://www.reddit.com/r/GERD/comments/frlc0x/stress_management_mondays/")</f>
        <v/>
      </c>
      <c r="G6067" t="inlineStr">
        <is>
          <t>2020-03-29 22:58:54</t>
        </is>
      </c>
      <c r="H6067" t="inlineStr"/>
    </row>
    <row r="6068">
      <c r="A6068" t="inlineStr">
        <is>
          <t>frm10q</t>
        </is>
      </c>
      <c r="B6068" t="inlineStr">
        <is>
          <t>Random trigger: turmeric powder?</t>
        </is>
      </c>
      <c r="C6068" t="inlineStr">
        <is>
          <t>Hey everyone. I've been posting here a few months. My story has been long and complicated and my symptoms a total mistery to me. I have also failed to solve any of my issues with medication, diet, or lifestyle changes, and I have also failed to figure out what foods trigger me or don't trigger me as there is no noticeable pattern.
However, this happened yesterday. My girlfriend made dinner and it was a very bland meal: sweet potatoes, white rice, and baked tofu (cooked in extra virgin olive oil.) 
After eating it, I started burping like crazy. After an hour my throat was burning and in pain. I have esophagitis and have been failing to let it heal over the past 5 months as nothing seems to help me.
Anyway, I was trying to figure out if any of the foods I ate could possibly be triggers and then she mentioned she used "a tiny bit" of turmeric powder on the sweet potatoes. I googled turmeric/acid reflux and strangely, tons of sites came up recommending it to help GERD symptoms. However I think for me it was a huge problem. It's the next day now and I can barely speak, my throat feels torn up and on fire.
Just putting this out there in case anyone comes across turmeric or thinks of trying it as a help for GERD.  Now to be clear, my throat has been bad up and down (from almost OK to totally losing my voice and intense burning sharp pain) for 5 months now so its not like the turmeric all of a sudden made my throat bad. But I definitely felt way better before eating it compared to after and today.</t>
        </is>
      </c>
      <c r="D6068" t="n">
        <v>1</v>
      </c>
      <c r="E6068" t="n">
        <v>27</v>
      </c>
      <c r="F6068">
        <f>HYPERLINK("https://www.reddit.com/r/GERD/comments/frm10q/random_trigger_turmeric_powder/")</f>
        <v/>
      </c>
      <c r="G6068" t="inlineStr">
        <is>
          <t>2020-03-29 23:58:40</t>
        </is>
      </c>
      <c r="H6068" t="inlineStr"/>
    </row>
    <row r="6069">
      <c r="A6069" t="inlineStr">
        <is>
          <t>frnafa</t>
        </is>
      </c>
      <c r="B6069" t="inlineStr">
        <is>
          <t>rage and gerd</t>
        </is>
      </c>
      <c r="C6069" t="inlineStr">
        <is>
          <t>hello, 
I have been experiencing extreme violent rage. Over summer, I was experiencing extreme rage for 3 months straight while attempting to quit smoking, fix my self worth and face pervert men. 
Since then I have had vile farting, swollen stomach, pain in stomach, pain in heart, pain in chest, pain in back area, burns at the back of my mouth, stomach pain, diarrhoea, constipation and trouble breathing to the point where I seem to stop breathing and have to remind myself. 
I have quit alcohol, quit smoking other than one every few days, quit coffee and soft drink, quit lactose, quit gluten, chocolate, cut down on food sizes so forth. 
What else can I do? I feel sick all day. The rage has calmed down but is easily triggered. When the rage comes on I feel very sick in the stomach. I can't unrepress the rage any quicker. 
Any tips or suggestions to aid with the stomach?
Now I am trying a detox diet</t>
        </is>
      </c>
      <c r="D6069" t="n">
        <v>1</v>
      </c>
      <c r="E6069" t="n">
        <v>12</v>
      </c>
      <c r="F6069">
        <f>HYPERLINK("https://www.reddit.com/r/GERD/comments/frnafa/rage_and_gerd/")</f>
        <v/>
      </c>
      <c r="G6069" t="inlineStr">
        <is>
          <t>2020-03-30 01:56:36</t>
        </is>
      </c>
      <c r="H6069" t="inlineStr"/>
    </row>
    <row r="6070">
      <c r="A6070" t="inlineStr">
        <is>
          <t>frooza</t>
        </is>
      </c>
      <c r="B6070" t="inlineStr">
        <is>
          <t>Need advice...</t>
        </is>
      </c>
      <c r="C6070" t="inlineStr">
        <is>
          <t>I don't know what exactly is wrong with me or what to do. I have terrible burning in my upper right chest that started like... 7 or 8 months ago at this point. And it's only seemed to have gotten worse lately. Now I have burning in my stomach and in my back as well. I can barely eat without feeling super bloated and nauseous. I also seem to stay tired a lot. It's just exhausting feeling so bad all the time. But I never really have any acid come up in my throat or anything...
I'm also pretty constipated lately which I figure is linked. I've tried PPis, they didn't seem to help. Tried apple cider vinegar, still feel bad. Tried some kind of ulcer medication, didn't seem to do anything. I've gotten xrays done, nada. I've tried dieting too. 
&amp;amp;#x200B;
I thought I was getting better. Well, last month my chest burning had went away. I had been exercising sometimes and trying to watch what I eat (but not even super strictly) but still had stomach problems.
Burning came back this month and has never been so bad. Can't think of any foods I've ate that would have made it come back and be 10x worse. 
&amp;amp;#x200B;
I have an appointment scheduled to see a general surgeon who I HOPE will perform an endoscopy on me after I tell them all of my symptoms but with everything going on in the world I can't see them until May (that's if the world is back to normal by then...)
With my symptoms, is it worth it for me to pay for an H.pylori test? I have insurance but not in the country I'm currently stuck in lol... I don't know how much they even cost or if it's worth it.
&amp;amp;#x200B;
I just know my symptoms could be so many things because it seems like with gerd or h.pylori or bile reflux or ulcers... they all seem to blend together when I look at symptoms online... or one can cause others... so is it even worth it to spend the money or should I suffer until May (or most likely later...) help</t>
        </is>
      </c>
      <c r="D6070" t="n">
        <v>1</v>
      </c>
      <c r="E6070" t="n">
        <v>8</v>
      </c>
      <c r="F6070">
        <f>HYPERLINK("https://www.reddit.com/r/GERD/comments/frooza/need_advice/")</f>
        <v/>
      </c>
      <c r="G6070" t="inlineStr">
        <is>
          <t>2020-03-30 04:00:27</t>
        </is>
      </c>
      <c r="H6070" t="inlineStr"/>
    </row>
    <row r="6071">
      <c r="A6071" t="inlineStr">
        <is>
          <t>frrg5e</t>
        </is>
      </c>
      <c r="B6071" t="inlineStr">
        <is>
          <t>Aloe Vera juice</t>
        </is>
      </c>
      <c r="C6071" t="inlineStr">
        <is>
          <t>I’ve read a few times on here that pure aloe Vera juice helps some people. Went and got some but the container says to take 6-8 oz, and most online stuff I read says to take 2 TBSP. Apparently there are some health concerns about taking to much, so how much had been working for y’all? 
Thanks in advance!</t>
        </is>
      </c>
      <c r="D6071" t="n">
        <v>1</v>
      </c>
      <c r="E6071" t="n">
        <v>7</v>
      </c>
      <c r="F6071">
        <f>HYPERLINK("https://www.reddit.com/r/GERD/comments/frrg5e/aloe_vera_juice/")</f>
        <v/>
      </c>
      <c r="G6071" t="inlineStr">
        <is>
          <t>2020-03-30 07:08:48</t>
        </is>
      </c>
      <c r="H6071" t="inlineStr"/>
    </row>
    <row r="6072">
      <c r="A6072" t="inlineStr">
        <is>
          <t>frtc7s</t>
        </is>
      </c>
      <c r="B6072" t="inlineStr">
        <is>
          <t>Throbbing pain around collarbone area.</t>
        </is>
      </c>
      <c r="C6072" t="inlineStr">
        <is>
          <t>I have had GERD for many years. I have a throbbing or pulsing type pain coming from the bottom of my throat or neck  right above my collarbones. Doesn't feel like classical sickness but there is an uneasy feeling and a general feeling of swelling. I cannot tell if it is my esophagus that is inflamed or inflammation of something else. My partner thinks it is tight neck muscles. Anyone have any idea?</t>
        </is>
      </c>
      <c r="D6072" t="n">
        <v>1</v>
      </c>
      <c r="E6072" t="n">
        <v>3</v>
      </c>
      <c r="F6072">
        <f>HYPERLINK("https://www.reddit.com/r/GERD/comments/frtc7s/throbbing_pain_around_collarbone_area/")</f>
        <v/>
      </c>
      <c r="G6072" t="inlineStr">
        <is>
          <t>2020-03-30 08:55:20</t>
        </is>
      </c>
      <c r="H6072" t="inlineStr"/>
    </row>
    <row r="6073">
      <c r="A6073" t="inlineStr">
        <is>
          <t>frtt6o</t>
        </is>
      </c>
      <c r="B6073" t="inlineStr">
        <is>
          <t>Is this due to acid reflux?</t>
        </is>
      </c>
      <c r="C6073" t="inlineStr">
        <is>
          <t>Hi! I created an account just for advice on this.
So I'm pretty sure I have acid reflux. I have a lot of the symptoms, but I noticed that I have these little yellow bumps at the back of my throat (as well as a tonsil stone but pretty sure thats unrelated). Are these bumps an acid reflux thing, or its it unrelated? I've been having acid reflux symptoms for about two weeks, and these seem a bit extreme for that short amount of time. Asking here first because I'd rather not got to the clinic during these times. Any help is greatly appreciated!
Throat pic: [https://imgur.com/a/r7f9550](https://imgur.com/a/r7f9550)</t>
        </is>
      </c>
      <c r="D6073" t="n">
        <v>1</v>
      </c>
      <c r="E6073" t="n">
        <v>33</v>
      </c>
      <c r="F6073">
        <f>HYPERLINK("https://www.reddit.com/r/GERD/comments/frtt6o/is_this_due_to_acid_reflux/")</f>
        <v/>
      </c>
      <c r="G6073" t="inlineStr">
        <is>
          <t>2020-03-30 09:20:12</t>
        </is>
      </c>
      <c r="H6073" t="inlineStr"/>
    </row>
    <row r="6074">
      <c r="A6074" t="inlineStr">
        <is>
          <t>frut8i</t>
        </is>
      </c>
      <c r="B6074" t="inlineStr">
        <is>
          <t>Has anyone used Medical Marijuana to manage symptoms?</t>
        </is>
      </c>
      <c r="C6074" t="inlineStr">
        <is>
          <t>I take a ton of medications to manage various things and was wondering if anyone has any experience with this. I’ve been researching medical marijuana and can’t find a ton about it with GERD. I’m more looking into anything other than smoking bc I feel like that could further irritate my esophagus &amp;amp; breathing issues.</t>
        </is>
      </c>
      <c r="D6074" t="n">
        <v>1</v>
      </c>
      <c r="E6074" t="n">
        <v>14</v>
      </c>
      <c r="F6074">
        <f>HYPERLINK("https://www.reddit.com/r/GERD/comments/frut8i/has_anyone_used_medical_marijuana_to_manage/")</f>
        <v/>
      </c>
      <c r="G6074" t="inlineStr">
        <is>
          <t>2020-03-30 10:13:15</t>
        </is>
      </c>
      <c r="H6074" t="inlineStr"/>
    </row>
    <row r="6075">
      <c r="A6075" t="inlineStr">
        <is>
          <t>frvfkj</t>
        </is>
      </c>
      <c r="B6075" t="inlineStr">
        <is>
          <t>Weight loss because of GERD</t>
        </is>
      </c>
      <c r="C6075" t="inlineStr">
        <is>
          <t>Just wondering if any of you have lost weight due to LPR/GERD?
I’ve lost about 20 lbs. since this started in December.  I’m not super freaked out about it yet, because I used to eat heavy meals and do a ton of snacking in the afternoon and evening.  Since I’ve been feeling so lousy, my meals are much lighter and the snacking has basically stopped entirely.  I haven’t done the math, but I’d guess my daily caloric intake is 50-60% of what it used to be.
I’ve mentioned it to my doctor, and she wasn’t terribly concerned yet.  I’ve got another 30-40 lbs to go before too much weight loss is even a consideration.   I’m kind of hopeful that losing weight might even help alleviate the condition.  Even still, it is a little bit disconcerting to be losing weight without actively trying.</t>
        </is>
      </c>
      <c r="D6075" t="n">
        <v>1</v>
      </c>
      <c r="E6075" t="n">
        <v>5</v>
      </c>
      <c r="F6075">
        <f>HYPERLINK("https://www.reddit.com/r/GERD/comments/frvfkj/weight_loss_because_of_gerd/")</f>
        <v/>
      </c>
      <c r="G6075" t="inlineStr">
        <is>
          <t>2020-03-30 10:46:29</t>
        </is>
      </c>
      <c r="H6075" t="inlineStr"/>
    </row>
    <row r="6076">
      <c r="A6076" t="inlineStr">
        <is>
          <t>fs2b2i</t>
        </is>
      </c>
      <c r="B6076" t="inlineStr">
        <is>
          <t>Acid Reflux Internal Chest Tightness In Taking Deep Breaths?</t>
        </is>
      </c>
      <c r="C6076" t="inlineStr">
        <is>
          <t>Hello, so I have had acid reflux for about 3 months now since the beginning of January.  Although I would say at the beginning of March I begin to feel tightness between my chest and my stomach. I was thinking it was stuck acid  and when I went to an ENT the following week after he didn't seem concerned about it and thought it was a normal symptom prescribing me omeprazole 20mg for 2 weeks. I took it daily in the morning but after 2 weeks the feeling in my chest was still present. In fact my symptoms for reflux have not really changed with or without medication so I got off of it.
My diet has been mainly consisting of bannanas, yogurt, and cooked salmon with some soy sauce ever since beginning of march with some occasional days where I get off of it but come back on it. However, my diet changes has not changed the internal tightness either. I recently in the past couple of days have changed to eating boiled cabbage and some turkey breast. 
I was thinking perhaps it might because of when I sleep I have tried to add blankets and pillows to raise my head above to prevent acid reflux but I move around when I sleep so I still wake up sometimes feeling acid in my throat or mouth. 
I also am very anxious and get stressed so it probably worsens reflux .
When it comes to the internal chest tightness, whenever I take a deep breath through my mouth, I can feel inside my body tightening and pressure. I can't tell exactly where it is but it feels like in the center chest. Could it be because of reflux my lungs are damaged or is it some other reason? 
I'm a teenager so I'm pretty scared about this and I am going to have another appointment with the gastrologist.</t>
        </is>
      </c>
      <c r="D6076" t="n">
        <v>1</v>
      </c>
      <c r="E6076" t="n">
        <v>14</v>
      </c>
      <c r="F6076">
        <f>HYPERLINK("https://www.reddit.com/r/GERD/comments/fs2b2i/acid_reflux_internal_chest_tightness_in_taking/")</f>
        <v/>
      </c>
      <c r="G6076" t="inlineStr">
        <is>
          <t>2020-03-30 17:00:03</t>
        </is>
      </c>
      <c r="H6076" t="inlineStr"/>
    </row>
    <row r="6077">
      <c r="A6077" t="inlineStr">
        <is>
          <t>fs2fkn</t>
        </is>
      </c>
      <c r="B6077" t="inlineStr">
        <is>
          <t>PPI headaches?</t>
        </is>
      </c>
      <c r="C6077" t="inlineStr">
        <is>
          <t>I was recently diagnosed with IBS and GERD (apparently the two are closely linked?). As a result I was put on a dreaded PPI, Lanzaprozole. I've been taking one daily for the last two weeks, as prescribed by my doctor, and the last few days I've been experiencing bad headaches.
I NEVER get headaches normally. Could this be caused by the PPI?
If so, what causes this and can I mitigate the side effect somehow without coming off? Is it effecting my hydration via absorption of vitamins and minerals somehow?
So far the PPI has been very effective at preventing my reflux, but I cannot live with these headaches. So I need some sort of fix or I will have to come off it.
Are there any natural alternatives to relieve GERD instead of the prescription PPIs? I've heard good things about probiotics, but I don't know where to get a high quality one in the UK. I'm already on a low FODMAP diet.
Any help/advice would be greatly appreciated!</t>
        </is>
      </c>
      <c r="D6077" t="n">
        <v>1</v>
      </c>
      <c r="E6077" t="n">
        <v>3</v>
      </c>
      <c r="F6077">
        <f>HYPERLINK("https://www.reddit.com/r/GERD/comments/fs2fkn/ppi_headaches/")</f>
        <v/>
      </c>
      <c r="G6077" t="inlineStr">
        <is>
          <t>2020-03-30 17:07:41</t>
        </is>
      </c>
      <c r="H6077" t="inlineStr"/>
    </row>
    <row r="6078">
      <c r="A6078" t="inlineStr">
        <is>
          <t>fs3u7l</t>
        </is>
      </c>
      <c r="B6078" t="inlineStr">
        <is>
          <t>Can GERD cause cotton throat, strep feeling?</t>
        </is>
      </c>
      <c r="C6078" t="inlineStr">
        <is>
          <t>I got asthma and diabetes along with my GERD, so i'm tryna rule out the recent shit even with my young age of 16. I been passing gas and hiccuping, and my stomach hurts along with my chest (😬), but even with my anxiety i know these are GERD symptoms i experience just about everyday. Just want to know about my throat. I don't know if this falls under the false information announcement, sorry mods if it does</t>
        </is>
      </c>
      <c r="D6078" t="n">
        <v>1</v>
      </c>
      <c r="E6078" t="n">
        <v>0</v>
      </c>
      <c r="F6078">
        <f>HYPERLINK("https://www.reddit.com/r/GERD/comments/fs3u7l/can_gerd_cause_cotton_throat_strep_feeling/")</f>
        <v/>
      </c>
      <c r="G6078" t="inlineStr">
        <is>
          <t>2020-03-30 18:35:35</t>
        </is>
      </c>
      <c r="H6078" t="inlineStr"/>
    </row>
    <row r="6079">
      <c r="A6079" t="inlineStr">
        <is>
          <t>fs434v</t>
        </is>
      </c>
      <c r="B6079" t="inlineStr">
        <is>
          <t>Is this GERD? Does this get better?</t>
        </is>
      </c>
      <c r="C6079" t="inlineStr">
        <is>
          <t>I’m a 34 year old male. I have been dealing with a lot of medical symptoms the past 2 months and they are making it hard to live a normal life. I have had burning and stabbing chest pains all through my chest (often back to), sore throat, gurgling in stomach and throat (especially when laying down), a cough, dry mouth, blood/metallic taste. It is often hard to swallow. It is impossible to sleep. The last few days I felt like I was being stabbed right below my right rib and all the way through my back. It sort of feels like that stitch you get in your side if you run too hard. I have tried Prilosec, pelican, Tuma, Mylanta, and now my PCP me on Nexium along with Pepcid. Some of the burning is gone but the stabbing pains, sore throat, taste, and cough are as bad as ever. Oh and I have completely changed my diet too (lost 35 pounds in the last 2 months as a result too, so that is a positive in all of this). 
I had some minor heart burn in the past, maybe 10 years ago in my mid 20’s but nothing like this. It all started with what my doctor now things are panic attacks 2 months ago. I thought I was having a heart attack (chest pains, shortness of breath, light headed, heart palpitations, fatigue, nausea, etc.). It kept happening, and as that went on, I noticed the chest pains were not going away and the symptoms above have been bad for about a month now. Have had 2 normal EKG’s and a normal chest X-ray and blood work. My last doctors appointment was virtual (because of covid19) with my new PCP. She diagnosed me with anxiety and acid reflux based on the tests ran by other doctors the month before. 
Does anyone have similar symptoms with GERD? It’s the sharp stabbing pains, especially in the chest and upper stomach areas that are most concerning I guess at this point. Sorry for rambling. I’m tired, and kind of beaten down right now. Thank you in advance.</t>
        </is>
      </c>
      <c r="D6079" t="n">
        <v>1</v>
      </c>
      <c r="E6079" t="n">
        <v>3</v>
      </c>
      <c r="F6079">
        <f>HYPERLINK("https://www.reddit.com/r/GERD/comments/fs434v/is_this_gerd_does_this_get_better/")</f>
        <v/>
      </c>
      <c r="G6079" t="inlineStr">
        <is>
          <t>2020-03-30 18:51:47</t>
        </is>
      </c>
      <c r="H6079" t="inlineStr"/>
    </row>
    <row r="6080">
      <c r="A6080" t="inlineStr">
        <is>
          <t>fs45sn</t>
        </is>
      </c>
      <c r="B6080" t="inlineStr">
        <is>
          <t>gastric emptying test??!!</t>
        </is>
      </c>
      <c r="C6080" t="inlineStr">
        <is>
          <t>have any of you had gastric emptying test ??  I know it takes long but what did it show?</t>
        </is>
      </c>
      <c r="D6080" t="n">
        <v>1</v>
      </c>
      <c r="E6080" t="n">
        <v>10</v>
      </c>
      <c r="F6080">
        <f>HYPERLINK("https://www.reddit.com/r/GERD/comments/fs45sn/gastric_emptying_test/")</f>
        <v/>
      </c>
      <c r="G6080" t="inlineStr">
        <is>
          <t>2020-03-30 18:56:43</t>
        </is>
      </c>
      <c r="H6080" t="inlineStr"/>
    </row>
    <row r="6081">
      <c r="A6081" t="inlineStr">
        <is>
          <t>fs4g0f</t>
        </is>
      </c>
      <c r="B6081" t="inlineStr">
        <is>
          <t>Clicking sound</t>
        </is>
      </c>
      <c r="C6081" t="inlineStr">
        <is>
          <t>Has anyone ever had a doctor tell them what this damn click/thunk noise is that some of us get above the Adams Apple while swallowing? I can't find a definitive answer anywhere. I'm going to the GI for the first time ever on Thursday, and I'll ask, but if someone has an actual answer, I'd really like to know. My ears kind of pop/click when I swallow as well...</t>
        </is>
      </c>
      <c r="D6081" t="n">
        <v>1</v>
      </c>
      <c r="E6081" t="n">
        <v>11</v>
      </c>
      <c r="F6081">
        <f>HYPERLINK("https://www.reddit.com/r/GERD/comments/fs4g0f/clicking_sound/")</f>
        <v/>
      </c>
      <c r="G6081" t="inlineStr">
        <is>
          <t>2020-03-30 19:14:32</t>
        </is>
      </c>
      <c r="H6081" t="inlineStr"/>
    </row>
    <row r="6082">
      <c r="A6082" t="inlineStr">
        <is>
          <t>fs4ti6</t>
        </is>
      </c>
      <c r="B6082" t="inlineStr">
        <is>
          <t>Anxious about GERD</t>
        </is>
      </c>
      <c r="C6082" t="inlineStr">
        <is>
          <t>I was due to have an endoscopy next week, but it’s been understandably postponed. 
Coincidentally, this has been the worst flare up I’ve ever had. I’m coming off of a stressful two weeks at work, and my symptoms have gotten so much worse. Strong acid burning has me feeling like my chest and lungs are burning, which is so frustrating. This is coupled with my “norm” of trouble breathing and chest tightness after eating.
I’ve been dealing with GERD- like symptoms for about 7-8 years, and I was looking forward to the endoscopy to confirm/deny.  My question is: how bad can unchecked/untreated GERD be over that period of time? Starting to drive myself crazy in thinking that I’m getting worse/passing a point of difficult treatment.</t>
        </is>
      </c>
      <c r="D6082" t="n">
        <v>1</v>
      </c>
      <c r="E6082" t="n">
        <v>8</v>
      </c>
      <c r="F6082">
        <f>HYPERLINK("https://www.reddit.com/r/GERD/comments/fs4ti6/anxious_about_gerd/")</f>
        <v/>
      </c>
      <c r="G6082" t="inlineStr">
        <is>
          <t>2020-03-30 19:39:02</t>
        </is>
      </c>
      <c r="H6082" t="inlineStr"/>
    </row>
    <row r="6083">
      <c r="A6083" t="inlineStr">
        <is>
          <t>fs86pb</t>
        </is>
      </c>
      <c r="B6083" t="inlineStr">
        <is>
          <t>Those who got GERD after cannabis use, did you get cured? If so, what did you do to recover?</t>
        </is>
      </c>
      <c r="C6083" t="inlineStr">
        <is>
          <t>Started vaping cannabis daily from June 2019 to September 2019 (so 3-4 months daily). I swallowed the vapour frequently (if not most times), ate garbage food, had odd meal times, ate late, had little exercise, and had an erratic sleep schedule. 
Recipe for disaster - I know. Anyways, as the months went on I noticed the acid in my stomach becoming stronger and bloating was starting to worsen. Eventually it became unbearable and one night I could not put my head down with feeling burning acid. 
I’ll cut to the chase, as I can imagine the kind of pain some of your are going through/went through. 
If you’ve had GERD that you feel was started due to weed, what did you do to get rid of it? How long did it take?
It’s been 5 months of suffering and long restless nights – any shared experiences would be extremely valuable. Thank you!</t>
        </is>
      </c>
      <c r="D6083" t="n">
        <v>1</v>
      </c>
      <c r="E6083" t="n">
        <v>21</v>
      </c>
      <c r="F6083">
        <f>HYPERLINK("https://www.reddit.com/r/GERD/comments/fs86pb/those_who_got_gerd_after_cannabis_use_did_you_get/")</f>
        <v/>
      </c>
      <c r="G6083" t="inlineStr">
        <is>
          <t>2020-03-30 23:55:43</t>
        </is>
      </c>
      <c r="H6083" t="inlineStr"/>
    </row>
    <row r="6084">
      <c r="A6084" t="inlineStr">
        <is>
          <t>fs9y1k</t>
        </is>
      </c>
      <c r="B6084" t="inlineStr">
        <is>
          <t>Are there any good home remedies or excersise for Gerd?</t>
        </is>
      </c>
      <c r="C6084" t="inlineStr">
        <is>
          <t>How can I manage my Gerd symtoms? I have been taking an antacid but it's not working, I don't know if it's psychological or what, but I do feel like a congestion in my chest or throat, then I have to do ahmm ahmm a lot to clear sometimes a bit phelgum comes up sometimes not, I dont have breathing problems or fully presistant cough or anything like this, but sometimes when I do a lot of ahmm ahmmmm I can taste my food Wtf? Are there any home remidies for this? It's been like 2 weeks or so, I use to get this before as well but these days with stress and everything it's too much to handle, one thing more.. When I am busy or playing a game or anything this thingy don't bother me at all. Another syntom is like I have something in my throat that I have to clear but it's just nothing,</t>
        </is>
      </c>
      <c r="D6084" t="n">
        <v>1</v>
      </c>
      <c r="E6084" t="n">
        <v>9</v>
      </c>
      <c r="F6084">
        <f>HYPERLINK("https://www.reddit.com/r/GERD/comments/fs9y1k/are_there_any_good_home_remedies_or_excersise_for/")</f>
        <v/>
      </c>
      <c r="G6084" t="inlineStr">
        <is>
          <t>2020-03-31 02:32:49</t>
        </is>
      </c>
      <c r="H6084" t="inlineStr"/>
    </row>
    <row r="6085">
      <c r="A6085" t="inlineStr">
        <is>
          <t>fs9zk2</t>
        </is>
      </c>
      <c r="B6085" t="inlineStr">
        <is>
          <t>Some advice please!</t>
        </is>
      </c>
      <c r="C6085" t="inlineStr">
        <is>
          <t>A friend of mine has been diagnosed with GERD a month back. Her endoscopy and biopsy was done. The doctor gave her medicines (levosulpiride 70mg + rabeprazole 20mg twice daily for a month and also a pre and pro biotic capsule) and told not to have any carbohydrates and sugar during this time. Now there are two things I wanna ask.
1. She already has a past of low sugar and low blood pressure, so she becomes very weak whenever her sugar or blood pressure gets low. Today morning she almost couldn't stand up because her sugar got too low. Can anyone please suggest what can be done? Can she have some minimum amount of sugar in her diet without any issue?
2. Sometimes even now she has a burning sensation in her chest and the lump feeling in throat (LPR) which gets pretty bothering for her. Is that normal and supposed to happen even though she's having medicines?
Any kind of suggestions or advice is welcome. Thank you.
Note: Our country is currently going through a lockdown due to corona, so we are at our home state and hence unable to reach her doctor for now.</t>
        </is>
      </c>
      <c r="D6085" t="n">
        <v>1</v>
      </c>
      <c r="E6085" t="n">
        <v>5</v>
      </c>
      <c r="F6085">
        <f>HYPERLINK("https://www.reddit.com/r/GERD/comments/fs9zk2/some_advice_please/")</f>
        <v/>
      </c>
      <c r="G6085" t="inlineStr">
        <is>
          <t>2020-03-31 02:36:36</t>
        </is>
      </c>
      <c r="H6085" t="inlineStr"/>
    </row>
    <row r="6086">
      <c r="A6086" t="inlineStr">
        <is>
          <t>fsbr1n</t>
        </is>
      </c>
      <c r="B6086" t="inlineStr">
        <is>
          <t>Is this GERD or something else (plus some more questions)</t>
        </is>
      </c>
      <c r="C6086" t="inlineStr">
        <is>
          <t>Hey guys. Around new years I started to have really bad acid reflux after eating a pasta dish (had it a bunch before). I've had acid reflux before but it always lasted a day and went away.  I would actually dare to say I've had a pretty iron stomach most of my life. But now it's been going on pretty much non stop (although not always as bad) for about 3 months. 
My dad died from esophagus cancer and had really bad acid reflux for decades. But his lifestyle was way worse than mine (smoker). He was also handicapped and that may or may not have contributed to it. Still though it's a nasty feeling suffering from something that eventually led to his death.
Things I've done to help it:
1. Went to the doctor. Doc thought it was stomach lining infection? But that should have gotten better on it's own. He didn't think it's an stomach ulcer. The only slight pain/discomfort I feel is almost in my side above my hip. I can almost pinpoint it with one finger. And it's lower than where my stomach should be (I think)
2. Took Rennie. Didn't feel it actively did anything. 
3. Took some electrolyte powder from the doc to help constipation. Didn't help the acid reflux.
4. Went Fodmap. Well for how well I can be Fodmap during this corona crisis. Since a lot of stuff keeps getting nicked from the store. I would say it helps.. But I still feel bloated a lot. Even though this diet is supposed to be ANTI bloat. I've had a few moments where I went off the diet and actually felt my stomach relaxing. But that could be placebo. 
5. Made daily Ginger tea. This does WONDERS for my stomach. I make it ultra strong. So strong that it's hard to swallow. But once it's in my stomach it totally uncoils my stomach and gives me relief like nothing else. Also. After drinking Ginger tea I actually feel hunger again. Which is rare these days.
6. Been working out less. This really sucks. Because being cooped up because of the corona virus I started upping my home training again. I was doing Burpees and they are great. But it didn't help my symptomes of course. I did start walking again. But way less than I used to. I did daily walks for about 30/60 minutes. Now I take a quick 20 minute walk to reduce risk of getting corona. I also started making that walk AFTER dinner. Not sure if that helps much or not. But I've read that it can help digestion.
7. Took Omeprazol. Not sure if it did anything. I was on 20mg for a week or two then tapered off. When I was off it completely I was "fine" for a week then it came back.
Questions:
1. Why does ginger help so much? Why does Ginger help me? And are there ways to get the same effect cheaper/easier? Ginger was rare at my store before the crisis. But now it's even harder to get it stocked up. It's also annoying to make. I make one batch for two days (1 warm, 1 cold).
2. Is it even GERD?
3. Is it even my stomach? The pain feels lower. But I don't know.
4. How  can I tell if it's food related or exercise?
Thanks.</t>
        </is>
      </c>
      <c r="D6086" t="n">
        <v>1</v>
      </c>
      <c r="E6086" t="n">
        <v>4</v>
      </c>
      <c r="F6086">
        <f>HYPERLINK("https://www.reddit.com/r/GERD/comments/fsbr1n/is_this_gerd_or_something_else_plus_some_more/")</f>
        <v/>
      </c>
      <c r="G6086" t="inlineStr">
        <is>
          <t>2020-03-31 05:06:22</t>
        </is>
      </c>
      <c r="H6086" t="inlineStr"/>
    </row>
    <row r="6087">
      <c r="A6087" t="inlineStr">
        <is>
          <t>fsd8uw</t>
        </is>
      </c>
      <c r="B6087" t="inlineStr">
        <is>
          <t>I just can't. I don't know what else to do. THREE WEEKS and low-grade fever.</t>
        </is>
      </c>
      <c r="C6087" t="inlineStr">
        <is>
          <t>Constant throat pain, loss of appetite, if something doesn't agree, the acid reflux starts. Also have a chest thing where it's like I'm almost breathless. I tried every thing - even checked my water which showed to be pretty acidic - around 6. That's low. FTS, am over it. Please tell me you had something similar and it got better.</t>
        </is>
      </c>
      <c r="D6087" t="n">
        <v>1</v>
      </c>
      <c r="E6087" t="n">
        <v>10</v>
      </c>
      <c r="F6087">
        <f>HYPERLINK("https://www.reddit.com/r/GERD/comments/fsd8uw/i_just_cant_i_dont_know_what_else_to_do_three/")</f>
        <v/>
      </c>
      <c r="G6087" t="inlineStr">
        <is>
          <t>2020-03-31 06:50:53</t>
        </is>
      </c>
      <c r="H6087" t="inlineStr"/>
    </row>
    <row r="6088">
      <c r="A6088" t="inlineStr">
        <is>
          <t>fsf6cc</t>
        </is>
      </c>
      <c r="B6088" t="inlineStr">
        <is>
          <t>Talk-o Tuesday -- Talk about whatever you'd like</t>
        </is>
      </c>
      <c r="C6088" t="inlineStr">
        <is>
          <t>One of two open forums this week. Discuss whatever you'd like, it does not need to be GERD related (but you're certainly welcome to do so.) 
Any good movies to relax with? New video game (Animal Crossings or Mario Kart?) Have a good book? 
Let's hear what's on your mind. Just keep it safe for work, thanks!</t>
        </is>
      </c>
      <c r="D6088" t="n">
        <v>2</v>
      </c>
      <c r="E6088" t="n">
        <v>6</v>
      </c>
      <c r="F6088">
        <f>HYPERLINK("https://www.reddit.com/r/GERD/comments/fsf6cc/talko_tuesday_talk_about_whatever_youd_like/")</f>
        <v/>
      </c>
      <c r="G6088" t="inlineStr">
        <is>
          <t>2020-03-31 08:43:16</t>
        </is>
      </c>
      <c r="H6088" t="inlineStr"/>
    </row>
    <row r="6089">
      <c r="A6089" t="inlineStr">
        <is>
          <t>fsi2i0</t>
        </is>
      </c>
      <c r="B6089" t="inlineStr">
        <is>
          <t>CAFFEINE IMPACT</t>
        </is>
      </c>
      <c r="C6089" t="inlineStr">
        <is>
          <t>Impact of drinking caffeine on your GERD or LPR. 
10 being the worst. 
I’ve been cheating since being stuck at home and paying the price may have to quit yet again.</t>
        </is>
      </c>
      <c r="D6089" t="n">
        <v>3</v>
      </c>
      <c r="E6089" t="n">
        <v>62</v>
      </c>
      <c r="F6089">
        <f>HYPERLINK("https://www.reddit.com/r/GERD/comments/fsi2i0/caffeine_impact/")</f>
        <v/>
      </c>
      <c r="G6089" t="inlineStr">
        <is>
          <t>2020-03-31 11:16:29</t>
        </is>
      </c>
      <c r="H6089" t="inlineStr"/>
    </row>
    <row r="6090">
      <c r="A6090" t="inlineStr">
        <is>
          <t>fsi9t4</t>
        </is>
      </c>
      <c r="B6090" t="inlineStr">
        <is>
          <t>Sleeping on left side way worse then right side, anyone else?</t>
        </is>
      </c>
      <c r="C6090" t="inlineStr">
        <is>
          <t>For some reason sleeping on my left side makes my symptoms far worse then sleeping on my right side. I don’t know why. Does anyone else experience this. 
Also if there are any mods reading this, it would be really cool to be able to use polls on this subreddit. Then we could ask questions like this and see statistically how everyone sleeps and many other things.</t>
        </is>
      </c>
      <c r="D6090" t="n">
        <v>2</v>
      </c>
      <c r="E6090" t="n">
        <v>9</v>
      </c>
      <c r="F6090">
        <f>HYPERLINK("https://www.reddit.com/r/GERD/comments/fsi9t4/sleeping_on_left_side_way_worse_then_right_side/")</f>
        <v/>
      </c>
      <c r="G6090" t="inlineStr">
        <is>
          <t>2020-03-31 11:27:05</t>
        </is>
      </c>
      <c r="H6090" t="inlineStr"/>
    </row>
    <row r="6091">
      <c r="A6091" t="inlineStr">
        <is>
          <t>fsjgiy</t>
        </is>
      </c>
      <c r="B6091" t="inlineStr">
        <is>
          <t>Gaining weight safely</t>
        </is>
      </c>
      <c r="C6091" t="inlineStr">
        <is>
          <t>I was diagnosed with GERD in the summer of 2018. I was 185 lbs and 6'. I was running and lifting weights at that time.
As I slowly adjusted my diet so that I could stay off of medications, I saw a drop in weight to about 165lbs in around a month. But it stuck there for over a year until only a couple of months ago, so I was fine with that. 
However, a couple of months ago, the weight loss spiked again and it just won't quit. I'm now 140 lbs and will soon be in the 130-139 territory. As a heavy cutter of weight in high school wrestling, I never achieved numbers like this when actively TRYING. I have to do something.
I need to make one last effort to be sure I'm not doing this to myself. Is there a shake or supplement or GERD friendly weight gain regimen that I can try? Anything helps.
I realize this could be a sign of something much worse, but I've always had the Christian Bale talent for gaining and losing weight, so I'm not going to fuss over that possibility yet. It's a horrible time to consider that.</t>
        </is>
      </c>
      <c r="D6091" t="n">
        <v>1</v>
      </c>
      <c r="E6091" t="n">
        <v>11</v>
      </c>
      <c r="F6091">
        <f>HYPERLINK("https://www.reddit.com/r/GERD/comments/fsjgiy/gaining_weight_safely/")</f>
        <v/>
      </c>
      <c r="G6091" t="inlineStr">
        <is>
          <t>2020-03-31 12:28:09</t>
        </is>
      </c>
      <c r="H6091" t="inlineStr"/>
    </row>
    <row r="6092">
      <c r="A6092" t="inlineStr">
        <is>
          <t>fsl1a0</t>
        </is>
      </c>
      <c r="B6092" t="inlineStr">
        <is>
          <t>Does LPR always show up in 24-hour pH tests?</t>
        </is>
      </c>
      <c r="C6092" t="inlineStr">
        <is>
          <t>I (21m) recently had a 24-hour pH test that came up normal and clean. This seemed bizarre because upper GI and endoscopy both showed signs of reflux, and I have been diagnosed with eosinophilic esophagitis.
Has anybody else had their 24h-pH come up negative despite other positive tests? More importantly, has anybody had a negative 24h-pH test and still been recommended for surgery?</t>
        </is>
      </c>
      <c r="D6092" t="n">
        <v>1</v>
      </c>
      <c r="E6092" t="n">
        <v>16</v>
      </c>
      <c r="F6092">
        <f>HYPERLINK("https://www.reddit.com/r/GERD/comments/fsl1a0/does_lpr_always_show_up_in_24hour_ph_tests/")</f>
        <v/>
      </c>
      <c r="G6092" t="inlineStr">
        <is>
          <t>2020-03-31 13:50:51</t>
        </is>
      </c>
      <c r="H6092" t="inlineStr"/>
    </row>
    <row r="6093">
      <c r="A6093" t="inlineStr">
        <is>
          <t>fsn50e</t>
        </is>
      </c>
      <c r="B6093" t="inlineStr">
        <is>
          <t>Omeprazole side effects, anybody else experience?</t>
        </is>
      </c>
      <c r="C6093" t="inlineStr">
        <is>
          <t>So my doc prescribed me 40mg Omeprazole and since I’ve started taking it I’ve had blurred vision, dizziness, my heart will feel like it’s racing even if I’m not doing anything, headaches, and weakness. Anybody else experience this?</t>
        </is>
      </c>
      <c r="D6093" t="n">
        <v>1</v>
      </c>
      <c r="E6093" t="n">
        <v>25</v>
      </c>
      <c r="F6093">
        <f>HYPERLINK("https://www.reddit.com/r/GERD/comments/fsn50e/omeprazole_side_effects_anybody_else_experience/")</f>
        <v/>
      </c>
      <c r="G6093" t="inlineStr">
        <is>
          <t>2020-03-31 15:42:46</t>
        </is>
      </c>
      <c r="H6093" t="inlineStr"/>
    </row>
    <row r="6094">
      <c r="A6094" t="inlineStr">
        <is>
          <t>fsoc0s</t>
        </is>
      </c>
      <c r="B6094" t="inlineStr">
        <is>
          <t>Pantoprazole</t>
        </is>
      </c>
      <c r="C6094" t="inlineStr">
        <is>
          <t>I’ve been placed on 40mg 2x daily, does anyone have a reliable taper down schedule ! What can I use when there’s a flare up of rebound?  Some one help .. please 🙏🏼</t>
        </is>
      </c>
      <c r="D6094" t="n">
        <v>1</v>
      </c>
      <c r="E6094" t="n">
        <v>11</v>
      </c>
      <c r="F6094">
        <f>HYPERLINK("https://www.reddit.com/r/GERD/comments/fsoc0s/pantoprazole/")</f>
        <v/>
      </c>
      <c r="G6094" t="inlineStr">
        <is>
          <t>2020-03-31 16:52:15</t>
        </is>
      </c>
      <c r="H6094" t="inlineStr"/>
    </row>
    <row r="6095">
      <c r="A6095" t="inlineStr">
        <is>
          <t>fsos9u</t>
        </is>
      </c>
      <c r="B6095" t="inlineStr">
        <is>
          <t>After eight weeks of shortness of breath</t>
        </is>
      </c>
      <c r="C6095" t="inlineStr">
        <is>
          <t>Good day! After eight weeks of shortness of breath symptom, amid the covid-19 crisis, I was finally diagnosed today with GERD. 
What a relief! I saw several providers. I was misdiagnosed with sinus infection, bronchitis, pulmonary embolism, pneumonia, allergies and even a heart attack!
Everytime I mentioned shortness of breath I was immediately thought to have covid-19. It was so frustrating!!!</t>
        </is>
      </c>
      <c r="D6095" t="n">
        <v>1</v>
      </c>
      <c r="E6095" t="n">
        <v>16</v>
      </c>
      <c r="F6095">
        <f>HYPERLINK("https://www.reddit.com/r/GERD/comments/fsos9u/after_eight_weeks_of_shortness_of_breath/")</f>
        <v/>
      </c>
      <c r="G6095" t="inlineStr">
        <is>
          <t>2020-03-31 17:20:06</t>
        </is>
      </c>
      <c r="H6095" t="inlineStr"/>
    </row>
    <row r="6096">
      <c r="A6096" t="inlineStr">
        <is>
          <t>fsoxxw</t>
        </is>
      </c>
      <c r="B6096" t="inlineStr">
        <is>
          <t>Advice on chest pain</t>
        </is>
      </c>
      <c r="C6096" t="inlineStr">
        <is>
          <t>Has anyone experienced chest pain only instead of the classic heartburn? I'm feeling the pain again after I got off Omeprazole. It's about mild-moderate pain. 
Just saw a gastroenterologist the other day and he said chest pain is a worse version of heartburn. 
Does anyone know why some people get chest pain instead of burn? The doctor didn't explain much other than that everyone's symptoms are different. 
Maybe I'm overly curious but knowing why some feel chest pain instead of heartburn may give some clues as to what I can do.
Has anyone done anything to get rid of their chest pain? I've been on low acid diet for nearly 3 weeks now. 
Any advice would be appreciated.</t>
        </is>
      </c>
      <c r="D6096" t="n">
        <v>2</v>
      </c>
      <c r="E6096" t="n">
        <v>0</v>
      </c>
      <c r="F6096">
        <f>HYPERLINK("https://www.reddit.com/r/GERD/comments/fsoxxw/advice_on_chest_pain/")</f>
        <v/>
      </c>
      <c r="G6096" t="inlineStr">
        <is>
          <t>2020-03-31 17:29:50</t>
        </is>
      </c>
      <c r="H6096" t="inlineStr"/>
    </row>
    <row r="6097">
      <c r="A6097" t="inlineStr">
        <is>
          <t>fsp7hz</t>
        </is>
      </c>
      <c r="B6097" t="inlineStr">
        <is>
          <t>dyspnea</t>
        </is>
      </c>
      <c r="C6097" t="inlineStr">
        <is>
          <t>*"Shortness of breath, also called* *dyspnea**, occurs with GERD because stomach acid that creeps into the esophagus can enter the lungs, particularly during sleep, and cause swelling of the airways."*
Just had my another hospital visit because of a GERD symptom. I'm still not diagnosed with it. At this point I'm super frustrated because no one seems to be able to help me or treat it. Anyone have any advice for sleeping with dyspnea?</t>
        </is>
      </c>
      <c r="D6097" t="n">
        <v>2</v>
      </c>
      <c r="E6097" t="n">
        <v>5</v>
      </c>
      <c r="F6097">
        <f>HYPERLINK("https://www.reddit.com/r/GERD/comments/fsp7hz/dyspnea/")</f>
        <v/>
      </c>
      <c r="G6097" t="inlineStr">
        <is>
          <t>2020-03-31 17:45:37</t>
        </is>
      </c>
      <c r="H6097" t="inlineStr"/>
    </row>
    <row r="6098">
      <c r="A6098" t="inlineStr">
        <is>
          <t>fspb0d</t>
        </is>
      </c>
      <c r="B6098" t="inlineStr">
        <is>
          <t>Tickling in Chest</t>
        </is>
      </c>
      <c r="C6098" t="inlineStr">
        <is>
          <t>Hey everyone, new to the GERD experience, so apologies if I'm making a big deal out of nothing. I think it may be a side-effect of a muscle relaxer I am taking for some serious back issues, so seems like I might be dealing with it for a bit here because the muscle relaxers are non-negotiable right now.
I saw the doctor about the crazy tickle in my upper chest I had for a few days, and she asked me if I happened to have noticed more acid reflux than usual recently, to which I replied yes. I'm asthmatic and have allergies, and apparently acid reflux is adding another variable that's causing weird things to happen. She says this feeling is somewhat common.
I'm wondering if anyone else experiences this, and if I should indeed consider it to be normal. It's like a deep throat tickle that I can't put a finger on, and it tends to travel down my chest if I swallow or drink water. It's almost like a referred itch, and I can feel it on the side of my chest and everywhere in-between. It makes it seem like I need to cough, but never really engages that reflex I would normally get if I had an actual respiratory issue. Doctor listened to my lungs and said everything sounds fine, and asked if I was coughing or short of breath. Nope. I told her I force-coughed to relieve the itch, but that doesn't really seem to do much. That's when she turned to the acid reflux idea.
It's obnoxious and is starting to stress me out. My brain knows, according to the doctor, that this is caused by acid reflux, but it sure feels respiratory on a regular basis, and gives me small bursts of anxiety as a result. 
Please tell me I'm not crazy.</t>
        </is>
      </c>
      <c r="D6098" t="n">
        <v>2</v>
      </c>
      <c r="E6098" t="n">
        <v>1</v>
      </c>
      <c r="F6098">
        <f>HYPERLINK("https://www.reddit.com/r/GERD/comments/fspb0d/tickling_in_chest/")</f>
        <v/>
      </c>
      <c r="G6098" t="inlineStr">
        <is>
          <t>2020-03-31 17:51:49</t>
        </is>
      </c>
      <c r="H6098" t="inlineStr"/>
    </row>
    <row r="6099">
      <c r="A6099" t="inlineStr">
        <is>
          <t>fsq5ah</t>
        </is>
      </c>
      <c r="B6099" t="inlineStr">
        <is>
          <t>GERD only at dinner/evening/night</t>
        </is>
      </c>
      <c r="C6099" t="inlineStr">
        <is>
          <t>Hi,
I have GERD/heartburn for about 15 years. It was only from time to time.
I was only taking TUMS at first. Years past and and now I need H2 blockers or PPI.
Recently,I had a very bad cough in (December I think) and it gave me bad GERD (I always had more GERD problems when I was sick).
Problem is, it never went away this time. Every single evening/night I now have GERD no matter what I eat.
During the day, no problem at all. I can eat a pizza and a burger without any problem. Dinner ? A glass of water would probably give me GERD.
My GP gave me a 1 month treatment of PPI (Dexilant) in case I have irritation. This month was fabulous. I was feeling 15 again.
One week after the treatment, back where it was.
She doesn’t want me to stay on PPI so I’m now on Pepcid/Zantac.
I take one every day during the evening and I’m OK for 24h.
Anyone have problems only and the end of the day?
I feel I will need to take H2 blocker for the rest of my life :( it works well but it gives me bad constipation...
Thanks</t>
        </is>
      </c>
      <c r="D6099" t="n">
        <v>1</v>
      </c>
      <c r="E6099" t="n">
        <v>3</v>
      </c>
      <c r="F6099">
        <f>HYPERLINK("https://www.reddit.com/r/GERD/comments/fsq5ah/gerd_only_at_dinnereveningnight/")</f>
        <v/>
      </c>
      <c r="G6099" t="inlineStr">
        <is>
          <t>2020-03-31 18:44:21</t>
        </is>
      </c>
      <c r="H6099" t="inlineStr"/>
    </row>
    <row r="6100">
      <c r="A6100" t="inlineStr">
        <is>
          <t>fsqwnt</t>
        </is>
      </c>
      <c r="B6100" t="inlineStr">
        <is>
          <t>Switched from Prilosec to Nexium</t>
        </is>
      </c>
      <c r="C6100" t="inlineStr">
        <is>
          <t>How many days until I can judge if Nexium works better?</t>
        </is>
      </c>
      <c r="D6100" t="n">
        <v>2</v>
      </c>
      <c r="E6100" t="n">
        <v>2</v>
      </c>
      <c r="F6100">
        <f>HYPERLINK("https://www.reddit.com/r/GERD/comments/fsqwnt/switched_from_prilosec_to_nexium/")</f>
        <v/>
      </c>
      <c r="G6100" t="inlineStr">
        <is>
          <t>2020-03-31 19:33:13</t>
        </is>
      </c>
      <c r="H6100" t="inlineStr"/>
    </row>
    <row r="6101">
      <c r="A6101" t="inlineStr">
        <is>
          <t>fsr7tc</t>
        </is>
      </c>
      <c r="B6101" t="inlineStr">
        <is>
          <t>chronic cough</t>
        </is>
      </c>
      <c r="C6101" t="inlineStr">
        <is>
          <t>I'm trying to research chronic cough to better understand its effects on patients’ lives. Have you had a cough for more than 8 weeks (“chronic cough”) that has persisted despite treatment for other conditions (like GERD, or others like COPD, asthma, lung cancer, etc.) or is unexplained (seemingly not resulting from any other condition)?</t>
        </is>
      </c>
      <c r="D6101" t="n">
        <v>1</v>
      </c>
      <c r="E6101" t="n">
        <v>8</v>
      </c>
      <c r="F6101">
        <f>HYPERLINK("https://www.reddit.com/r/GERD/comments/fsr7tc/chronic_cough/")</f>
        <v/>
      </c>
      <c r="G6101" t="inlineStr">
        <is>
          <t>2020-03-31 19:53:42</t>
        </is>
      </c>
      <c r="H6101" t="inlineStr"/>
    </row>
    <row r="6102">
      <c r="A6102" t="inlineStr">
        <is>
          <t>fsrjkl</t>
        </is>
      </c>
      <c r="B6102" t="inlineStr">
        <is>
          <t>Cough and acid reflux</t>
        </is>
      </c>
      <c r="C6102" t="inlineStr">
        <is>
          <t>Hey all, 
So some of my Acid reflux is caused by anxiety and I know it.
Last week, my anxiety was so high because of this pandemic to the point where I was getting sick. I threw up twice. Every since then I’ve had a cough and a sore throat.
Is cough normal with acid reflux? And what causes it? 
Thank you</t>
        </is>
      </c>
      <c r="D6102" t="n">
        <v>1</v>
      </c>
      <c r="E6102" t="n">
        <v>5</v>
      </c>
      <c r="F6102">
        <f>HYPERLINK("https://www.reddit.com/r/GERD/comments/fsrjkl/cough_and_acid_reflux/")</f>
        <v/>
      </c>
      <c r="G6102" t="inlineStr">
        <is>
          <t>2020-03-31 20:14:36</t>
        </is>
      </c>
      <c r="H6102" t="inlineStr"/>
    </row>
    <row r="6103">
      <c r="A6103" t="inlineStr">
        <is>
          <t>fssqw6</t>
        </is>
      </c>
      <c r="B6103" t="inlineStr">
        <is>
          <t>Swelling around left rib cage</t>
        </is>
      </c>
      <c r="C6103" t="inlineStr">
        <is>
          <t>About to hop in the shower right now and it appears that my left side around my rib cage is completely swollen. I can easily tell, there is an absolutely huge difference. I haven’t ate in 2-3 hours. I’m nervous, I noticed it a while back and it appears it’s growing. Anyone have anything similar or the same problem. I’ll give my GI a call tomorrow.</t>
        </is>
      </c>
      <c r="D6103" t="n">
        <v>1</v>
      </c>
      <c r="E6103" t="n">
        <v>5</v>
      </c>
      <c r="F6103">
        <f>HYPERLINK("https://www.reddit.com/r/GERD/comments/fssqw6/swelling_around_left_rib_cage/")</f>
        <v/>
      </c>
      <c r="G6103" t="inlineStr">
        <is>
          <t>2020-03-31 21:36:52</t>
        </is>
      </c>
      <c r="H6103" t="inlineStr"/>
    </row>
    <row r="6104">
      <c r="A6104" t="inlineStr">
        <is>
          <t>fst7za</t>
        </is>
      </c>
      <c r="B6104" t="inlineStr">
        <is>
          <t>Hypersalivation</t>
        </is>
      </c>
      <c r="C6104" t="inlineStr">
        <is>
          <t>I have a horribly over salivated mouth. When I wake up from sleeping, my hands and face is COVERED in saliva. The tip of my tongue will not stop filling with saliva and it is honestly the most annoying thing ever. I genuinely can’t stand it to the point where I started crying. I currently don’t have medical insurance so there is nothing that I could do about it. Sometimes I just put a clean T-shirt or rag in my mouth just so it could absorb whatever saliva it can, or even just a cup to spit in. Is there anything I can do to help this????</t>
        </is>
      </c>
      <c r="D6104" t="n">
        <v>1</v>
      </c>
      <c r="E6104" t="n">
        <v>4</v>
      </c>
      <c r="F6104">
        <f>HYPERLINK("https://www.reddit.com/r/GERD/comments/fst7za/hypersalivation/")</f>
        <v/>
      </c>
      <c r="G6104" t="inlineStr">
        <is>
          <t>2020-03-31 22:10:25</t>
        </is>
      </c>
      <c r="H6104" t="inlineStr"/>
    </row>
    <row r="6105">
      <c r="A6105" t="inlineStr">
        <is>
          <t>fsto4n</t>
        </is>
      </c>
      <c r="B6105" t="inlineStr">
        <is>
          <t>Gaviscon advance to Canada</t>
        </is>
      </c>
      <c r="C6105" t="inlineStr">
        <is>
          <t>Hi guys.
I normally order gaviscon advance to Canada through amazon.com and I see that it’s not currently available.
I’m assuming this is due to this covid issue.
I’m wondering if there is any other way to get it?</t>
        </is>
      </c>
      <c r="D6105" t="n">
        <v>1</v>
      </c>
      <c r="E6105" t="n">
        <v>1</v>
      </c>
      <c r="F6105">
        <f>HYPERLINK("https://www.reddit.com/r/GERD/comments/fsto4n/gaviscon_advance_to_canada/")</f>
        <v/>
      </c>
      <c r="G6105" t="inlineStr">
        <is>
          <t>2020-03-31 22:43:28</t>
        </is>
      </c>
      <c r="H6105" t="inlineStr"/>
    </row>
    <row r="6106">
      <c r="A6106" t="inlineStr">
        <is>
          <t>fsud1j</t>
        </is>
      </c>
      <c r="B6106" t="inlineStr">
        <is>
          <t>What are some coffee alternative for people with GERD</t>
        </is>
      </c>
      <c r="C6106" t="inlineStr">
        <is>
          <t>Hello everybody 23/m here been Diagnosed with GERD for almost 6 months now and I really miss my morning coffee especially that I work as a developer and I need my mind and energy boost what are some alternative to coffee that will boost my energy. and is there any kind of food or home remedies that will help relieve my heartburn</t>
        </is>
      </c>
      <c r="D6106" t="n">
        <v>1</v>
      </c>
      <c r="E6106" t="n">
        <v>8</v>
      </c>
      <c r="F6106">
        <f>HYPERLINK("https://www.reddit.com/r/GERD/comments/fsud1j/what_are_some_coffee_alternative_for_people_with/")</f>
        <v/>
      </c>
      <c r="G6106" t="inlineStr">
        <is>
          <t>2020-03-31 23:37:29</t>
        </is>
      </c>
      <c r="H6106" t="inlineStr"/>
    </row>
    <row r="6107">
      <c r="A6107" t="inlineStr">
        <is>
          <t>fsuhj3</t>
        </is>
      </c>
      <c r="B6107" t="inlineStr">
        <is>
          <t>h pylori or just GERD?</t>
        </is>
      </c>
      <c r="C6107" t="inlineStr">
        <is>
          <t>Hi all,
So this has been a pretty wild month for me. Around february I got kind of sick with what felt like a sinus infection, clogged nose, ears crackling when blowing my nose, enlarged lymph nodes. As that began to clear up towards the end of the month when march came around it felt like I got hit by a train. All those same symptoms except my stomach was going absolutely nuts. Constant burping and farting, no appetite whatsoever, felt acid just sloshing and churning in my stomach. I had never experienced something like it before so it really freaked me out. I lost 14 pounds over the course of 3 weeks and was living off Ensure shakes just to keep on some weight. Finally I ended up getting a doctors appointment amid this corona madness and was diagnosed with GERD. I was put on a prescription PPI and my symptoms have GREATLY subsided. MY appetite is entirely back now, still have the sloshing and stomach noises though. I guess what concerns me is that they put me on this PPI before doing an H Pylori test which they said they'd have to run about a month after I finish this course of PPIs. I wish I had never started them to begin with now if I had known this. Thinking back now, it does seem I'd always had GERD to some extent but it just never seemed to effect my life much (for as long as I can remember I'd had food in the back of my throat that should've been digested hours before, would throw up in my mouth and swallow it back down.) I know nobody can diagnose me but does it sounds like I have h pylori? would a PPI be this effective if I did have it?</t>
        </is>
      </c>
      <c r="D6107" t="n">
        <v>1</v>
      </c>
      <c r="E6107" t="n">
        <v>9</v>
      </c>
      <c r="F6107">
        <f>HYPERLINK("https://www.reddit.com/r/GERD/comments/fsuhj3/h_pylori_or_just_gerd/")</f>
        <v/>
      </c>
      <c r="G6107" t="inlineStr">
        <is>
          <t>2020-03-31 23:47:32</t>
        </is>
      </c>
      <c r="H6107" t="inlineStr"/>
    </row>
    <row r="6108">
      <c r="A6108" t="inlineStr">
        <is>
          <t>fswlrz</t>
        </is>
      </c>
      <c r="B6108" t="inlineStr">
        <is>
          <t>Is hiatal hernia repair surgery worth it? Is it really effective for GERD?</t>
        </is>
      </c>
      <c r="C6108" t="inlineStr">
        <is>
          <t>I've recently been diagnosed by endoscopy with a medium sized hiatal hernia. I get bad acid reflux on a daily basis and it's getting out of hand. PPIs and h2 blockers aren't helping either.
My endoscopy showed I had an irregular z line and the biopsy showed it was inflamed and that I had chronic gastritis.
I feel very hopeless and I'm afraid of the long term damage causing esophageal or stomach cancer.
Is a hiatal repair surgery effective and worth it? I'm nervous about doing something so invasive. I've never had surgery before.</t>
        </is>
      </c>
      <c r="D6108" t="n">
        <v>1</v>
      </c>
      <c r="E6108" t="n">
        <v>15</v>
      </c>
      <c r="F6108">
        <f>HYPERLINK("https://www.reddit.com/r/GERD/comments/fswlrz/is_hiatal_hernia_repair_surgery_worth_it_is_it/")</f>
        <v/>
      </c>
      <c r="G6108" t="inlineStr">
        <is>
          <t>2020-04-01 02:34:20</t>
        </is>
      </c>
      <c r="H6108" t="inlineStr"/>
    </row>
    <row r="6109">
      <c r="A6109" t="inlineStr">
        <is>
          <t>ft1p20</t>
        </is>
      </c>
      <c r="B6109" t="inlineStr">
        <is>
          <t>Dicyclomine</t>
        </is>
      </c>
      <c r="C6109" t="inlineStr">
        <is>
          <t>Hello , 
So has gastritis and I believe gerd . I was prescribed Dicyclomine. Downside is that it will help with the spasms in my upper and lower stomach , but with those muscles relaxing it can cause more acid reflux . It’s like you doomed if you do doomed if you don’t</t>
        </is>
      </c>
      <c r="D6109" t="n">
        <v>1</v>
      </c>
      <c r="E6109" t="n">
        <v>0</v>
      </c>
      <c r="F6109">
        <f>HYPERLINK("https://www.reddit.com/r/GERD/comments/ft1p20/dicyclomine/")</f>
        <v/>
      </c>
      <c r="G6109" t="inlineStr">
        <is>
          <t>2020-04-01 08:19:12</t>
        </is>
      </c>
      <c r="H6109" t="inlineStr"/>
    </row>
    <row r="6110">
      <c r="A6110" t="inlineStr">
        <is>
          <t>ft1zje</t>
        </is>
      </c>
      <c r="B6110" t="inlineStr">
        <is>
          <t>Stuck in throat feelings.</t>
        </is>
      </c>
      <c r="C6110" t="inlineStr">
        <is>
          <t>Hello.  I think I suffer mostly from silent reflux. And for the most part eating Is okay .
But does anyone get bad attacks when for this instant I had a packet of mini cheddar. And swallowing is ok,  but afterwards it feels like the last piece is stuck,  and you can feel it as if it's still there,  but taking a drink of water which goes down ok.  So followed up by having a throat sweet because that usually makes my throat feel clearer and better   but on this occasion it feels as though the sweet is lodged in there   even though I know it's not.  Then get all mucas feeling..  
Who else gets attacks like this... and how do you get over them,  it almost makes me feel scared to eat.</t>
        </is>
      </c>
      <c r="D6110" t="n">
        <v>1</v>
      </c>
      <c r="E6110" t="n">
        <v>6</v>
      </c>
      <c r="F6110">
        <f>HYPERLINK("https://www.reddit.com/r/GERD/comments/ft1zje/stuck_in_throat_feelings/")</f>
        <v/>
      </c>
      <c r="G6110" t="inlineStr">
        <is>
          <t>2020-04-01 08:34:43</t>
        </is>
      </c>
      <c r="H6110" t="inlineStr"/>
    </row>
    <row r="6111">
      <c r="A6111" t="inlineStr">
        <is>
          <t>ft2aly</t>
        </is>
      </c>
      <c r="B6111" t="inlineStr">
        <is>
          <t>Told to take famotidine for basically the rest of my life?</t>
        </is>
      </c>
      <c r="C6111" t="inlineStr">
        <is>
          <t>Hello,
For the past week, I've been having a mild-ish episode of GERD. Specifically, I would feel gassy throughout the day and experience heart palpitations or stomach fluttering. Intially, the doctor I saw prescribed me famotidine 40mg which has helped greatly. Along with this, I began to eat a low acid diet and elevate the head of my bed. 
I'm now feeling much better - optimistic that I should feel normalish maybe in a few weeks. I asked the doctor when I should stop the famotidine and she told me that she thinks I should be taking even after my symptoms stop. 
I know chronic GERD is a real thing, but I feel like this is kind of extreme? I was never formally diagnosed by any test... She just touched my abdomen and said "I think this is acid reflux". I'm apprehensive to take a medication that controls my stomach acid even when I'm not showing symptoms of acid reflux. 
What do you guys think?</t>
        </is>
      </c>
      <c r="D6111" t="n">
        <v>1</v>
      </c>
      <c r="E6111" t="n">
        <v>15</v>
      </c>
      <c r="F6111">
        <f>HYPERLINK("https://www.reddit.com/r/GERD/comments/ft2aly/told_to_take_famotidine_for_basically_the_rest_of/")</f>
        <v/>
      </c>
      <c r="G6111" t="inlineStr">
        <is>
          <t>2020-04-01 08:51:09</t>
        </is>
      </c>
      <c r="H6111" t="inlineStr"/>
    </row>
    <row r="6112">
      <c r="A6112" t="inlineStr">
        <is>
          <t>ft2trv</t>
        </is>
      </c>
      <c r="B6112" t="inlineStr">
        <is>
          <t>TIF Procedure</t>
        </is>
      </c>
      <c r="C6112" t="inlineStr">
        <is>
          <t>Hi all,
I have finally received all my test results and met with my surgeon yesterday. I am a candidate for the TIF procedure (as well as LINX) and effectively need to decide ASAP (due to a growing waitlist since my state is postponing elective surgeries) if I want to go forward with TIF or LINX.
I originally went to him with the expectation of LINX, but under some discoveries during the testing (mainly the classification of my hernia) he has pushed for TIF. For me, the appeal of TIF is that it is endoscopic rather than surgical. With the LINX, he would also need to correct the hernia before installing the device. 
I find it difficult to find sources online that do anything but speak of the high praises of the procedure. I was told that the TIF has a higher success rate than the LINX after 5 years, but for me, I want this to be permanent. 
Does anyone have any experience with TIF and would like to share both the pros and cons of the procedure?</t>
        </is>
      </c>
      <c r="D6112" t="n">
        <v>1</v>
      </c>
      <c r="E6112" t="n">
        <v>1</v>
      </c>
      <c r="F6112">
        <f>HYPERLINK("https://www.reddit.com/r/GERD/comments/ft2trv/tif_procedure/")</f>
        <v/>
      </c>
      <c r="G6112" t="inlineStr">
        <is>
          <t>2020-04-01 09:18:32</t>
        </is>
      </c>
      <c r="H6112" t="inlineStr"/>
    </row>
    <row r="6113">
      <c r="A6113" t="inlineStr">
        <is>
          <t>ft30h3</t>
        </is>
      </c>
      <c r="B6113" t="inlineStr">
        <is>
          <t>Does anyone suffer from asthma due to GERD</t>
        </is>
      </c>
      <c r="C6113" t="inlineStr">
        <is>
          <t>Hi guys sorry if there is already a thread or post on this..I am new here and I just wanted to know if there are anyone suffering from asthma like shortness of breath due to GERD
Long story is that I had burning sensation in my stomach and chest coupled with nausea almost an year back and went to see the doc. After an endoscopy , I was diagnosed with GERD, gastritis , esopthagitis and also positive for Hpylori . They prescribed a week's course of antibiotics to treat the bacteria and told me that would take care of the infection. And put me on Nexpro IT tab for 4 month.
Although burning sensation and nausea gradually reduced, I started belching heavily. I also started to feel fatigue 1 or 2 days almost in a periodic fashion every week. Like when you have a fever.
Belching also left a sour taste, kind of how undigested food might taste.
I always thought the symptoms seemed very similar to a Hpylori infection , but doctors told me that the week's course of antibiotics should have cured it 
Recently a month back after a few days of severe belching I started getting shortness of breath.
With the coronavirus around I was scared as shit, went to the ER and was told it was a panic reaction due to GERD.
So I just wanted to know from the community if anyone has experienced something similar ..</t>
        </is>
      </c>
      <c r="D6113" t="n">
        <v>1</v>
      </c>
      <c r="E6113" t="n">
        <v>23</v>
      </c>
      <c r="F6113">
        <f>HYPERLINK("https://www.reddit.com/r/GERD/comments/ft30h3/does_anyone_suffer_from_asthma_due_to_gerd/")</f>
        <v/>
      </c>
      <c r="G6113" t="inlineStr">
        <is>
          <t>2020-04-01 09:28:24</t>
        </is>
      </c>
      <c r="H6113" t="inlineStr"/>
    </row>
    <row r="6114">
      <c r="A6114" t="inlineStr">
        <is>
          <t>ft3a8m</t>
        </is>
      </c>
      <c r="B6114" t="inlineStr">
        <is>
          <t>Adjustable bed for acid reflux</t>
        </is>
      </c>
      <c r="C6114" t="inlineStr">
        <is>
          <t>Is it really helpful? I'm liking the idea and would like to get it if it helps my acid reflux. 
Also, has anyone able to get their doctor write a LMN for the adjustable base? I have HSA and would like to pay for it with my HSA funds, cause, well, tax free :)</t>
        </is>
      </c>
      <c r="D6114" t="n">
        <v>1</v>
      </c>
      <c r="E6114" t="n">
        <v>6</v>
      </c>
      <c r="F6114">
        <f>HYPERLINK("https://www.reddit.com/r/GERD/comments/ft3a8m/adjustable_bed_for_acid_reflux/")</f>
        <v/>
      </c>
      <c r="G6114" t="inlineStr">
        <is>
          <t>2020-04-01 09:42:42</t>
        </is>
      </c>
      <c r="H6114" t="inlineStr"/>
    </row>
    <row r="6115">
      <c r="A6115" t="inlineStr">
        <is>
          <t>ft3l1c</t>
        </is>
      </c>
      <c r="B6115" t="inlineStr">
        <is>
          <t>Silent reflux</t>
        </is>
      </c>
      <c r="C6115" t="inlineStr">
        <is>
          <t>As after looking for answers for awhile I think I might have found the reason for the numbness in my throat and no sensation of breathing or swallowing and a lump in my throat is there a medication my Dr would be able to put me on? To relieve the numbness and damage I have have this and it has gotten worse over time and want to get back track in my life</t>
        </is>
      </c>
      <c r="D6115" t="n">
        <v>1</v>
      </c>
      <c r="E6115" t="n">
        <v>0</v>
      </c>
      <c r="F6115">
        <f>HYPERLINK("https://www.reddit.com/r/GERD/comments/ft3l1c/silent_reflux/")</f>
        <v/>
      </c>
      <c r="G6115" t="inlineStr">
        <is>
          <t>2020-04-01 09:58:09</t>
        </is>
      </c>
      <c r="H6115" t="inlineStr"/>
    </row>
    <row r="6116">
      <c r="A6116" t="inlineStr">
        <is>
          <t>ft48np</t>
        </is>
      </c>
      <c r="B6116" t="inlineStr">
        <is>
          <t>Is this GERD</t>
        </is>
      </c>
      <c r="C6116" t="inlineStr">
        <is>
          <t>Hi
I'm a 16 year old female, around 154 pounds and 5'1.
My symptoms are:
|Difficulty swallowing
| Food getting stuck in throat or chest
|Nausea
| Burping
| Burping and then little bits of food coming up
| Tight throat, painful. Doctor says it's globus sensation 
| Feel sick after every meal I eat
I had a phone consultation with the gp who said i need to reduce portion sizes, try gaviscon and try to take my mind of the worry because oesophageal cancer is my main worry.
It's known that doctors usually miss symptoms of serious illnesses, especially when you're young. I'm not asking for a diagnosis, don't say 'see a doctor'
Does anyone with Gerd suffer similar symptoms?</t>
        </is>
      </c>
      <c r="D6116" t="n">
        <v>1</v>
      </c>
      <c r="E6116" t="n">
        <v>9</v>
      </c>
      <c r="F6116">
        <f>HYPERLINK("https://www.reddit.com/r/GERD/comments/ft48np/is_this_gerd/")</f>
        <v/>
      </c>
      <c r="G6116" t="inlineStr">
        <is>
          <t>2020-04-01 10:30:19</t>
        </is>
      </c>
      <c r="H6116" t="inlineStr"/>
    </row>
    <row r="6117">
      <c r="A6117" t="inlineStr">
        <is>
          <t>ft4oht</t>
        </is>
      </c>
      <c r="B6117" t="inlineStr">
        <is>
          <t>Could this be GERD or could it be caused by something else?</t>
        </is>
      </c>
      <c r="C6117" t="inlineStr">
        <is>
          <t>Okay so
Hi
16F, 154 pounds
My symptoms are:
*Difficulty swallowing
* Feeling like food is stuck in throat or left undigested
* Burping relieves symptoms
* stomach cramping
*tight throat, pain
* Nausea
* Burping and then bringing up bits of food mixed with sick I think?
* hard to eat because I feel so sick
*I kinda feel like it's hard to breathe because of the 'sensation' it feels like someone is grabbing my throat 
The doctor has said that i need to reduce portion sizes, use gaviscon and put my mind off of it because there's no way 16 year old girls can get throat/oesophagus cancer. He also said I need to try this for one week, come back if it gets worse or doesn't stop.
I've seen cases of young people who have gotten tbroat/oesophagus cancer but was ignored because of age. Theyve been given months to live because of this.
What is the chance that this is GERD? Or cancer? Something like that.
I would appreciate if someone could pm me, if you have similar symptoms or are a health care professional (health care professional who isn't busy, tired or stressed after a shift)
Thank you</t>
        </is>
      </c>
      <c r="D6117" t="n">
        <v>1</v>
      </c>
      <c r="E6117" t="n">
        <v>0</v>
      </c>
      <c r="F6117">
        <f>HYPERLINK("https://www.reddit.com/r/GERD/comments/ft4oht/could_this_be_gerd_or_could_it_be_caused_by/")</f>
        <v/>
      </c>
      <c r="G6117" t="inlineStr">
        <is>
          <t>2020-04-01 10:46:50</t>
        </is>
      </c>
      <c r="H6117" t="inlineStr"/>
    </row>
    <row r="6118">
      <c r="A6118" t="inlineStr">
        <is>
          <t>ft4ol5</t>
        </is>
      </c>
      <c r="B6118" t="inlineStr">
        <is>
          <t>Could this be GERD or could it be caused by something else?</t>
        </is>
      </c>
      <c r="C6118" t="inlineStr">
        <is>
          <t>Okay so
Hi
16F, 154 pounds
My symptoms are:
*Difficulty swallowing
* Feeling like food is stuck in throat or left undigested
* Burping relieves symptoms
* stomach cramping
*tight throat, pain
* Nausea
* Burping and then bringing up bits of food mixed with sick I think?
* hard to eat because I feel so sick
*I kinda feel like it's hard to breathe because of the 'sensation' it feels like someone is grabbing my throat 
The doctor has said that i need to reduce portion sizes, use gaviscon and put my mind off of it because there's no way 16 year old girls can get throat/oesophagus cancer. He also said I need to try this for one week, come back if it gets worse or doesn't stop.
I've seen cases of young people who have gotten tbroat/oesophagus cancer but was ignored because of age. Theyve been given months to live because of this.
What is the chance that this is GERD? Or cancer? Something like that.
I would appreciate if someone could pm me, if you have similar symptoms or are a health care professional (health care professional who isn't busy, tired or stressed after a shift)
Thank you</t>
        </is>
      </c>
      <c r="D6118" t="n">
        <v>1</v>
      </c>
      <c r="E6118" t="n">
        <v>0</v>
      </c>
      <c r="F6118">
        <f>HYPERLINK("https://www.reddit.com/r/GERD/comments/ft4ol5/could_this_be_gerd_or_could_it_be_caused_by/")</f>
        <v/>
      </c>
      <c r="G6118" t="inlineStr">
        <is>
          <t>2020-04-01 10:46:54</t>
        </is>
      </c>
      <c r="H6118" t="inlineStr"/>
    </row>
    <row r="6119">
      <c r="A6119" t="inlineStr">
        <is>
          <t>ft4oqn</t>
        </is>
      </c>
      <c r="B6119" t="inlineStr">
        <is>
          <t>Could this be GERD?</t>
        </is>
      </c>
      <c r="C6119" t="inlineStr">
        <is>
          <t>Okay so
Hi
16F, 154 pounds
My symptoms are:
*Difficulty swallowing
* Feeling like food is stuck in throat or left undigested
* Burping relieves symptoms
* stomach cramping
*tight throat, pain
* Nausea
* Burping and then bringing up bits of food mixed with sick I think?
* hard to eat because I feel so sick
*I kinda feel like it's hard to breathe because of the 'sensation' it feels like someone is grabbing my throat 
The doctor has said that i need to reduce portion sizes, use gaviscon and put my mind off of it because there's no way 16 year old girls can get throat/oesophagus cancer. He also said I need to try this for one week, come back if it gets worse or doesn't stop.
I've seen cases of young people who have gotten tbroat/oesophagus cancer but was ignored because of age. Theyve been given months to live because of this.
What is the chance that this is GERD? Or cancer? Something like that.
I would appreciate if someone could pm me, if you have similar symptoms or are a health care professional (health care professional who isn't busy, tired or stressed after a shift)
Thank you</t>
        </is>
      </c>
      <c r="D6119" t="n">
        <v>1</v>
      </c>
      <c r="E6119" t="n">
        <v>3</v>
      </c>
      <c r="F6119">
        <f>HYPERLINK("https://www.reddit.com/r/GERD/comments/ft4oqn/could_this_be_gerd/")</f>
        <v/>
      </c>
      <c r="G6119" t="inlineStr">
        <is>
          <t>2020-04-01 10:47:02</t>
        </is>
      </c>
      <c r="H6119" t="inlineStr"/>
    </row>
    <row r="6120">
      <c r="A6120" t="inlineStr">
        <is>
          <t>ft4p0p</t>
        </is>
      </c>
      <c r="B6120" t="inlineStr">
        <is>
          <t>Could this be GERD?</t>
        </is>
      </c>
      <c r="C6120" t="inlineStr">
        <is>
          <t>Okay so
Hi
16F, 154 pounds
My symptoms are:
*Difficulty swallowing
* Feeling like food is stuck in throat or left undigested
* Burping relieves symptoms
* stomach cramping
*tight throat, pain
* Nausea
* Burping and then bringing up bits of food mixed with sick I think?
* hard to eat because I feel so sick
*I kinda feel like it's hard to breathe because of the 'sensation' it feels like someone is grabbing my throat 
The doctor has said that i need to reduce portion sizes, use gaviscon and put my mind off of it because there's no way 16 year old girls can get throat/oesophagus cancer. He also said I need to try this for one week, come back if it gets worse or doesn't stop.
I've seen cases of young people who have gotten tbroat/oesophagus cancer but was ignored because of age. Theyve been given months to live because of this.
What is the chance that this is GERD? Or cancer? Something like that.
I would appreciate if someone could pm me, if you have similar symptoms or are a health care professional (health care professional who isn't busy, tired or stressed after a shift)
Thank you</t>
        </is>
      </c>
      <c r="D6120" t="n">
        <v>1</v>
      </c>
      <c r="E6120" t="n">
        <v>32</v>
      </c>
      <c r="F6120">
        <f>HYPERLINK("https://www.reddit.com/r/GERD/comments/ft4p0p/could_this_be_gerd/")</f>
        <v/>
      </c>
      <c r="G6120" t="inlineStr">
        <is>
          <t>2020-04-01 10:47:14</t>
        </is>
      </c>
      <c r="H6120" t="inlineStr"/>
    </row>
    <row r="6121">
      <c r="A6121" t="inlineStr">
        <is>
          <t>ft5b11</t>
        </is>
      </c>
      <c r="B6121" t="inlineStr">
        <is>
          <t>Is my GERD acting up??</t>
        </is>
      </c>
      <c r="C6121" t="inlineStr">
        <is>
          <t>For the past few days or more,  I’m having a heavy pressure on my chest. It doesn’t hurt to breathe, my heart rate is normal. It’s just this annoying feeling on my chest. It just happens and this feeling comes and goes but last for a few hours. Could this be GERD ??</t>
        </is>
      </c>
      <c r="D6121" t="n">
        <v>1</v>
      </c>
      <c r="E6121" t="n">
        <v>6</v>
      </c>
      <c r="F6121">
        <f>HYPERLINK("https://www.reddit.com/r/GERD/comments/ft5b11/is_my_gerd_acting_up/")</f>
        <v/>
      </c>
      <c r="G6121" t="inlineStr">
        <is>
          <t>2020-04-01 11:09:44</t>
        </is>
      </c>
      <c r="H6121" t="inlineStr"/>
    </row>
    <row r="6122">
      <c r="A6122" t="inlineStr">
        <is>
          <t>ft7eq6</t>
        </is>
      </c>
      <c r="B6122" t="inlineStr">
        <is>
          <t>Is it true at all that acidic beverages such as coffee and soda can decrease your natural stomach acid production over time?</t>
        </is>
      </c>
      <c r="C6122" t="inlineStr">
        <is>
          <t>I suffer from both GERD and IBS, to varying degrees and in varying ways. I've had these issues for about a year, following several months in which I abused coffee and soda (as in, 2 - 3 cups of coffee per day, 3 - 4 diet energy drinks per day, every day).
Now, I realize that there's a big split around here between people who think that reflux is caused by too much stomach acid, and people who think that it's caused by too LITTLE stomach acid. I can't speak to that, because I'm not a doctor or a medical professional of any kind. 
However, I will say this: out of everything I have tried to get my digestion back on track, which includes changing fiber (high fiber, low fiber, no fiber), going on the carnivore diet, going on the keto diet, taking a PPI, taking antidepressants, going without soda and coffee (somehow made me worse), meditation, hypnotherapy, exercise, extended fasting (up to 72 hours), and a slew of medical blood panels, stool samples, and one endoscopy, the ONLY thing that has made a CLEAR and pronounced difference is taking Betaine Hydrochloride.
For some reason, this supplement calms my stomach down and aids in digestion. I get less GERD-y and less IBS-y when I take it. I also tend to feel better, at least temporarily, when I'm drinking soda or coffee. It's as though introducing SOME acid into my stomach is better than what *appears* to be a lack of acid.
Now again, I realize this isn't science. And I can't tell you WHY the Betaine HCl helps me, but it definitely does.
So, getting back to my original question: is it at least POSSIBLE, that after so many months of such a constant stream of acids coming into my stomach, that my stomach started producing less of its own natural acids, leading to digestive issues?
If not, then does anyone have any idea why Betaine HCl helps me out so much? I've been taking it for about a week and a half, and I have to say I haven't felt this healthy since before all this crap started. I don't even feel 100%, but my stomach just feels more natural and less irritated, which is weird because I'm literally putting MORE acid into it.</t>
        </is>
      </c>
      <c r="D6122" t="n">
        <v>1</v>
      </c>
      <c r="E6122" t="n">
        <v>13</v>
      </c>
      <c r="F6122">
        <f>HYPERLINK("https://www.reddit.com/r/GERD/comments/ft7eq6/is_it_true_at_all_that_acidic_beverages_such_as/")</f>
        <v/>
      </c>
      <c r="G6122" t="inlineStr">
        <is>
          <t>2020-04-01 13:00:49</t>
        </is>
      </c>
      <c r="H6122" t="inlineStr"/>
    </row>
    <row r="6123">
      <c r="A6123" t="inlineStr">
        <is>
          <t>ft906x</t>
        </is>
      </c>
      <c r="B6123" t="inlineStr">
        <is>
          <t>If I went Emergency Room for dysphagia. What type of test would they do?</t>
        </is>
      </c>
      <c r="C6123" t="inlineStr">
        <is>
          <t>It's getting bad, I'm choking on my saliva all day. I haven't slept in almost 48 hours, because I can't lay down I choke. I've lost weight from not be able to eat and drink much.
I don't want to expose myself to Corona virus. But I'm in horrible shape.</t>
        </is>
      </c>
      <c r="D6123" t="n">
        <v>1</v>
      </c>
      <c r="E6123" t="n">
        <v>25</v>
      </c>
      <c r="F6123">
        <f>HYPERLINK("https://www.reddit.com/r/GERD/comments/ft906x/if_i_went_emergency_room_for_dysphagia_what_type/")</f>
        <v/>
      </c>
      <c r="G6123" t="inlineStr">
        <is>
          <t>2020-04-01 14:24:45</t>
        </is>
      </c>
      <c r="H6123" t="inlineStr"/>
    </row>
    <row r="6124">
      <c r="A6124" t="inlineStr">
        <is>
          <t>ft9omi</t>
        </is>
      </c>
      <c r="B6124" t="inlineStr">
        <is>
          <t>Antacids make the acid come up to my throat? what medication is used to stop acid coming up to your throat?</t>
        </is>
      </c>
      <c r="C6124" t="inlineStr">
        <is>
          <t>I’ve been getting a burning and uncomfortable feeling in my throat since starting omeorazole, what medication is used to stop acid coming up to your throat?</t>
        </is>
      </c>
      <c r="D6124" t="n">
        <v>1</v>
      </c>
      <c r="E6124" t="n">
        <v>2</v>
      </c>
      <c r="F6124">
        <f>HYPERLINK("https://www.reddit.com/r/GERD/comments/ft9omi/antacids_make_the_acid_come_up_to_my_throat_what/")</f>
        <v/>
      </c>
      <c r="G6124" t="inlineStr">
        <is>
          <t>2020-04-01 15:02:09</t>
        </is>
      </c>
      <c r="H6124" t="inlineStr"/>
    </row>
    <row r="6125">
      <c r="A6125" t="inlineStr">
        <is>
          <t>ft9p3n</t>
        </is>
      </c>
      <c r="B6125" t="inlineStr">
        <is>
          <t>Omeperazole and Unfiltered Beer - diarrhea</t>
        </is>
      </c>
      <c r="C6125" t="inlineStr">
        <is>
          <t>Just wanted to see if anyone ever had an issue with diarrhea when they'd drink unfiltered beer after using Omeperazole or some other type of Proton Pump Inhibitor.  I used Omeperazole for about 3 years and at that time I was unable to digest unfiltered beer anymore.  I thought it was because I had my appendix removed (happened around the same time) but it turns out as soon as I stopped taking it I could drink unfiltered beer again.  I read some posts about how the stomach acid is responsible for breaking down the proteins in unfiltered beer so I gave it a shot and it worked.</t>
        </is>
      </c>
      <c r="D6125" t="n">
        <v>1</v>
      </c>
      <c r="E6125" t="n">
        <v>2</v>
      </c>
      <c r="F6125">
        <f>HYPERLINK("https://www.reddit.com/r/GERD/comments/ft9p3n/omeperazole_and_unfiltered_beer_diarrhea/")</f>
        <v/>
      </c>
      <c r="G6125" t="inlineStr">
        <is>
          <t>2020-04-01 15:02:52</t>
        </is>
      </c>
      <c r="H6125" t="inlineStr"/>
    </row>
    <row r="6126">
      <c r="A6126" t="inlineStr">
        <is>
          <t>ftaa9a</t>
        </is>
      </c>
      <c r="B6126" t="inlineStr">
        <is>
          <t>???</t>
        </is>
      </c>
      <c r="C6126" t="inlineStr">
        <is>
          <t>Feeling sick every single day
Burping constantly— sometimes bits of food come up
Are these signs of GERD? I’m literally feeling sick every single day and it’s driving me mad</t>
        </is>
      </c>
      <c r="D6126" t="n">
        <v>1</v>
      </c>
      <c r="E6126" t="n">
        <v>9</v>
      </c>
      <c r="F6126">
        <f>HYPERLINK("https://www.reddit.com/r/GERD/comments/ftaa9a/_/")</f>
        <v/>
      </c>
      <c r="G6126" t="inlineStr">
        <is>
          <t>2020-04-01 15:35:43</t>
        </is>
      </c>
      <c r="H6126" t="inlineStr"/>
    </row>
    <row r="6127">
      <c r="A6127" t="inlineStr">
        <is>
          <t>ftc02f</t>
        </is>
      </c>
      <c r="B6127" t="inlineStr">
        <is>
          <t>Zantac FDA recall</t>
        </is>
      </c>
      <c r="C6127" t="inlineStr">
        <is>
          <t>Something some of you should be aware of.
https://www.cnn.com/2020/04/01/health/zantac-fda-remove-from-market-bn/index.html</t>
        </is>
      </c>
      <c r="D6127" t="n">
        <v>1</v>
      </c>
      <c r="E6127" t="n">
        <v>13</v>
      </c>
      <c r="F6127">
        <f>HYPERLINK("https://www.reddit.com/r/GERD/comments/ftc02f/zantac_fda_recall/")</f>
        <v/>
      </c>
      <c r="G6127" t="inlineStr">
        <is>
          <t>2020-04-01 17:17:55</t>
        </is>
      </c>
      <c r="H6127" t="inlineStr"/>
    </row>
    <row r="6128">
      <c r="A6128" t="inlineStr">
        <is>
          <t>ftcwl6</t>
        </is>
      </c>
      <c r="B6128" t="inlineStr">
        <is>
          <t>Is this a sign of cancer or anything bad</t>
        </is>
      </c>
      <c r="C6128" t="inlineStr">
        <is>
          <t>I was drinking water abiut 5 mins ago and I feel like i have trapped wind (can't burp) and that it hasn't fully gone down, I feel like it's in my oesophagus</t>
        </is>
      </c>
      <c r="D6128" t="n">
        <v>1</v>
      </c>
      <c r="E6128" t="n">
        <v>10</v>
      </c>
      <c r="F6128">
        <f>HYPERLINK("https://www.reddit.com/r/GERD/comments/ftcwl6/is_this_a_sign_of_cancer_or_anything_bad/")</f>
        <v/>
      </c>
      <c r="G6128" t="inlineStr">
        <is>
          <t>2020-04-01 18:12:36</t>
        </is>
      </c>
      <c r="H6128" t="inlineStr"/>
    </row>
    <row r="6129">
      <c r="A6129" t="inlineStr">
        <is>
          <t>ftedhs</t>
        </is>
      </c>
      <c r="B6129" t="inlineStr">
        <is>
          <t>Taking Ranitidine on an empty stomach?</t>
        </is>
      </c>
      <c r="C6129" t="inlineStr">
        <is>
          <t>Last night I had one of my many frequent vomit episodes. 
(Backstory, ever since I was a kid I would vomit at night often and I never knew why, and recently I switched doctors because I am over 18 now and explained my symptoms to him and he ultimately said it was a case of acid reflux and was given Ranitidine. I was referred to a GI doctor for a test of a endoscopy of my intestines and  GI tract and was given Omeprozole and was told to take Omeprozole in the morning since I complained of not having an appetite in the morning and feeling full when I wake up and to take ranitidine before I go to sleep. After the test they said nothing was found. So here I am today with no solution to my problems and still taking omeprozole in the morning and ranitide in the night. Which helps but of course not a permanent fix.) keep in mind I dont take Omeprozole every day, I only take it when I was up a feel full and ranitidine when I eat too close to bed time and have trouble sleeping because of the food. 
Last night I ate two frozen beef patties ( cooked of course ) and after I finished the second one, I knew I was going to vomit at night. That was at 8pm, so I stayed up all night in the bathroom waiting for it to come out and tried drinking ginger ale in the process. I ended up vomiting 2 different times around 1am and 2am. But when I vomited nothing came out just the ginger ale. After vomiting up the ginger ale I found myself to sleep, but I woke up today still full from the beef patty I would assume and haven’t eaten a single thing since I woke up. *its 1040pm now*
——My question is since I took Omeprozole this morning to help with the full feeling i have, i havent eaten a single thing all day, would it be bad for me to take ranitidine now and hope I have a appetite and feel better in the morning?</t>
        </is>
      </c>
      <c r="D6129" t="n">
        <v>1</v>
      </c>
      <c r="E6129" t="n">
        <v>8</v>
      </c>
      <c r="F6129">
        <f>HYPERLINK("https://www.reddit.com/r/GERD/comments/ftedhs/taking_ranitidine_on_an_empty_stomach/")</f>
        <v/>
      </c>
      <c r="G6129" t="inlineStr">
        <is>
          <t>2020-04-01 19:42:56</t>
        </is>
      </c>
      <c r="H6129" t="inlineStr"/>
    </row>
    <row r="6130">
      <c r="A6130" t="inlineStr">
        <is>
          <t>ftfp7p</t>
        </is>
      </c>
      <c r="B6130" t="inlineStr">
        <is>
          <t>Flare up when I go all out in exercising. Can we exercise with Gerd?</t>
        </is>
      </c>
      <c r="C6130" t="inlineStr">
        <is>
          <t>Pushed myself to go faster on the bike. Then got a bad flare up.</t>
        </is>
      </c>
      <c r="D6130" t="n">
        <v>1</v>
      </c>
      <c r="E6130" t="n">
        <v>0</v>
      </c>
      <c r="F6130">
        <f>HYPERLINK("https://www.reddit.com/r/GERD/comments/ftfp7p/flare_up_when_i_go_all_out_in_exercising_can_we/")</f>
        <v/>
      </c>
      <c r="G6130" t="inlineStr">
        <is>
          <t>2020-04-01 21:15:08</t>
        </is>
      </c>
      <c r="H6130" t="inlineStr"/>
    </row>
    <row r="6131">
      <c r="A6131" t="inlineStr">
        <is>
          <t>ftfr9r</t>
        </is>
      </c>
      <c r="B6131" t="inlineStr">
        <is>
          <t>Pain location</t>
        </is>
      </c>
      <c r="C6131" t="inlineStr">
        <is>
          <t>Anyone have pain in unusual locations? I sometimes get deep, sharp, digging or pinching pains under both my right and left shoulder blades, in my upper left abdomen, and occasionally on the upper right as well. I have had multiple ultrasounds to check for gallstones throughout my life and an endoscopy so the only explanation doctors can provide is GERD. It does tend to occur after eating, especially large meals or trigger foods, and improve after taking antacids, but it always makes me paranoid that it's something worse.</t>
        </is>
      </c>
      <c r="D6131" t="n">
        <v>1</v>
      </c>
      <c r="E6131" t="n">
        <v>1</v>
      </c>
      <c r="F6131">
        <f>HYPERLINK("https://www.reddit.com/r/GERD/comments/ftfr9r/pain_location/")</f>
        <v/>
      </c>
      <c r="G6131" t="inlineStr">
        <is>
          <t>2020-04-01 21:19:28</t>
        </is>
      </c>
      <c r="H6131" t="inlineStr"/>
    </row>
    <row r="6132">
      <c r="A6132" t="inlineStr">
        <is>
          <t>fthive</t>
        </is>
      </c>
      <c r="B6132" t="inlineStr">
        <is>
          <t>Hi you guys, I had terrible acid reflux that lasted a year and finally was able to cure it, here’s the story</t>
        </is>
      </c>
      <c r="C6132" t="inlineStr">
        <is>
          <t>long story short our old house was causing us health problems because of humidity/mold which affected our stomach big time.
The symptoms were bad we had to cut back on a lot of foods we always ate in attempt to stop the burning feeling in our stomach and throat lump
We tried everything to be able to sleep and eat normally again. 
So a routine my mother and I did was every morning we put 2 tbs of apple cider vinegar on a cup of water and downed it. And midday we would drink 1 cup of celery juice (helps alot) and finally what I think did so much help was camomile tea with (Cloves) we would dunk 2-3 cloves in the tea knock it back and fall asleep. I would actually eat one clove once every 2 days. Mind you we ate very carefully being sure not to set your stomach off because it needs the time to heal. We ate safe foods like eggs/ground turkey with jus salt and pepper no additional seasonings.
Eventually it went away, we were able to sleep flat 
on our beds and now we can enjoy all food again especially spicy. 
Hopes this helps out!</t>
        </is>
      </c>
      <c r="D6132" t="n">
        <v>1</v>
      </c>
      <c r="E6132" t="n">
        <v>0</v>
      </c>
      <c r="F6132">
        <f>HYPERLINK("https://www.reddit.com/r/GERD/comments/fthive/hi_you_guys_i_had_terrible_acid_reflux_that/")</f>
        <v/>
      </c>
      <c r="G6132" t="inlineStr">
        <is>
          <t>2020-04-01 23:44:58</t>
        </is>
      </c>
      <c r="H6132" t="inlineStr"/>
    </row>
    <row r="6133">
      <c r="A6133" t="inlineStr">
        <is>
          <t>fthkmw</t>
        </is>
      </c>
      <c r="B6133" t="inlineStr">
        <is>
          <t>Someone can regurgitate on command? Do I have rumination syndrome (finally diagnosed)?</t>
        </is>
      </c>
      <c r="C6133" t="inlineStr">
        <is>
          <t>Short story my manometry came back normal, normal motility and normal les pressure, my only symptom is a chronic sore throat that is  worse in the morning , my vocal chords are normal no hoarseness no cough no dusphagia no heartbun my esophagus looked  etc. , phmetry became abnormal but my doctor thinks she put bad the catheter , and I was on ppi rebound after heavy dose of it , other symptom I have is nausea and bloating, no hernia , no esophagitis, my doc suggests is rumination syndrome or incremented gastric pressure by unknown cause  , I can make my throat gurgle (sounds like a small burping in my throat on command not always ) when I eat a lot I can make my whole food itentionally but unitientialy  came back up to my mouth, the thing is I can control it but its without thinking on it sorry if I cant explain me well , english is not my language, just today I learned about that rumination syndrome, from backhround I have ocd and some severe anxiety epissodes from time to time , ( all this LPR  issue started after anxiety episode followed by a normal cold , any advice ? )</t>
        </is>
      </c>
      <c r="D6133" t="n">
        <v>1</v>
      </c>
      <c r="E6133" t="n">
        <v>0</v>
      </c>
      <c r="F6133">
        <f>HYPERLINK("https://www.reddit.com/r/GERD/comments/fthkmw/someone_can_regurgitate_on_command_do_i_have/")</f>
        <v/>
      </c>
      <c r="G6133" t="inlineStr">
        <is>
          <t>2020-04-01 23:49:34</t>
        </is>
      </c>
      <c r="H6133" t="inlineStr"/>
    </row>
    <row r="6134">
      <c r="A6134" t="inlineStr">
        <is>
          <t>fthw6d</t>
        </is>
      </c>
      <c r="B6134" t="inlineStr">
        <is>
          <t>Gastritis is back! :(</t>
        </is>
      </c>
      <c r="C6134" t="inlineStr">
        <is>
          <t>I've been so stressed lately, I could feel there's something wrong on my tummy. My upper abdomen is getting stiff again and I couldn't breathe well. :( I'm super anxious scared that it might get worse again. How do you all manage your stress?</t>
        </is>
      </c>
      <c r="D6134" t="n">
        <v>1</v>
      </c>
      <c r="E6134" t="n">
        <v>2</v>
      </c>
      <c r="F6134">
        <f>HYPERLINK("https://www.reddit.com/r/GERD/comments/fthw6d/gastritis_is_back/")</f>
        <v/>
      </c>
      <c r="G6134" t="inlineStr">
        <is>
          <t>2020-04-02 00:17:28</t>
        </is>
      </c>
      <c r="H6134" t="inlineStr"/>
    </row>
    <row r="6135">
      <c r="A6135" t="inlineStr">
        <is>
          <t>ftjr0l</t>
        </is>
      </c>
      <c r="B6135" t="inlineStr">
        <is>
          <t>?</t>
        </is>
      </c>
      <c r="C6135" t="inlineStr">
        <is>
          <t>I'm getting increasingly worried now as I am struggling to swallow my foods and I keep regurgitating water hours after I drank it.
Anyone else had this??</t>
        </is>
      </c>
      <c r="D6135" t="n">
        <v>1</v>
      </c>
      <c r="E6135" t="n">
        <v>0</v>
      </c>
      <c r="F6135">
        <f>HYPERLINK("https://www.reddit.com/r/GERD/comments/ftjr0l/_/")</f>
        <v/>
      </c>
      <c r="G6135" t="inlineStr">
        <is>
          <t>2020-04-02 03:05:02</t>
        </is>
      </c>
      <c r="H6135" t="inlineStr"/>
    </row>
    <row r="6136">
      <c r="A6136" t="inlineStr">
        <is>
          <t>ftk6su</t>
        </is>
      </c>
      <c r="B6136" t="inlineStr">
        <is>
          <t>Anyone else?</t>
        </is>
      </c>
      <c r="C6136" t="inlineStr">
        <is>
          <t>Has anyone who has GERD struggled with food contstantly being stuck in esophagus?
And regular regurgitation? Even water?</t>
        </is>
      </c>
      <c r="D6136" t="n">
        <v>1</v>
      </c>
      <c r="E6136" t="n">
        <v>0</v>
      </c>
      <c r="F6136">
        <f>HYPERLINK("https://www.reddit.com/r/GERD/comments/ftk6su/anyone_else/")</f>
        <v/>
      </c>
      <c r="G6136" t="inlineStr">
        <is>
          <t>2020-04-02 03:43:29</t>
        </is>
      </c>
      <c r="H6136" t="inlineStr"/>
    </row>
    <row r="6137">
      <c r="A6137" t="inlineStr">
        <is>
          <t>ftkkab</t>
        </is>
      </c>
      <c r="B6137" t="inlineStr">
        <is>
          <t>advice please!!</t>
        </is>
      </c>
      <c r="C6137" t="inlineStr">
        <is>
          <t>I have developed some more unusual symptoms
* regurgitating water
* seems like none of my food is going down and its stuck
* acid reflux
I saw a comment saying that if the trouble swallowing is happening every single time you eat then it's probably cancer.
Could it be cancer? Could it be GERD?</t>
        </is>
      </c>
      <c r="D6137" t="n">
        <v>1</v>
      </c>
      <c r="E6137" t="n">
        <v>1</v>
      </c>
      <c r="F6137">
        <f>HYPERLINK("https://www.reddit.com/r/GERD/comments/ftkkab/advice_please/")</f>
        <v/>
      </c>
      <c r="G6137" t="inlineStr">
        <is>
          <t>2020-04-02 04:14:53</t>
        </is>
      </c>
      <c r="H6137" t="inlineStr"/>
    </row>
    <row r="6138">
      <c r="A6138" t="inlineStr">
        <is>
          <t>ftleh0</t>
        </is>
      </c>
      <c r="B6138" t="inlineStr">
        <is>
          <t>Can acid reflux cause dry eyes?</t>
        </is>
      </c>
      <c r="C6138" t="inlineStr">
        <is>
          <t>I'm 21 and eat really healthy for the past 6 weeks I've been having pain in my ears and burning sensation in my eyes. The ear pain feels like there is water in my ear and it makes a popping noise when I swallow. I recently went to a ENT who said that my ear looked normal and I done a CT scan that also did not show any problems. She used a camera to look at my throat and told me I have acid reflux, I have no symptoms of heartburn and my throat doesn't hurt. The only thing that I can understand that is causing my ear and eyes pain is acid reflux just wondering if other people have experienced dry eyes as a result of acid reflux.
I'm under alot of stress which might be contributing to the acid reflux as I can't keep up with college work with pain in my eyes. I've recently changed my diet and I cut out eating sugary foods completely, I have two meals a day breakfast and dinner. I think because I'm eating a large dinner it is causing acid reflux and I usually go and lie down on my bed after dinner which I now realize is not a good idea. Sometimes my throat hurts in the morning and I recently woke up coughing not being able to breathe but it went away fast this was after taking apple cider vinegar, I  thought it might help with my reflux. Would appreciate and help or advise</t>
        </is>
      </c>
      <c r="D6138" t="n">
        <v>1</v>
      </c>
      <c r="E6138" t="n">
        <v>4</v>
      </c>
      <c r="F6138">
        <f>HYPERLINK("https://www.reddit.com/r/GERD/comments/ftleh0/can_acid_reflux_cause_dry_eyes/")</f>
        <v/>
      </c>
      <c r="G6138" t="inlineStr">
        <is>
          <t>2020-04-02 05:22:40</t>
        </is>
      </c>
      <c r="H6138" t="inlineStr"/>
    </row>
    <row r="6139">
      <c r="A6139" t="inlineStr">
        <is>
          <t>ftltie</t>
        </is>
      </c>
      <c r="B6139" t="inlineStr">
        <is>
          <t>Can plant based diets help with heartburn?</t>
        </is>
      </c>
      <c r="C6139" t="inlineStr">
        <is>
          <t>Hey guys, so I take pantoprazole daily for my heartburn, used to take Zantac before that but quit it for obvious reasons... so I have heartburn everyday if I don’t take my pills, but since quarantine I’ve been living with my gf who is vegan so I’ve been eating mostly vegan food, and it’s two days now that I forgot to take my pill because I just haven’t felt the heartburn... has there ever been a correlation with animal products and heartburn? I know they say milk doesn’t actually help but makes it worse but I was never big on dairy... I’m just surprised because usually if I skip a day I feel it almost immediately and it’s unbearable.</t>
        </is>
      </c>
      <c r="D6139" t="n">
        <v>1</v>
      </c>
      <c r="E6139" t="n">
        <v>3</v>
      </c>
      <c r="F6139">
        <f>HYPERLINK("https://www.reddit.com/r/GERD/comments/ftltie/can_plant_based_diets_help_with_heartburn/")</f>
        <v/>
      </c>
      <c r="G6139" t="inlineStr">
        <is>
          <t>2020-04-02 05:53:54</t>
        </is>
      </c>
      <c r="H6139" t="inlineStr"/>
    </row>
    <row r="6140">
      <c r="A6140" t="inlineStr">
        <is>
          <t>ftm7ni</t>
        </is>
      </c>
      <c r="B6140" t="inlineStr">
        <is>
          <t>Perpetual sore throat but esophagus is fine</t>
        </is>
      </c>
      <c r="C6140" t="inlineStr">
        <is>
          <t>Driving me crazy no meds help diet is good.  Guess this is life. Never mind the aspirated lungs and dry cough I get Covid 19 I’m in trouble.</t>
        </is>
      </c>
      <c r="D6140" t="n">
        <v>1</v>
      </c>
      <c r="E6140" t="n">
        <v>3</v>
      </c>
      <c r="F6140">
        <f>HYPERLINK("https://www.reddit.com/r/GERD/comments/ftm7ni/perpetual_sore_throat_but_esophagus_is_fine/")</f>
        <v/>
      </c>
      <c r="G6140" t="inlineStr">
        <is>
          <t>2020-04-02 06:20:30</t>
        </is>
      </c>
      <c r="H6140" t="inlineStr"/>
    </row>
    <row r="6141">
      <c r="A6141" t="inlineStr">
        <is>
          <t>ftnbvy</t>
        </is>
      </c>
      <c r="B6141" t="inlineStr">
        <is>
          <t>Might have to go back on Omeprazole</t>
        </is>
      </c>
      <c r="C6141" t="inlineStr">
        <is>
          <t>So Zantac/Ranitidine is being discontinued because the FDA said so. 
Is there any side effects I'll face from not taking Zantac for awhile? I should be going straight back to Omperazole but I just want to know if I'll get nausea or anything.</t>
        </is>
      </c>
      <c r="D6141" t="n">
        <v>1</v>
      </c>
      <c r="E6141" t="n">
        <v>6</v>
      </c>
      <c r="F6141">
        <f>HYPERLINK("https://www.reddit.com/r/GERD/comments/ftnbvy/might_have_to_go_back_on_omeprazole/")</f>
        <v/>
      </c>
      <c r="G6141" t="inlineStr">
        <is>
          <t>2020-04-02 07:31:34</t>
        </is>
      </c>
      <c r="H6141" t="inlineStr"/>
    </row>
    <row r="6142">
      <c r="A6142" t="inlineStr">
        <is>
          <t>ftnqfs</t>
        </is>
      </c>
      <c r="B6142" t="inlineStr">
        <is>
          <t>Can I swallow whole raw mastic gum?</t>
        </is>
      </c>
      <c r="C6142" t="inlineStr">
        <is>
          <t>Hi, I'm new here. Hello everyone.
Recently I just used mastic gum to treat HP. I swallowed the whole raw mastic gum. I have heard somewhere that you can swallow the whole thing, just make sure that it wasn't too big so it didn't choke you. But the thing is, I have had bad stomachache for 2 days now. I wonder if mastic gum just stucked in my guts, just like the way people said gum stuck in stomach. That should be the reason why I have abdominal pain. I don't know if it is true, that is just my hypothesis. 
So please answer me if I can swallow whole raw mastic gum or I shouldn't??</t>
        </is>
      </c>
      <c r="D6142" t="n">
        <v>1</v>
      </c>
      <c r="E6142" t="n">
        <v>2</v>
      </c>
      <c r="F6142">
        <f>HYPERLINK("https://www.reddit.com/r/GERD/comments/ftnqfs/can_i_swallow_whole_raw_mastic_gum/")</f>
        <v/>
      </c>
      <c r="G6142" t="inlineStr">
        <is>
          <t>2020-04-02 07:55:43</t>
        </is>
      </c>
      <c r="H6142" t="inlineStr"/>
    </row>
    <row r="6143">
      <c r="A6143" t="inlineStr">
        <is>
          <t>ftq5un</t>
        </is>
      </c>
      <c r="B6143" t="inlineStr">
        <is>
          <t>anyone same symptoms as me ?</t>
        </is>
      </c>
      <c r="C6143" t="inlineStr">
        <is>
          <t>im having very bad symptoms i was diagnosed before with GERD, and now im having trouble eating/drinking i will get choke , i need to swallow non stop and burping a lot then my mouth goes dry , i can feel bubbles coming in my mouth and causing me choke so i need to swallow to relief ,also my stomach growling, today i couldnt eat almost nothing , what can i do about this ?</t>
        </is>
      </c>
      <c r="D6143" t="n">
        <v>1</v>
      </c>
      <c r="E6143" t="n">
        <v>6</v>
      </c>
      <c r="F6143">
        <f>HYPERLINK("https://www.reddit.com/r/GERD/comments/ftq5un/anyone_same_symptoms_as_me/")</f>
        <v/>
      </c>
      <c r="G6143" t="inlineStr">
        <is>
          <t>2020-04-02 10:10:00</t>
        </is>
      </c>
      <c r="H6143" t="inlineStr"/>
    </row>
    <row r="6144">
      <c r="A6144" t="inlineStr">
        <is>
          <t>ftqsyt</t>
        </is>
      </c>
      <c r="B6144" t="inlineStr">
        <is>
          <t>Male 20/ Started taking omeprazole for the 14 days and it started working out great most of my symptoms went away and I was hoping to finally heal my esophagus. After I finished the 14 day cycle it came back worst...</t>
        </is>
      </c>
      <c r="C6144" t="inlineStr">
        <is>
          <t>I have almost all the symptoms of gerd/lpr doctor recommended trying a ppi so I got omeprazole to take for 14 days. Got rid of most of my symptoms I still had a feeling of something in the throat and some difficulty swallowing but other than that no burning in the throat nausea was going away. I was pretty happy to finally heal it but after I stopped taking it my acid reflux came back so bad I woke up with a feeling of my throat burning worse than I have ever experienced. I guess my question is did this happen to any of you guys? Is taking omeprazole for longer than 14 days safe? Cant make a doctors appointment due to the virus in my city.</t>
        </is>
      </c>
      <c r="D6144" t="n">
        <v>1</v>
      </c>
      <c r="E6144" t="n">
        <v>4</v>
      </c>
      <c r="F6144">
        <f>HYPERLINK("https://www.reddit.com/r/GERD/comments/ftqsyt/male_20_started_taking_omeprazole_for_the_14_days/")</f>
        <v/>
      </c>
      <c r="G6144" t="inlineStr">
        <is>
          <t>2020-04-02 10:43:59</t>
        </is>
      </c>
      <c r="H6144" t="inlineStr"/>
    </row>
    <row r="6145">
      <c r="A6145" t="inlineStr">
        <is>
          <t>ftrfmp</t>
        </is>
      </c>
      <c r="B6145" t="inlineStr">
        <is>
          <t>Drowsiness sometimes during omeprazole?</t>
        </is>
      </c>
      <c r="C6145" t="inlineStr">
        <is>
          <t>So I’ve recently had bad acid reflux and the doctor tells me I have GERD. I’m not surprised because I’ve been eating extra spicy for pretty much everything since I was small. 
First prescribed Famotidine and it had little or no effect on tightness in chest after eating. Omeprazole works great 20mg, I don’t have reflux episodes making it hard to breathe for me. However the second day I took it, it made my body feel fatigue during the day time. When I take it at night I don’t really notice drowsiness...
But what concerns me is that it’s not even a common side effect at all. The second time, I took it after a 12 night of sleep! I still feel a little tired this morning after taking the pill before my meal. When I had just woken up to shower before taking it, I felt well rested.
Is this something to be concerned about since it’s not even suppose to make you feel tired or drowsy? I don’t feel sick or anything, just feels like I want to lie down in bed even more.</t>
        </is>
      </c>
      <c r="D6145" t="n">
        <v>1</v>
      </c>
      <c r="E6145" t="n">
        <v>0</v>
      </c>
      <c r="F6145">
        <f>HYPERLINK("https://www.reddit.com/r/GERD/comments/ftrfmp/drowsiness_sometimes_during_omeprazole/")</f>
        <v/>
      </c>
      <c r="G6145" t="inlineStr">
        <is>
          <t>2020-04-02 11:17:39</t>
        </is>
      </c>
      <c r="H6145" t="inlineStr"/>
    </row>
    <row r="6146">
      <c r="A6146" t="inlineStr">
        <is>
          <t>ftrwux</t>
        </is>
      </c>
      <c r="B6146" t="inlineStr">
        <is>
          <t>Short of breath, not sure what to do anymore.</t>
        </is>
      </c>
      <c r="C6146" t="inlineStr">
        <is>
          <t>My shortness of breath is getting worse. I feel like the mucus in my throat is getting worse too, not sure if that’s the cause or not. I’m not sure if it’s really post nasal drip or what. It feels like it starts in my throat not dripping down from my sinus but I don’t know anymore. I spoke to an ENT, could only do a virtual visit right now, and he said it was my reflux (diagnosed with GERD) and maybe allergies combining to give me these symptoms. The mucus is so bad, I feel hoarse constantly. I am breathing in and can hear that sound like I’m breathing through mucus. I feel like I can’t get a full breath in and I have to control my breathing to make sure I get enough air in. When I get short of breath, I get light headed and sometimes have trouble talking to people. If I’m walking, I have to stop sometimes to catch my breath. I feel like I might pass out sometimes. It comes and goes in how bad it is. No one has checked me for asthma so I suppose it could be that, but doctors have listened to my lungs and no one has brought up asthma. I don’t know if should demand to get checked. I’m at a complete loss for what to do. 
My GI doctor just wants me to continue on PPIs (I’ve been on protonix for a month and a half). Protonix was working well but I feel like my symptoms have flared up worse again as I’ve gotten my period. Last time I had my period, they flared up really bad too and I ended up in the ER. The meds seem to work most other times. My primary care doctor has referred me to specialists and I don’t think she knows what to do for me anymore. She just prescribed me anxiety meds and said I just need to take them to get through this time, that’s all she can do. My ENT won’t see me in person right now and who knows when he will to assess what’s going on in my throat which I feel would help to see if it is vocal cord dysfunction etc. I’m not sure the treatment would differ from what I’m doing right now though anyway. He told me he wouldn’t expect to improve until 3 months on PPIs. I’m at a complete loss. I’m eating a bland diet, low carb, low sugar, low processed foods, absolutely nothing that could or would be a trigger, sleeping on a wedge, taking the protonix daily, taking allergy meds although those don’t seem to be doing anything, doing daily nasal irrigation to remove post nasal drip, taking mucinex as needed although that doesn’t seem to help much either, trying to relax/I’m off work so I should be relaxed. I’m not getting burning in my throat or regurgitation anymore...it’s just this mucus and short of breath that I can’t kick. I’m terrified I’m going to end up in the ER in a ventilator because it’ll just completely make it so I can’t breathe at some point. Anytime I say that though I get sideways looks from any medical professional and they mark anxiety in my chart. This didn’t start from anxiety though, but of course I have anxiety...I feel like I can’t breathe!!! That makes anyone anxious. I don’t even know what medical professional to press on this issue because they all divert to someone else or think someone else should be handling it.</t>
        </is>
      </c>
      <c r="D6146" t="n">
        <v>1</v>
      </c>
      <c r="E6146" t="n">
        <v>14</v>
      </c>
      <c r="F6146">
        <f>HYPERLINK("https://www.reddit.com/r/GERD/comments/ftrwux/short_of_breath_not_sure_what_to_do_anymore/")</f>
        <v/>
      </c>
      <c r="G6146" t="inlineStr">
        <is>
          <t>2020-04-02 11:42:43</t>
        </is>
      </c>
      <c r="H6146" t="inlineStr"/>
    </row>
    <row r="6147">
      <c r="A6147" t="inlineStr">
        <is>
          <t>fttq5j</t>
        </is>
      </c>
      <c r="B6147" t="inlineStr">
        <is>
          <t>18M please help</t>
        </is>
      </c>
      <c r="C6147" t="inlineStr">
        <is>
          <t>I’m 18M, have had stomach pain at the top of my stomach since the start of December 2019. I’ve had blood test, ultrasounds, urine tests and nothing is showing up. The pain started after eating a pizza I was laying in bed then started having excruciating pain. This has continued up  until now, it’s ruining my life, I’ve lost my college place as I can’t leave the house because of it. The pain is there all day but it’s gets really bad after eating, peeing or pooping. Certain foods will make it bad as well, such as pizza, tomatoes, milk, sweets. I have stopped eating these foods, I have lost 20 kilos. The pain is like a cramping at the top of my stomach it hurts so much when I stand up, when it happens it eases a bit if I sit down. Any help or advice would be greatly appreciated, I can’t go back to doctors or hospital right now due to COVID-19. This has greatly impacted my life and is making me very depressed because it hurts so much and I literally can’t go anywhere. Thanks in advance!</t>
        </is>
      </c>
      <c r="D6147" t="n">
        <v>1</v>
      </c>
      <c r="E6147" t="n">
        <v>2</v>
      </c>
      <c r="F6147">
        <f>HYPERLINK("https://www.reddit.com/r/GERD/comments/fttq5j/18m_please_help/")</f>
        <v/>
      </c>
      <c r="G6147" t="inlineStr">
        <is>
          <t>2020-04-02 13:20:42</t>
        </is>
      </c>
      <c r="H6147" t="inlineStr"/>
    </row>
    <row r="6148">
      <c r="A6148" t="inlineStr">
        <is>
          <t>ftvhxs</t>
        </is>
      </c>
      <c r="B6148" t="inlineStr">
        <is>
          <t>Has anyone has a fever with indigestion?</t>
        </is>
      </c>
      <c r="C6148" t="inlineStr">
        <is>
          <t>Everytime my indigestion kicks up I've noticed I'll feel really hot and think like wow I need to check my temp. Every time it's always like 99 100 100.2 then after a while just goes back down. Is that normal for anyone else?</t>
        </is>
      </c>
      <c r="D6148" t="n">
        <v>1</v>
      </c>
      <c r="E6148" t="n">
        <v>0</v>
      </c>
      <c r="F6148">
        <f>HYPERLINK("https://www.reddit.com/r/GERD/comments/ftvhxs/has_anyone_has_a_fever_with_indigestion/")</f>
        <v/>
      </c>
      <c r="G6148" t="inlineStr">
        <is>
          <t>2020-04-02 14:58:24</t>
        </is>
      </c>
      <c r="H6148" t="inlineStr"/>
    </row>
    <row r="6149">
      <c r="A6149" t="inlineStr">
        <is>
          <t>ftvpwi</t>
        </is>
      </c>
      <c r="B6149" t="inlineStr">
        <is>
          <t>Dealing with GERD for over a decade..</t>
        </is>
      </c>
      <c r="C6149" t="inlineStr">
        <is>
          <t>27/F. So as the title says I’ve had pretty horrible acid reflux now for about 10 years. It used to be manageable with tums and not eating too horribly but in August last year I had my gallbladder taken out after gallstones showed up during a scan. Ever since that my GERD is absolutely ridiculous.. It doesn’t “burn” because I’ve been on 40mg of Omeprazole daily for 3 years now, but the regurgitation still is constant and happens no matter what i eat or drink. It’s gotten to the point where I can barely breathe in deeply because of (I’m assuming) all the gasses and stomach acid in my esophagus irritating it. I went to a pulmonologist a few months ago just to make sure my lungs were fine and they tested me for asthma, which was technically negative but they started me on a daily inhaler and as needed rescue inhaler to see if that helped any. Well it does help a little but only when my symptoms are at it’s worse and my panic starts setting in, so i think it’s mental.. Anyway, thanks to this covid stuff I can’t get to the gastroenterologist to have him help me find a solution so I’m just on here wondering if anyone on here feels the same way. It almost feels like I have a hiatal hernia from my surgery but I can’t be looked at until May... Sigh.</t>
        </is>
      </c>
      <c r="D6149" t="n">
        <v>1</v>
      </c>
      <c r="E6149" t="n">
        <v>37</v>
      </c>
      <c r="F6149">
        <f>HYPERLINK("https://www.reddit.com/r/GERD/comments/ftvpwi/dealing_with_gerd_for_over_a_decade/")</f>
        <v/>
      </c>
      <c r="G6149" t="inlineStr">
        <is>
          <t>2020-04-02 15:10:44</t>
        </is>
      </c>
      <c r="H6149" t="inlineStr"/>
    </row>
    <row r="6150">
      <c r="A6150" t="inlineStr">
        <is>
          <t>ftx471</t>
        </is>
      </c>
      <c r="B6150" t="inlineStr">
        <is>
          <t>Has this happened to anyone else</t>
        </is>
      </c>
      <c r="C6150" t="inlineStr">
        <is>
          <t>so I've woken up a few times choking on my acid reflux and its alot like swallowing your water wrong. But today I was working and a little acid reflux came up when I was talking and I choked on it but worse then I ever have I really couldn't breathe i tried and everytime I tried it got harder I thought I was really choking. like a piece of food came up too, is that possible ? idk i really could not breathe for awhile.</t>
        </is>
      </c>
      <c r="D6150" t="n">
        <v>1</v>
      </c>
      <c r="E6150" t="n">
        <v>0</v>
      </c>
      <c r="F6150">
        <f>HYPERLINK("https://www.reddit.com/r/GERD/comments/ftx471/has_this_happened_to_anyone_else/")</f>
        <v/>
      </c>
      <c r="G6150" t="inlineStr">
        <is>
          <t>2020-04-02 16:32:03</t>
        </is>
      </c>
      <c r="H6150" t="inlineStr"/>
    </row>
    <row r="6151">
      <c r="A6151" t="inlineStr">
        <is>
          <t>ftx95u</t>
        </is>
      </c>
      <c r="B6151" t="inlineStr">
        <is>
          <t>Probiotics</t>
        </is>
      </c>
      <c r="C6151" t="inlineStr">
        <is>
          <t>I've been looking for a good probiotic online here in the UK. It seems like the most reputable brand is Visbiome, but unfortunately it doesn't look like they ship to the UK.
Does anyone have any recommendations on a good probiotic brand here in the UK or know of a way to source Visbiome here?
What should I be looking for in a probiotic?</t>
        </is>
      </c>
      <c r="D6151" t="n">
        <v>1</v>
      </c>
      <c r="E6151" t="n">
        <v>2</v>
      </c>
      <c r="F6151">
        <f>HYPERLINK("https://www.reddit.com/r/GERD/comments/ftx95u/probiotics/")</f>
        <v/>
      </c>
      <c r="G6151" t="inlineStr">
        <is>
          <t>2020-04-02 16:40:20</t>
        </is>
      </c>
      <c r="H6151" t="inlineStr"/>
    </row>
    <row r="6152">
      <c r="A6152" t="inlineStr">
        <is>
          <t>fty602</t>
        </is>
      </c>
      <c r="B6152" t="inlineStr">
        <is>
          <t>Dexilant</t>
        </is>
      </c>
      <c r="C6152" t="inlineStr">
        <is>
          <t>Does anyone here take dexilant? I started taking it recently and it was really helping but Tuesday I  forgot to take my probiotic in the morning and pepcid before bed. Wednesday I went to long without eating I was laying on my back and the heartburn hit. I've been dealing with heartburn since yesterday. Does this mean my dexilant has suddenly stopped working? I was fine up until Wednesday 😭.</t>
        </is>
      </c>
      <c r="D6152" t="n">
        <v>1</v>
      </c>
      <c r="E6152" t="n">
        <v>1</v>
      </c>
      <c r="F6152">
        <f>HYPERLINK("https://www.reddit.com/r/GERD/comments/fty602/dexilant/")</f>
        <v/>
      </c>
      <c r="G6152" t="inlineStr">
        <is>
          <t>2020-04-02 17:36:56</t>
        </is>
      </c>
      <c r="H6152" t="inlineStr"/>
    </row>
    <row r="6153">
      <c r="A6153" t="inlineStr">
        <is>
          <t>ftyom4</t>
        </is>
      </c>
      <c r="B6153" t="inlineStr">
        <is>
          <t>STORY - cute little story about my dad</t>
        </is>
      </c>
      <c r="C6153" t="inlineStr">
        <is>
          <t>So, I've had GERD for a couple years now. For some reason, two years in a row, my GERD has been really bad end of March. I also coincidentally tested positive for COVID 2 weeks ago and my GERD has been really bad because I've been so anxious about that. I'm in my 20s and my COVID symptoms have been really mild which I feel grateful for. Now it's been 14 days since testing positive and I'm feeling mostly recovered.
Moving along. I called my dad to tell him how I was feeling tonight. I used to really resent him, but more recently we've gotten way closer and talk on the phone almost every other day. He's a wonderful guy, I can't even remember why I used to hate him as a teenager.
I explained to him I was having acid reflux symptoms, chest tightness, mucus in throat, sore throat, etc, and that I was worried it might be COVID symptoms again (I'm a big hypochondriac side note). He replied by saying that he has had GERD his whole life and it sounds like GERD to him. 
I had no idea my dad had GERD! My dad isn't the type of guy to share a lot about himself but for some reason he has never shared this information with me even though I've told him about my acid reflux time and time again. He apologized that I had to inherit GERD from him and I just replied that I felt super relieved to know that he has it too and that I'm not alone.
Now, everytime I feel GERD symptoms I'm going to remember how my dad also goes through the same thing and we are going through this together. Nice to feel that because I've been stuck in a different city away from my family since the COVID outbreak and I really miss him a lot. Anyways, just feeling a little warm and fuzzy cause I love my dad and feel thought I'd share.</t>
        </is>
      </c>
      <c r="D6153" t="n">
        <v>1</v>
      </c>
      <c r="E6153" t="n">
        <v>3</v>
      </c>
      <c r="F6153">
        <f>HYPERLINK("https://www.reddit.com/r/GERD/comments/ftyom4/story_cute_little_story_about_my_dad/")</f>
        <v/>
      </c>
      <c r="G6153" t="inlineStr">
        <is>
          <t>2020-04-02 18:09:38</t>
        </is>
      </c>
      <c r="H6153" t="inlineStr"/>
    </row>
    <row r="6154">
      <c r="A6154" t="inlineStr">
        <is>
          <t>ftzi04</t>
        </is>
      </c>
      <c r="B6154" t="inlineStr">
        <is>
          <t>I DONT WANT TO HIT THE ER OVER THIS.. HELP ME ..Literally beeen nonstop swallowing. Is something lodged in my throat or is this just the disease?</t>
        </is>
      </c>
      <c r="C6154" t="inlineStr">
        <is>
          <t>I tried to cough and then I ended up puking a bunch from coughing. Cant sleep knowing that something Is pressing on my throat.. I ate rice Krispy earlier bad decision and regretting it 3 hours later. I can breathe it just feels lodged there in the middle of throat. Tried sticking fingers down there. Puking 7 times by sticking finger down to see if it would come up and just did my normal flonase to see if it would help.  I am paniacy over this for the last 3 hours. I dont want to choke in my sleep and die if something Is actually there. Constantly trying to swallow this down. And drank 2 waters. Ate soup and drank a soda. And nothing is changing. Sucking on a nicole herb cough drop now seeing if it helps. I want to stop swallowing? What's wrong with me.. never had this issue before. What's stuck. I didnt choke when eating that I recall. Just realized it was stuck within 5 min of eating. And now cant sleep . Going to go to urgent care tommrw if this still happening.  Anyone have this happen. Please advice would be great and saying I am not alone.</t>
        </is>
      </c>
      <c r="D6154" t="n">
        <v>1</v>
      </c>
      <c r="E6154" t="n">
        <v>7</v>
      </c>
      <c r="F6154">
        <f>HYPERLINK("https://www.reddit.com/r/GERD/comments/ftzi04/i_dont_want_to_hit_the_er_over_this_help_me/")</f>
        <v/>
      </c>
      <c r="G6154" t="inlineStr">
        <is>
          <t>2020-04-02 19:01:53</t>
        </is>
      </c>
      <c r="H6154" t="inlineStr"/>
    </row>
    <row r="6155">
      <c r="A6155" t="inlineStr">
        <is>
          <t>ftznj2</t>
        </is>
      </c>
      <c r="B6155" t="inlineStr">
        <is>
          <t>Seriously messed up digestion</t>
        </is>
      </c>
      <c r="C6155" t="inlineStr">
        <is>
          <t>I started drinking years ago and slowly but surely my digestion started to suffer. I’ve now been diagnosed with IBS and GERD. It feels like my digestion is on fast forward and simply won’t slow down. I eat and I need to shit immediately after. I suffer all kinds of symptoms. Brain fog, blurry vision, intense hunger, feel weak and shaky, itchy skin, hot flashes, cold chills and the list goes on.
Had tests done for celiac, diabetes and other things and everything is normal.
I’ve managed to quit drinking a few times (longest 3 months) and I barely saw any improvement in my symptoms. So is this it? My digestion is permanently fucked? Anyone else deal with symptoms like mine?</t>
        </is>
      </c>
      <c r="D6155" t="n">
        <v>1</v>
      </c>
      <c r="E6155" t="n">
        <v>0</v>
      </c>
      <c r="F6155">
        <f>HYPERLINK("https://www.reddit.com/r/GERD/comments/ftznj2/seriously_messed_up_digestion/")</f>
        <v/>
      </c>
      <c r="G6155" t="inlineStr">
        <is>
          <t>2020-04-02 19:11:37</t>
        </is>
      </c>
      <c r="H6155" t="inlineStr"/>
    </row>
    <row r="6156">
      <c r="A6156" t="inlineStr">
        <is>
          <t>fu1c0r</t>
        </is>
      </c>
      <c r="B6156" t="inlineStr">
        <is>
          <t>Lymph node question</t>
        </is>
      </c>
      <c r="C6156" t="inlineStr">
        <is>
          <t>Hey has anyone else had swollen lymph nodes and trouble swallowing? I’m a 14 year old male and I was experiencing acid reflux since June last year and in January I started having minor difficulty swallowing in my neck area and 3 or 4 of my lymph nodes on the side of my neck have been enlarged since Christmas. I also had terrible allergies during fall and winter and I’m wondering if that may have permanently enlarged the lymph nodes. All my symptoms at the moment are regurgitation, minor difficulty swallowing, and swollen lymph nodes. Thanks for reading</t>
        </is>
      </c>
      <c r="D6156" t="n">
        <v>1</v>
      </c>
      <c r="E6156" t="n">
        <v>2</v>
      </c>
      <c r="F6156">
        <f>HYPERLINK("https://www.reddit.com/r/GERD/comments/fu1c0r/lymph_node_question/")</f>
        <v/>
      </c>
      <c r="G6156" t="inlineStr">
        <is>
          <t>2020-04-02 21:03:24</t>
        </is>
      </c>
      <c r="H6156" t="inlineStr"/>
    </row>
    <row r="6157">
      <c r="A6157" t="inlineStr">
        <is>
          <t>fu2hz0</t>
        </is>
      </c>
      <c r="B6157" t="inlineStr">
        <is>
          <t>Does this ring true?</t>
        </is>
      </c>
      <c r="C6157" t="inlineStr">
        <is>
          <t>Hello everyone. I've have been dealing with some uncomfortable GI issues- upper and lower. I've had a tough go with my PCP and given the current times, it's going to be tough to get in with anyone else. Here is what I have been experiencing as of late:
\-A sour/acidy taste in the back of my throat, accompanied in the evening by the sensation of a sour mucus crawling up my throat and into the back of my nose. (no feeling of heartburn)
\-A tightness in my chest and throat that comes and goes, mainly towards the later part of the day. This is often associated with the sensation that I cannot breathe, and sometimes sends me into an anxiety attack.
\-Nose feels plugged/inflamed. Similar to allergies. 
\-VERY Deep burping at times. Lately, they have been feeling like they are forcing more of that sour mucus upwards. This is also sometimes accompanied by burning in my sternum.
These are all newer symptoms. On top of that, I am dealing with some more common-to-me symptoms:
\-bloating
\-the worst smelling gas in existence
\-constipation at times
I went to the doctor and I tested positive for Blastocystis Hominus, associated with recent travel to SEA. They treated it with Flagyl. It's worth noting that I have dealt with GI issues most of my adult life. The newer symptoms began to appear in the middle of that treatment. Everything seemed to calm down for a couple of days after completing the antibiotics. But, now I am feeling miserable. Any information or advice would help. Does this sound like GERD?</t>
        </is>
      </c>
      <c r="D6157" t="n">
        <v>1</v>
      </c>
      <c r="E6157" t="n">
        <v>6</v>
      </c>
      <c r="F6157">
        <f>HYPERLINK("https://www.reddit.com/r/GERD/comments/fu2hz0/does_this_ring_true/")</f>
        <v/>
      </c>
      <c r="G6157" t="inlineStr">
        <is>
          <t>2020-04-02 22:27:35</t>
        </is>
      </c>
      <c r="H6157" t="inlineStr"/>
    </row>
    <row r="6158">
      <c r="A6158" t="inlineStr">
        <is>
          <t>fu3hie</t>
        </is>
      </c>
      <c r="B6158" t="inlineStr">
        <is>
          <t>Diagnosed of GERD but only symptom is coughing</t>
        </is>
      </c>
      <c r="C6158" t="inlineStr">
        <is>
          <t>Last 2018, I went to a doctor because I had cough for almost 2wks already. The doctor can’t identify what is wrong with me as my xray is clear. She thought i have allergies but the medicine was not working then she decided to refer to me to a ENT. ENT diagnosed me with GERD and gave me omeprazole, it worked before but after a few months my cough went back so I tried to take Gaviscon then its gone again. Then August 2019 until now im still coughing and no medicine is working. The doctor now referred to me to Gastro specialist on May 4, 2020.
Anyone who has same symptom? Only cough? I didnt have any acid reflux or any stomach ache. I just cough</t>
        </is>
      </c>
      <c r="D6158" t="n">
        <v>1</v>
      </c>
      <c r="E6158" t="n">
        <v>5</v>
      </c>
      <c r="F6158">
        <f>HYPERLINK("https://www.reddit.com/r/GERD/comments/fu3hie/diagnosed_of_gerd_but_only_symptom_is_coughing/")</f>
        <v/>
      </c>
      <c r="G6158" t="inlineStr">
        <is>
          <t>2020-04-02 23:48:52</t>
        </is>
      </c>
      <c r="H6158" t="inlineStr"/>
    </row>
    <row r="6159">
      <c r="A6159" t="inlineStr">
        <is>
          <t>fu5dew</t>
        </is>
      </c>
      <c r="B6159" t="inlineStr">
        <is>
          <t>Anyone ever think they have esophageal cancer given the pain, discomfort, then found out it's not?</t>
        </is>
      </c>
      <c r="C6159" t="inlineStr">
        <is>
          <t>Week 4 with throat and chest pain, low grade fever coming and going. Endoscope is on the horizon, don't know if I even should given the situation at hand. Will it be sanitized enough?
History of GERD, strictures and globus. 4 weeks ago everything just took a turn for the worse. Been in contact with 2 doctors, up for some tests to rule out anything else. So - please revert to the title of this post and if you can tell your story. Cheers.</t>
        </is>
      </c>
      <c r="D6159" t="n">
        <v>1</v>
      </c>
      <c r="E6159" t="n">
        <v>26</v>
      </c>
      <c r="F6159">
        <f>HYPERLINK("https://www.reddit.com/r/GERD/comments/fu5dew/anyone_ever_think_they_have_esophageal_cancer/")</f>
        <v/>
      </c>
      <c r="G6159" t="inlineStr">
        <is>
          <t>2020-04-03 02:34:40</t>
        </is>
      </c>
      <c r="H6159" t="inlineStr"/>
    </row>
    <row r="6160">
      <c r="A6160" t="inlineStr">
        <is>
          <t>fu82ur</t>
        </is>
      </c>
      <c r="B6160" t="inlineStr">
        <is>
          <t>Sweaty brows, weird smell and disturbing warmth in stomach region especially after eating.</t>
        </is>
      </c>
      <c r="C6160" t="inlineStr">
        <is>
          <t>I have:
Sweating above eyes esp after eating
Mild eye tiredness in eyes after taking lunch midday.
Can't eat breakfast before 3-4 hours have passed after getting up else I get extremely sleepy. And my breakfast too is very simple.
Strange slightly acidic burning smell in the nose that keeps coming and going.
Warmth in the stomach that sometimes becomes a burning sensation
I usually take Rabeprazole but when things get too bad I take
Rabeprazole 20mg + Domperidone 30mg.
Have had an ultrasound which showed all is fine.
Gastro doctors just keep prescribing me Rabeprazole or Rabeprazole + Domperidone.
I avoid spicy, acidic stuff. Keep my diet simple.
Do you have something like this? I'm not seeking medical advice or will use it that way. Just want to know if you have a similar problem and how do u handle it.</t>
        </is>
      </c>
      <c r="D6160" t="n">
        <v>1</v>
      </c>
      <c r="E6160" t="n">
        <v>0</v>
      </c>
      <c r="F6160">
        <f>HYPERLINK("https://www.reddit.com/r/GERD/comments/fu82ur/sweaty_brows_weird_smell_and_disturbing_warmth_in/")</f>
        <v/>
      </c>
      <c r="G6160" t="inlineStr">
        <is>
          <t>2020-04-03 06:05:31</t>
        </is>
      </c>
      <c r="H6160" t="inlineStr"/>
    </row>
    <row r="6161">
      <c r="A6161" t="inlineStr">
        <is>
          <t>fu8al8</t>
        </is>
      </c>
      <c r="B6161" t="inlineStr">
        <is>
          <t>How I dealt with it and what seemed to help</t>
        </is>
      </c>
      <c r="C6161" t="inlineStr">
        <is>
          <t>First. Black tea or green tea . First thing in the morning. It would cause me to vomit the bile and wasn't fun and really scary . Untill I noticed something around day 1. I was peppier, " maybe the caffeine" then The huge benifit was evident - brain fog was clearling up. Next I found some motivation witch is really really really needed back.  I literally felt motivated again I would of ripped a bear apart  I felt so Good. So I chased my first cup strong tea with a second . And life was good. Throw up the junk in your stomach don't keep letting run through your system ( my point of view only) more of a band aid. But I believe with all my heart that if I wouldn't of started to throw up that junk it would of caused more damage and would I be suffering like these people with later stage symptoms. To be clear all most all gerd cases get worse, and faster after it first starts.  I believe I was in the beginning stages of gerd when I started the vomiting protocol. Also I believed my gerd was Caused by the H. Pylori strain. Wich I still believe we are all constantly catching from our food and partners. We all got eat that ass. But now I'm off tea for a week. And I'm a little confused. I'm starting a different healing process and it has had some traction but not all great signs yet. I never took the ppi until about two months ago. Wrong move, after the pill  I felt congested and caught a couple of allergy issues( I've never had allergies) but symptoms were evident afterwards mildly.</t>
        </is>
      </c>
      <c r="D6161" t="n">
        <v>1</v>
      </c>
      <c r="E6161" t="n">
        <v>3</v>
      </c>
      <c r="F6161">
        <f>HYPERLINK("https://www.reddit.com/r/GERD/comments/fu8al8/how_i_dealt_with_it_and_what_seemed_to_help/")</f>
        <v/>
      </c>
      <c r="G6161" t="inlineStr">
        <is>
          <t>2020-04-03 06:19:54</t>
        </is>
      </c>
      <c r="H6161" t="inlineStr"/>
    </row>
    <row r="6162">
      <c r="A6162" t="inlineStr">
        <is>
          <t>fu9rlw</t>
        </is>
      </c>
      <c r="B6162" t="inlineStr">
        <is>
          <t>Noise coming from left chest</t>
        </is>
      </c>
      <c r="C6162" t="inlineStr">
        <is>
          <t>Does anyone else hear noises coming from their left chest.   I hear noises coming in from behind my left breast.  The sounds are like gurgling sounds.  It appears as if it's happening all the time, right around the clock.   I might get a few minutes without sounds and then I hear more gurgling sounds.</t>
        </is>
      </c>
      <c r="D6162" t="n">
        <v>1</v>
      </c>
      <c r="E6162" t="n">
        <v>0</v>
      </c>
      <c r="F6162">
        <f>HYPERLINK("https://www.reddit.com/r/GERD/comments/fu9rlw/noise_coming_from_left_chest/")</f>
        <v/>
      </c>
      <c r="G6162" t="inlineStr">
        <is>
          <t>2020-04-03 07:52:46</t>
        </is>
      </c>
      <c r="H6162" t="inlineStr"/>
    </row>
    <row r="6163">
      <c r="A6163" t="inlineStr">
        <is>
          <t>fua0w6</t>
        </is>
      </c>
      <c r="B6163" t="inlineStr">
        <is>
          <t>Will getting back on omeprazole cause rebound?</t>
        </is>
      </c>
      <c r="C6163" t="inlineStr">
        <is>
          <t>I feel like this is a dumb question. 
I was on omeprazole for most of last year but in Dec/Jan. I began to wean myself off the drug. I regulated my diet and exercise and found that after a while I no longer needed it. 
Now under quarantine, that regimented diet and exercise is a little more difficult. Plus, my anxiety is through the roof. I've noticed my GERD has become more prominent. 
If I get back on omeprazole is it going to cause a rebound in my symptoms or should I be alright for now?</t>
        </is>
      </c>
      <c r="D6163" t="n">
        <v>1</v>
      </c>
      <c r="E6163" t="n">
        <v>2</v>
      </c>
      <c r="F6163">
        <f>HYPERLINK("https://www.reddit.com/r/GERD/comments/fua0w6/will_getting_back_on_omeprazole_cause_rebound/")</f>
        <v/>
      </c>
      <c r="G6163" t="inlineStr">
        <is>
          <t>2020-04-03 08:07:32</t>
        </is>
      </c>
      <c r="H6163" t="inlineStr"/>
    </row>
    <row r="6164">
      <c r="A6164" t="inlineStr">
        <is>
          <t>fuaciv</t>
        </is>
      </c>
      <c r="B6164" t="inlineStr">
        <is>
          <t>How long for PPI to work?</t>
        </is>
      </c>
      <c r="C6164" t="inlineStr">
        <is>
          <t>I’ve been on Nexium 20 mg for almost 2 weeks and increased to 40 mg yesterday.  Noticed a tiny bit of improvement but then stupidly ate pizza one night and then tacos the next night and obviously now I’m paying for it.  I thought I’d be feeling better by now.
Did it take anyone a while to see results from a PPI?  I know the package says 4 days but I’ve been dealing with stomach issues constantly for over a year now so I’d imagine it might take a little longer for me.
Note:  I’m sort of a weird case where my endoscopy back in August looked ok but I still have heartburn almost all the time.  The big culprit lately has been post nasal drip along with chest pain.  I’ve been on PPIs twice in the past year but only for a month each and then stopped.  My doctor wants me to try to take it for a few months to see if that helps de-sensitize everything.</t>
        </is>
      </c>
      <c r="D6164" t="n">
        <v>2</v>
      </c>
      <c r="E6164" t="n">
        <v>3</v>
      </c>
      <c r="F6164">
        <f>HYPERLINK("https://www.reddit.com/r/GERD/comments/fuaciv/how_long_for_ppi_to_work/")</f>
        <v/>
      </c>
      <c r="G6164" t="inlineStr">
        <is>
          <t>2020-04-03 08:25:58</t>
        </is>
      </c>
      <c r="H6164" t="inlineStr"/>
    </row>
    <row r="6165">
      <c r="A6165" t="inlineStr">
        <is>
          <t>fuaf1f</t>
        </is>
      </c>
      <c r="B6165" t="inlineStr">
        <is>
          <t>Onion soup without onion</t>
        </is>
      </c>
      <c r="C6165" t="inlineStr">
        <is>
          <t>Hi! So my husband is thinking of making ramen, but as I cant eat any onions, he thought of putting an onion to boil into the broth for a couple of hours and then taking the onion out. It supposedly to get only the taste of it. 
You think is a good idea or it's going to be bad anyways? 
Thank you!</t>
        </is>
      </c>
      <c r="D6165" t="n">
        <v>2</v>
      </c>
      <c r="E6165" t="n">
        <v>3</v>
      </c>
      <c r="F6165">
        <f>HYPERLINK("https://www.reddit.com/r/GERD/comments/fuaf1f/onion_soup_without_onion/")</f>
        <v/>
      </c>
      <c r="G6165" t="inlineStr">
        <is>
          <t>2020-04-03 08:29:52</t>
        </is>
      </c>
      <c r="H6165" t="inlineStr"/>
    </row>
    <row r="6166">
      <c r="A6166" t="inlineStr">
        <is>
          <t>fudwnz</t>
        </is>
      </c>
      <c r="B6166" t="inlineStr">
        <is>
          <t>Miserable</t>
        </is>
      </c>
      <c r="C6166" t="inlineStr">
        <is>
          <t>I'm absolutely miserable.
Everytime I swallow, a bit of food will get stuck. It will be stuck for hours. But later on, I will regurgitate the food by burping. I no longer enjoy food. I've been prescribed nexium for 2 weeks, if this doesn't work, I'll have to go on a higher dosage. Pretty much cannot cope with this and it's driving me insane.
I just want to cry, im too scared to sleep. 
 Anyone else had similar symptoms and how did you deal with this?</t>
        </is>
      </c>
      <c r="D6166" t="n">
        <v>2</v>
      </c>
      <c r="E6166" t="n">
        <v>15</v>
      </c>
      <c r="F6166">
        <f>HYPERLINK("https://www.reddit.com/r/GERD/comments/fudwnz/miserable/")</f>
        <v/>
      </c>
      <c r="G6166" t="inlineStr">
        <is>
          <t>2020-04-03 11:42:05</t>
        </is>
      </c>
      <c r="H6166" t="inlineStr"/>
    </row>
    <row r="6167">
      <c r="A6167" t="inlineStr">
        <is>
          <t>fudzq0</t>
        </is>
      </c>
      <c r="B6167" t="inlineStr">
        <is>
          <t>Need advice- doctor appointment is cancelled</t>
        </is>
      </c>
      <c r="C6167" t="inlineStr">
        <is>
          <t>I need some advice.
I’ve always had pretty frequent heartburn but last November I had very intense heart burn, a sore throat, and the sensation that something was stuck in my throat which caused me to swallow nonstop. I also have intense anxiety and when I’m anxious I swallow/clear my throat a lot. I do not have a primary care dr so I went to CVS minute clinic. They prescribed me famotidine and omeprazole. I started having pain under my left breast. Eventually went to the walk in for that. They had no idea and sent me home. After around a month it cleared up and I went back to having occasional issues if I ate poorly. Beginning of March it came back. I rarely get the heart burn feeling in my chest but my throat is sore nonstop, I’m scared to eat anything, I always feel like something is in my throat and I burp nonstop. I can’t find any trigger foods other than generally eating poorly. I can’t even drink water or eat a banana without it. My sore throat/feeling of food in my throat is 24/7 even if I haven’t eaten. I found omeprazole at the store and tried it for the two weeks. It didn’t do anything. It’s driving me crazy. Coupled with my anxiety I feel like it’s ruining my life. I spent months on a waiting list for a doctor and now my appt is pushed back until June because of covid-19. I’m at my wits end. I don’t know what to do. I raised my bed, went vegetarian, eliminated all fast/fried foods, quit coffee, no chocolate, no acid foods. I’ve lost a few pounds, and try walk every day. Any advice?</t>
        </is>
      </c>
      <c r="D6167" t="n">
        <v>2</v>
      </c>
      <c r="E6167" t="n">
        <v>33</v>
      </c>
      <c r="F6167">
        <f>HYPERLINK("https://www.reddit.com/r/GERD/comments/fudzq0/need_advice_doctor_appointment_is_cancelled/")</f>
        <v/>
      </c>
      <c r="G6167" t="inlineStr">
        <is>
          <t>2020-04-03 11:46:44</t>
        </is>
      </c>
      <c r="H6167" t="inlineStr"/>
    </row>
    <row r="6168">
      <c r="A6168" t="inlineStr">
        <is>
          <t>fufejd</t>
        </is>
      </c>
      <c r="B6168" t="inlineStr">
        <is>
          <t>Does your esophagus tickle from the inside of your chest?</t>
        </is>
      </c>
      <c r="C6168" t="inlineStr">
        <is>
          <t>Sometimes when I'm not having a pain, it feels like I'm having a tickle inside my chest, that I obviously can't scratch.</t>
        </is>
      </c>
      <c r="D6168" t="n">
        <v>1</v>
      </c>
      <c r="E6168" t="n">
        <v>2</v>
      </c>
      <c r="F6168">
        <f>HYPERLINK("https://www.reddit.com/r/GERD/comments/fufejd/does_your_esophagus_tickle_from_the_inside_of/")</f>
        <v/>
      </c>
      <c r="G6168" t="inlineStr">
        <is>
          <t>2020-04-03 13:04:39</t>
        </is>
      </c>
      <c r="H6168" t="inlineStr"/>
    </row>
    <row r="6169">
      <c r="A6169" t="inlineStr">
        <is>
          <t>fufpe7</t>
        </is>
      </c>
      <c r="B6169" t="inlineStr">
        <is>
          <t>I need advice PLEASE</t>
        </is>
      </c>
      <c r="C6169" t="inlineStr">
        <is>
          <t>About three weeks ago I was diagnosed with GERD. They didn’t do a endoscopy due to Covid-19 outbreak. (Completely understandable) the doctor prescribed me with 40mg of zantac, I’ve been taking it ever since and it helped nearly all symptoms I had. 
Recently I haven’t been eating the best because I’ve been laid off my job and am still waiting for EI to get healthy groceries, I just found out that EI has been pushed back a couple more months. I’m completely broke and all my symptoms are beginning to return except now I’m having kidney pain rather than heartburn &amp;amp; chest pain. 
I have no idea what to do, I’m so tired of all of this. I’m so worn out trying to help myself when my body is just rejecting every single thing. I don’t know what to do anymore, I can’t go to the hospitals at all because they’re PACKED with Covid patients. 
I need advice please, I’m so desperate to get back to feeling like myself again.</t>
        </is>
      </c>
      <c r="D6169" t="n">
        <v>1</v>
      </c>
      <c r="E6169" t="n">
        <v>6</v>
      </c>
      <c r="F6169">
        <f>HYPERLINK("https://www.reddit.com/r/GERD/comments/fufpe7/i_need_advice_please/")</f>
        <v/>
      </c>
      <c r="G6169" t="inlineStr">
        <is>
          <t>2020-04-03 13:21:18</t>
        </is>
      </c>
      <c r="H6169" t="inlineStr"/>
    </row>
    <row r="6170">
      <c r="A6170" t="inlineStr">
        <is>
          <t>fufvmk</t>
        </is>
      </c>
      <c r="B6170" t="inlineStr">
        <is>
          <t>Going on almost 2 years of daily pantoprazole use, doc just renewed prescription but am worried about long term use side effects</t>
        </is>
      </c>
      <c r="C6170" t="inlineStr">
        <is>
          <t>As the title says : I'm a 28 yr old female. My doctor believes my GERD has a strong genetic component as my entire family has it to some degree. I've been on 1 x 40mg pantoprazole daily since mid 2018. It has worked amazingly but when I went to talk to my doctor about possible long term use side effects she kinda brushed me off and said the benefits outweigh the risks (cancer). I'm still quite concerned particularly about bone magnesium loss since I already have very low bone density from anorexia from the ages of 11-22. 
I did not take my pill yesterday, and I'm already struggling. I elevated my sleeping position, and have been taking 30 mL pure aloe juice every day. The only food I consume off the usual GERD list is coffee. I don't drink, smoke, or eat chocolate or spicy food, and haven't for over a decade. I'm not overweight. My BMI is 19.5 so definitely healthy and I exercise a lot so I don't really have any of the risk factors.
Tums / ginger / baking soda don't provide relief, and I'm not sure on the aloe yet as I've just started taking it. 
Does anyone have any advice? Similar stories? I'm so worried about the long term effects but I'm also very wary of the risks of not taking pantoprazole. 
Should I be tapering my use down? One pill every two days? 
Any advice would be so appreciated!</t>
        </is>
      </c>
      <c r="D6170" t="n">
        <v>1</v>
      </c>
      <c r="E6170" t="n">
        <v>25</v>
      </c>
      <c r="F6170">
        <f>HYPERLINK("https://www.reddit.com/r/GERD/comments/fufvmk/going_on_almost_2_years_of_daily_pantoprazole_use/")</f>
        <v/>
      </c>
      <c r="G6170" t="inlineStr">
        <is>
          <t>2020-04-03 13:30:56</t>
        </is>
      </c>
      <c r="H6170" t="inlineStr"/>
    </row>
    <row r="6171">
      <c r="A6171" t="inlineStr">
        <is>
          <t>fujwxy</t>
        </is>
      </c>
      <c r="B6171" t="inlineStr">
        <is>
          <t>Help:(</t>
        </is>
      </c>
      <c r="C6171" t="inlineStr">
        <is>
          <t>So I’ve been struggling with gastritis since the start of the year( that’s when I was diagnosed) which has resulted in GERD. My symptoms include, stomach aches, burning in my chest, horrible tastes in my mouth, nausea  and normally a loss of appetite as normally I just would rather not eat anything so I don’t feel even more nauseous. I suffer from anxiety and this makes all the symptoms worse. 
Anyway I got prescribed omeprazole and stated taking it for three days. Stopped as I thought it helped me out enough and felt good. Then again my stomach was hurting so I thought I’ll take them again for three days and again I felt good for a week.. then after two weeks or so the GERD has returned with vengeance I feel like I’m gonna puke all the time and my stomach has a weird butterfly feeling. Would it be best for me to just keep taking the omeprazole now till I run out (I’ve got about 8 weeks worth(one a day)) or should I stop and try to control it myself.. which I’ve tried now for many years.
I’m just a bit scared of side effects as I panic a lot about actually being sick and scared omeprazole will cause that.. has anyone ever been sick from it?
I know that was a lot of random thoughts out together but I’m just not sure what to do.. is the anxiety I have taking the tablets worth the benefits..?</t>
        </is>
      </c>
      <c r="D6171" t="n">
        <v>1</v>
      </c>
      <c r="E6171" t="n">
        <v>0</v>
      </c>
      <c r="F6171">
        <f>HYPERLINK("https://www.reddit.com/r/GERD/comments/fujwxy/help/")</f>
        <v/>
      </c>
      <c r="G6171" t="inlineStr">
        <is>
          <t>2020-04-03 17:27:45</t>
        </is>
      </c>
      <c r="H6171" t="inlineStr"/>
    </row>
    <row r="6172">
      <c r="A6172" t="inlineStr">
        <is>
          <t>fujzwk</t>
        </is>
      </c>
      <c r="B6172" t="inlineStr">
        <is>
          <t>How to stop the sharp chest pain??</t>
        </is>
      </c>
      <c r="C6172" t="inlineStr">
        <is>
          <t>I'm freaking out because I keep having intense chest pain. I made the grave mistake of thinking I could nap and I laid down and now avid keeps coming up and it's near my heart and I keep thinking it's a fuckin heart attack. Drinking water helps only for about 20 seconds</t>
        </is>
      </c>
      <c r="D6172" t="n">
        <v>1</v>
      </c>
      <c r="E6172" t="n">
        <v>7</v>
      </c>
      <c r="F6172">
        <f>HYPERLINK("https://www.reddit.com/r/GERD/comments/fujzwk/how_to_stop_the_sharp_chest_pain/")</f>
        <v/>
      </c>
      <c r="G6172" t="inlineStr">
        <is>
          <t>2020-04-03 17:32:55</t>
        </is>
      </c>
      <c r="H6172" t="inlineStr"/>
    </row>
    <row r="6173">
      <c r="A6173" t="inlineStr">
        <is>
          <t>fuk5xy</t>
        </is>
      </c>
      <c r="B6173" t="inlineStr">
        <is>
          <t>Oshi Health is looking for advisory board members with chronic GI conditions!</t>
        </is>
      </c>
      <c r="C6173" t="inlineStr">
        <is>
          <t>Happy Friyay r/GERD!
[Oshi Health](https://www.oshihealth.com/)'s UX Team is currently looking for US-based people with GERD as well as other GI chronic diseases to join the second chapter of our Patient Advisory Board.
Respondents who qualify will participate in **paid** focus groups and usability tests on a biweekly basis.
If you are interested in helping us, please fill out the following form:
[Interview Screener](https://www.surveymonkey.com/r/7LG27WL)
We'd really appreciate your input! We hope to hear from you soon!
Thank you so much for your help,
UX Team at Oshi Health</t>
        </is>
      </c>
      <c r="D6173" t="n">
        <v>1</v>
      </c>
      <c r="E6173" t="n">
        <v>0</v>
      </c>
      <c r="F6173">
        <f>HYPERLINK("https://www.reddit.com/r/GERD/comments/fuk5xy/oshi_health_is_looking_for_advisory_board_members/")</f>
        <v/>
      </c>
      <c r="G6173" t="inlineStr">
        <is>
          <t>2020-04-03 17:43:14</t>
        </is>
      </c>
      <c r="H6173" t="inlineStr"/>
    </row>
    <row r="6174">
      <c r="A6174" t="inlineStr">
        <is>
          <t>fuk7av</t>
        </is>
      </c>
      <c r="B6174" t="inlineStr">
        <is>
          <t>Oshi Health is looking for advisory board members with chronic GI conditions!</t>
        </is>
      </c>
      <c r="C6174" t="inlineStr">
        <is>
          <t>Happy Friyay r/GERD!
[Oshi Health](https://www.oshihealth.com/)'s UX Team is currently looking for US-based people with GERD as well as other GI chronic diseases to join the second chapter of our Patient Advisory Board.
Respondents who qualify will participate in **paid** focus groups and usability tests on a biweekly basis.
If you are interested in helping us, please fill out the following form:
[Interview Screener](https://www.surveymonkey.com/r/7LG27WL)
We'd really appreciate your input! We hope to hear from you soon!
Thank you so much for your help,
UX Team at Oshi Health</t>
        </is>
      </c>
      <c r="D6174" t="n">
        <v>1</v>
      </c>
      <c r="E6174" t="n">
        <v>0</v>
      </c>
      <c r="F6174">
        <f>HYPERLINK("https://www.reddit.com/r/GERD/comments/fuk7av/oshi_health_is_looking_for_advisory_board_members/")</f>
        <v/>
      </c>
      <c r="G6174" t="inlineStr">
        <is>
          <t>2020-04-03 17:45:34</t>
        </is>
      </c>
      <c r="H6174" t="inlineStr"/>
    </row>
    <row r="6175">
      <c r="A6175" t="inlineStr">
        <is>
          <t>fuk9dw</t>
        </is>
      </c>
      <c r="B6175" t="inlineStr">
        <is>
          <t>Oshi Health is looking for advisory board members with chronic GI conditions!</t>
        </is>
      </c>
      <c r="C6175" t="inlineStr">
        <is>
          <t>Happy Friyay r/GERD!
[Oshi Health](https://www.oshihealth.com/)'s UX Team is currently looking for US-based people with GERD as well as other GI chronic diseases to join the second chapter of our Patient Advisory Board.
Respondents who qualify will participate in **paid** focus groups and usability tests on a biweekly basis.
If you are interested in helping us, please fill out the following form:
[Interview Screener](https://www.surveymonkey.com/r/7LG27WL)
We'd really appreciate your input! We hope to hear from you soon!
Thank you so much for your help,
UX Team at Oshi Health</t>
        </is>
      </c>
      <c r="D6175" t="n">
        <v>1</v>
      </c>
      <c r="E6175" t="n">
        <v>0</v>
      </c>
      <c r="F6175">
        <f>HYPERLINK("https://www.reddit.com/r/GERD/comments/fuk9dw/oshi_health_is_looking_for_advisory_board_members/")</f>
        <v/>
      </c>
      <c r="G6175" t="inlineStr">
        <is>
          <t>2020-04-03 17:49:31</t>
        </is>
      </c>
      <c r="H6175" t="inlineStr"/>
    </row>
    <row r="6176">
      <c r="A6176" t="inlineStr">
        <is>
          <t>fuka5w</t>
        </is>
      </c>
      <c r="B6176" t="inlineStr">
        <is>
          <t>Oshi Health is looking for advisory board members with chronic GI conditions!</t>
        </is>
      </c>
      <c r="C6176" t="inlineStr">
        <is>
          <t>Happy Friyay r/GERD!
[Oshi Health](https://www.oshihealth.com/)'s UX Team is currently looking for US-based people with GERD as well as other GI chronic diseases to join the second chapter of our Patient Advisory Board.
Respondents who qualify will participate in **paid** focus groups and usability tests on a biweekly basis.
If you are interested in helping us, please fill out the following form:
[Interview Screener](https://www.surveymonkey.com/r/7LG27WL)
We'd really appreciate your input! We hope to hear from you soon!
Thank you so much for your help,
UX Team at Oshi Health</t>
        </is>
      </c>
      <c r="D6176" t="n">
        <v>1</v>
      </c>
      <c r="E6176" t="n">
        <v>0</v>
      </c>
      <c r="F6176">
        <f>HYPERLINK("https://www.reddit.com/r/GERD/comments/fuka5w/oshi_health_is_looking_for_advisory_board_members/")</f>
        <v/>
      </c>
      <c r="G6176" t="inlineStr">
        <is>
          <t>2020-04-03 17:50:57</t>
        </is>
      </c>
      <c r="H6176" t="inlineStr"/>
    </row>
    <row r="6177">
      <c r="A6177" t="inlineStr">
        <is>
          <t>fukark</t>
        </is>
      </c>
      <c r="B6177" t="inlineStr">
        <is>
          <t>Oshi Health is looking for advisory board members with chronic GI conditions!</t>
        </is>
      </c>
      <c r="C6177" t="inlineStr">
        <is>
          <t>Happy Friyay r/GERD!
[Oshi Health](https://www.oshihealth.com/)'s UX Team is currently looking for US-based people with GERD as well as other GI chronic diseases to join the second chapter of our Patient Advisory Board.
Respondents who qualify will participate in **paid** focus groups and usability tests on a biweekly basis.
If you are interested in helping us, please fill out the following form:
[Interview Screener](https://www.surveymonkey.com/r/7LG27WL)
We'd really appreciate your input! We hope to hear from you soon!
Thank you so much for your help,
UX Team at Oshi Health</t>
        </is>
      </c>
      <c r="D6177" t="n">
        <v>1</v>
      </c>
      <c r="E6177" t="n">
        <v>0</v>
      </c>
      <c r="F6177">
        <f>HYPERLINK("https://www.reddit.com/r/GERD/comments/fukark/oshi_health_is_looking_for_advisory_board_members/")</f>
        <v/>
      </c>
      <c r="G6177" t="inlineStr">
        <is>
          <t>2020-04-03 17:52:08</t>
        </is>
      </c>
      <c r="H6177" t="inlineStr"/>
    </row>
    <row r="6178">
      <c r="A6178" t="inlineStr">
        <is>
          <t>fukbcr</t>
        </is>
      </c>
      <c r="B6178" t="inlineStr">
        <is>
          <t>Oshi Health is looking for advisory board members with chronic GI conditions!</t>
        </is>
      </c>
      <c r="C6178" t="inlineStr">
        <is>
          <t>Happy Friyay r/GERD!
[Oshi Health](https://www.oshihealth.com/)'s UX Team is currently looking for US-based people with GERD as well as other GI chronic diseases to join the second chapter of our Patient Advisory Board.
Respondents who qualify will participate in **paid** focus groups and usability tests on a biweekly basis.
If you are interested in helping us, please fill out the following form:
[Interview Screener](https://www.surveymonkey.com/r/7LG27WL)
We'd really appreciate your input! We hope to hear from you soon!
Thank you so much for your help,
UX Team at Oshi Health</t>
        </is>
      </c>
      <c r="D6178" t="n">
        <v>1</v>
      </c>
      <c r="E6178" t="n">
        <v>0</v>
      </c>
      <c r="F6178">
        <f>HYPERLINK("https://www.reddit.com/r/GERD/comments/fukbcr/oshi_health_is_looking_for_advisory_board_members/")</f>
        <v/>
      </c>
      <c r="G6178" t="inlineStr">
        <is>
          <t>2020-04-03 17:53:10</t>
        </is>
      </c>
      <c r="H6178" t="inlineStr"/>
    </row>
    <row r="6179">
      <c r="A6179" t="inlineStr">
        <is>
          <t>fukbo5</t>
        </is>
      </c>
      <c r="B6179" t="inlineStr">
        <is>
          <t>Oshi Health is looking for advisory board members with chronic GI conditions!</t>
        </is>
      </c>
      <c r="C6179" t="inlineStr">
        <is>
          <t>Happy Friyay r/GERD!
[Oshi Health](https://www.oshihealth.com/)'s UX Team is currently looking for US-based people with GERD as well as other GI chronic diseases to join the second chapter of our Patient Advisory Board.
Respondents who qualify will participate in **paid** focus groups and usability tests on a biweekly basis.
If you are interested in helping us, please fill out the following form:
[Interview Screener](https://www.surveymonkey.com/r/7LG27WL)
We'd really appreciate your input! We hope to hear from you soon!
Thank you so much for your help,
UX Team at Oshi Health</t>
        </is>
      </c>
      <c r="D6179" t="n">
        <v>1</v>
      </c>
      <c r="E6179" t="n">
        <v>0</v>
      </c>
      <c r="F6179">
        <f>HYPERLINK("https://www.reddit.com/r/GERD/comments/fukbo5/oshi_health_is_looking_for_advisory_board_members/")</f>
        <v/>
      </c>
      <c r="G6179" t="inlineStr">
        <is>
          <t>2020-04-03 17:53:44</t>
        </is>
      </c>
      <c r="H6179" t="inlineStr"/>
    </row>
    <row r="6180">
      <c r="A6180" t="inlineStr">
        <is>
          <t>fukcfl</t>
        </is>
      </c>
      <c r="B6180" t="inlineStr">
        <is>
          <t>Oshi Health is looking for advisory board members with chronic GI conditions!</t>
        </is>
      </c>
      <c r="C6180" t="inlineStr">
        <is>
          <t>Happy Friyay r/GERD!
[Oshi Health](https://www.oshihealth.com/)'s UX Team is currently looking for US-based people with GERD as well as other GI chronic diseases to join the second chapter of our Patient Advisory Board.
Respondents who qualify will participate in **paid** focus groups and usability tests on a biweekly basis.
If you are interested in helping us, please fill out the following form:
[Interview Screener](https://www.surveymonkey.com/r/7LG27WL)
We'd really appreciate your input! We hope to hear from you soon!
Thank you so much for your help,
UX Team at Oshi Health</t>
        </is>
      </c>
      <c r="D6180" t="n">
        <v>1</v>
      </c>
      <c r="E6180" t="n">
        <v>0</v>
      </c>
      <c r="F6180">
        <f>HYPERLINK("https://www.reddit.com/r/GERD/comments/fukcfl/oshi_health_is_looking_for_advisory_board_members/")</f>
        <v/>
      </c>
      <c r="G6180" t="inlineStr">
        <is>
          <t>2020-04-03 17:55:12</t>
        </is>
      </c>
      <c r="H6180" t="inlineStr"/>
    </row>
    <row r="6181">
      <c r="A6181" t="inlineStr">
        <is>
          <t>fukcqh</t>
        </is>
      </c>
      <c r="B6181" t="inlineStr">
        <is>
          <t>Oshi Health is looking for advisory board members with chronic GI conditions!</t>
        </is>
      </c>
      <c r="C6181" t="inlineStr">
        <is>
          <t>Happy Friyay r/GERD!
[Oshi Health](https://www.oshihealth.com/)'s UX Team is currently looking for US-based people with GERD as well as other GI chronic diseases to join the second chapter of our Patient Advisory Board.
Respondents who qualify will participate in **paid** focus groups and usability tests on a biweekly basis.
If you are interested in helping us, please fill out the following form:
[Interview Screener](https://www.surveymonkey.com/r/7LG27WL)
We'd really appreciate your input! We hope to hear from you soon!
Thank you so much for your help,
UX Team at Oshi Health</t>
        </is>
      </c>
      <c r="D6181" t="n">
        <v>1</v>
      </c>
      <c r="E6181" t="n">
        <v>0</v>
      </c>
      <c r="F6181">
        <f>HYPERLINK("https://www.reddit.com/r/GERD/comments/fukcqh/oshi_health_is_looking_for_advisory_board_members/")</f>
        <v/>
      </c>
      <c r="G6181" t="inlineStr">
        <is>
          <t>2020-04-03 17:55:45</t>
        </is>
      </c>
      <c r="H6181" t="inlineStr"/>
    </row>
    <row r="6182">
      <c r="A6182" t="inlineStr">
        <is>
          <t>fukd44</t>
        </is>
      </c>
      <c r="B6182" t="inlineStr">
        <is>
          <t>Oshi Health is looking for advisory board members with chronic GI conditions!</t>
        </is>
      </c>
      <c r="C6182" t="inlineStr">
        <is>
          <t>Happy Friyay r/GERD!
[Oshi Health](https://www.oshihealth.com/)'s UX Team is currently looking for US-based people with GERD as well as other GI chronic diseases to join the second chapter of our Patient Advisory Board.
Respondents who qualify will participate in **paid** focus groups and usability tests on a biweekly basis.
If you are interested in helping us, please fill out the following form:
[Interview Screener](https://www.surveymonkey.com/r/7LG27WL)
We'd really appreciate your input! We hope to hear from you soon!
Thank you so much for your help,
UX Team at Oshi Health</t>
        </is>
      </c>
      <c r="D6182" t="n">
        <v>1</v>
      </c>
      <c r="E6182" t="n">
        <v>0</v>
      </c>
      <c r="F6182">
        <f>HYPERLINK("https://www.reddit.com/r/GERD/comments/fukd44/oshi_health_is_looking_for_advisory_board_members/")</f>
        <v/>
      </c>
      <c r="G6182" t="inlineStr">
        <is>
          <t>2020-04-03 17:56:28</t>
        </is>
      </c>
      <c r="H6182" t="inlineStr"/>
    </row>
    <row r="6183">
      <c r="A6183" t="inlineStr">
        <is>
          <t>fukdei</t>
        </is>
      </c>
      <c r="B6183" t="inlineStr">
        <is>
          <t>Oshi Health is looking for advisory board members with chronic GI conditions!</t>
        </is>
      </c>
      <c r="C6183" t="inlineStr">
        <is>
          <t>Happy Friyay r/GERD!
[Oshi Health](https://www.oshihealth.com/)'s UX Team is currently looking for US-based people with GERD as well as other GI chronic diseases to join the second chapter of our Patient Advisory Board.
Respondents who qualify will participate in **paid** focus groups and usability tests on a biweekly basis.
If you are interested in helping us, please fill out the following form:
[Interview Screener](https://www.surveymonkey.com/r/7LG27WL)
We'd really appreciate your input! We hope to hear from you soon!
Thank you so much for your help,
UX Team at Oshi Health</t>
        </is>
      </c>
      <c r="D6183" t="n">
        <v>1</v>
      </c>
      <c r="E6183" t="n">
        <v>0</v>
      </c>
      <c r="F6183">
        <f>HYPERLINK("https://www.reddit.com/r/GERD/comments/fukdei/oshi_health_is_looking_for_advisory_board_members/")</f>
        <v/>
      </c>
      <c r="G6183" t="inlineStr">
        <is>
          <t>2020-04-03 17:57:03</t>
        </is>
      </c>
      <c r="H6183" t="inlineStr"/>
    </row>
    <row r="6184">
      <c r="A6184" t="inlineStr">
        <is>
          <t>fukdkx</t>
        </is>
      </c>
      <c r="B6184" t="inlineStr">
        <is>
          <t>Oshi Health is looking for advisory board members with chronic GI conditions!</t>
        </is>
      </c>
      <c r="C6184" t="inlineStr">
        <is>
          <t>Happy Friyay r/GERD!
[Oshi Health](https://www.oshihealth.com/)'s UX Team is currently looking for US-based people with GERD as well as other GI chronic diseases to join the second chapter of our Patient Advisory Board.
Respondents who qualify will participate in **paid** focus groups and usability tests on a biweekly basis.
If you are interested in helping us, please fill out the following form:
[Interview Screener](https://www.surveymonkey.com/r/7LG27WL)
We'd really appreciate your input! We hope to hear from you soon!
Thank you so much for your help,
UX Team at Oshi Health</t>
        </is>
      </c>
      <c r="D6184" t="n">
        <v>1</v>
      </c>
      <c r="E6184" t="n">
        <v>0</v>
      </c>
      <c r="F6184">
        <f>HYPERLINK("https://www.reddit.com/r/GERD/comments/fukdkx/oshi_health_is_looking_for_advisory_board_members/")</f>
        <v/>
      </c>
      <c r="G6184" t="inlineStr">
        <is>
          <t>2020-04-03 17:57:22</t>
        </is>
      </c>
      <c r="H6184" t="inlineStr"/>
    </row>
    <row r="6185">
      <c r="A6185" t="inlineStr">
        <is>
          <t>fukdrc</t>
        </is>
      </c>
      <c r="B6185" t="inlineStr">
        <is>
          <t>Oshi Health is looking for advisory board members with chronic GI conditions!</t>
        </is>
      </c>
      <c r="C6185" t="inlineStr">
        <is>
          <t>Happy Friyay r/GERD!
[Oshi Health](https://www.oshihealth.com/)'s UX Team is currently looking for US-based people with GERD as well as other GI chronic diseases to join the second chapter of our Patient Advisory Board.
Respondents who qualify will participate in **paid** focus groups and usability tests on a biweekly basis.
If you are interested in helping us, please fill out the following form:
[Interview Screener](https://www.surveymonkey.com/r/7LG27WL)
We'd really appreciate your input! We hope to hear from you soon!
Thank you so much for your help,
UX Team at Oshi Health</t>
        </is>
      </c>
      <c r="D6185" t="n">
        <v>1</v>
      </c>
      <c r="E6185" t="n">
        <v>0</v>
      </c>
      <c r="F6185">
        <f>HYPERLINK("https://www.reddit.com/r/GERD/comments/fukdrc/oshi_health_is_looking_for_advisory_board_members/")</f>
        <v/>
      </c>
      <c r="G6185" t="inlineStr">
        <is>
          <t>2020-04-03 17:57:42</t>
        </is>
      </c>
      <c r="H6185" t="inlineStr"/>
    </row>
    <row r="6186">
      <c r="A6186" t="inlineStr">
        <is>
          <t>fukduh</t>
        </is>
      </c>
      <c r="B6186" t="inlineStr">
        <is>
          <t>Oshi Health is looking for advisory board members with chronic GI conditions!</t>
        </is>
      </c>
      <c r="C6186" t="inlineStr">
        <is>
          <t>Happy Friyay r/GERD!
[Oshi Health](https://www.oshihealth.com/)'s UX Team is currently looking for US-based people with GERD as well as other GI chronic diseases to join the second chapter of our Patient Advisory Board.
Respondents who qualify will participate in **paid** focus groups and usability tests on a biweekly basis.
If you are interested in helping us, please fill out the following form:
[Interview Screener](https://www.surveymonkey.com/r/7LG27WL)
We'd really appreciate your input! We hope to hear from you soon!
Thank you so much for your help,
UX Team at Oshi Health</t>
        </is>
      </c>
      <c r="D6186" t="n">
        <v>1</v>
      </c>
      <c r="E6186" t="n">
        <v>0</v>
      </c>
      <c r="F6186">
        <f>HYPERLINK("https://www.reddit.com/r/GERD/comments/fukduh/oshi_health_is_looking_for_advisory_board_members/")</f>
        <v/>
      </c>
      <c r="G6186" t="inlineStr">
        <is>
          <t>2020-04-03 17:57:51</t>
        </is>
      </c>
      <c r="H6186" t="inlineStr"/>
    </row>
    <row r="6187">
      <c r="A6187" t="inlineStr">
        <is>
          <t>fuktjd</t>
        </is>
      </c>
      <c r="B6187" t="inlineStr">
        <is>
          <t>How do you alleviate your symptoms?</t>
        </is>
      </c>
      <c r="C6187" t="inlineStr">
        <is>
          <t>I went to the doctor today and was prescribed omeprazole, but that wont do much for the terrible discomfort in terms of immediate relief. I have been experiencing these pains since last night (first time I've had anything of the sort) and just want to know what you do to relax yourself and ease that discomfort so you can rest. For me specifically, I have heartburn and a generally uncomfortable stomach, but sometimes it feels there's a straight rock in there.</t>
        </is>
      </c>
      <c r="D6187" t="n">
        <v>1</v>
      </c>
      <c r="E6187" t="n">
        <v>8</v>
      </c>
      <c r="F6187">
        <f>HYPERLINK("https://www.reddit.com/r/GERD/comments/fuktjd/how_do_you_alleviate_your_symptoms/")</f>
        <v/>
      </c>
      <c r="G6187" t="inlineStr">
        <is>
          <t>2020-04-03 18:26:24</t>
        </is>
      </c>
      <c r="H6187" t="inlineStr"/>
    </row>
    <row r="6188">
      <c r="A6188" t="inlineStr">
        <is>
          <t>fulgu5</t>
        </is>
      </c>
      <c r="B6188" t="inlineStr">
        <is>
          <t>Omeprazole causing acid reflex</t>
        </is>
      </c>
      <c r="C6188" t="inlineStr">
        <is>
          <t>I have only posted on Reddit once so I am not sure of this is the place to ask a question or whatever.
I went to the doctor yesterday about possible acid reflex and he told me to get omeprazole.  I didn't have issues with acid and bile coming up my throat until now. I took one 20 mg yesterday and had my oatmeal shake, and 5 minutes later my mouth is salty and I have bile on my tongue. Same thing happened today except today I Gould feel the acid trying to come up my esophagus   I'm gonna go back and see him but I am just looking for anyone who knows why that may be.
My symptoms before starting omeprazole include the feeling of food in the back of my throat, overall stomach discomfort and growling. Also whenever I ate anything I would immediately have gas, literally when the food hit my stomach.
Thanks in advance!</t>
        </is>
      </c>
      <c r="D6188" t="n">
        <v>1</v>
      </c>
      <c r="E6188" t="n">
        <v>6</v>
      </c>
      <c r="F6188">
        <f>HYPERLINK("https://www.reddit.com/r/GERD/comments/fulgu5/omeprazole_causing_acid_reflex/")</f>
        <v/>
      </c>
      <c r="G6188" t="inlineStr">
        <is>
          <t>2020-04-03 19:09:25</t>
        </is>
      </c>
      <c r="H6188" t="inlineStr"/>
    </row>
    <row r="6189">
      <c r="A6189" t="inlineStr">
        <is>
          <t>funnnd</t>
        </is>
      </c>
      <c r="B6189" t="inlineStr">
        <is>
          <t>Acid reflux action?</t>
        </is>
      </c>
      <c r="C6189" t="inlineStr">
        <is>
          <t>So I recently got what I think is acid reflux. I have very slight hearburn after a meal and during exercise and when I wake up I have a sorethroat. Is this heartburn and in the current situation with corona and not much access to doctors what shud I do. I am a teenager that is overweight so ik working on losing weight. I rly don't wanna take meds and I want tlmy lifestyle to change for this to go away. So any ideas?</t>
        </is>
      </c>
      <c r="D6189" t="n">
        <v>1</v>
      </c>
      <c r="E6189" t="n">
        <v>5</v>
      </c>
      <c r="F6189">
        <f>HYPERLINK("https://www.reddit.com/r/GERD/comments/funnnd/acid_reflux_action/")</f>
        <v/>
      </c>
      <c r="G6189" t="inlineStr">
        <is>
          <t>2020-04-03 21:53:12</t>
        </is>
      </c>
      <c r="H6189" t="inlineStr"/>
    </row>
    <row r="6190">
      <c r="A6190" t="inlineStr">
        <is>
          <t>funowf</t>
        </is>
      </c>
      <c r="B6190" t="inlineStr">
        <is>
          <t>How to stop eating junk food?</t>
        </is>
      </c>
      <c r="C6190" t="inlineStr">
        <is>
          <t>Recently I have been eating a lot of chips, cookies and things that cause me heartburn because Im stressed out. I need to learn/ buy delicious healthy snacks. Anyone got a book or youtube channel they recommend? Preferrably things that are simple to make or dont need to be prepared at all. I have to make major changes asap.</t>
        </is>
      </c>
      <c r="D6190" t="n">
        <v>1</v>
      </c>
      <c r="E6190" t="n">
        <v>18</v>
      </c>
      <c r="F6190">
        <f>HYPERLINK("https://www.reddit.com/r/GERD/comments/funowf/how_to_stop_eating_junk_food/")</f>
        <v/>
      </c>
      <c r="G6190" t="inlineStr">
        <is>
          <t>2020-04-03 21:55:57</t>
        </is>
      </c>
      <c r="H6190" t="inlineStr"/>
    </row>
    <row r="6191">
      <c r="A6191" t="inlineStr">
        <is>
          <t>fuojsu</t>
        </is>
      </c>
      <c r="B6191" t="inlineStr">
        <is>
          <t>Anyone in here can hear a loud esophagus sound ? (like an unclogged sewer )</t>
        </is>
      </c>
      <c r="C6191" t="inlineStr">
        <is>
          <t>I have bloating 24/7 ,nausea ,constipation and  I dont experience any heartburn or other gerd/lpr symptom  but a chronic sore throat for 6 straight months I always feel like having strep  , a doctor thinks thar I rather have sibo than gerd since I belch like 100 times a day, and have constipation one of my strange symptoms is a really loud burp that came all the way up from esophagus, like trapped air that got busted out, do you experience the same? ( no hiatus hernia)</t>
        </is>
      </c>
      <c r="D6191" t="n">
        <v>1</v>
      </c>
      <c r="E6191" t="n">
        <v>21</v>
      </c>
      <c r="F6191">
        <f>HYPERLINK("https://www.reddit.com/r/GERD/comments/fuojsu/anyone_in_here_can_hear_a_loud_esophagus_sound/")</f>
        <v/>
      </c>
      <c r="G6191" t="inlineStr">
        <is>
          <t>2020-04-03 23:08:56</t>
        </is>
      </c>
      <c r="H6191" t="inlineStr"/>
    </row>
    <row r="6192">
      <c r="A6192" t="inlineStr">
        <is>
          <t>fuoty3</t>
        </is>
      </c>
      <c r="B6192" t="inlineStr">
        <is>
          <t>Slippery elm</t>
        </is>
      </c>
      <c r="C6192" t="inlineStr">
        <is>
          <t>How do slippery elm work ? Do they get absorbed or just form a coating on the stomach ?</t>
        </is>
      </c>
      <c r="D6192" t="n">
        <v>1</v>
      </c>
      <c r="E6192" t="n">
        <v>0</v>
      </c>
      <c r="F6192">
        <f>HYPERLINK("https://www.reddit.com/r/GERD/comments/fuoty3/slippery_elm/")</f>
        <v/>
      </c>
      <c r="G6192" t="inlineStr">
        <is>
          <t>2020-04-03 23:34:24</t>
        </is>
      </c>
      <c r="H6192" t="inlineStr"/>
    </row>
    <row r="6193">
      <c r="A6193" t="inlineStr">
        <is>
          <t>fup08f</t>
        </is>
      </c>
      <c r="B6193" t="inlineStr">
        <is>
          <t>Famotidine (Pepcid) making reflux worse?</t>
        </is>
      </c>
      <c r="C6193" t="inlineStr">
        <is>
          <t>i’ve had reflux for several years now but i don’t usually medicate. i tried zantac and it worked great, but then it got recalled. i tried famotidine and then after i had heartburn (something i dont usually get, i get burning pain in more upper areas in the chest and throat/ears/nose/mouth) and LOTS of hiccuping, which never happens to me? very weird because both zantac and pepcid are H2 blockers so i thought my reaction would be the same?</t>
        </is>
      </c>
      <c r="D6193" t="n">
        <v>1</v>
      </c>
      <c r="E6193" t="n">
        <v>10</v>
      </c>
      <c r="F6193">
        <f>HYPERLINK("https://www.reddit.com/r/GERD/comments/fup08f/famotidine_pepcid_making_reflux_worse/")</f>
        <v/>
      </c>
      <c r="G6193" t="inlineStr">
        <is>
          <t>2020-04-03 23:50:49</t>
        </is>
      </c>
      <c r="H6193" t="inlineStr"/>
    </row>
    <row r="6194">
      <c r="A6194" t="inlineStr">
        <is>
          <t>fuqmgg</t>
        </is>
      </c>
      <c r="B6194" t="inlineStr">
        <is>
          <t>GERD Question - Do I have it?</t>
        </is>
      </c>
      <c r="C6194" t="inlineStr">
        <is>
          <t>I don't know what I have because Dr's aren't seeing patients now. For a couple weeks what I originally thought was just anxiety attacks  turned out to be serious heartburn followed by constant burping and shortness of breath. I sleep every other night if I am lucky. I have been taking tums, charcoal tables, gas-x and some other things. It's now 4am and I can't sleep cause I need to keep burping or I get shortness of breath. Advice? Does this sound familiar?</t>
        </is>
      </c>
      <c r="D6194" t="n">
        <v>1</v>
      </c>
      <c r="E6194" t="n">
        <v>6</v>
      </c>
      <c r="F6194">
        <f>HYPERLINK("https://www.reddit.com/r/GERD/comments/fuqmgg/gerd_question_do_i_have_it/")</f>
        <v/>
      </c>
      <c r="G6194" t="inlineStr">
        <is>
          <t>2020-04-04 02:18:03</t>
        </is>
      </c>
      <c r="H6194" t="inlineStr"/>
    </row>
    <row r="6195">
      <c r="A6195" t="inlineStr">
        <is>
          <t>furhhc</t>
        </is>
      </c>
      <c r="B6195" t="inlineStr">
        <is>
          <t>Prilosec causing headaches and hot flashes?</t>
        </is>
      </c>
      <c r="C6195" t="inlineStr">
        <is>
          <t>TL:DR: Current meds; prilosec daily and simethicone as needed for possible reflux. Taken since December. Normal dosage on packaging per doctor's orders. 
Female. Early 30s. Past week - Foggy headaches all day and random hot flashes/feeling like passing out lasting approximately 10 minutes. No loss of vision, appetite, pain in arms, nausea / vomit or cough. 
────────
When I first started taking prilosec in December, a side effect I experienced was mild/foggy headaches all day from when I woke up to whenever I fell asleep. Felt like my whole head was swollen inside or constantly filled with air. Ibuprofen and Tylenol didn't do anything to lessen the headache. Head massages did nothing. Luckily it went away after a 2-3 days.
Last week I ended up forgetting to take prilosec for 2 days. Took it next day and every day since. Day after that I started experiencing mild/foggy headaches all day again. In addition to my headaches now, on 3 occasions this week my head randomly feels very hot of all a sudden and I start getting warm very quickly. I've been sitting when it hits and feels like I'm going to faint with how hot my neck and head get. I don't feel my body getting hot much, just my face starting to sweat instantly. The only thing I can compare it to is hot flashes (from online research). 
My temperature is normal, so I will go outside for air or put an ice pack on my head to try and cool down. Otc pain meds still do nothing to numb the pain. Since I act quickly it takes about 10 minutes for the hotness to pass. After cooling down I still have the headache all day. Currently icing my head as I write this. 
What do you think, reddit? Obviously I'll call my doc on Monday but I'm stumped.</t>
        </is>
      </c>
      <c r="D6195" t="n">
        <v>1</v>
      </c>
      <c r="E6195" t="n">
        <v>9</v>
      </c>
      <c r="F6195">
        <f>HYPERLINK("https://www.reddit.com/r/GERD/comments/furhhc/prilosec_causing_headaches_and_hot_flashes/")</f>
        <v/>
      </c>
      <c r="G6195" t="inlineStr">
        <is>
          <t>2020-04-04 03:33:44</t>
        </is>
      </c>
      <c r="H6195" t="inlineStr"/>
    </row>
    <row r="6196">
      <c r="A6196" t="inlineStr">
        <is>
          <t>fuzx7g</t>
        </is>
      </c>
      <c r="B6196" t="inlineStr">
        <is>
          <t>Dressing Recommendations?</t>
        </is>
      </c>
      <c r="C6196" t="inlineStr">
        <is>
          <t>Hello friends, I hope you’re all hanging in there during this difficult period. My heartburn has flared up due to my snacking and cheat days because of covid. I’m looking to see if any of you have any suggestions or recommendations for dressings. Ranch has been the one I can tolerate most but the store I used to buy it at has closed. Are there are recipes you guys can recommend that are heartburn safe? Thank you</t>
        </is>
      </c>
      <c r="D6196" t="n">
        <v>3</v>
      </c>
      <c r="E6196" t="n">
        <v>8</v>
      </c>
      <c r="F6196">
        <f>HYPERLINK("https://www.reddit.com/r/GERD/comments/fuzx7g/dressing_recommendations/")</f>
        <v/>
      </c>
      <c r="G6196" t="inlineStr">
        <is>
          <t>2020-04-04 12:41:36</t>
        </is>
      </c>
      <c r="H6196" t="inlineStr"/>
    </row>
    <row r="6197">
      <c r="A6197" t="inlineStr">
        <is>
          <t>fv17jk</t>
        </is>
      </c>
      <c r="B6197" t="inlineStr">
        <is>
          <t>Do I have GERD/Gastritis/Hiatal Hernia</t>
        </is>
      </c>
      <c r="C6197" t="inlineStr">
        <is>
          <t>Hello Everyone.  
I'm an18 year-old male.    
For the past 7 weeks, I've had symptoms of dry heaving, excessive burping, bloated, and slight pain in stomach after eating.  The symptoms first started with heaving, but over time, more symptoms occurred.  I've researched online that these are common GERD-like symptoms that that can overlap with Gastritis and a hiatal hernia.  I considered gastritis and a hiatal hernia as a cause because seven weeks I worked out hard one day doing push-ups, jumping jacks, and sit-ups (causing my abs to be sore for 1 week) and the next day I drank 5 shots of whiskey along with one beer.  
It's unclear to me whether I have GERD, Gastritis, or possibly a hiatal hernia.   
Given the situation with COVID-19, my health care provider cancelled my in-person appointment where I was scheduled to test for h. pylori and possibly plan on meeting a GI doctor to help me find the cause of my condition.
I am currently finishing a second 14-day Omemprazole OTC treatment, taking probiotic supplements, consuming Mastic Gum, and eating smaller meals/avoiding GERD trigger foods (eg. tomato, citrus fruits, etc.). 
If any of you have any idea as to what I may have and have any other advice to alleviate these symptoms, that will be greatly appreciated! :) 
Thank you.</t>
        </is>
      </c>
      <c r="D6197" t="n">
        <v>2</v>
      </c>
      <c r="E6197" t="n">
        <v>6</v>
      </c>
      <c r="F6197">
        <f>HYPERLINK("https://www.reddit.com/r/GERD/comments/fv17jk/do_i_have_gerdgastritishiatal_hernia/")</f>
        <v/>
      </c>
      <c r="G6197" t="inlineStr">
        <is>
          <t>2020-04-04 13:58:50</t>
        </is>
      </c>
      <c r="H6197" t="inlineStr"/>
    </row>
    <row r="6198">
      <c r="A6198" t="inlineStr">
        <is>
          <t>fv1r0g</t>
        </is>
      </c>
      <c r="B6198" t="inlineStr">
        <is>
          <t>PPI's dont do anything for me</t>
        </is>
      </c>
      <c r="C6198" t="inlineStr">
        <is>
          <t>So today Its the 4th month I'm taking PPIs, now I'm taking 40mg (instead of 20mg) of Esomeprazole per day since 1 month ago. I did the antibiotics for h Pylori and the symptoms didn't change at all.
I have constant throat cleaning and excess saliva production, white tongue plus my stools are always yellow...
My endoscopy resulted in my throat being ok but revealed bile reflux and the chronic gastritis caused by H Pylori.
I've been to 3 different doctors already, they only change my PPI to next brand (I've started with Omeprazole, moved to Lanzoprazole and now Esomeprazole) but it is useless for me, no relief and make my digestion really bad....
I'm really started to think what I have is not GERD. Anyone with similar problems?</t>
        </is>
      </c>
      <c r="D6198" t="n">
        <v>1</v>
      </c>
      <c r="E6198" t="n">
        <v>7</v>
      </c>
      <c r="F6198">
        <f>HYPERLINK("https://www.reddit.com/r/GERD/comments/fv1r0g/ppis_dont_do_anything_for_me/")</f>
        <v/>
      </c>
      <c r="G6198" t="inlineStr">
        <is>
          <t>2020-04-04 14:31:03</t>
        </is>
      </c>
      <c r="H6198" t="inlineStr"/>
    </row>
    <row r="6199">
      <c r="A6199" t="inlineStr">
        <is>
          <t>fv2j0b</t>
        </is>
      </c>
      <c r="B6199" t="inlineStr">
        <is>
          <t>Dyspepsia???!!?!</t>
        </is>
      </c>
      <c r="C6199" t="inlineStr">
        <is>
          <t>So the past week or so I've been having on and off insane bloating pressure indegestion after I eat or drink anything. To the point where my heart starts pounding and I have to force myself to burp or puke. Usually I just regurgitate while I burp over the toilet. It seems to be getting worse. I'm also wondering if this is gastroparesis? I need help. I bought some nexium today so I dont kill my esophagus.</t>
        </is>
      </c>
      <c r="D6199" t="n">
        <v>1</v>
      </c>
      <c r="E6199" t="n">
        <v>3</v>
      </c>
      <c r="F6199">
        <f>HYPERLINK("https://www.reddit.com/r/GERD/comments/fv2j0b/dyspepsia/")</f>
        <v/>
      </c>
      <c r="G6199" t="inlineStr">
        <is>
          <t>2020-04-04 15:18:46</t>
        </is>
      </c>
      <c r="H6199" t="inlineStr"/>
    </row>
    <row r="6200">
      <c r="A6200" t="inlineStr">
        <is>
          <t>fv358s</t>
        </is>
      </c>
      <c r="B6200" t="inlineStr">
        <is>
          <t>Is LPR damage permanent? 20M</t>
        </is>
      </c>
      <c r="C6200" t="inlineStr">
        <is>
          <t>Hey all, I’m a 20 year old male who has been dealing with LPR, or “silent reflux” for a long time. It got really bad in the past 8 months or so, and I very seldom had a voice. I suspect that I’ve had it for the past few years unknowingly, as before it got worse I was still a “chronic throat clearer”.
I went to an ENT specialist a little less than 2 months ago, who diagnosed me with post nasal drip and silent reflux (I also suffer from anxiety disorders, in case that’s noteworthy. Ive read connections between anxiety and acid reflux online.) I’ve never experienced heartburn over this issue. My doctor prescribed omeprazole in the mornings, and famotidine before bed. I took them on and off for a little bit (I know, defeats the purpose. Often forgot to take the famotidine before bed), then started taking them daily as prescribed, and noticed slight improvement in a week or so. Then, me being me, stopped taking them again for a bit until recently, I’m now taking them everyday / night for the past 5 days or so.
Anyway, I’ve been looking around the internet at studies and Stanford’s LPR Protocol, and it suggests that it takes more than a month to notice improvement in the symptoms, and around 6 months for symptoms to “go away” with treatment. While I know I haven’t consistently treated the problem much, I’ve grown concerned that I’ve already permanently damaged my voice for life at 20 years old. I can’t find anything online about whether or not LPR damage is permanent. I know over time it can result in different kinds of cancers, which is obviously also concerning, but is it known whether or not LPR voice damage is permanent? I barely have a voice as it is right now. I don’t mind needing 6 months to get my voice back, I’m just hoping I GET it back eventually.
Thanks all. Any advice is appreciated as well.</t>
        </is>
      </c>
      <c r="D6200" t="n">
        <v>1</v>
      </c>
      <c r="E6200" t="n">
        <v>9</v>
      </c>
      <c r="F6200">
        <f>HYPERLINK("https://www.reddit.com/r/GERD/comments/fv358s/is_lpr_damage_permanent_20m/")</f>
        <v/>
      </c>
      <c r="G6200" t="inlineStr">
        <is>
          <t>2020-04-04 15:56:49</t>
        </is>
      </c>
      <c r="H6200" t="inlineStr"/>
    </row>
    <row r="6201">
      <c r="A6201" t="inlineStr">
        <is>
          <t>fv3thk</t>
        </is>
      </c>
      <c r="B6201" t="inlineStr">
        <is>
          <t>Help i dont know what to do anymore.</t>
        </is>
      </c>
      <c r="C6201" t="inlineStr">
        <is>
          <t>My husband has bad GERD, for a week now, he has either vomited or had diarrhea. His throat will feel tight and food will get stuck in it, he also burps a lot. Nothing works for him, or it temporarily stops and starts again within minutes.  I am afraid for him and dont know what to do. Antacids don't work, omeprazole doesnt work either. 
Can someone provide some advice?</t>
        </is>
      </c>
      <c r="D6201" t="n">
        <v>3</v>
      </c>
      <c r="E6201" t="n">
        <v>21</v>
      </c>
      <c r="F6201">
        <f>HYPERLINK("https://www.reddit.com/r/GERD/comments/fv3thk/help_i_dont_know_what_to_do_anymore/")</f>
        <v/>
      </c>
      <c r="G6201" t="inlineStr">
        <is>
          <t>2020-04-04 16:40:16</t>
        </is>
      </c>
      <c r="H6201" t="inlineStr"/>
    </row>
    <row r="6202">
      <c r="A6202" t="inlineStr">
        <is>
          <t>fv3x2h</t>
        </is>
      </c>
      <c r="B6202" t="inlineStr">
        <is>
          <t>With Zantac off the market how should I taper off Prilosec?</t>
        </is>
      </c>
      <c r="C6202" t="inlineStr">
        <is>
          <t>I’m 19 and healthy. Have been on Prilosec since September and I want out. With quarantine and all the only other medicine I have in my house is Zantac. Should I still take it and switch on and off with Prilosec? 
I seriously am considering doing cold turkey. I don’t even care anymore.</t>
        </is>
      </c>
      <c r="D6202" t="n">
        <v>1</v>
      </c>
      <c r="E6202" t="n">
        <v>6</v>
      </c>
      <c r="F6202">
        <f>HYPERLINK("https://www.reddit.com/r/GERD/comments/fv3x2h/with_zantac_off_the_market_how_should_i_taper_off/")</f>
        <v/>
      </c>
      <c r="G6202" t="inlineStr">
        <is>
          <t>2020-04-04 16:46:46</t>
        </is>
      </c>
      <c r="H6202" t="inlineStr"/>
    </row>
    <row r="6203">
      <c r="A6203" t="inlineStr">
        <is>
          <t>fv4c8n</t>
        </is>
      </c>
      <c r="B6203" t="inlineStr">
        <is>
          <t>Weird Burps</t>
        </is>
      </c>
      <c r="C6203" t="inlineStr">
        <is>
          <t>I have Hashimoto’s disease and have gotten GERD over the course of my hormone treatment. I’m hoping when my levels plateau I won’t have this problem anymore. It is misery. I took Prilosec and had a toxic reaction, had a fever and was constantly vomiting for three days after that. So for the pst six months I’ve just been doing TUMS. I get these really weird burps. Like I need to burp but can’t. I feel this way after eating or drinking anything. I try to pivot my body and force a burp and usually that’s when the most acid comes up. Anybody else have the weird burps?</t>
        </is>
      </c>
      <c r="D6203" t="n">
        <v>2</v>
      </c>
      <c r="E6203" t="n">
        <v>2</v>
      </c>
      <c r="F6203">
        <f>HYPERLINK("https://www.reddit.com/r/GERD/comments/fv4c8n/weird_burps/")</f>
        <v/>
      </c>
      <c r="G6203" t="inlineStr">
        <is>
          <t>2020-04-04 17:14:53</t>
        </is>
      </c>
      <c r="H6203" t="inlineStr"/>
    </row>
    <row r="6204">
      <c r="A6204" t="inlineStr">
        <is>
          <t>fv4yoj</t>
        </is>
      </c>
      <c r="B6204" t="inlineStr">
        <is>
          <t>LPR after a cold? Or change in diet caused it to rebound?</t>
        </is>
      </c>
      <c r="C6204" t="inlineStr">
        <is>
          <t>Hey all! 
So I think I may have always had LPR in some degree, I remember in high school my parents were always concerned why I coughed so much after I would eat (this coughing would come and go).
Now I’m 24, and I’m about 20-30 pounds overweight. I don’t drink very often. From New Years until the beginning of March I ate mainly chicken vegetables and fish to lose some weight. I noticed after two months that my coughing issue hadn’t happened in a long time and that I was feeling good! 
Then on spring break I ended up eating like crap and drinking a lot. I came home with a cold and a nasty cough that wouldn’t stop. I was clearing my throat almost every minute I was going nuts! My doc put me on antibiotics for my cough cause she thought it was sinusitis. My cough has been better ever since but there’s a weird sensation when I breathe in deep that’s irritating me. I notice it’s not as bad when I eat healthy meals. 
So my symptoms are:
- cough after I eat 
- strange sensation when I take a deep breath 
- I have not had a sore throat through any of this 
- in the first two weeks sometimes I would get shortness of breath or it’d feel like someone was sitting on my chest 
- a little heartburn after a big meal 
I’m wondering if this is a bad rebound after going away from my healthy diet? Or maybe if I damaged my throat when I had the cold and couldn’t stop clearing it and it just needs to recover? 
Interested to see if anyone had anything similar to this. At first I thought it would be like this forever but it’s getting better and manageable if I don’t focus on it. Thanks!</t>
        </is>
      </c>
      <c r="D6204" t="n">
        <v>1</v>
      </c>
      <c r="E6204" t="n">
        <v>3</v>
      </c>
      <c r="F6204">
        <f>HYPERLINK("https://www.reddit.com/r/GERD/comments/fv4yoj/lpr_after_a_cold_or_change_in_diet_caused_it_to/")</f>
        <v/>
      </c>
      <c r="G6204" t="inlineStr">
        <is>
          <t>2020-04-04 17:56:37</t>
        </is>
      </c>
      <c r="H6204" t="inlineStr"/>
    </row>
    <row r="6205">
      <c r="A6205" t="inlineStr">
        <is>
          <t>fv7lll</t>
        </is>
      </c>
      <c r="B6205" t="inlineStr">
        <is>
          <t>Can heat make symptoms worse?</t>
        </is>
      </c>
      <c r="C6205" t="inlineStr">
        <is>
          <t>This isn’t an issue I’ve experienced for a while, but at the peak of my issues, when I was experiencing nausea and occasional vomiting, heat made things far worse. I remember one day, I had to pick up pills and went out to my car on a very hot day, and after sitting in my oven-like car for five seconds, I had to throw up. This issue made for a very rough summer, because even as I started to get over the nausea, heat would bring it back, and there’s no way to avoid the heat during the summer. Has anyone else experienced this? Is this related to acid, or is it likely just because heat naturally induces nausea?</t>
        </is>
      </c>
      <c r="D6205" t="n">
        <v>1</v>
      </c>
      <c r="E6205" t="n">
        <v>1</v>
      </c>
      <c r="F6205">
        <f>HYPERLINK("https://www.reddit.com/r/GERD/comments/fv7lll/can_heat_make_symptoms_worse/")</f>
        <v/>
      </c>
      <c r="G6205" t="inlineStr">
        <is>
          <t>2020-04-04 21:07:04</t>
        </is>
      </c>
      <c r="H6205" t="inlineStr"/>
    </row>
    <row r="6206">
      <c r="A6206" t="inlineStr">
        <is>
          <t>fv879k</t>
        </is>
      </c>
      <c r="B6206" t="inlineStr">
        <is>
          <t>Anybody here experience side effects after stopping pantoprazole?</t>
        </is>
      </c>
      <c r="C6206" t="inlineStr">
        <is>
          <t>Took pantoprazole for a month and a half twice a day now experiencing acid reflux</t>
        </is>
      </c>
      <c r="D6206" t="n">
        <v>1</v>
      </c>
      <c r="E6206" t="n">
        <v>14</v>
      </c>
      <c r="F6206">
        <f>HYPERLINK("https://www.reddit.com/r/GERD/comments/fv879k/anybody_here_experience_side_effects_after/")</f>
        <v/>
      </c>
      <c r="G6206" t="inlineStr">
        <is>
          <t>2020-04-04 21:55:31</t>
        </is>
      </c>
      <c r="H6206" t="inlineStr"/>
    </row>
    <row r="6207">
      <c r="A6207" t="inlineStr">
        <is>
          <t>fvahkq</t>
        </is>
      </c>
      <c r="B6207" t="inlineStr">
        <is>
          <t>Indigestion transitions into panic attacks</t>
        </is>
      </c>
      <c r="C6207" t="inlineStr">
        <is>
          <t>Has anyone here had such bad and painful indigestion that they triggered panic attacks? I’ve been struggling with this for a year now, and every-time the indigestion severely limits my breathing and makes my chest feel right and like it’s about to explode. That feeling triggers this voice in my head that I’m having a heart attack, which thereafter causes me to have a panic attack— and panic attacks really do feel like a heart attack so that makes the panic attack even worse! Gah!!!
Anyone else experience this? If so, how do you cope on a day to day basis? Feeling like you’re having a heart attack once a week is no way to live.</t>
        </is>
      </c>
      <c r="D6207" t="n">
        <v>1</v>
      </c>
      <c r="E6207" t="n">
        <v>26</v>
      </c>
      <c r="F6207">
        <f>HYPERLINK("https://www.reddit.com/r/GERD/comments/fvahkq/indigestion_transitions_into_panic_attacks/")</f>
        <v/>
      </c>
      <c r="G6207" t="inlineStr">
        <is>
          <t>2020-04-05 01:23:10</t>
        </is>
      </c>
      <c r="H6207" t="inlineStr"/>
    </row>
    <row r="6208">
      <c r="A6208" t="inlineStr">
        <is>
          <t>fvamr6</t>
        </is>
      </c>
      <c r="B6208" t="inlineStr">
        <is>
          <t>I definitely need help with GERD</t>
        </is>
      </c>
      <c r="C6208" t="inlineStr">
        <is>
          <t>Kind of scary how GERD symptoms can be so debilitating... all week I have had a poor diet due to everything going on, it’s hard to shop! But I’ve also been barley eating and losing weight. I’m 22f and my asthma has been awful this week but using my inhaler makes my acid act up ALOT... I don’t know what to do tums don’t help I also rarely take them. I think I’ve had GERD issues for years... I can barely get out of bed! Cloudy headed, chest tightness, having to take deep breaths, tonight I had a dry cough for a minute then I baby barfed and it went away. Now laying down my stomach burns! Anyone else when you get a cough it kind of feels funny like lung tickles almost?</t>
        </is>
      </c>
      <c r="D6208" t="n">
        <v>1</v>
      </c>
      <c r="E6208" t="n">
        <v>1</v>
      </c>
      <c r="F6208">
        <f>HYPERLINK("https://www.reddit.com/r/GERD/comments/fvamr6/i_definitely_need_help_with_gerd/")</f>
        <v/>
      </c>
      <c r="G6208" t="inlineStr">
        <is>
          <t>2020-04-05 01:37:49</t>
        </is>
      </c>
      <c r="H6208" t="inlineStr"/>
    </row>
    <row r="6209">
      <c r="A6209" t="inlineStr">
        <is>
          <t>fvapmz</t>
        </is>
      </c>
      <c r="B6209" t="inlineStr">
        <is>
          <t>Not sure if this is LPR or something else?</t>
        </is>
      </c>
      <c r="C6209" t="inlineStr">
        <is>
          <t xml:space="preserve"> Have been suffering from Gerd for the last 6-7 years. But for the last 2 years, feels like its progressed to LPR and since January, I have this feeling of constant mucus in my throat and my throat every now and then feels super tensed. So right from the upper part of the throat to the mouth it feels super tensed and tight.
It sometimes feels like theres excess mucus in my throat but when i try to bring it up or swallow it down theres none or hardly anything and i feel I have ended up irritating my throat. I did go and see an ENT 2 weeks ago and he did not find a lot apart from mild inflammation of the lingual tonsils. Vocal cords were alright.
Also have excess saliva and some food requires additional swallows to pass it down the throat, no choking as such. My throat has gotten better since Jan (I would say 90% there) but still have the sensations in my throat and the tightness. I am on pantaprazole 30MG for the last 2 months.
Also, have dry cough and throat clearing but again thats gotten better.
Last year I did battery of tests which includes, gastric emptying, CT and MRI scans, endoscopy, 24hr ph and manometry and them tests did not find out a lot apart from small amounts of acid like pretty small amounts.
I also burp quite a lot and feel the acid come up my throat.
Is this common with LPR and in general how long has it taken for others with similar issues to get back to like normalcy?
What did you try to get relief from this. I am 29 year old Male.</t>
        </is>
      </c>
      <c r="D6209" t="n">
        <v>1</v>
      </c>
      <c r="E6209" t="n">
        <v>0</v>
      </c>
      <c r="F6209">
        <f>HYPERLINK("https://www.reddit.com/r/GERD/comments/fvapmz/not_sure_if_this_is_lpr_or_something_else/")</f>
        <v/>
      </c>
      <c r="G6209" t="inlineStr">
        <is>
          <t>2020-04-05 01:45:43</t>
        </is>
      </c>
      <c r="H6209" t="inlineStr"/>
    </row>
    <row r="6210">
      <c r="A6210" t="inlineStr">
        <is>
          <t>fvbcbv</t>
        </is>
      </c>
      <c r="B6210" t="inlineStr">
        <is>
          <t>Any chance this is Gerd?</t>
        </is>
      </c>
      <c r="C6210" t="inlineStr">
        <is>
          <t>https://www.reddit.com/r/AskDocs/comments/fv81lc/had_stomach_pain_just_above_my_bellybutton_and/?utm_medium=android_app&amp;amp;utm_source=share
Sorry now for the link but up 2 days, can sleep cause of the stomach pain</t>
        </is>
      </c>
      <c r="D6210" t="n">
        <v>1</v>
      </c>
      <c r="E6210" t="n">
        <v>2</v>
      </c>
      <c r="F6210">
        <f>HYPERLINK("https://www.reddit.com/r/GERD/comments/fvbcbv/any_chance_this_is_gerd/")</f>
        <v/>
      </c>
      <c r="G6210" t="inlineStr">
        <is>
          <t>2020-04-05 02:49:19</t>
        </is>
      </c>
      <c r="H6210" t="inlineStr"/>
    </row>
    <row r="6211">
      <c r="A6211" t="inlineStr">
        <is>
          <t>fvbvxm</t>
        </is>
      </c>
      <c r="B6211" t="inlineStr">
        <is>
          <t>Anyone else have a similar story</t>
        </is>
      </c>
      <c r="C6211" t="inlineStr">
        <is>
          <t>Hi.
Im currently waiting for an endoscopy but with the corona it might not happen for awhile. I may be able to see a family friend and ger a ENT to look down my throat which has at least reduced my anxiety. 
My condition started 20 years ago and i ignored it as it came and went (mostly chest pressure and waking up with a dry mouth and the odd extra clear flem as well)
In my past i have drank, smoked and taken recreationals very heavily to deal with anxiety. But i went on a bender of alcohol/cigarettes  (rarity now) with a friend and noticed my throat burned as i drank every sip or smoked. So i gave away the booze/cigarettes for awhile however the pain in my throat never went away, i was also expierencing reflux my doctor believes the pain in my throat is reflux and put me on a ppi the tablets works as the reflux is better however the pain is still there.  The pain is a burning/pressure/swelling feeling and reflux temporarily makes me feel better like a pressure release, Currently meditating, changed my diet and am trying everything to fix this however its not going away.
Does anyone have a similar story? My anxiety is through the roof as im thinking the worst however being only mid 30 i would have to be very unlucky. Cant wait for a diagnosis</t>
        </is>
      </c>
      <c r="D6211" t="n">
        <v>1</v>
      </c>
      <c r="E6211" t="n">
        <v>5</v>
      </c>
      <c r="F6211">
        <f>HYPERLINK("https://www.reddit.com/r/GERD/comments/fvbvxm/anyone_else_have_a_similar_story/")</f>
        <v/>
      </c>
      <c r="G6211" t="inlineStr">
        <is>
          <t>2020-04-05 03:41:45</t>
        </is>
      </c>
      <c r="H6211" t="inlineStr"/>
    </row>
    <row r="6212">
      <c r="A6212" t="inlineStr">
        <is>
          <t>fve63o</t>
        </is>
      </c>
      <c r="B6212" t="inlineStr">
        <is>
          <t>Back Pain Flare Ups Literally Only at Night?</t>
        </is>
      </c>
      <c r="C6212" t="inlineStr">
        <is>
          <t>Hello everyone I’m relatively knee to all of this, I just got diagnosed with GERD about 1-2 months ago but I was wondering if it’s common that it only ever happens at night. 
During the day I can go about my business perfectly fine. I have close to no complications during my day except mild upper to mid back pain from time to time. But at night my back pain becomes almost intolerable. 
I have noticed however that during the day if I nap after work (I’ve taken up to 4 hour naps) I don’t get woken up by the pain it only ever happens at night. Is that common?</t>
        </is>
      </c>
      <c r="D6212" t="n">
        <v>1</v>
      </c>
      <c r="E6212" t="n">
        <v>6</v>
      </c>
      <c r="F6212">
        <f>HYPERLINK("https://www.reddit.com/r/GERD/comments/fve63o/back_pain_flare_ups_literally_only_at_night/")</f>
        <v/>
      </c>
      <c r="G6212" t="inlineStr">
        <is>
          <t>2020-04-05 07:01:56</t>
        </is>
      </c>
      <c r="H6212" t="inlineStr"/>
    </row>
    <row r="6213">
      <c r="A6213" t="inlineStr">
        <is>
          <t>fveseq</t>
        </is>
      </c>
      <c r="B6213" t="inlineStr">
        <is>
          <t>EoE can cause LPR?</t>
        </is>
      </c>
      <c r="C6213" t="inlineStr">
        <is>
          <t>Eonsinophilic esophagitis could cause LPR or just plain GERD?</t>
        </is>
      </c>
      <c r="D6213" t="n">
        <v>1</v>
      </c>
      <c r="E6213" t="n">
        <v>0</v>
      </c>
      <c r="F6213">
        <f>HYPERLINK("https://www.reddit.com/r/GERD/comments/fveseq/eoe_can_cause_lpr/")</f>
        <v/>
      </c>
      <c r="G6213" t="inlineStr">
        <is>
          <t>2020-04-05 07:51:05</t>
        </is>
      </c>
      <c r="H6213" t="inlineStr"/>
    </row>
    <row r="6214">
      <c r="A6214" t="inlineStr">
        <is>
          <t>fvesfr</t>
        </is>
      </c>
      <c r="B6214" t="inlineStr">
        <is>
          <t>EoE can cause LPR?</t>
        </is>
      </c>
      <c r="C6214" t="inlineStr">
        <is>
          <t>Eonsinophilic esophagitis could cause LPR or just plain GERD?</t>
        </is>
      </c>
      <c r="D6214" t="n">
        <v>1</v>
      </c>
      <c r="E6214" t="n">
        <v>0</v>
      </c>
      <c r="F6214">
        <f>HYPERLINK("https://www.reddit.com/r/GERD/comments/fvesfr/eoe_can_cause_lpr/")</f>
        <v/>
      </c>
      <c r="G6214" t="inlineStr">
        <is>
          <t>2020-04-05 07:51:05</t>
        </is>
      </c>
      <c r="H6214" t="inlineStr"/>
    </row>
    <row r="6215">
      <c r="A6215" t="inlineStr">
        <is>
          <t>fvfri1</t>
        </is>
      </c>
      <c r="B6215" t="inlineStr">
        <is>
          <t>Intestines pushing on stomach, causing reflux?</t>
        </is>
      </c>
      <c r="C6215" t="inlineStr">
        <is>
          <t>I’ve noticed that sometimes, when I have gas moving through my intestines, I feel a lot of reflux (burping, rising feeling in throat) right as it passes along the part of my intestines that’s my by stomach. It makes me think a large part of my reflux has to do with pressure. Anyone else? Is there any information out there about this phenomenon?</t>
        </is>
      </c>
      <c r="D6215" t="n">
        <v>1</v>
      </c>
      <c r="E6215" t="n">
        <v>6</v>
      </c>
      <c r="F6215">
        <f>HYPERLINK("https://www.reddit.com/r/GERD/comments/fvfri1/intestines_pushing_on_stomach_causing_reflux/")</f>
        <v/>
      </c>
      <c r="G6215" t="inlineStr">
        <is>
          <t>2020-04-05 08:44:18</t>
        </is>
      </c>
      <c r="H6215" t="inlineStr"/>
    </row>
    <row r="6216">
      <c r="A6216" t="inlineStr">
        <is>
          <t>fvg5bk</t>
        </is>
      </c>
      <c r="B6216" t="inlineStr">
        <is>
          <t>Worked out that sugar (and sweetener) is my biggest trigger</t>
        </is>
      </c>
      <c r="C6216" t="inlineStr">
        <is>
          <t>I absolutely have to avoid too much sugar, and sweetener, if I want to remain GERD free (or as close to it as possible). I stay away from soda, sugary sauces, honey, maple syrup, fruit juice ect. as much as possible. If I consume any of those things I pay for it dearly.
I have been avoiding sugar and sweetener for a few years now and it has helped immensely.
Just throwing this out there in case it helps any of my fellow sufferers :)</t>
        </is>
      </c>
      <c r="D6216" t="n">
        <v>1</v>
      </c>
      <c r="E6216" t="n">
        <v>1</v>
      </c>
      <c r="F6216">
        <f>HYPERLINK("https://www.reddit.com/r/GERD/comments/fvg5bk/worked_out_that_sugar_and_sweetener_is_my_biggest/")</f>
        <v/>
      </c>
      <c r="G6216" t="inlineStr">
        <is>
          <t>2020-04-05 09:06:45</t>
        </is>
      </c>
      <c r="H6216" t="inlineStr"/>
    </row>
    <row r="6217">
      <c r="A6217" t="inlineStr">
        <is>
          <t>fvhba7</t>
        </is>
      </c>
      <c r="B6217" t="inlineStr">
        <is>
          <t>I think I have gerd</t>
        </is>
      </c>
      <c r="C6217" t="inlineStr">
        <is>
          <t>Dry throat, can’t stop swallowing, post nasal drip, burning stomach, hunger pains, short of breath, tight chest, and now a dry cough... it makes me baby barf. I have asthma so if I take my inhaler my stomach gets more burny... the breathing and cough throw me off. The cough is not constant</t>
        </is>
      </c>
      <c r="D6217" t="n">
        <v>2</v>
      </c>
      <c r="E6217" t="n">
        <v>5</v>
      </c>
      <c r="F6217">
        <f>HYPERLINK("https://www.reddit.com/r/GERD/comments/fvhba7/i_think_i_have_gerd/")</f>
        <v/>
      </c>
      <c r="G6217" t="inlineStr">
        <is>
          <t>2020-04-05 10:14:50</t>
        </is>
      </c>
      <c r="H6217" t="inlineStr"/>
    </row>
    <row r="6218">
      <c r="A6218" t="inlineStr">
        <is>
          <t>fvi7f5</t>
        </is>
      </c>
      <c r="B6218" t="inlineStr">
        <is>
          <t>Maybe I have GERD/reflux and not asthma? Tightness when I eat?</t>
        </is>
      </c>
      <c r="C6218" t="inlineStr">
        <is>
          <t>I'm a 28F and I got the flu that turned into a mild case of pneumonia about a month ago. Doc says my follow-up x-ray yesterday was completely clear of pneumonia and he heard nothing in my lungs. I'm feeling extreme tightness in my chest. I was on Levoquin for a couple weeks and I've been on prednisone for a while. Both things cause bad stomach issues. 
I have extreme tightness when I eat. I get out of breath and breath really hard sometimes. I only cough when the tightness gets really bad. I feel mucus but can't cough it up. I can only drink water and eat applesauce right now. Moving around does make a little difference in how I feel. I've noticed doing an onion poultice helps ease the tightness and pain a little. It's been at least two weeks of this with no change. My doc thinks I have asthma and prescribed me asthma medicines. Albuterol just made me feel like I was going to choke on mucus all the time and the chest pain got worse so I quit taking it. 
I've noticed I've been having stomach upset and burping a lot more then normal. A friend suggested that it could be reflux related as she used to get bad shortness of breath with her flare-ups and certain medicines caused her reflux issues to go crazy, mess with her breathing and caused her to cough.
Does anything I'm describing sound like it could be GERD related? Should I ask my doctor about treatment for that instead of asthma? I'm not wanting to go to another doc appt until I have to. What a time to have breathing issues.</t>
        </is>
      </c>
      <c r="D6218" t="n">
        <v>2</v>
      </c>
      <c r="E6218" t="n">
        <v>17</v>
      </c>
      <c r="F6218">
        <f>HYPERLINK("https://www.reddit.com/r/GERD/comments/fvi7f5/maybe_i_have_gerdreflux_and_not_asthma_tightness/")</f>
        <v/>
      </c>
      <c r="G6218" t="inlineStr">
        <is>
          <t>2020-04-05 11:06:57</t>
        </is>
      </c>
      <c r="H6218" t="inlineStr"/>
    </row>
    <row r="6219">
      <c r="A6219" t="inlineStr">
        <is>
          <t>fvj9bt</t>
        </is>
      </c>
      <c r="B6219" t="inlineStr">
        <is>
          <t>Anyone here with GERD or LPR that is seriously damaging their throat?</t>
        </is>
      </c>
      <c r="C6219" t="inlineStr">
        <is>
          <t>Got what I thought was tonsillitis last March, after months of antibiotics and an eventual tonsillectomy here I am a year later with no improvement in my throat. All throat swabs were negative, indicating no bacteria. I also have stomach problems which started about 2 months after my throat problems - very swollen and definitely bad acid reflux at times. I was on 40 omesprazole but still had symptoms so I’m waiting for an endoscopy. Is it possible that I had silent reflux from the start that has been damaging my throat? Could acid reflux damage your throat that much to make it extremely red all the time? The only things which makes think it’s not is the fact that the omesprazole didn’t help and the way the sore throat came on suddenly and felt the exact same as tonsillitis - I had a fever and other symptoms also when it started. Any help would be appreciated.</t>
        </is>
      </c>
      <c r="D6219" t="n">
        <v>2</v>
      </c>
      <c r="E6219" t="n">
        <v>16</v>
      </c>
      <c r="F6219">
        <f>HYPERLINK("https://www.reddit.com/r/GERD/comments/fvj9bt/anyone_here_with_gerd_or_lpr_that_is_seriously/")</f>
        <v/>
      </c>
      <c r="G6219" t="inlineStr">
        <is>
          <t>2020-04-05 12:05:33</t>
        </is>
      </c>
      <c r="H6219" t="inlineStr"/>
    </row>
    <row r="6220">
      <c r="A6220" t="inlineStr">
        <is>
          <t>fvjj9o</t>
        </is>
      </c>
      <c r="B6220" t="inlineStr">
        <is>
          <t>Best meds for bedtime?</t>
        </is>
      </c>
      <c r="C6220" t="inlineStr">
        <is>
          <t>Currently taking Prilosec in the morning and it helps with my GERD all day. Once it's bedtime it's awful. I've tried sleeping as upright as I can handle, kefir, Tums, etc. Is there anything else to try so I can fall asleep without pain?</t>
        </is>
      </c>
      <c r="D6220" t="n">
        <v>1</v>
      </c>
      <c r="E6220" t="n">
        <v>3</v>
      </c>
      <c r="F6220">
        <f>HYPERLINK("https://www.reddit.com/r/GERD/comments/fvjj9o/best_meds_for_bedtime/")</f>
        <v/>
      </c>
      <c r="G6220" t="inlineStr">
        <is>
          <t>2020-04-05 12:21:19</t>
        </is>
      </c>
      <c r="H6220" t="inlineStr"/>
    </row>
    <row r="6221">
      <c r="A6221" t="inlineStr">
        <is>
          <t>fvka98</t>
        </is>
      </c>
      <c r="B6221" t="inlineStr">
        <is>
          <t>Decaf coffee better than regular coffee?</t>
        </is>
      </c>
      <c r="C6221" t="inlineStr">
        <is>
          <t>Has anybody actually found that decaf coffee doesn’t make their stomach and reflux feel as bad as regular coffee does? I usually drink it with sugar and cream. 
I’ve heard that caffeine increases stomach acid production, so I’ve recently switched to decaf but it’s sometimes hard to pinpoint whether it’s working.</t>
        </is>
      </c>
      <c r="D6221" t="n">
        <v>1</v>
      </c>
      <c r="E6221" t="n">
        <v>14</v>
      </c>
      <c r="F6221">
        <f>HYPERLINK("https://www.reddit.com/r/GERD/comments/fvka98/decaf_coffee_better_than_regular_coffee/")</f>
        <v/>
      </c>
      <c r="G6221" t="inlineStr">
        <is>
          <t>2020-04-05 13:04:10</t>
        </is>
      </c>
      <c r="H6221" t="inlineStr"/>
    </row>
    <row r="6222">
      <c r="A6222" t="inlineStr">
        <is>
          <t>fvmhjt</t>
        </is>
      </c>
      <c r="B6222" t="inlineStr">
        <is>
          <t>Chronic Cough</t>
        </is>
      </c>
      <c r="C6222" t="inlineStr">
        <is>
          <t>I am researching chronic cough to better understand its effects on patients’ lives. Have you had a cough for more than 8 weeks (“chronic cough”) that has persisted despite treatment for other conditions (e.g. asthma, COPD, GERD, lung cancer, etc.) or is unexplained (seemingly not resulting from any other condition)?</t>
        </is>
      </c>
      <c r="D6222" t="n">
        <v>1</v>
      </c>
      <c r="E6222" t="n">
        <v>14</v>
      </c>
      <c r="F6222">
        <f>HYPERLINK("https://www.reddit.com/r/GERD/comments/fvmhjt/chronic_cough/")</f>
        <v/>
      </c>
      <c r="G6222" t="inlineStr">
        <is>
          <t>2020-04-05 15:08:46</t>
        </is>
      </c>
      <c r="H6222" t="inlineStr"/>
    </row>
    <row r="6223">
      <c r="A6223" t="inlineStr">
        <is>
          <t>fvova2</t>
        </is>
      </c>
      <c r="B6223" t="inlineStr">
        <is>
          <t>Having a rough time with chest pain - feedback? Thanks.</t>
        </is>
      </c>
      <c r="C6223" t="inlineStr">
        <is>
          <t>Hi everyone, hope you are holding up all right in the current events. I am really struggling right now and wondering if anyone had useful feedback. Before the Covid ramped up, I went to the Dr to discuss Gerd/maybe lpr/chest pain. She started off by doing a chest X-ray, which was apparently normal. Thank goodness. Recently, what I had always percieved to be GERD or worsening heartburn has somehow changed into a general chest tightness/feeling of rawness or burning/as if I just went for a run in cold air and feel a burning sensation. In addition, it generally feels like I cannot breathe in all the way - no issue actually getting air in, but only comfortable when I breathe shallow through my nose - when I breathe deeper through mouth I feel the tightness of some obstruction. in the back of my chest. I take Omeprazole and some Pepcid.  Have also tried Gaviscon UK, didn’t seem to do much. This situation really got worse when I had a relapse on drinking 6 weeks  ago and drank heavily for a couple of days., also smoked cigarettes. (I have pretty much quit both in the last months.) Ever since the relapse it has just been worse, it is usually better in the morning and worse from around 2 pm to night time.  I have made attempts at elimination diets and will do so again this week with no caffeine. If you have experienced these symptoms and been diagnosed with anything like LPR or vocal chord dyfunction, would you let me know? Does this sound like something GERD related you have? I know anxiety is the worst thing to have about this, but I am really stuggling with feeling this way every day and knowing it might be at least another month before I do any more tests at the Dr. I just do not feel like myself, and am scared to work out or do anything cardiovascular because of shortness of breath. It’s kind of terrifying.</t>
        </is>
      </c>
      <c r="D6223" t="n">
        <v>2</v>
      </c>
      <c r="E6223" t="n">
        <v>20</v>
      </c>
      <c r="F6223">
        <f>HYPERLINK("https://www.reddit.com/r/GERD/comments/fvova2/having_a_rough_time_with_chest_pain_feedback/")</f>
        <v/>
      </c>
      <c r="G6223" t="inlineStr">
        <is>
          <t>2020-04-05 17:38:36</t>
        </is>
      </c>
      <c r="H6223" t="inlineStr"/>
    </row>
    <row r="6224">
      <c r="A6224" t="inlineStr">
        <is>
          <t>fvpqlg</t>
        </is>
      </c>
      <c r="B6224" t="inlineStr">
        <is>
          <t>Nexium and long term use</t>
        </is>
      </c>
      <c r="C6224" t="inlineStr">
        <is>
          <t>I’ve never taken nexium, I have a PPI prescribed I’ve taken once a day for quite some time now. I have heard several people tout nexium as their magical cure. Though the bottle says not to take longer than 14 days. Those who take it successfully, what does your regimen look like?</t>
        </is>
      </c>
      <c r="D6224" t="n">
        <v>1</v>
      </c>
      <c r="E6224" t="n">
        <v>4</v>
      </c>
      <c r="F6224">
        <f>HYPERLINK("https://www.reddit.com/r/GERD/comments/fvpqlg/nexium_and_long_term_use/")</f>
        <v/>
      </c>
      <c r="G6224" t="inlineStr">
        <is>
          <t>2020-04-05 18:37:18</t>
        </is>
      </c>
      <c r="H6224" t="inlineStr"/>
    </row>
    <row r="6225">
      <c r="A6225" t="inlineStr">
        <is>
          <t>fvptwq</t>
        </is>
      </c>
      <c r="B6225" t="inlineStr">
        <is>
          <t>Raising your bed?</t>
        </is>
      </c>
      <c r="C6225" t="inlineStr">
        <is>
          <t>Hi guys. I’ve been trying to raise my mattress so it’s at an incline for my heartburn, but I wake up with a twisted neck in the morning. Just wondering how you guys are raising your beds? Is it by putting something under your mattress or under the foot of your bed?</t>
        </is>
      </c>
      <c r="D6225" t="n">
        <v>1</v>
      </c>
      <c r="E6225" t="n">
        <v>12</v>
      </c>
      <c r="F6225">
        <f>HYPERLINK("https://www.reddit.com/r/GERD/comments/fvptwq/raising_your_bed/")</f>
        <v/>
      </c>
      <c r="G6225" t="inlineStr">
        <is>
          <t>2020-04-05 18:43:18</t>
        </is>
      </c>
      <c r="H6225" t="inlineStr"/>
    </row>
    <row r="6226">
      <c r="A6226" t="inlineStr">
        <is>
          <t>fvpvdq</t>
        </is>
      </c>
      <c r="B6226" t="inlineStr">
        <is>
          <t>does excercise really help?</t>
        </is>
      </c>
      <c r="C6226" t="inlineStr">
        <is>
          <t>does exercise really help to solve or make GERD Better.
 My family has been insisting a lot to start walking as it will help things to get bettter</t>
        </is>
      </c>
      <c r="D6226" t="n">
        <v>1</v>
      </c>
      <c r="E6226" t="n">
        <v>6</v>
      </c>
      <c r="F6226">
        <f>HYPERLINK("https://www.reddit.com/r/GERD/comments/fvpvdq/does_excercise_really_help/")</f>
        <v/>
      </c>
      <c r="G6226" t="inlineStr">
        <is>
          <t>2020-04-05 18:46:03</t>
        </is>
      </c>
      <c r="H6226" t="inlineStr"/>
    </row>
    <row r="6227">
      <c r="A6227" t="inlineStr">
        <is>
          <t>fvpw16</t>
        </is>
      </c>
      <c r="B6227" t="inlineStr">
        <is>
          <t>a few best food for gerd</t>
        </is>
      </c>
      <c r="C6227" t="inlineStr">
        <is>
          <t>Yogurt
Cold MIlk\[ i am not sure\]
Lime
Could you please add to the list what make are bettter food and what make u feel better</t>
        </is>
      </c>
      <c r="D6227" t="n">
        <v>1</v>
      </c>
      <c r="E6227" t="n">
        <v>18</v>
      </c>
      <c r="F6227">
        <f>HYPERLINK("https://www.reddit.com/r/GERD/comments/fvpw16/a_few_best_food_for_gerd/")</f>
        <v/>
      </c>
      <c r="G6227" t="inlineStr">
        <is>
          <t>2020-04-05 18:47:19</t>
        </is>
      </c>
      <c r="H6227" t="inlineStr"/>
    </row>
    <row r="6228">
      <c r="A6228" t="inlineStr">
        <is>
          <t>fvqpw8</t>
        </is>
      </c>
      <c r="B6228" t="inlineStr">
        <is>
          <t>Antacid taste</t>
        </is>
      </c>
      <c r="C6228" t="inlineStr">
        <is>
          <t>So I took some otc antacids to see if they would help and now I seem to have a sour/ bitter taste in my mouth. Idk of that happened due to the antacid or acid reflux. Any ideas?</t>
        </is>
      </c>
      <c r="D6228" t="n">
        <v>1</v>
      </c>
      <c r="E6228" t="n">
        <v>3</v>
      </c>
      <c r="F6228">
        <f>HYPERLINK("https://www.reddit.com/r/GERD/comments/fvqpw8/antacid_taste/")</f>
        <v/>
      </c>
      <c r="G6228" t="inlineStr">
        <is>
          <t>2020-04-05 19:44:29</t>
        </is>
      </c>
      <c r="H6228" t="inlineStr"/>
    </row>
    <row r="6229">
      <c r="A6229" t="inlineStr">
        <is>
          <t>fvt3f6</t>
        </is>
      </c>
      <c r="B6229" t="inlineStr">
        <is>
          <t>What foods are safe for gastritis/GERD?</t>
        </is>
      </c>
      <c r="C6229" t="inlineStr">
        <is>
          <t>I’ve been having horrible flare ups recently. Can’t take PPIs cuz they damaged my kidneys. Pepcid doesn’t really work and I cant take Zantac cuz ain’t nobody tryna get cancer lol.
What foods can help reduce flare ups?
I eat whole grain oats (instead of the fast insta oats) but those don’t seem to help much (perhaps I eat too much cuz I always feel a little nauseous after eating them)
What’s better - whole grains (whole wheat pasta, brown rice, etc) or regular pasta/white rice? I also have gluten free pasta, is that good? 
(Won’t be using tomato sauce of course)
Can anyone suggest a lot of foods/meals that help with gastritis/GERD?</t>
        </is>
      </c>
      <c r="D6229" t="n">
        <v>1</v>
      </c>
      <c r="E6229" t="n">
        <v>3</v>
      </c>
      <c r="F6229">
        <f>HYPERLINK("https://www.reddit.com/r/GERD/comments/fvt3f6/what_foods_are_safe_for_gastritisgerd/")</f>
        <v/>
      </c>
      <c r="G6229" t="inlineStr">
        <is>
          <t>2020-04-05 22:45:23</t>
        </is>
      </c>
      <c r="H6229" t="inlineStr"/>
    </row>
    <row r="6230">
      <c r="A6230" t="inlineStr">
        <is>
          <t>fvt6q3</t>
        </is>
      </c>
      <c r="B6230" t="inlineStr">
        <is>
          <t>Anyone have both allergies and GERD?</t>
        </is>
      </c>
      <c r="C6230" t="inlineStr">
        <is>
          <t>I was diagnosed recently with GERD and I definitely think I have it. I cut out everything “bad” from my diet and am following the GERD protocol. I’m 80% better I’d say. I can eat food again without constant throat tightness, burning, chest noises, lump in the throat, etc. Much improved. All of my symptoms were LPR, no heartburn of typical GERD. I’ve been working with a GI doctor and taking protonix 40 mg a day to get to this point. My endoscopy showed mild gastritis, no esophagus damage, nothing came back positive with the biopsies and symptoms overall seemed to be resolving, so I think I’m doing well.
Now, I asked if this is GERD or not of my doctor and he was a little wishy washy on it. I’ve had continued symptoms of excessive post nasal drip/throat congestion, on/off sore throat, on/of nasal congestion at night particularly, dry eyes, ear crackling, sometimes itchy throat. He said it sounded more allergies. I’ve always suffered from some extreme food allergies and as a child, I had seasonal allergies, but that seemed to reduce as I got older. If this is allergies, it’s unlike anything I’ve had before. I’m having really bad shortness of breath with it lately that feels like it’s getting worse. Sometimes I literally feel like I can’t get a deep breath in and I end up having to stop what I’m doing to focus on breathing. It feels like I’m breathing through mucus where it sounds/feels hoarse. The shortness of breath has nearly made me feel like I wasn’t going to make it a few times although I’ve been able to get it under control eventually. Mucinex helps and I’ve been on an antihistamine the last month which has helped a little and gotten rid of some symptoms like itchy throat, ear crackling. However, I still can’t seem to shake this awful mucus buildup in my throat and the shortness of breath. 
Severe allergies run in my family. Allergy induced asthma is very common in my family too. GERD does not/has not. My PCP seemed adamant that she didn’t think allergies were the issue and it was all GERD. My GI doctor said it could be vocal cord dysfunction but he didn’t think it was likely at this point and I should pursue treating the allergies. 
Does anyone have experience with both or how to tell the difference with these symptoms? I’m concerned if I did have allergy induced asthma that I may need an inhaler but my PCP isn’t even entertaining the idea.</t>
        </is>
      </c>
      <c r="D6230" t="n">
        <v>1</v>
      </c>
      <c r="E6230" t="n">
        <v>23</v>
      </c>
      <c r="F6230">
        <f>HYPERLINK("https://www.reddit.com/r/GERD/comments/fvt6q3/anyone_have_both_allergies_and_gerd/")</f>
        <v/>
      </c>
      <c r="G6230" t="inlineStr">
        <is>
          <t>2020-04-05 22:53:09</t>
        </is>
      </c>
      <c r="H6230" t="inlineStr"/>
    </row>
    <row r="6231">
      <c r="A6231" t="inlineStr">
        <is>
          <t>fvtd53</t>
        </is>
      </c>
      <c r="B6231" t="inlineStr">
        <is>
          <t>D-limonene, my opinion. BEWARE!</t>
        </is>
      </c>
      <c r="C6231" t="inlineStr">
        <is>
          <t>So I’ve been reading about different soultions to GERD and LPR. One of the suggested “holy grails” was d-limonene and the fact that on amazon it costs less than $10 for 120, I decided to give it a try. So far I have not seen a single bad review here, if anything I saw people say that it didn’t work for them.
As for me, im pretty sure that it not only did not help my LPR, but it also gave me actual hearburn. I would feel hungry and full at the same time after taking it. I was burping constantly (when before, burping was not really a symptom of mine and if it was, it wasn’t as severe), I never had a sore throat due to LPR and taking this gave me a sore throat. Idk. It seems like altogether d limonene wasn’t good for me. I tried finding anything on google regarding d- limonene making gerd/lpr issues worse but couldn’t find any. Ended up going on amazon and read the negative reviews there, and while some people complained that it didn’t do anything for them, others said that it made their problems worse.
I only took it for two days (1 pill of 500mg during breakfast and dinner - so 2 pills a day) and I don’t think I will be giving it another chance. 
I took last pill around 7pm when I was eating dinner, and I still feel like i have tons of gas trapped in my chest and the burps just can’t escape. 
Has anyone had a bad experience with d-limonene?</t>
        </is>
      </c>
      <c r="D6231" t="n">
        <v>1</v>
      </c>
      <c r="E6231" t="n">
        <v>1</v>
      </c>
      <c r="F6231">
        <f>HYPERLINK("https://www.reddit.com/r/GERD/comments/fvtd53/dlimonene_my_opinion_beware/")</f>
        <v/>
      </c>
      <c r="G6231" t="inlineStr">
        <is>
          <t>2020-04-05 23:07:39</t>
        </is>
      </c>
      <c r="H6231" t="inlineStr"/>
    </row>
    <row r="6232">
      <c r="A6232" t="inlineStr">
        <is>
          <t>fvvymv</t>
        </is>
      </c>
      <c r="B6232" t="inlineStr">
        <is>
          <t>Is it ok to take mylanta to curb pantoprazole withdrawal effects?</t>
        </is>
      </c>
      <c r="C6232" t="inlineStr">
        <is>
          <t>Its been 2 months since i stopped taking pantoprazole twice a day for 1 and a half months, is it ok to take mylanta to curb the withdrawal effects or will it make it take longer for the effects to naturally go away once i take something to curb them</t>
        </is>
      </c>
      <c r="D6232" t="n">
        <v>1</v>
      </c>
      <c r="E6232" t="n">
        <v>8</v>
      </c>
      <c r="F6232">
        <f>HYPERLINK("https://www.reddit.com/r/GERD/comments/fvvymv/is_it_ok_to_take_mylanta_to_curb_pantoprazole/")</f>
        <v/>
      </c>
      <c r="G6232" t="inlineStr">
        <is>
          <t>2020-04-06 02:52:21</t>
        </is>
      </c>
      <c r="H6232" t="inlineStr"/>
    </row>
    <row r="6233">
      <c r="A6233" t="inlineStr">
        <is>
          <t>fvypko</t>
        </is>
      </c>
      <c r="B6233" t="inlineStr">
        <is>
          <t>Sleeping on left side helps a lot! But I still have crazy stomach burning that becomes very uncomfortable</t>
        </is>
      </c>
      <c r="C6233" t="inlineStr">
        <is>
          <t>It's still very uncomfortable around my abdomen, like its on fire but laying on left side keeps the acid from entering so much in my esophagus. Any advice on this abdomen burning?</t>
        </is>
      </c>
      <c r="D6233" t="n">
        <v>1</v>
      </c>
      <c r="E6233" t="n">
        <v>4</v>
      </c>
      <c r="F6233">
        <f>HYPERLINK("https://www.reddit.com/r/GERD/comments/fvypko/sleeping_on_left_side_helps_a_lot_but_i_still/")</f>
        <v/>
      </c>
      <c r="G6233" t="inlineStr">
        <is>
          <t>2020-04-06 06:26:12</t>
        </is>
      </c>
      <c r="H6233" t="inlineStr"/>
    </row>
    <row r="6234">
      <c r="A6234" t="inlineStr">
        <is>
          <t>fw08tq</t>
        </is>
      </c>
      <c r="B6234" t="inlineStr">
        <is>
          <t>Oshi Health is looking for advisory board members with chronic GI conditions!</t>
        </is>
      </c>
      <c r="C6234" t="inlineStr">
        <is>
          <t>Happy Monday [r/GERD](https://www.reddit.com/r/GERD/)!
[Oshi Health](https://www.oshihealth.com/)'s UX Team is currently looking for US-based people with GERD as well as other GI chronic diseases to join the second chapter of our Patient Advisory Board.
Respondents who qualify will participate in **paid** focus groups and usability tests on a biweekly basis.
If you are interested in helping us, please fill out the following form:
[Interview Screener](https://www.surveymonkey.com/r/7LG27WL)
We'd really appreciate your input! We hope to hear from you soon!
Thank you so much for your help,
UX Team at Oshi Health</t>
        </is>
      </c>
      <c r="D6234" t="n">
        <v>1</v>
      </c>
      <c r="E6234" t="n">
        <v>2</v>
      </c>
      <c r="F6234">
        <f>HYPERLINK("https://www.reddit.com/r/GERD/comments/fw08tq/oshi_health_is_looking_for_advisory_board_members/")</f>
        <v/>
      </c>
      <c r="G6234" t="inlineStr">
        <is>
          <t>2020-04-06 08:01:52</t>
        </is>
      </c>
      <c r="H6234" t="inlineStr"/>
    </row>
    <row r="6235">
      <c r="A6235" t="inlineStr">
        <is>
          <t>fw0w15</t>
        </is>
      </c>
      <c r="B6235" t="inlineStr">
        <is>
          <t>Probiotics and keto are what work for me</t>
        </is>
      </c>
      <c r="C6235" t="inlineStr">
        <is>
          <t>Culturelle probiotics help me big time.  Keto because less carbs and bloat.
I suggest to at least try probiotics.  I recommend Culturelle because they are ranked high on labdoor and sold in most stores.</t>
        </is>
      </c>
      <c r="D6235" t="n">
        <v>1</v>
      </c>
      <c r="E6235" t="n">
        <v>11</v>
      </c>
      <c r="F6235">
        <f>HYPERLINK("https://www.reddit.com/r/GERD/comments/fw0w15/probiotics_and_keto_are_what_work_for_me/")</f>
        <v/>
      </c>
      <c r="G6235" t="inlineStr">
        <is>
          <t>2020-04-06 08:38:21</t>
        </is>
      </c>
      <c r="H6235" t="inlineStr"/>
    </row>
    <row r="6236">
      <c r="A6236" t="inlineStr">
        <is>
          <t>fw3cx2</t>
        </is>
      </c>
      <c r="B6236" t="inlineStr">
        <is>
          <t>Does this sound like acid reflux/GERD?</t>
        </is>
      </c>
      <c r="C6236" t="inlineStr">
        <is>
          <t>Three days ago (April 3rd) I started having tightness/pain in my chest and trouble breathing. I woke up in the middle of the night to it which (I think) triggered an acute panic attack (I'd never had one before). I'd only slept an hour or two when I woke up to it and it took almost five hours for me to calm down and get back to sleep. Since then I've had shortness of breath, some chest pain, some congestion in my throat, and a bit of nausea.
Obviously I was worried that it might be COVID, but I've been at home and not working since mid-afternoon on March 20th. I also have zero fever in the three days since this happened. So I think I'm safe from that. But I did have a peanut butter sandwich right before I went to bed the night of April 2nd and I've had heartburn/digestive issues in the past.
So since then I've been researching symptoms (which have been worse/better depending on the day) and I finally came to the conclusion that it might be GERD/acid reflux.
What do you all think?
The last few days I've been trying to change my diet to see if it would help things and I think it has? April 3rd and 4th I ONLY had a bowl of soup around lunchtime. April 4th I also ate a small dinner of orzo.
On April 4th in the afternoon I was feeling SO MUCH BETTER. Almost no trouble breathing, no nebulous chest pain/uneasiness that I couldn't identify, and just generally feeling better. I fell asleep so easy as well.
April 5th, yesterday, I woke up feeling bad again and some shortness of breath. I had oatmeal and a biscuit for breakfast, some leftover orzo and a small piece of poundcakes for lunch, a toasted ham sandwich for dinner with some ice cream for dessert.  I ate dinner around 715ish and didn't eat anything else before going to bed. These last few days I'd also been drinking  A LOT of water and no other beverages. But last night, April 5th, I had so much trouble getting to bed again. More trouble breathing, which spiraled into more anxiety.  But I took a 15 minute hot shower and put vicks vapor rub all over my chest and I was able to get to sleep around midnight and slept until 7am.
That brings us to day. I'm feel better than yesterday but not nearly as good as I did on the 4th. Still mildly short of breath at times and a very vague chest pain at moments. The only thing I've had today so far is water and oatmeal. It's almost 1pm here and I ate my oatmeal at 10am.
Should I maybe just have some broth or something when I get hungry later to see if my symptoms get better when I'm eating *only* things that are good on my digestion/stomach?
Also I have been burping a LOT this whole time. Even when just drinking water.
Sorry my thoughts are so scattered.
What do you all think? Could it be GERD/acid reflux? I'm absolutely in need of some guidance here.</t>
        </is>
      </c>
      <c r="D6236" t="n">
        <v>2</v>
      </c>
      <c r="E6236" t="n">
        <v>11</v>
      </c>
      <c r="F6236">
        <f>HYPERLINK("https://www.reddit.com/r/GERD/comments/fw3cx2/does_this_sound_like_acid_refluxgerd/")</f>
        <v/>
      </c>
      <c r="G6236" t="inlineStr">
        <is>
          <t>2020-04-06 10:50:26</t>
        </is>
      </c>
      <c r="H6236" t="inlineStr"/>
    </row>
    <row r="6237">
      <c r="A6237" t="inlineStr">
        <is>
          <t>fw4t5b</t>
        </is>
      </c>
      <c r="B6237" t="inlineStr">
        <is>
          <t>Do you have Chronic Cough and can tell me about your experience?</t>
        </is>
      </c>
      <c r="C6237" t="inlineStr">
        <is>
          <t>I am researching chronic cough to better understand its effects on patients’ lives. Have you had a cough for more than 8 weeks (“chronic cough”) that has persisted despite treatment for other conditions (e.g. asthma, COPD, GERD, lung cancer, etc.) or is unexplained (seemingly not resulting from any other condition)? **If so, I'd love to hear your input** in a brief survey (5 minutes max), and it is entirely anonymous (I do not ask for your name, email, number, etc.). Thank you so much for considering! ***Survey:*** [https://upenn.co1.qualtrics.com/jfe/form/SV\_0HZAjTH2q2XfsoJ](https://upenn.co1.qualtrics.com/jfe/form/SV_0HZAjTH2q2XfsoJ)</t>
        </is>
      </c>
      <c r="D6237" t="n">
        <v>1</v>
      </c>
      <c r="E6237" t="n">
        <v>2</v>
      </c>
      <c r="F6237">
        <f>HYPERLINK("https://www.reddit.com/r/GERD/comments/fw4t5b/do_you_have_chronic_cough_and_can_tell_me_about/")</f>
        <v/>
      </c>
      <c r="G6237" t="inlineStr">
        <is>
          <t>2020-04-06 12:08:04</t>
        </is>
      </c>
      <c r="H6237" t="inlineStr"/>
    </row>
    <row r="6238">
      <c r="A6238" t="inlineStr">
        <is>
          <t>fw7chi</t>
        </is>
      </c>
      <c r="B6238" t="inlineStr">
        <is>
          <t>Waking up symptoms</t>
        </is>
      </c>
      <c r="C6238" t="inlineStr">
        <is>
          <t>Hi all, I’ve read vaguely what appears to be symptoms similar to this, but has anyone with GERD woke up with a pulsating feeling in their head/nose/chest area. It’s very odd I seem to be able to get 6-7 hours sleep roughly a night but I can never get past around 7:00am without this sensation starting which then becomes difficult to shake. Quite confident it’s not sleep apnea and have sort of come to the conclusion it may be acid related.</t>
        </is>
      </c>
      <c r="D6238" t="n">
        <v>3</v>
      </c>
      <c r="E6238" t="n">
        <v>0</v>
      </c>
      <c r="F6238">
        <f>HYPERLINK("https://www.reddit.com/r/GERD/comments/fw7chi/waking_up_symptoms/")</f>
        <v/>
      </c>
      <c r="G6238" t="inlineStr">
        <is>
          <t>2020-04-06 14:23:31</t>
        </is>
      </c>
      <c r="H6238" t="inlineStr"/>
    </row>
    <row r="6239">
      <c r="A6239" t="inlineStr">
        <is>
          <t>fw7e3u</t>
        </is>
      </c>
      <c r="B6239" t="inlineStr">
        <is>
          <t>Beer causing this?</t>
        </is>
      </c>
      <c r="C6239" t="inlineStr">
        <is>
          <t>HI!
I have had a lot of heartburn since I was a child. I'm 31 now and recently I've had some discomfort right underneath my adam's apple. It's like I'm perpetually swallowing sort of. It's not painful. I recently moved to a city that supposedly has really good beer. I've been trying some here and there. But yesterday I tried to drink some beer and I could barely get it down. It just caused this extreme pressure in my throat. I've been taking omeprazole for a long time, maybe 9 years, but I've only ever had to take it once every couple of days to relieve my symptoms of heartburn. I don't have any problems swallowing, or keeping down anything else, but the alcohol really made this flare-up for the first time. I had alcohol about a month ago and it didn't do this to me. I also stopped drinking soda 9 months ago which I thought was making my symptoms better. This is different though.  I want to go to the doctor as soon as possible since I now have insurance for the first time, thank God. How worried should I be?</t>
        </is>
      </c>
      <c r="D6239" t="n">
        <v>2</v>
      </c>
      <c r="E6239" t="n">
        <v>2</v>
      </c>
      <c r="F6239">
        <f>HYPERLINK("https://www.reddit.com/r/GERD/comments/fw7e3u/beer_causing_this/")</f>
        <v/>
      </c>
      <c r="G6239" t="inlineStr">
        <is>
          <t>2020-04-06 14:26:09</t>
        </is>
      </c>
      <c r="H6239" t="inlineStr"/>
    </row>
    <row r="6240">
      <c r="A6240" t="inlineStr">
        <is>
          <t>fw89t8</t>
        </is>
      </c>
      <c r="B6240" t="inlineStr">
        <is>
          <t>I finally found out the ROOT CAUSE behind my acid reflux journey.</t>
        </is>
      </c>
      <c r="C6240" t="inlineStr">
        <is>
          <t>I’ll try to make this post short, sweet and to the point. I hope this can help others while you read my journey and what I have done and my current protocol. 
Background: female, 4’11, Caucasian, 23. I’m petite so before all this mess I was 95 pounds but currently suffering and lost 12 pounds because of this mess. I’ve been dealing with stomach issues non stop since 2019. However with my history, I always was on Keflex due to uti’s. Sometimes once a month. Sometimes 6 times a year. I was always on the stuff. I would be on antibiotics on and off since I was a toddler because of recurring uti’s all based on my anatomy.
Fast forward:  My main everyday symptom are chronic burping, bloating and reflux. I was never a burper. I can drink a soda pop and not burp so going from not burping AT ALL to burping first thing in the morning as soon as I wake up was annoying. I drink water, burp. I’m burping while I’m eating and after I’m done eating. It’s very nauseating. Plus I was getting bloated and I never bloat up. The burping progresses as the day goes on and by night time I would experience acid coming up my throat, choking spells, nausea. It just was so bad that food wasn’t enjoyable which sucked because i used to enjoy cooking and eating my dishes however if I do that, I eat half of it and have to get up to let the acid “go back down” and also to let the burping calm down. 
Other symptoms that I can think of:
Major brain fog, hair loss, couldn’t put on weight for the life of me, I developed cracked corners on my mouth, constipation, I would wake up in the middle of the night choking on acid, bubble guts, mucus in stool is a big one, yeast infections.
Diet: Candy/donut/cake addict over here. Which is crazy because I can’t gain for crap so it blows my mind. I eat LOTS of sugar/ have a carb based diet. I would go back and forth between a heavy carb diet to a high protein diet and then go back to a carb/sugar diet.  
I was constantly going to the docs all through out 2019. I finally got referred to a gastro doc in March of 2020 -_- 
Primary doc was so stupid. I would tell him my symptoms and my assumptions. I thought maybe I have candida, sibo, maybe a parasite but he would just go on saying “there is no such thing as candida overgrowth. You can only get yeast in your vagina” 
He would go on saying my lab work looks fine and sends me off with a diagnosis of acid reflux and prescribes me with acid blockers. After I kept coming back with no improvement he finally started to test my poop for h pylori, crohns, celiac, pinworms. ALL NEGATIVE. Still says everything is fine YOUR HEALTHY. Which BLOWS MY MIND because I lost 12 pounds and I’m under weight. How is that heathy? Whatever. 
I took it into my own hands and decided I was gonna pay the money for one of those stool analysis test. I came across Viome. They test for candida, bacteria, viruses, parasites. It also gives you a list of foods to eat and what not to eat such as food sensitivities. You follow a strict meal plan they give you for 90 days based on your gut bacteria and what issues you have.
My results:
1) Candida albicans= Yeast 
2) Emtamoeba= Parasite 
3) Methanobrevibacter smithii= Archaeon
I have some viruses too but it’s from plants that I’ve eaten because of bad crops. Most likely lots of people have it too but don’t know it. 
My test explains that I have fermentation in my gut. Mainly protein fermentation and I have high levels of Methane. Which make me thinks of SIBO. It explained because I have food fermentation, my food isn’t digesting causing gas/weight loss. 
So there you go. There is always a root cause to your symptoms. I always thought I had acid reflux because dumb ass docs told me I did but antiacids never worked. Here’s a big fat middle finger to my doctor for not believing in me regarding my symptoms and how he told me “there is no such thing as candida overgrowth” I most likely have been dealing with candida for years now due to antibiotics which makes me think it lead to poor gut function and that left me with acid reflux, parasites and excessive amounts of methane bacteria. A domino effect. 
Currently because of this Corona virus epidemic I cannot go see my gastro doc to see what protocols he wants me to do or if he wants me to take medication. I’m gonna follow my 90 food plan that Viome gave me which is basically a candida diet. The test results also told me to take digestive enzymes to digest my protein and to take antibacterial herbs. I’m gonna start taking grapefruit seed extract which is anti fungal and bacterial. I’m also thinking about taking oregano oil. If those natural antibacterials dont cutt it then I’ll try Berberine for the Methane. Any suggestions are greatly appreciated to kill bad guys. 
Overall, the last thing I want to say is if you are suffering and nothing is helping and it seems like you are going in circles, you are not alone. It’s stressful and exhausting to the body. I’m so sick and tired of docs and or family members saying “it’s just anxiety” when in reality there is actually somthing physically wrong but dumb ass docs want your money for more test and they pop you with meds to put a bandage over your suffering which it doesn’t actually fix the issue and that’s why there is always a root cause to stuff like this. Keep fighting. Find an answer and heal it. You know your body best.</t>
        </is>
      </c>
      <c r="D6240" t="n">
        <v>1</v>
      </c>
      <c r="E6240" t="n">
        <v>56</v>
      </c>
      <c r="F6240">
        <f>HYPERLINK("https://www.reddit.com/r/GERD/comments/fw89t8/i_finally_found_out_the_root_cause_behind_my_acid/")</f>
        <v/>
      </c>
      <c r="G6240" t="inlineStr">
        <is>
          <t>2020-04-06 15:16:56</t>
        </is>
      </c>
      <c r="H6240" t="inlineStr"/>
    </row>
    <row r="6241">
      <c r="A6241" t="inlineStr">
        <is>
          <t>fw8elg</t>
        </is>
      </c>
      <c r="B6241" t="inlineStr">
        <is>
          <t>Bad breath</t>
        </is>
      </c>
      <c r="C6241" t="inlineStr">
        <is>
          <t>I am 27 years old. Since I remember I have always get comments about horrible breath. Like some weird smelling breath. My teeth are not dirty and I have no damage in my teeths. 
Have you experienced weird bad breath problems? 
I am thinking this is connected to Gerd and is just open way to my stomach that I am breathing.</t>
        </is>
      </c>
      <c r="D6241" t="n">
        <v>1</v>
      </c>
      <c r="E6241" t="n">
        <v>5</v>
      </c>
      <c r="F6241">
        <f>HYPERLINK("https://www.reddit.com/r/GERD/comments/fw8elg/bad_breath/")</f>
        <v/>
      </c>
      <c r="G6241" t="inlineStr">
        <is>
          <t>2020-04-06 15:24:02</t>
        </is>
      </c>
      <c r="H6241" t="inlineStr"/>
    </row>
    <row r="6242">
      <c r="A6242" t="inlineStr">
        <is>
          <t>fwau7t</t>
        </is>
      </c>
      <c r="B6242" t="inlineStr">
        <is>
          <t>I have acid reflux but I'm in a bit of a situation</t>
        </is>
      </c>
      <c r="C6242" t="inlineStr">
        <is>
          <t>I haven't really eaten anything today and the only thing I have to eat is a pizza but it messes with my symptoms like crazy should I eat it or do I just skip that?</t>
        </is>
      </c>
      <c r="D6242" t="n">
        <v>1</v>
      </c>
      <c r="E6242" t="n">
        <v>12</v>
      </c>
      <c r="F6242">
        <f>HYPERLINK("https://www.reddit.com/r/GERD/comments/fwau7t/i_have_acid_reflux_but_im_in_a_bit_of_a_situation/")</f>
        <v/>
      </c>
      <c r="G6242" t="inlineStr">
        <is>
          <t>2020-04-06 17:53:03</t>
        </is>
      </c>
      <c r="H6242" t="inlineStr"/>
    </row>
    <row r="6243">
      <c r="A6243" t="inlineStr">
        <is>
          <t>fwb205</t>
        </is>
      </c>
      <c r="B6243" t="inlineStr">
        <is>
          <t>Whyyy</t>
        </is>
      </c>
      <c r="C6243" t="inlineStr">
        <is>
          <t>With indigestion why’s it burn to breath in cold air? And then I baby barf</t>
        </is>
      </c>
      <c r="D6243" t="n">
        <v>1</v>
      </c>
      <c r="E6243" t="n">
        <v>0</v>
      </c>
      <c r="F6243">
        <f>HYPERLINK("https://www.reddit.com/r/GERD/comments/fwb205/whyyy/")</f>
        <v/>
      </c>
      <c r="G6243" t="inlineStr">
        <is>
          <t>2020-04-06 18:07:34</t>
        </is>
      </c>
      <c r="H6243" t="inlineStr"/>
    </row>
    <row r="6244">
      <c r="A6244" t="inlineStr">
        <is>
          <t>fwbxb0</t>
        </is>
      </c>
      <c r="B6244" t="inlineStr">
        <is>
          <t>Fundoplication surgery?</t>
        </is>
      </c>
      <c r="C6244" t="inlineStr">
        <is>
          <t>Has anyone here gotten Nissen Fundoplication surgery? Or Transoral Incisionless Fundoplication (TIF)? 
I'm particularly interested in TIF since it seems to have less post-surgery complications such as blating.
I'm considering a surgery once the COVID19 situation is gone. Would anyone be kind enough to share their experience and share something like:
Whether they'd recommend it for people with mild to moderate symptoms? For LPR and GERD?
How much did insurance cover for the surgery? 
Do you have to get gastroenterologists recommendation to be deferred to the surgeons or can you just get the surgery with mild symptoms anyway? 
And of course, sharing your post surgery symptoms would be great.</t>
        </is>
      </c>
      <c r="D6244" t="n">
        <v>1</v>
      </c>
      <c r="E6244" t="n">
        <v>17</v>
      </c>
      <c r="F6244">
        <f>HYPERLINK("https://www.reddit.com/r/GERD/comments/fwbxb0/fundoplication_surgery/")</f>
        <v/>
      </c>
      <c r="G6244" t="inlineStr">
        <is>
          <t>2020-04-06 19:04:18</t>
        </is>
      </c>
      <c r="H6244" t="inlineStr"/>
    </row>
    <row r="6245">
      <c r="A6245" t="inlineStr">
        <is>
          <t>fwc8fp</t>
        </is>
      </c>
      <c r="B6245" t="inlineStr">
        <is>
          <t>[META] New Rule: No diagnostic posts</t>
        </is>
      </c>
      <c r="C6245" t="inlineStr">
        <is>
          <t>After discussing it at some length, the mod team has decided to create a new rule for this subreddit **restricting posts that are purely of a diagnostic nature**.  
Here is an example of such a post that would be removed under the new rule: 
[https://www.reddit.com/r/GERD/comments/fuxyqq/do\_i\_have\_gerd/](https://www.reddit.com/r/GERD/comments/fuxyqq/do_i_have_gerd/) 
&amp;amp;#x200B;
The following will be the automatically generated post if this removal reason is given by a moderator:
&amp;gt;Your submission has been removed.    
&amp;gt;  
&amp;gt;The purpose of this subreddit is to provide a place for discussion and support those who have GERD or constant acid reflux. We are unwilling and unable to provide diagnostic support. Please contact a medical professional for diagnostic purposes. 
&amp;amp;#x200B;
Please provide any feedback you might have on the rule change or the above generated post text.</t>
        </is>
      </c>
      <c r="D6245" t="n">
        <v>1</v>
      </c>
      <c r="E6245" t="n">
        <v>25</v>
      </c>
      <c r="F6245">
        <f>HYPERLINK("https://www.reddit.com/r/GERD/comments/fwc8fp/meta_new_rule_no_diagnostic_posts/")</f>
        <v/>
      </c>
      <c r="G6245" t="inlineStr">
        <is>
          <t>2020-04-06 19:25:01</t>
        </is>
      </c>
      <c r="H6245" t="inlineStr"/>
    </row>
    <row r="6246">
      <c r="A6246" t="inlineStr">
        <is>
          <t>fweunm</t>
        </is>
      </c>
      <c r="B6246" t="inlineStr">
        <is>
          <t>Dry Throat and Crackling/Bubbling Sound from Throat</t>
        </is>
      </c>
      <c r="C6246" t="inlineStr">
        <is>
          <t>I was diagnosed with GERD last year and I went on medication (PPI) for a month. Something that continues to happen to me is a dry throat.  It always feels dry,  especially at night and morning. I also tend to hear this soft crackling/bubbling sound from my throat when I lie down.
Do you experience this too and what do you do feel better?</t>
        </is>
      </c>
      <c r="D6246" t="n">
        <v>1</v>
      </c>
      <c r="E6246" t="n">
        <v>3</v>
      </c>
      <c r="F6246">
        <f>HYPERLINK("https://www.reddit.com/r/GERD/comments/fweunm/dry_throat_and_cracklingbubbling_sound_from_throat/")</f>
        <v/>
      </c>
      <c r="G6246" t="inlineStr">
        <is>
          <t>2020-04-06 22:34:27</t>
        </is>
      </c>
      <c r="H6246" t="inlineStr"/>
    </row>
    <row r="6247">
      <c r="A6247" t="inlineStr">
        <is>
          <t>fwfcxs</t>
        </is>
      </c>
      <c r="B6247" t="inlineStr">
        <is>
          <t>Milk</t>
        </is>
      </c>
      <c r="C6247" t="inlineStr">
        <is>
          <t>Is milk good for GERD ? I am asking because I usually eat cereal and I was wondering if it could be the reason I get flare ups.</t>
        </is>
      </c>
      <c r="D6247" t="n">
        <v>1</v>
      </c>
      <c r="E6247" t="n">
        <v>5</v>
      </c>
      <c r="F6247">
        <f>HYPERLINK("https://www.reddit.com/r/GERD/comments/fwfcxs/milk/")</f>
        <v/>
      </c>
      <c r="G6247" t="inlineStr">
        <is>
          <t>2020-04-06 23:16:43</t>
        </is>
      </c>
      <c r="H6247" t="inlineStr"/>
    </row>
    <row r="6248">
      <c r="A6248" t="inlineStr">
        <is>
          <t>fwlhdx</t>
        </is>
      </c>
      <c r="B6248" t="inlineStr">
        <is>
          <t>I feel my doctor doesn't take my GERD seriously</t>
        </is>
      </c>
      <c r="C6248" t="inlineStr">
        <is>
          <t>I know GERD and anxiety/stress goes hand to hand and one can trigger the other, but I feel my doctor dismisses how I feel because all the tests comes good.  And ofc if you do an EGD on a first timer after 20 days of Nexium... probably my esophagus doesn't look that bad.
Have you experienced the same?</t>
        </is>
      </c>
      <c r="D6248" t="n">
        <v>1</v>
      </c>
      <c r="E6248" t="n">
        <v>4</v>
      </c>
      <c r="F6248">
        <f>HYPERLINK("https://www.reddit.com/r/GERD/comments/fwlhdx/i_feel_my_doctor_doesnt_take_my_gerd_seriously/")</f>
        <v/>
      </c>
      <c r="G6248" t="inlineStr">
        <is>
          <t>2020-04-07 07:30:02</t>
        </is>
      </c>
      <c r="H6248" t="inlineStr"/>
    </row>
    <row r="6249">
      <c r="A6249" t="inlineStr">
        <is>
          <t>fwmbl8</t>
        </is>
      </c>
      <c r="B6249" t="inlineStr">
        <is>
          <t>Does anyone else fart non stop if they go on a 2 mile run?</t>
        </is>
      </c>
      <c r="C6249" t="inlineStr">
        <is>
          <t>I lose like an inch off my waist from mild running once I exceed 1-2 miles.</t>
        </is>
      </c>
      <c r="D6249" t="n">
        <v>1</v>
      </c>
      <c r="E6249" t="n">
        <v>4</v>
      </c>
      <c r="F6249">
        <f>HYPERLINK("https://www.reddit.com/r/GERD/comments/fwmbl8/does_anyone_else_fart_non_stop_if_they_go_on_a_2/")</f>
        <v/>
      </c>
      <c r="G6249" t="inlineStr">
        <is>
          <t>2020-04-07 08:20:49</t>
        </is>
      </c>
      <c r="H6249" t="inlineStr"/>
    </row>
    <row r="6250">
      <c r="A6250" t="inlineStr">
        <is>
          <t>fwmf11</t>
        </is>
      </c>
      <c r="B6250" t="inlineStr">
        <is>
          <t>Pizza</t>
        </is>
      </c>
      <c r="C6250" t="inlineStr">
        <is>
          <t>So my parents usually order a pizza once every 1-2 weeks and no matter what type of pizza or how many slices I eat the next day I get the worst flare up from acidic taste in my mouth to constant diarrhea and abdominal pain which can last for the whole day. I am planning to stop eating pizza for good. Has anyone else experienced this ?</t>
        </is>
      </c>
      <c r="D6250" t="n">
        <v>1</v>
      </c>
      <c r="E6250" t="n">
        <v>7</v>
      </c>
      <c r="F6250">
        <f>HYPERLINK("https://www.reddit.com/r/GERD/comments/fwmf11/pizza/")</f>
        <v/>
      </c>
      <c r="G6250" t="inlineStr">
        <is>
          <t>2020-04-07 08:26:33</t>
        </is>
      </c>
      <c r="H6250" t="inlineStr"/>
    </row>
    <row r="6251">
      <c r="A6251" t="inlineStr">
        <is>
          <t>fwmnxp</t>
        </is>
      </c>
      <c r="B6251" t="inlineStr">
        <is>
          <t>What do you guys do for fun? Serious question</t>
        </is>
      </c>
      <c r="C6251" t="inlineStr">
        <is>
          <t>In the past, most of my fun nights out included exploring new restaurants or going to a bar and getting drinks. I'm 26 so this is basically all my friends want to do. Now with LPR I try to avoid any loud place (voice issues), I don't drink, and I can't eat most foods.
How do you guys handle this? What do you do for fun?</t>
        </is>
      </c>
      <c r="D6251" t="n">
        <v>1</v>
      </c>
      <c r="E6251" t="n">
        <v>15</v>
      </c>
      <c r="F6251">
        <f>HYPERLINK("https://www.reddit.com/r/GERD/comments/fwmnxp/what_do_you_guys_do_for_fun_serious_question/")</f>
        <v/>
      </c>
      <c r="G6251" t="inlineStr">
        <is>
          <t>2020-04-07 08:41:02</t>
        </is>
      </c>
      <c r="H6251" t="inlineStr"/>
    </row>
    <row r="6252">
      <c r="A6252" t="inlineStr">
        <is>
          <t>fwmqdq</t>
        </is>
      </c>
      <c r="B6252" t="inlineStr">
        <is>
          <t>Regurgitation/reflux of food into my mouth for the past 6 hours - what can I do to stop it?</t>
        </is>
      </c>
      <c r="C6252" t="inlineStr">
        <is>
          <t>I’ve been having GERD symptoms for the past few days and ever since last night I’ve had regurgitation of food up my throat and into my mouth. It doesn’t burn or taste acidic, it just feels like there’s a bunch of food sitting there and just not moving. I’ve burped a few times and that does seem to help for a few minutes, but then it goes back up to where it was before. It’s been about 6 hours now and it hasn’t gone away yet and it’s starting to give me a sore throat and affect my ears. I haven’t been able to sleep at all because just sitting up straight I feel it, so I just don’t know what to do anymore. 
Is this typical of regurgitation due to reflux/GERD? How long does it usually last, because this seems like a long time, but then again I’ve only had regurgitation a handful of times and only for a short period (like 1 hr). I’ve apparently had GERD symptoms since I was a teen, but it never got so bad I had to take any medication for it. But I’ve been having symptoms on and off for about two months now with the past few days being especially bad, so I finally went to the store yesterday to pick up a prescription for omeprazole. I just took the first dose about an hour ago and it doesn’t seem to be doing anything, although I see it may take 1-4 days for symptom relief. 
What can I do to help relieve it so I can go to sleep?
I should also mention this morning my stool was a little unusual. It was a lighter color than normal, yellowish brown, and kind of clay consistency, so thick and sticky. Not sure if this is due to something in my diet or if it could be related to what’s going on in my upper GI tract at the moment?</t>
        </is>
      </c>
      <c r="D6252" t="n">
        <v>1</v>
      </c>
      <c r="E6252" t="n">
        <v>1</v>
      </c>
      <c r="F6252">
        <f>HYPERLINK("https://www.reddit.com/r/GERD/comments/fwmqdq/regurgitationreflux_of_food_into_my_mouth_for_the/")</f>
        <v/>
      </c>
      <c r="G6252" t="inlineStr">
        <is>
          <t>2020-04-07 08:45:10</t>
        </is>
      </c>
      <c r="H6252" t="inlineStr"/>
    </row>
    <row r="6253">
      <c r="A6253" t="inlineStr">
        <is>
          <t>fwnay1</t>
        </is>
      </c>
      <c r="B6253" t="inlineStr">
        <is>
          <t>Weight Loss and Reversing Gerd?</t>
        </is>
      </c>
      <c r="C6253" t="inlineStr">
        <is>
          <t>I have been experiencing GERD (shortness of breath, shoulder blade pains, dry cough,mucus, burping) since last Summer when i was in Europe for studying abroad (eaten badly, drinking wine, etc.). I just wanna hear from people has losing weight (20-30) pounds help alleviate symptoms when eating acid reflux foods (spicy food, alcohol, chocolate). I am 21, 5'6 185 female and my dad has said it would help. Omeprazole has helped reduce my symptoms but I'm wondering if losing weight would allow me to eat foods and drinks I used too.
Thanks!</t>
        </is>
      </c>
      <c r="D6253" t="n">
        <v>1</v>
      </c>
      <c r="E6253" t="n">
        <v>20</v>
      </c>
      <c r="F6253">
        <f>HYPERLINK("https://www.reddit.com/r/GERD/comments/fwnay1/weight_loss_and_reversing_gerd/")</f>
        <v/>
      </c>
      <c r="G6253" t="inlineStr">
        <is>
          <t>2020-04-07 09:16:25</t>
        </is>
      </c>
      <c r="H6253" t="inlineStr"/>
    </row>
    <row r="6254">
      <c r="A6254" t="inlineStr">
        <is>
          <t>fwnyq2</t>
        </is>
      </c>
      <c r="B6254" t="inlineStr">
        <is>
          <t>Trapped Gas</t>
        </is>
      </c>
      <c r="C6254" t="inlineStr">
        <is>
          <t>Hey all!
I’ve been suffering with GERD for a little over a year now. I’ve had an endoscopy back in December that diagnosed me with celiac disease which I’ve been managing with diet. My mom also has celiac, so I’m very familiar with how to do this. Endoscopy also found a small, 1cm hiatal hernia, which is what I suspect is causing most of my issues right now. 
Because this is such a high stress/anxiety time for everyone I’ve been having a really rough time eating just about anything. Everything seems to give me trapped gas, bloating and extreme chest pain. 
I’ve tried GasX (only works for me about 30% of the time), tums/pepto/gaviscon (usually ineffective beyond about 20mins), herbal teas and even yoga to relieve trapped gas. The most effective thing I’ve found is just sitting and suffering for several hours until I can eventually fall asleep. Sometimes I’m still waking up with the trapped gas feeling and at the very least it comes back right after breakfast. 
Does anyone have any miracle tips on how to alleviate this pressure I’m feeling?! I really don’t want to overburden our system even further by meeting with a doctor right now if I can avoid it. 
TIA!</t>
        </is>
      </c>
      <c r="D6254" t="n">
        <v>1</v>
      </c>
      <c r="E6254" t="n">
        <v>13</v>
      </c>
      <c r="F6254">
        <f>HYPERLINK("https://www.reddit.com/r/GERD/comments/fwnyq2/trapped_gas/")</f>
        <v/>
      </c>
      <c r="G6254" t="inlineStr">
        <is>
          <t>2020-04-07 09:52:47</t>
        </is>
      </c>
      <c r="H6254" t="inlineStr"/>
    </row>
    <row r="6255">
      <c r="A6255" t="inlineStr">
        <is>
          <t>fwprww</t>
        </is>
      </c>
      <c r="B6255" t="inlineStr">
        <is>
          <t>GERD Sufferers - What has helped you the most?</t>
        </is>
      </c>
      <c r="C6255" t="inlineStr">
        <is>
          <t>This question is aimed at people who have been diagnosed with GERD. For me personally, **it was no eating after 6PM**. It didn't cure my gerd but it helped me more than any sort of PPIs or anything else the doctor prescribed.</t>
        </is>
      </c>
      <c r="D6255" t="n">
        <v>1</v>
      </c>
      <c r="E6255" t="n">
        <v>3</v>
      </c>
      <c r="F6255">
        <f>HYPERLINK("https://www.reddit.com/r/GERD/comments/fwprww/gerd_sufferers_what_has_helped_you_the_most/")</f>
        <v/>
      </c>
      <c r="G6255" t="inlineStr">
        <is>
          <t>2020-04-07 11:28:40</t>
        </is>
      </c>
      <c r="H6255" t="inlineStr"/>
    </row>
    <row r="6256">
      <c r="A6256" t="inlineStr">
        <is>
          <t>fwpxt8</t>
        </is>
      </c>
      <c r="B6256" t="inlineStr">
        <is>
          <t>GERD Experience Survey</t>
        </is>
      </c>
      <c r="C6256" t="inlineStr">
        <is>
          <t>Hi, Guys.
I have been experiencing GERD symptoms for a while now, and it's prompted me to conduct some research to figure out how  healthcare can improve with GERD management. I would love to get your guys' feedback if possible. It won't take long, I swear - I appreciate any help I can get. 
Thank you, 
Kat 
&amp;amp;#x200B;
[https://www.surveymonkey.com/r/CXSC9MB](https://www.surveymonkey.com/r/CXSC9MB)</t>
        </is>
      </c>
      <c r="D6256" t="n">
        <v>1</v>
      </c>
      <c r="E6256" t="n">
        <v>2</v>
      </c>
      <c r="F6256">
        <f>HYPERLINK("https://www.reddit.com/r/GERD/comments/fwpxt8/gerd_experience_survey/")</f>
        <v/>
      </c>
      <c r="G6256" t="inlineStr">
        <is>
          <t>2020-04-07 11:37:32</t>
        </is>
      </c>
      <c r="H6256" t="inlineStr"/>
    </row>
    <row r="6257">
      <c r="A6257" t="inlineStr">
        <is>
          <t>fwqmwk</t>
        </is>
      </c>
      <c r="B6257" t="inlineStr">
        <is>
          <t>prescribed omeprazole</t>
        </is>
      </c>
      <c r="C6257" t="inlineStr">
        <is>
          <t>so i went to a walk in clinic, the doctor never looked at me physically. i told him i burp alot past 2 weeks and stomach issues, and he assigned me t his without lookin at me.
should i start it? can i take it once or twice a week instead of daily? or was my doctor wrong?
sorry im new to this</t>
        </is>
      </c>
      <c r="D6257" t="n">
        <v>1</v>
      </c>
      <c r="E6257" t="n">
        <v>11</v>
      </c>
      <c r="F6257">
        <f>HYPERLINK("https://www.reddit.com/r/GERD/comments/fwqmwk/prescribed_omeprazole/")</f>
        <v/>
      </c>
      <c r="G6257" t="inlineStr">
        <is>
          <t>2020-04-07 12:14:31</t>
        </is>
      </c>
      <c r="H6257" t="inlineStr"/>
    </row>
    <row r="6258">
      <c r="A6258" t="inlineStr">
        <is>
          <t>fwri56</t>
        </is>
      </c>
      <c r="B6258" t="inlineStr">
        <is>
          <t>Short GERD Survey - Help a sister out, please</t>
        </is>
      </c>
      <c r="C6258" t="inlineStr">
        <is>
          <t>Hi, Everyone!
I have been experiencing GERD symptoms for a while now, and it's prompted me to conduct some research to figure out how  healthcare can improve with GERD management. I would love to get your guys' feedback if possible. It won't take long, I swear - I appreciate any help I can get. 
Thank you, 
Kat 
[https://www.surveymonkey.com/r/CXSC9MB](https://www.surveymonkey.com/r/CXSC9MB)</t>
        </is>
      </c>
      <c r="D6258" t="n">
        <v>1</v>
      </c>
      <c r="E6258" t="n">
        <v>5</v>
      </c>
      <c r="F6258">
        <f>HYPERLINK("https://www.reddit.com/r/GERD/comments/fwri56/short_gerd_survey_help_a_sister_out_please/")</f>
        <v/>
      </c>
      <c r="G6258" t="inlineStr">
        <is>
          <t>2020-04-07 13:00:38</t>
        </is>
      </c>
      <c r="H6258" t="inlineStr"/>
    </row>
    <row r="6259">
      <c r="A6259" t="inlineStr">
        <is>
          <t>fwsf70</t>
        </is>
      </c>
      <c r="B6259" t="inlineStr">
        <is>
          <t>How much should i eat in a day with acid reflux?</t>
        </is>
      </c>
      <c r="C6259" t="inlineStr">
        <is>
          <t>5 small or 6 small meals a day? And should i eat every two hours? Or three? Should i feel satiated at a small meal or not? Can you give me tips? I am not sure what i should do.</t>
        </is>
      </c>
      <c r="D6259" t="n">
        <v>1</v>
      </c>
      <c r="E6259" t="n">
        <v>2</v>
      </c>
      <c r="F6259">
        <f>HYPERLINK("https://www.reddit.com/r/GERD/comments/fwsf70/how_much_should_i_eat_in_a_day_with_acid_reflux/")</f>
        <v/>
      </c>
      <c r="G6259" t="inlineStr">
        <is>
          <t>2020-04-07 13:50:12</t>
        </is>
      </c>
      <c r="H6259" t="inlineStr"/>
    </row>
    <row r="6260">
      <c r="A6260" t="inlineStr">
        <is>
          <t>fwt5ei</t>
        </is>
      </c>
      <c r="B6260" t="inlineStr">
        <is>
          <t>My story so far (looooong post)</t>
        </is>
      </c>
      <c r="C6260" t="inlineStr">
        <is>
          <t>25M here. So for the past years of my life (maybe 3-5 years) I have regularly had to clear my throat after eating a big meal. Not really a cough, just a forceful throat clearing. I would also get regular post nasal drip and burp a lot. I never paid any mind to what I eat or drink. Six weeks ago I made some BOMB home made sweet and sour chicken. I ate a shit load of it for dinner, drank some beers, went to bed, woke up, freshly fried another big ass portion and went to town again. I immediately had a particularly forceful clearing throat episode (possibly the most forceful it's ever been) and then from that afternoon forward my life has been hell. I experienced heartburn for the first time ever in my life. I had globus sensation with my saliva, literally having to force down every single swallow of saliva. I googled my symptoms, #1 result: GERD/LPR (makes sense given what I had just consumed) #2 result: esophageal cancer. Boom, my mind says definitely cancer. I have a panic attack. I'm too young to die. This makes all my symptoms 1000x worse, I lay down one night and can literally feel the acid jumping up into my esophagus. I go to the doctor, I get prescribed ppis for 2 weeks, I take them. By the time I've finished them the swallowing issues have gone from being constant to being only when there's gas trapped in me. Heartburn only occurs occasionally instead of constantly, but I'm still not normal. I start taking h2 blockers once daily. They don't last all day but I didn't read the fine print. I notice that right before dinner every day when my stomach is empty, I have horrible grumbles and burping, so I stop taking the medicine and go on vacation. First two days of vacation, my symptoms persist like normal, even worse then before and I have this really bad episode of what feels like hot, rising gas pain going up from my stomach to my head after eating big meals... Third day, everything seems to be a bit better, just some trapped burps and associated globus. Fourth day: nothing. Not a god damn thing other than some slight extra burps. It was also the best day of the trip (I ate like shit the whole day too). We drove a convertible down Ventura Hwy and I can't say I've had a single day since this all began when I didn't think about my issues other than that day. We come back home: symptoms start returning over the next week. I get back on the h2 blocker, which seems to help with the indigestion, but not the dysphagia. My dysphagia switches from saliva to certain solids (green beans, breads, rice???), I feel it all stuck in my neck and can almost feel it going all the way down my esophagus. I have a GI appointment (my first one). He says I probably gave myself esophagitis, and 2 weeks of ppis isn't enough to treat esophagitis, and h2 blockers aren't effective at healing esophagitis (which is why it got worse again). He makes no comments about the fact everything went away on vacation. He prescribes 6 weeks of pantoprazole and an endoscopy for mid May (the soonest he could do it for an 'elective' procedure.... Is it really elective given the dysphagia? But I digress....). My anxiety tells me: it could still be cancer, isn't my dysphagia worsening, just like a growing cancer!?!) I start checking my lymph nodes in my shoulder area, cuz the internet tells me that's where it might spread if I'm definitely going to die. I even find a few. I have another panic attack. You're not supposed to find any. Definitely going to die. After my panic attack, I see on the internet that the ones I found aren't even in the right area to be indicative of esophageal cancer. I'm done touching my neck now. Lunch was still tricky to swallow, got heartburn (hot dogs for lunch, bad idea), took Alka seltzer extra strength. I took a nap. Woke up. Ate a piece of bread with Nutella on it with absolutely no troubles swallowing (day 5 of ppi). The medicine is working. If the NSAID in the Alka seltzer reduced the swelling enough that I can swallow normally it means it's just swelling, not cancer. I'm going to be fine. I REALLY need to see a therapist. Oh wait, can't, coronavirus. Same reason I can't get an endoscopy now. FML. I need to get out of the house so I can have another day with no symptoms. Oh wait, can't, coronavirus. :(</t>
        </is>
      </c>
      <c r="D6260" t="n">
        <v>1</v>
      </c>
      <c r="E6260" t="n">
        <v>2</v>
      </c>
      <c r="F6260">
        <f>HYPERLINK("https://www.reddit.com/r/GERD/comments/fwt5ei/my_story_so_far_looooong_post/")</f>
        <v/>
      </c>
      <c r="G6260" t="inlineStr">
        <is>
          <t>2020-04-07 14:30:48</t>
        </is>
      </c>
      <c r="H6260" t="inlineStr"/>
    </row>
    <row r="6261">
      <c r="A6261" t="inlineStr">
        <is>
          <t>fwu6yy</t>
        </is>
      </c>
      <c r="B6261" t="inlineStr">
        <is>
          <t>Reaction to Protonix?</t>
        </is>
      </c>
      <c r="C6261" t="inlineStr">
        <is>
          <t>Has anyone ever have this reaction to PPIs Protonix? Throat itch, throat feels like it's swelling, makes my mouth so dry it causes my throat to seize up and feel like it's closing when I try to swallow. I don't know if it caused larynspasm where my voice box close because the dry mouth or it actually made my throat inflamed.
I told my doctors this, and they said it's no way  this could happen. And that's not a side effect.
Im contimplating label this as an allergy on my chart. But I feel like the doctors will get mad at me, because they always blame everything on my anxiety.</t>
        </is>
      </c>
      <c r="D6261" t="n">
        <v>1</v>
      </c>
      <c r="E6261" t="n">
        <v>1</v>
      </c>
      <c r="F6261">
        <f>HYPERLINK("https://www.reddit.com/r/GERD/comments/fwu6yy/reaction_to_protonix/")</f>
        <v/>
      </c>
      <c r="G6261" t="inlineStr">
        <is>
          <t>2020-04-07 15:29:02</t>
        </is>
      </c>
      <c r="H6261" t="inlineStr"/>
    </row>
    <row r="6262">
      <c r="A6262" t="inlineStr">
        <is>
          <t>fwu9lx</t>
        </is>
      </c>
      <c r="B6262" t="inlineStr">
        <is>
          <t>Quick question</t>
        </is>
      </c>
      <c r="C6262" t="inlineStr">
        <is>
          <t>What does it mean when eating actually helps reflux calm and even go away?</t>
        </is>
      </c>
      <c r="D6262" t="n">
        <v>1</v>
      </c>
      <c r="E6262" t="n">
        <v>6</v>
      </c>
      <c r="F6262">
        <f>HYPERLINK("https://www.reddit.com/r/GERD/comments/fwu9lx/quick_question/")</f>
        <v/>
      </c>
      <c r="G6262" t="inlineStr">
        <is>
          <t>2020-04-07 15:33:25</t>
        </is>
      </c>
      <c r="H6262" t="inlineStr"/>
    </row>
    <row r="6263">
      <c r="A6263" t="inlineStr">
        <is>
          <t>fwwu4s</t>
        </is>
      </c>
      <c r="B6263" t="inlineStr">
        <is>
          <t>Very anxious about GERD complications</t>
        </is>
      </c>
      <c r="C6263" t="inlineStr">
        <is>
          <t>Hi all,
I have OCD/anxiety as well as GERD, and am really struggling to cope with fears about esophagitis, barrets, and cancer. I have been suffering from daily pain of GERD for about 8 months and feeling extreme anxiety. The pain was harsh enough in the beginning that my Dr. recommended an endoscopy, but they didn't find evidence of anything serious. That was about 5 months ago, and since then I have been trying very hard to rid myself of GERD symptoms. I have gotten to the point these past few days where I am not regurgitating anything, and do not have heartburn throughout the day. 
I've basically been without GERD for 3 days; however, I still feel a ton of pain in my throat when I swallow, despite having gotten control of other symptoms. I am very nervous that this is due to esophagitis. I have read that esophagitis sometimes heals into Barretts Esophagus? Is this true? I lost my health insurance and I'm very worried that I have put myself at risk of a serious condition</t>
        </is>
      </c>
      <c r="D6263" t="n">
        <v>1</v>
      </c>
      <c r="E6263" t="n">
        <v>18</v>
      </c>
      <c r="F6263">
        <f>HYPERLINK("https://www.reddit.com/r/GERD/comments/fwwu4s/very_anxious_about_gerd_complications/")</f>
        <v/>
      </c>
      <c r="G6263" t="inlineStr">
        <is>
          <t>2020-04-07 18:10:34</t>
        </is>
      </c>
      <c r="H6263" t="inlineStr"/>
    </row>
    <row r="6264">
      <c r="A6264" t="inlineStr">
        <is>
          <t>fwx8oo</t>
        </is>
      </c>
      <c r="B6264" t="inlineStr">
        <is>
          <t>Looking for some answer to a few questions.</t>
        </is>
      </c>
      <c r="C6264" t="inlineStr">
        <is>
          <t>Hey all, I have some questions pertaining to GERD. These questions are probably dumb, And I'm fully aware that the internet is no place to rely on answers. But I just wanted to see since my Doctors office is currently closed. Disclaimer again, I'm still going to see my doctor when possible, Just looking for some temporary answers until then. 
First of all, I'd it possible to just be unlucky and have acid reflux without it being caused by GERD?
Secondly, Is it possible for acid reflux to be brought on by anxiety? I'm a 18 year old male who suffers from anxiety, And I have read articles that make this claim but I'm not sure if its real or not. Also, My school requires multiple hours of sitting at a desk each day and working on a computer. And I don't have a very good posture, Could this amplify my symptoms?
Lastly, does anyone have any tips they could share for how to combat the symptoms? I rarely get heartburn, Its mainly a bad taste in my mouth, And burning in throat followed with regurgitation or the feeling of food in my throat. 
Again, Sorry if these questions seem silly or dumb. I made the mistake of going down the Google wormhole and reading about all the unlikely bit possible things that this could turn into IF I even have it, And I guess just want some reassurance and done advice from people who have dealt with this. Thanks in advance guys and girls.</t>
        </is>
      </c>
      <c r="D6264" t="n">
        <v>1</v>
      </c>
      <c r="E6264" t="n">
        <v>2</v>
      </c>
      <c r="F6264">
        <f>HYPERLINK("https://www.reddit.com/r/GERD/comments/fwx8oo/looking_for_some_answer_to_a_few_questions/")</f>
        <v/>
      </c>
      <c r="G6264" t="inlineStr">
        <is>
          <t>2020-04-07 18:36:33</t>
        </is>
      </c>
      <c r="H6264" t="inlineStr"/>
    </row>
    <row r="6265">
      <c r="A6265" t="inlineStr">
        <is>
          <t>fwxgcy</t>
        </is>
      </c>
      <c r="B6265" t="inlineStr">
        <is>
          <t>Question about LPR</t>
        </is>
      </c>
      <c r="C6265" t="inlineStr">
        <is>
          <t>Hello All,
I'm a 18M who thinks he has LPR due to a cough that doesn't go away and constant clearing of throat. I also feel like something is stuck in my throat. 
I'm from a family who has symptoms of acid reflux. My suspicion is therefore higher. 
I'm going to a doctor tomorrow but does anyone have just those three symptoms and consider it GERD/LPR? 
Thanks</t>
        </is>
      </c>
      <c r="D6265" t="n">
        <v>1</v>
      </c>
      <c r="E6265" t="n">
        <v>2</v>
      </c>
      <c r="F6265">
        <f>HYPERLINK("https://www.reddit.com/r/GERD/comments/fwxgcy/question_about_lpr/")</f>
        <v/>
      </c>
      <c r="G6265" t="inlineStr">
        <is>
          <t>2020-04-07 18:50:19</t>
        </is>
      </c>
      <c r="H6265" t="inlineStr"/>
    </row>
    <row r="6266">
      <c r="A6266" t="inlineStr">
        <is>
          <t>fwy3k5</t>
        </is>
      </c>
      <c r="B6266" t="inlineStr">
        <is>
          <t>Anybody else feel terrible?</t>
        </is>
      </c>
      <c r="C6266" t="inlineStr">
        <is>
          <t>Anybody else eat only a TINY piece of one of their triggers and immediately feel absolutely sick to the stomach?</t>
        </is>
      </c>
      <c r="D6266" t="n">
        <v>1</v>
      </c>
      <c r="E6266" t="n">
        <v>16</v>
      </c>
      <c r="F6266">
        <f>HYPERLINK("https://www.reddit.com/r/GERD/comments/fwy3k5/anybody_else_feel_terrible/")</f>
        <v/>
      </c>
      <c r="G6266" t="inlineStr">
        <is>
          <t>2020-04-07 19:33:02</t>
        </is>
      </c>
      <c r="H6266" t="inlineStr"/>
    </row>
    <row r="6267">
      <c r="A6267" t="inlineStr">
        <is>
          <t>fwyqnr</t>
        </is>
      </c>
      <c r="B6267" t="inlineStr">
        <is>
          <t>Lingering symptoms</t>
        </is>
      </c>
      <c r="C6267" t="inlineStr">
        <is>
          <t>I have had a pretty bad run of acid attacks the last month or so. In the last few days, the worst of the symptoms have started to clear up. Hopefully a sign the nexium is working. No burning really, that stuck feeling in my throat is basically gone, etc. 
However, I am still having some chest pain, when I take a deep breath I get some pain (almost a burn) and some discomfort, and I have a bit of a cough with it. Has anyone experienced that during, or after, bad acid reflux periods? I am thinking they are lingering/residual symptoms. Maybe some of the acid got into my lungs and caused some irritation. 
Obviously a cough and lung discomfort is a little troubling, but this was pretty much happening the same during my bad acid reflux, and has been happening for a few days, and I have no sign of fever. Which leads me to believe they are connected to my GERD.</t>
        </is>
      </c>
      <c r="D6267" t="n">
        <v>1</v>
      </c>
      <c r="E6267" t="n">
        <v>0</v>
      </c>
      <c r="F6267">
        <f>HYPERLINK("https://www.reddit.com/r/GERD/comments/fwyqnr/lingering_symptoms/")</f>
        <v/>
      </c>
      <c r="G6267" t="inlineStr">
        <is>
          <t>2020-04-07 20:16:30</t>
        </is>
      </c>
      <c r="H6267" t="inlineStr"/>
    </row>
    <row r="6268">
      <c r="A6268" t="inlineStr">
        <is>
          <t>fwz2hi</t>
        </is>
      </c>
      <c r="B6268" t="inlineStr">
        <is>
          <t>So lost!!!!</t>
        </is>
      </c>
      <c r="C6268" t="inlineStr">
        <is>
          <t>Can gerd cause trouble breathing? I also have trouble swallowing my saliva.</t>
        </is>
      </c>
      <c r="D6268" t="n">
        <v>1</v>
      </c>
      <c r="E6268" t="n">
        <v>21</v>
      </c>
      <c r="F6268">
        <f>HYPERLINK("https://www.reddit.com/r/GERD/comments/fwz2hi/so_lost/")</f>
        <v/>
      </c>
      <c r="G6268" t="inlineStr">
        <is>
          <t>2020-04-07 20:40:28</t>
        </is>
      </c>
      <c r="H6268" t="inlineStr"/>
    </row>
    <row r="6269">
      <c r="A6269" t="inlineStr">
        <is>
          <t>fwzwwp</t>
        </is>
      </c>
      <c r="B6269" t="inlineStr">
        <is>
          <t>Reflux same time everyday?</t>
        </is>
      </c>
      <c r="C6269" t="inlineStr">
        <is>
          <t>I get bad reflux attacks everyday between 4pm and 6pm. Itll either be over within a couple of hours or linger for the rest of the night. It's always accompanied with nausea and every now and then I'll get sharp stomach pains.
I take 40mg pepcid in the morning and 40mg omeprazole in the afternoon and 1000mg antacids throughout the night. 
I've also had costochondritis since march 7th via viral infection so says my dr but I'm not so sure anymore. 
I've been suffering from acid reflux for about five years now since I had my gallbladder removed. I did ok on lexapro for 4 years then tapered off in august. Starting September I've been getting horrible reflux and nausea. 
I've tried changing my diet to low fodmap, acid diet, bland and it's like nothing matters. The diets and meds are useless. (In another recent post I mentioned eating actually helps sometimes).
Does anyone else get this around the same time everyday?</t>
        </is>
      </c>
      <c r="D6269" t="n">
        <v>1</v>
      </c>
      <c r="E6269" t="n">
        <v>3</v>
      </c>
      <c r="F6269">
        <f>HYPERLINK("https://www.reddit.com/r/GERD/comments/fwzwwp/reflux_same_time_everyday/")</f>
        <v/>
      </c>
      <c r="G6269" t="inlineStr">
        <is>
          <t>2020-04-07 21:43:03</t>
        </is>
      </c>
      <c r="H6269" t="inlineStr"/>
    </row>
    <row r="6270">
      <c r="A6270" t="inlineStr">
        <is>
          <t>fwzyak</t>
        </is>
      </c>
      <c r="B6270" t="inlineStr">
        <is>
          <t>Zantac Recall?</t>
        </is>
      </c>
      <c r="C6270" t="inlineStr">
        <is>
          <t>I was diagnosed with GERD March 22nd of 2020 and my doctor prescribed me 40MG of zantac, I’m only learning now that it is discontinued? Is this safe to take? I don’t understand why my doctor would give me a medication that is recalled.</t>
        </is>
      </c>
      <c r="D6270" t="n">
        <v>1</v>
      </c>
      <c r="E6270" t="n">
        <v>1</v>
      </c>
      <c r="F6270">
        <f>HYPERLINK("https://www.reddit.com/r/GERD/comments/fwzyak/zantac_recall/")</f>
        <v/>
      </c>
      <c r="G6270" t="inlineStr">
        <is>
          <t>2020-04-07 21:46:07</t>
        </is>
      </c>
      <c r="H6270" t="inlineStr"/>
    </row>
    <row r="6271">
      <c r="A6271" t="inlineStr">
        <is>
          <t>fx0sgt</t>
        </is>
      </c>
      <c r="B6271" t="inlineStr">
        <is>
          <t>Why is it not recommended to cut pantoprazole pills in half?</t>
        </is>
      </c>
      <c r="C6271" t="inlineStr">
        <is>
          <t>I have 40 mg pills and I want to taper off so I cut some in half and have been taking one a day for the last few days and my reflux symptoms are doing well but now I'm worried that I shouldn't be doing that. Is there a reason other than it being a delayed release pill?</t>
        </is>
      </c>
      <c r="D6271" t="n">
        <v>1</v>
      </c>
      <c r="E6271" t="n">
        <v>5</v>
      </c>
      <c r="F6271">
        <f>HYPERLINK("https://www.reddit.com/r/GERD/comments/fx0sgt/why_is_it_not_recommended_to_cut_pantoprazole/")</f>
        <v/>
      </c>
      <c r="G6271" t="inlineStr">
        <is>
          <t>2020-04-07 22:52:02</t>
        </is>
      </c>
      <c r="H6271" t="inlineStr"/>
    </row>
    <row r="6272">
      <c r="A6272" t="inlineStr">
        <is>
          <t>fx4yml</t>
        </is>
      </c>
      <c r="B6272" t="inlineStr">
        <is>
          <t>Bad breath/dry mouth throughout day</t>
        </is>
      </c>
      <c r="C6272" t="inlineStr">
        <is>
          <t>So I have a hiatus hernia and take 40/60mg of omeprazole a day. I also have non allergic rhinitis and take cetirizine/fexofenadine and budesonide nasal spray. 
Recently I have been experiencing dry mouth and a bad taste in my mouth all day. No amount of water can quench it and even after brushin my teeth the bad taste comes back. I have very healthy teeth and gums so I'm sure its not poor oral hygeine. 
It's not a bitter or acidic taste. My spit is slightly coloured with a small amount phlegm. 
Does anyone know if these are GERD symptoms? 
I was wondering whether its because I'm having too much omeprazole? I increased my dose from 40mg to 60mg recently. Also since these symptoms have started the quality of my sleep has noticeably declined which is why I'm worried about it, I wake up not feeling as refreshed.</t>
        </is>
      </c>
      <c r="D6272" t="n">
        <v>1</v>
      </c>
      <c r="E6272" t="n">
        <v>25</v>
      </c>
      <c r="F6272">
        <f>HYPERLINK("https://www.reddit.com/r/GERD/comments/fx4yml/bad_breathdry_mouth_throughout_day/")</f>
        <v/>
      </c>
      <c r="G6272" t="inlineStr">
        <is>
          <t>2020-04-08 04:39:00</t>
        </is>
      </c>
      <c r="H6272" t="inlineStr"/>
    </row>
    <row r="6273">
      <c r="A6273" t="inlineStr">
        <is>
          <t>fx5jrl</t>
        </is>
      </c>
      <c r="B6273" t="inlineStr">
        <is>
          <t>I have been diagnosed with GERD and now taking PPIs, but according to what I read in this sub it won't go away unless I do surgery, am I misunderstood?</t>
        </is>
      </c>
      <c r="C6273" t="inlineStr">
        <is>
          <t>I have been experiencing symptopms for about a month ago, and began my medication 2 weeks ago, the symptoms still there, 
everything hurts, my lower chest, my lower neck, lower right rib (lungs?). but it's not constantly, only like when I woke up, after eating or drinking, etc. I'm still in college and I don't think I can afford surgery right now. but if I'm forced I will find a way, hopefully.</t>
        </is>
      </c>
      <c r="D6273" t="n">
        <v>1</v>
      </c>
      <c r="E6273" t="n">
        <v>26</v>
      </c>
      <c r="F6273">
        <f>HYPERLINK("https://www.reddit.com/r/GERD/comments/fx5jrl/i_have_been_diagnosed_with_gerd_and_now_taking/")</f>
        <v/>
      </c>
      <c r="G6273" t="inlineStr">
        <is>
          <t>2020-04-08 05:23:59</t>
        </is>
      </c>
      <c r="H6273" t="inlineStr"/>
    </row>
    <row r="6274">
      <c r="A6274" t="inlineStr">
        <is>
          <t>fx60dk</t>
        </is>
      </c>
      <c r="B6274" t="inlineStr">
        <is>
          <t>What time should I be taking omeprazole? How long does it take to start working and when will I see a difference in my symptoms?</t>
        </is>
      </c>
      <c r="C6274" t="inlineStr">
        <is>
          <t>I am prescribed 20mg of omeprazole once a day.</t>
        </is>
      </c>
      <c r="D6274" t="n">
        <v>1</v>
      </c>
      <c r="E6274" t="n">
        <v>6</v>
      </c>
      <c r="F6274">
        <f>HYPERLINK("https://www.reddit.com/r/GERD/comments/fx60dk/what_time_should_i_be_taking_omeprazole_how_long/")</f>
        <v/>
      </c>
      <c r="G6274" t="inlineStr">
        <is>
          <t>2020-04-08 05:57:52</t>
        </is>
      </c>
      <c r="H6274" t="inlineStr"/>
    </row>
    <row r="6275">
      <c r="A6275" t="inlineStr">
        <is>
          <t>fx6j61</t>
        </is>
      </c>
      <c r="B6275" t="inlineStr">
        <is>
          <t>Unusual feeling heartbeat at night?</t>
        </is>
      </c>
      <c r="C6275" t="inlineStr">
        <is>
          <t>I can't really describe what it feels like. Just different. Maybe a little harder? Or that there's something pushing on it? 
Also, does anyone else notice increased heart rate when lying down at night? If I'm lounging around the house, my heart usually drops into the 50s. When I lie down to go to sleep it increases quite linearly from the 50s to around 70. It's like clockwork. Takes about two hours. After that if fluctuates between the 50s and up to 70ish. 
Sorry if this doesn't make sense. But does anyone else experience weird heart things? 
Also, I haven't been officially diagnosed but I seem to have atypical symptoms. The doctor prescribed meds for GERD which have actually reduced the intensity and duration of symptoms.</t>
        </is>
      </c>
      <c r="D6275" t="n">
        <v>1</v>
      </c>
      <c r="E6275" t="n">
        <v>19</v>
      </c>
      <c r="F6275">
        <f>HYPERLINK("https://www.reddit.com/r/GERD/comments/fx6j61/unusual_feeling_heartbeat_at_night/")</f>
        <v/>
      </c>
      <c r="G6275" t="inlineStr">
        <is>
          <t>2020-04-08 06:32:23</t>
        </is>
      </c>
      <c r="H6275" t="inlineStr"/>
    </row>
    <row r="6276">
      <c r="A6276" t="inlineStr">
        <is>
          <t>fx81z7</t>
        </is>
      </c>
      <c r="B6276" t="inlineStr">
        <is>
          <t>When to sleep ?</t>
        </is>
      </c>
      <c r="C6276" t="inlineStr">
        <is>
          <t>After eating, how long should I wait before I lay down or go to sleep ?</t>
        </is>
      </c>
      <c r="D6276" t="n">
        <v>1</v>
      </c>
      <c r="E6276" t="n">
        <v>2</v>
      </c>
      <c r="F6276">
        <f>HYPERLINK("https://www.reddit.com/r/GERD/comments/fx81z7/when_to_sleep/")</f>
        <v/>
      </c>
      <c r="G6276" t="inlineStr">
        <is>
          <t>2020-04-08 08:05:44</t>
        </is>
      </c>
      <c r="H6276" t="inlineStr"/>
    </row>
    <row r="6277">
      <c r="A6277" t="inlineStr">
        <is>
          <t>fx82ir</t>
        </is>
      </c>
      <c r="B6277" t="inlineStr">
        <is>
          <t>I can only exercise in the morning</t>
        </is>
      </c>
      <c r="C6277" t="inlineStr">
        <is>
          <t>If I have had any food in my body, I cannot exercise without getting terrible GERD. Any advice please! I am 18, male, and incredibly skinny.</t>
        </is>
      </c>
      <c r="D6277" t="n">
        <v>1</v>
      </c>
      <c r="E6277" t="n">
        <v>0</v>
      </c>
      <c r="F6277">
        <f>HYPERLINK("https://www.reddit.com/r/GERD/comments/fx82ir/i_can_only_exercise_in_the_morning/")</f>
        <v/>
      </c>
      <c r="G6277" t="inlineStr">
        <is>
          <t>2020-04-08 08:06:32</t>
        </is>
      </c>
      <c r="H6277" t="inlineStr"/>
    </row>
    <row r="6278">
      <c r="A6278" t="inlineStr">
        <is>
          <t>fxai28</t>
        </is>
      </c>
      <c r="B6278" t="inlineStr">
        <is>
          <t>John Prine's Illegal Smile describes having GERD in the middle of a quarantine perfectly</t>
        </is>
      </c>
      <c r="C6278" t="inlineStr">
        <is>
          <t>[https://www.youtube.com/watch?v=MmjnQjRvPUQ](https://www.youtube.com/watch?v=MmjnQjRvPUQ)
    When I woke up this morning, things were lookin' bad
    Seem like total silence was the only friend I had
    Bowl of oatmeal tried to stare me down... and won
    And it was twelve o'clock before I realized
    That I was havin' no fun
    But fortunately I have the key to escape reality
    And you may see me tonight with an illegal smile
    It don't cost very much, but it lasts a long while
    Won't you please tell the man I didn't kill anyone
    No I'm just tryin' to have me some fun
    Last time I checked my bankroll,
    It was gettin' thin
    Sometimes it seems like the bottom
    Is the only place I've been
    I Chased a rainbow down a one-way street dead end
    And all my friends turned out to be insurance salesmen
    But fortunately I have the key to escape reality
    And you may see me tonight with an illegal smile
    It don't cost very much, but it lasts a long while
    Won't you please tell the man I didn't kill anyone
    No I'm just tryin' to have me some fun
    Well, I sat down in my closet with all my overalls
    Tryin' to get away
    From all the ears inside my walls
    I dreamed the police heard
    Everything I thought... what then?
    Well I went to court
    And the judge's name was Hoffman
    Ah but fortunately I have the key to escape reality
    And you may see me tonight with an illegal smile
    It don't cost very much, but it lasts a long while
    Won't you please tell the man I didn't kill anyone
    No I'm just tryin' to have me some fun
    Well done, hot dog bun, my sister's a nun</t>
        </is>
      </c>
      <c r="D6278" t="n">
        <v>1</v>
      </c>
      <c r="E6278" t="n">
        <v>0</v>
      </c>
      <c r="F6278">
        <f>HYPERLINK("https://www.reddit.com/r/GERD/comments/fxai28/john_prines_illegal_smile_describes_having_gerd/")</f>
        <v/>
      </c>
      <c r="G6278" t="inlineStr">
        <is>
          <t>2020-04-08 10:15:58</t>
        </is>
      </c>
      <c r="H6278" t="inlineStr"/>
    </row>
    <row r="6279">
      <c r="A6279" t="inlineStr">
        <is>
          <t>fxbd5w</t>
        </is>
      </c>
      <c r="B6279" t="inlineStr">
        <is>
          <t>Is the interaction between Pepcid (Famotidine) and alcohol that bad?</t>
        </is>
      </c>
      <c r="C6279" t="inlineStr">
        <is>
          <t>I'm looking at interactions between Pepcid and alcohol.  So far, all I've seen is damage to the stomach and an increased effect of intoxication.
What I'm more concerned about is the harm it can cause.  If I pop a Pepcid and drink a 6-pack, will I wind up in the hospital?  Is it possible to take one in the morning and then drink at night without serious repercussions?
Anybody have personal experience with combining the two?</t>
        </is>
      </c>
      <c r="D6279" t="n">
        <v>1</v>
      </c>
      <c r="E6279" t="n">
        <v>2</v>
      </c>
      <c r="F6279">
        <f>HYPERLINK("https://www.reddit.com/r/GERD/comments/fxbd5w/is_the_interaction_between_pepcid_famotidine_and/")</f>
        <v/>
      </c>
      <c r="G6279" t="inlineStr">
        <is>
          <t>2020-04-08 11:01:49</t>
        </is>
      </c>
      <c r="H6279" t="inlineStr"/>
    </row>
    <row r="6280">
      <c r="A6280" t="inlineStr">
        <is>
          <t>fxcwcs</t>
        </is>
      </c>
      <c r="B6280" t="inlineStr">
        <is>
          <t>Anyone else have nausea and change in bowel movements while taking omeprazole?</t>
        </is>
      </c>
      <c r="C6280" t="inlineStr">
        <is>
          <t>I just started taking omeprazole yesterday and since then I've had a little more nausea than usual. I also notice a change in bowel movements - in that they've become "smellier," and I can see lots of undigested food (although to be fair this is fairly common for me). I haven't been eating or sleeping well because of acid reflux so maybe my body is just all out of whack, but I also didn't know if these could also be attributed to taking omeprazole. Does anyone else experience this?</t>
        </is>
      </c>
      <c r="D6280" t="n">
        <v>1</v>
      </c>
      <c r="E6280" t="n">
        <v>3</v>
      </c>
      <c r="F6280">
        <f>HYPERLINK("https://www.reddit.com/r/GERD/comments/fxcwcs/anyone_else_have_nausea_and_change_in_bowel/")</f>
        <v/>
      </c>
      <c r="G6280" t="inlineStr">
        <is>
          <t>2020-04-08 12:22:22</t>
        </is>
      </c>
      <c r="H6280" t="inlineStr"/>
    </row>
    <row r="6281">
      <c r="A6281" t="inlineStr">
        <is>
          <t>fxd0bw</t>
        </is>
      </c>
      <c r="B6281" t="inlineStr">
        <is>
          <t>Missed dose???</t>
        </is>
      </c>
      <c r="C6281" t="inlineStr">
        <is>
          <t>I just started taking omeprazole yesterday and originally took it at 8 am. Today, I accidentally slept in until 1 (I haven't been sleeping well at all due to acid reflux), and immediately realized I missed my second dose. I took the second dose as soon as I realized it, but is this okay to do? On the box it says to take every 24 hrs, but does it have to be EXACTLY the same time each day? If I miss a dose, is it okay if I take it later? And similarly, if I take a missed dose, can I go back to my original time of 8am, meaning it will have been less than 24 hrs?</t>
        </is>
      </c>
      <c r="D6281" t="n">
        <v>1</v>
      </c>
      <c r="E6281" t="n">
        <v>2</v>
      </c>
      <c r="F6281">
        <f>HYPERLINK("https://www.reddit.com/r/GERD/comments/fxd0bw/missed_dose/")</f>
        <v/>
      </c>
      <c r="G6281" t="inlineStr">
        <is>
          <t>2020-04-08 12:28:18</t>
        </is>
      </c>
      <c r="H6281" t="inlineStr"/>
    </row>
    <row r="6282">
      <c r="A6282" t="inlineStr">
        <is>
          <t>fxd8sx</t>
        </is>
      </c>
      <c r="B6282" t="inlineStr">
        <is>
          <t>Omeprazole, Tinnitus</t>
        </is>
      </c>
      <c r="C6282" t="inlineStr">
        <is>
          <t>Hello, i've been using Omeprazole for like 6 days after my treatment for H pylori. I never had tinnitus before, i noticed that i got it the third day of medication. Is it a coincidence or can Omeprazole cause tinnitus? Today i stopped taking it and i hope that it goes away.</t>
        </is>
      </c>
      <c r="D6282" t="n">
        <v>1</v>
      </c>
      <c r="E6282" t="n">
        <v>16</v>
      </c>
      <c r="F6282">
        <f>HYPERLINK("https://www.reddit.com/r/GERD/comments/fxd8sx/omeprazole_tinnitus/")</f>
        <v/>
      </c>
      <c r="G6282" t="inlineStr">
        <is>
          <t>2020-04-08 12:40:46</t>
        </is>
      </c>
      <c r="H6282" t="inlineStr"/>
    </row>
    <row r="6283">
      <c r="A6283" t="inlineStr">
        <is>
          <t>fxde6p</t>
        </is>
      </c>
      <c r="B6283" t="inlineStr">
        <is>
          <t>Tight slight fist like feeling below sternum</t>
        </is>
      </c>
      <c r="C6283" t="inlineStr">
        <is>
          <t xml:space="preserve">
-The last 4 days I have been way less hungry.
-I get full really quick
-takes forever to digest (way more than normal)
-stools are slightly diarrhea, slightly formed
Random thought:
I have the ability to burp on cue, but was unable to get much air to burp due to that tight fist like feeling in area below sternum (few inches above belly button)
I feel like I need to expand my stomach to feel better (even when there’s no food inside) 
What’s going on here? 
No nausea, no vomiting, no heartburn</t>
        </is>
      </c>
      <c r="D6283" t="n">
        <v>1</v>
      </c>
      <c r="E6283" t="n">
        <v>6</v>
      </c>
      <c r="F6283">
        <f>HYPERLINK("https://www.reddit.com/r/GERD/comments/fxde6p/tight_slight_fist_like_feeling_below_sternum/")</f>
        <v/>
      </c>
      <c r="G6283" t="inlineStr">
        <is>
          <t>2020-04-08 12:48:15</t>
        </is>
      </c>
      <c r="H6283" t="inlineStr"/>
    </row>
    <row r="6284">
      <c r="A6284" t="inlineStr">
        <is>
          <t>fxhioh</t>
        </is>
      </c>
      <c r="B6284" t="inlineStr">
        <is>
          <t>How to make the most of a virtual visit with my GI doctor</t>
        </is>
      </c>
      <c r="C6284" t="inlineStr">
        <is>
          <t>Hi everyone.
Like a lot of you on here, my GERD is deeply linked to my anxiety and depression. I have GAD and MDD which has gotten progressively worse with the COVID-19 quarantine.  My reflux came back the past two weeks with venegance. Nexium, probiotics, pepcid, and tums or gaviscon aren’t cutting it. I cut out my usual triggers but I can’t eat anything but English muffins without bile and acid in my mouth and throat.
I’ve also has globus sensation (lump in throat) and throat constriction that only goes away during sleep. I have post nasal drip which isn’t helped by my allergy meds and I’m burping like crazy. My tongue also feels like it’s permanently depressed in the back, as if a doctor is pressing on it with one of those popsicles?
My old GI doctor left so I have a new one but the office is only seeing patients virtually due to the pandemic. That makes sense. But I’m concerned about the limitations of her examination tomorrow. What can I do or ask to make the most out of this visit?  Can GIs prescribe psych meds? I used to be on an antidepressant for anxiety (Lexapro) so I’m wondering if a doctor for reflux could offer that.  Also so you folks have any tricks or tips for relieving throat and mouth discomfort?</t>
        </is>
      </c>
      <c r="D6284" t="n">
        <v>1</v>
      </c>
      <c r="E6284" t="n">
        <v>1</v>
      </c>
      <c r="F6284">
        <f>HYPERLINK("https://www.reddit.com/r/GERD/comments/fxhioh/how_to_make_the_most_of_a_virtual_visit_with_my/")</f>
        <v/>
      </c>
      <c r="G6284" t="inlineStr">
        <is>
          <t>2020-04-08 16:39:18</t>
        </is>
      </c>
      <c r="H6284" t="inlineStr"/>
    </row>
    <row r="6285">
      <c r="A6285" t="inlineStr">
        <is>
          <t>fxi323</t>
        </is>
      </c>
      <c r="B6285" t="inlineStr">
        <is>
          <t>Frog croak sound</t>
        </is>
      </c>
      <c r="C6285" t="inlineStr">
        <is>
          <t>Anyone else get like a gurgle/frog croak sound from their stomach when they swallow saliva occasionally? It's like from where the saliva enters the stomach. I've never noticed it before these symptoms started. I don't know what it is. Can't find any info about it.</t>
        </is>
      </c>
      <c r="D6285" t="n">
        <v>2</v>
      </c>
      <c r="E6285" t="n">
        <v>12</v>
      </c>
      <c r="F6285">
        <f>HYPERLINK("https://www.reddit.com/r/GERD/comments/fxi323/frog_croak_sound/")</f>
        <v/>
      </c>
      <c r="G6285" t="inlineStr">
        <is>
          <t>2020-04-08 17:14:07</t>
        </is>
      </c>
      <c r="H6285" t="inlineStr"/>
    </row>
    <row r="6286">
      <c r="A6286" t="inlineStr">
        <is>
          <t>fxlkwa</t>
        </is>
      </c>
      <c r="B6286" t="inlineStr">
        <is>
          <t>Ulcer/sore in back of throat ?</t>
        </is>
      </c>
      <c r="C6286" t="inlineStr">
        <is>
          <t>I’m on the path of quitting omeprazole. Was on 20mg so I’m doing every other day. Literally on day 2 I notice a sore of sore or ulcer in the back of my throat near my tonsils. 
Could this be a rebound effect, cause I definitely feel I’m getting silent reflux or something. 
Or am I just getting sick lol, cause I do have mucus as well.</t>
        </is>
      </c>
      <c r="D6286" t="n">
        <v>1</v>
      </c>
      <c r="E6286" t="n">
        <v>1</v>
      </c>
      <c r="F6286">
        <f>HYPERLINK("https://www.reddit.com/r/GERD/comments/fxlkwa/ulcersore_in_back_of_throat/")</f>
        <v/>
      </c>
      <c r="G6286" t="inlineStr">
        <is>
          <t>2020-04-08 21:11:02</t>
        </is>
      </c>
      <c r="H6286" t="inlineStr"/>
    </row>
    <row r="6287">
      <c r="A6287" t="inlineStr">
        <is>
          <t>fxln1c</t>
        </is>
      </c>
      <c r="B6287" t="inlineStr">
        <is>
          <t>Gaviscon made my heartburn worse.</t>
        </is>
      </c>
      <c r="C6287" t="inlineStr">
        <is>
          <t>My doctor recommend Gaviscon, but once i take it it make it worse, am i the only one?</t>
        </is>
      </c>
      <c r="D6287" t="n">
        <v>1</v>
      </c>
      <c r="E6287" t="n">
        <v>5</v>
      </c>
      <c r="F6287">
        <f>HYPERLINK("https://www.reddit.com/r/GERD/comments/fxln1c/gaviscon_made_my_heartburn_worse/")</f>
        <v/>
      </c>
      <c r="G6287" t="inlineStr">
        <is>
          <t>2020-04-08 21:15:32</t>
        </is>
      </c>
      <c r="H6287" t="inlineStr"/>
    </row>
    <row r="6288">
      <c r="A6288" t="inlineStr">
        <is>
          <t>fxlrin</t>
        </is>
      </c>
      <c r="B6288" t="inlineStr">
        <is>
          <t>Cough syrup for LPR/ acid reflux cough?</t>
        </is>
      </c>
      <c r="C6288" t="inlineStr">
        <is>
          <t>Almost week ago, I experienced severe anxiety and stress due to the pandemic. I also ate a super spicy and oily food at the same time. Not knowing that I was eating way too fast and when I woke up the next day I experienced painful burps and yawn. That pain went away after a day. But now I'm dealing with dry cough that might also have slight phlegm around my throat. My voice also slightly changed possibly, due to phlegm.
I was wondering if I could take some cough syrup that might help me with cough.
Anyone experienced this before?
I'm getting really worried of this cough rn...</t>
        </is>
      </c>
      <c r="D6288" t="n">
        <v>1</v>
      </c>
      <c r="E6288" t="n">
        <v>2</v>
      </c>
      <c r="F6288">
        <f>HYPERLINK("https://www.reddit.com/r/GERD/comments/fxlrin/cough_syrup_for_lpr_acid_reflux_cough/")</f>
        <v/>
      </c>
      <c r="G6288" t="inlineStr">
        <is>
          <t>2020-04-08 21:24:54</t>
        </is>
      </c>
      <c r="H6288" t="inlineStr"/>
    </row>
    <row r="6289">
      <c r="A6289" t="inlineStr">
        <is>
          <t>fxmcyv</t>
        </is>
      </c>
      <c r="B6289" t="inlineStr">
        <is>
          <t>Morning sore throat anyone how to end with it ?</t>
        </is>
      </c>
      <c r="C6289" t="inlineStr">
        <is>
          <t>I dont have any other gerd issues, just a chronic sore throat since 6 months ago, morning is worst, feels like strep , any advice?</t>
        </is>
      </c>
      <c r="D6289" t="n">
        <v>1</v>
      </c>
      <c r="E6289" t="n">
        <v>50</v>
      </c>
      <c r="F6289">
        <f>HYPERLINK("https://www.reddit.com/r/GERD/comments/fxmcyv/morning_sore_throat_anyone_how_to_end_with_it/")</f>
        <v/>
      </c>
      <c r="G6289" t="inlineStr">
        <is>
          <t>2020-04-08 22:10:58</t>
        </is>
      </c>
      <c r="H6289" t="inlineStr"/>
    </row>
    <row r="6290">
      <c r="A6290" t="inlineStr">
        <is>
          <t>fxnaw2</t>
        </is>
      </c>
      <c r="B6290" t="inlineStr">
        <is>
          <t>This is getting annoying</t>
        </is>
      </c>
      <c r="C6290" t="inlineStr">
        <is>
          <t>So during work yesterday I had a bacon sandwich for lunch.. thought I was in the clear in terms of heartburn. I didn’t get any burning of such but I started burping a lot after an hour and developing a serious headache. Fast forward to the evening the top of my stomach is hurting under my breast bone which again is normal for heartburn/acid reflux. But what was unusual is that my headache turned into it hurting all in my nose and around my eyes and front of my head which I’ve never had.. is that from GERD or from something else? Also my mouth has been producing excess acid and a weird feeling all night which has made me unable to sleep. Is this just GERD symptoms or is there something seriously wrong with me ? I suffer from anxiety too so I don’t knkw if this plays a part in it</t>
        </is>
      </c>
      <c r="D6290" t="n">
        <v>1</v>
      </c>
      <c r="E6290" t="n">
        <v>2</v>
      </c>
      <c r="F6290">
        <f>HYPERLINK("https://www.reddit.com/r/GERD/comments/fxnaw2/this_is_getting_annoying/")</f>
        <v/>
      </c>
      <c r="G6290" t="inlineStr">
        <is>
          <t>2020-04-08 23:29:18</t>
        </is>
      </c>
      <c r="H6290" t="inlineStr"/>
    </row>
    <row r="6291">
      <c r="A6291" t="inlineStr">
        <is>
          <t>fxoof4</t>
        </is>
      </c>
      <c r="B6291" t="inlineStr">
        <is>
          <t>Wedge pillows</t>
        </is>
      </c>
      <c r="C6291" t="inlineStr">
        <is>
          <t>Do wedge pillows actually help ? I am thinking of telling my parents to buy me one.</t>
        </is>
      </c>
      <c r="D6291" t="n">
        <v>1</v>
      </c>
      <c r="E6291" t="n">
        <v>7</v>
      </c>
      <c r="F6291">
        <f>HYPERLINK("https://www.reddit.com/r/GERD/comments/fxoof4/wedge_pillows/")</f>
        <v/>
      </c>
      <c r="G6291" t="inlineStr">
        <is>
          <t>2020-04-09 01:24:47</t>
        </is>
      </c>
      <c r="H6291" t="inlineStr"/>
    </row>
    <row r="6292">
      <c r="A6292" t="inlineStr">
        <is>
          <t>fxse6q</t>
        </is>
      </c>
      <c r="B6292" t="inlineStr">
        <is>
          <t>Avoiding triggers without heartburn</t>
        </is>
      </c>
      <c r="C6292" t="inlineStr">
        <is>
          <t>Im lucky that I don't have the classic symptoms of heartburn, just a white tongue, red throat and an acidic feeling in the back of my throat. How do I figure out what my triggers are without the immediate reaction of heartburn that others experience. Thank you very much.</t>
        </is>
      </c>
      <c r="D6292" t="n">
        <v>1</v>
      </c>
      <c r="E6292" t="n">
        <v>7</v>
      </c>
      <c r="F6292">
        <f>HYPERLINK("https://www.reddit.com/r/GERD/comments/fxse6q/avoiding_triggers_without_heartburn/")</f>
        <v/>
      </c>
      <c r="G6292" t="inlineStr">
        <is>
          <t>2020-04-09 06:26:28</t>
        </is>
      </c>
      <c r="H6292" t="inlineStr"/>
    </row>
    <row r="6293">
      <c r="A6293" t="inlineStr">
        <is>
          <t>fxu1eq</t>
        </is>
      </c>
      <c r="B6293" t="inlineStr">
        <is>
          <t>Blood sugar issues while taking omeprazole?</t>
        </is>
      </c>
      <c r="C6293" t="inlineStr">
        <is>
          <t>I’ve taken two doses of omeprazole so far and I feel like it’s making my blood sugar go crazy. I do have non-diabetic hypoglycemia sometimes and I feel like this medication is making it worse. Yesterday was the second day taking it and all day I felt weak, shaky, hungry, and eating didn’t seem to help for very long. I’d be fine for about an hour or so after eating and then all of a sudden I’d start getting hypo symptoms again. Sometimes eating wouldn’t even really help, I’d still be shaky and weak afterwards.
Aside from this it’s also making me really nauseous and in general I just don’t feel too well. I’m not sure if I should stop taking it or not?</t>
        </is>
      </c>
      <c r="D6293" t="n">
        <v>1</v>
      </c>
      <c r="E6293" t="n">
        <v>2</v>
      </c>
      <c r="F6293">
        <f>HYPERLINK("https://www.reddit.com/r/GERD/comments/fxu1eq/blood_sugar_issues_while_taking_omeprazole/")</f>
        <v/>
      </c>
      <c r="G6293" t="inlineStr">
        <is>
          <t>2020-04-09 08:07:12</t>
        </is>
      </c>
      <c r="H6293" t="inlineStr"/>
    </row>
    <row r="6294">
      <c r="A6294" t="inlineStr">
        <is>
          <t>fxuk1h</t>
        </is>
      </c>
      <c r="B6294" t="inlineStr">
        <is>
          <t>What do I do now?</t>
        </is>
      </c>
      <c r="C6294" t="inlineStr">
        <is>
          <t>Waited two months for a (telephone) appointment with the GI doc I saw five years ago.  We talked about my current symptoms, and his take was that it’s not really just GERD, since I’ve taken just about all of the medications and haven’t really responded to any of them.  
He came back to my endoscopy from five years ago, which showed no damage but found evidence of food in my stomach.  They did a gastric emptying study back then, which came back normal.  At the time, my symptoms had started to subside, so I didn’t pursue it any further.
Based on that, my doctor now is recommending that I eat smaller, more frequent meals and taper back on the cimetidine I’m taking.  I’m going to try to follow his advice, but I don’t have any faith that it’s going to help anything. 
I’m pretty devastated at the moment.  I didn’t expect any miracle cures, but I feel like what I got was next to nothing.  I pretty much get to be miserable and just hope this all goes away.</t>
        </is>
      </c>
      <c r="D6294" t="n">
        <v>1</v>
      </c>
      <c r="E6294" t="n">
        <v>11</v>
      </c>
      <c r="F6294">
        <f>HYPERLINK("https://www.reddit.com/r/GERD/comments/fxuk1h/what_do_i_do_now/")</f>
        <v/>
      </c>
      <c r="G6294" t="inlineStr">
        <is>
          <t>2020-04-09 08:36:28</t>
        </is>
      </c>
      <c r="H6294" t="inlineStr"/>
    </row>
    <row r="6295">
      <c r="A6295" t="inlineStr">
        <is>
          <t>fy0yxn</t>
        </is>
      </c>
      <c r="B6295" t="inlineStr">
        <is>
          <t>“Stick in my throat” is driving me insane.</t>
        </is>
      </c>
      <c r="C6295" t="inlineStr">
        <is>
          <t>I got diagnosed with assumed acid reflux right before COVID so I can’t get an endoscopy. I have spent a month on Dexilant 60mg. I have very little chest pain but my most prevailing symptom is feeling like a stick or a shard of glass is stuck in my throat, and pieces of food don’t make it all the way down. It so annoying it has brought me to tears of frustration.  If you have experienced this, what are the diet changes that have helped to tide me over until I can see a GI again?</t>
        </is>
      </c>
      <c r="D6295" t="n">
        <v>1</v>
      </c>
      <c r="E6295" t="n">
        <v>21</v>
      </c>
      <c r="F6295">
        <f>HYPERLINK("https://www.reddit.com/r/GERD/comments/fy0yxn/stick_in_my_throat_is_driving_me_insane/")</f>
        <v/>
      </c>
      <c r="G6295" t="inlineStr">
        <is>
          <t>2020-04-09 14:22:38</t>
        </is>
      </c>
      <c r="H6295" t="inlineStr"/>
    </row>
    <row r="6296">
      <c r="A6296" t="inlineStr">
        <is>
          <t>fy3dmh</t>
        </is>
      </c>
      <c r="B6296" t="inlineStr">
        <is>
          <t>Ringing Ears and GERD</t>
        </is>
      </c>
      <c r="C6296" t="inlineStr">
        <is>
          <t>I recently started having ringing ears 24/7 and a couple days later diagnosed with GERD. 
Are these correlated? Will my ringing go away with the H2 blockers I was prescribed to stop my acid reflux?</t>
        </is>
      </c>
      <c r="D6296" t="n">
        <v>1</v>
      </c>
      <c r="E6296" t="n">
        <v>10</v>
      </c>
      <c r="F6296">
        <f>HYPERLINK("https://www.reddit.com/r/GERD/comments/fy3dmh/ringing_ears_and_gerd/")</f>
        <v/>
      </c>
      <c r="G6296" t="inlineStr">
        <is>
          <t>2020-04-09 16:44:27</t>
        </is>
      </c>
      <c r="H6296" t="inlineStr"/>
    </row>
    <row r="6297">
      <c r="A6297" t="inlineStr">
        <is>
          <t>fy599j</t>
        </is>
      </c>
      <c r="B6297" t="inlineStr">
        <is>
          <t>GERD with no heartburn?</t>
        </is>
      </c>
      <c r="C6297" t="inlineStr">
        <is>
          <t>I was diagnosed with GERD right before the pandemic and was not able to be tested. I’m unable to tell what my triggers are; I can eat half a bag of crispy mini’s and I don’t feel heartburn when I feel like I should? My throat will feel a little swollen after but usually goes away almost immediately. I rarely ever get heartburn only with fried foods &amp;amp; Pickles. 
I’m not sure if I should be worried or not, could it be silent reflux? I’m concerned because I do not want to damage my esophagus. 
My symptoms are mostly mild sore throat, headaches &amp;amp; back pain. (With sternum pain SOMETIMES) There used to be a lot of other symptoms but taking omeprazole has stopped most symptoms but those few. 
It would really help if someone can maybe guess to what it may be? Not a diagnoses or anything just curious.</t>
        </is>
      </c>
      <c r="D6297" t="n">
        <v>1</v>
      </c>
      <c r="E6297" t="n">
        <v>5</v>
      </c>
      <c r="F6297">
        <f>HYPERLINK("https://www.reddit.com/r/GERD/comments/fy599j/gerd_with_no_heartburn/")</f>
        <v/>
      </c>
      <c r="G6297" t="inlineStr">
        <is>
          <t>2020-04-09 18:29:17</t>
        </is>
      </c>
      <c r="H6297" t="inlineStr"/>
    </row>
    <row r="6298">
      <c r="A6298" t="inlineStr">
        <is>
          <t>fy5hto</t>
        </is>
      </c>
      <c r="B6298" t="inlineStr">
        <is>
          <t>Any updates on Ranitidine?</t>
        </is>
      </c>
      <c r="C6298" t="inlineStr">
        <is>
          <t>Hello all. I’m curious if anyone has come across any updates on the recall on Ranitidine. I took it awhile back just before it got recalled. I only took it for a month, and somewhat inconsistently. I’m a bit of a hypochondriac and the contamination had me pretty scared for awhile. Any updates or specifics would very much be appreciated. Latest update by FDA: https://www.fda.gov/news-events/press-announcements/fda-requests-removal-all-ranitidine-products-zantac-market
My apologies if this topic has been done to death. I am relatively new to Reddit and I don’t frequent this reddit.</t>
        </is>
      </c>
      <c r="D6298" t="n">
        <v>1</v>
      </c>
      <c r="E6298" t="n">
        <v>14</v>
      </c>
      <c r="F6298">
        <f>HYPERLINK("https://www.reddit.com/r/GERD/comments/fy5hto/any_updates_on_ranitidine/")</f>
        <v/>
      </c>
      <c r="G6298" t="inlineStr">
        <is>
          <t>2020-04-09 18:42:06</t>
        </is>
      </c>
      <c r="H6298" t="inlineStr"/>
    </row>
    <row r="6299">
      <c r="A6299" t="inlineStr">
        <is>
          <t>fy5sde</t>
        </is>
      </c>
      <c r="B6299" t="inlineStr">
        <is>
          <t>My Story - My Heart</t>
        </is>
      </c>
      <c r="C6299" t="inlineStr">
        <is>
          <t>Hi everyone,
I'll try and keep this short do that you don't get too bored.
In December, I began to get very bad palpitations and ectopic beats in my heart. Consequently, I did all the tests - bloods, ecg, holter monitor, echo - which came back as fine. However, I am almost constantly feeling pains in my chest and getting strong ectopic beats and chest sensations.
Lately, they've been particularly bad in the morning where I'm lying in bed and it's almost impossible to remain lying down due to these sensations. They make me feel sick. 
I am constantly burping throughout the day. 
My doctor chalked it down to stress and anxiety. 
May I ask what your experience is with GERD? Are your symptoms similar to mine? I can help shake the feeling that it's my heart, since that's what I feel most of the time.
Thank you!</t>
        </is>
      </c>
      <c r="D6299" t="n">
        <v>1</v>
      </c>
      <c r="E6299" t="n">
        <v>47</v>
      </c>
      <c r="F6299">
        <f>HYPERLINK("https://www.reddit.com/r/GERD/comments/fy5sde/my_story_my_heart/")</f>
        <v/>
      </c>
      <c r="G6299" t="inlineStr">
        <is>
          <t>2020-04-09 18:58:49</t>
        </is>
      </c>
      <c r="H6299" t="inlineStr"/>
    </row>
    <row r="6300">
      <c r="A6300" t="inlineStr">
        <is>
          <t>fy6c8z</t>
        </is>
      </c>
      <c r="B6300" t="inlineStr">
        <is>
          <t>Horrible pains.</t>
        </is>
      </c>
      <c r="C6300" t="inlineStr">
        <is>
          <t>I’m very lost, I’ve been to the doctor MANY times and every time they never help. I’m having bad lumbar pains/back pains, I’ve took meds for kidney infections/bladder infections but nothing has worked. 
My question is can GERD cause this pain? I’ve been diagnosed with GERD for about a month and still don’t know what pains are normal or not. Please help.</t>
        </is>
      </c>
      <c r="D6300" t="n">
        <v>1</v>
      </c>
      <c r="E6300" t="n">
        <v>8</v>
      </c>
      <c r="F6300">
        <f>HYPERLINK("https://www.reddit.com/r/GERD/comments/fy6c8z/horrible_pains/")</f>
        <v/>
      </c>
      <c r="G6300" t="inlineStr">
        <is>
          <t>2020-04-09 19:29:31</t>
        </is>
      </c>
      <c r="H6300" t="inlineStr"/>
    </row>
    <row r="6301">
      <c r="A6301" t="inlineStr">
        <is>
          <t>fy754w</t>
        </is>
      </c>
      <c r="B6301" t="inlineStr">
        <is>
          <t>Looking for input - at a slight loss</t>
        </is>
      </c>
      <c r="C6301" t="inlineStr">
        <is>
          <t>M42. I'm looking for the root cause of my issue, and hoping some have seen this or experienced something like this and can relate with answers and or suggestions. 
In brief, I had a tonsillectomy in Dec 2019. In Late Jan/Feb, had a bronchitis and was put on two rounds of antibiotics, along with a steroid. Right after the second round, I started getting this really sour taste in the back of my mouth, which comes regardless of whether I was eating or not. 
The ENT, after an MRI, and plenty of scoping, ruled out a nerve issue - she said that I had hallmark signs of reflux. It would seem that I do have some LPR, that I don't have the tell tale signs of heartburn. 
I'm on 20 MG of Nexium. And a Pepcid in the evening. My throat feels tight and Irritated. Part of me thinks the taste is the scar tissue in my throat, could that be something taste related?
I thought I was getting better, then all of a sudden, as of yesterday, I have this really bad sour taste in the back of my mouth. It's unbearable. Just like I had before.
I'd go and get an edndosopy right now if it weren't for this f-ing pandemic. Just trying to get to the bottom of this. If at all possible. 
Again, seems like this thing is hanging around even when I don't eat. I'm considering fasting for two days just to see. 
Thank you!
P.S. I'm sure if you're in this sub, and reading this, you've got some of your own issues and I hope you are doing ok.</t>
        </is>
      </c>
      <c r="D6301" t="n">
        <v>1</v>
      </c>
      <c r="E6301" t="n">
        <v>5</v>
      </c>
      <c r="F6301">
        <f>HYPERLINK("https://www.reddit.com/r/GERD/comments/fy754w/looking_for_input_at_a_slight_loss/")</f>
        <v/>
      </c>
      <c r="G6301" t="inlineStr">
        <is>
          <t>2020-04-09 20:15:59</t>
        </is>
      </c>
      <c r="H6301" t="inlineStr"/>
    </row>
    <row r="6302">
      <c r="A6302" t="inlineStr">
        <is>
          <t>fy8d5q</t>
        </is>
      </c>
      <c r="B6302" t="inlineStr">
        <is>
          <t>I (25 F) have multiple symptoms please help me determine what I could experiencing</t>
        </is>
      </c>
      <c r="C6302" t="inlineStr">
        <is>
          <t>Hello all,
My apologies if this is not the correct formatting or title I am brand new here and looking for help. 
I’ve always burped, not in like a belching I-just-drank-soda type way but burps nonetheless. More recently (about five days ago) these burps have become EXTREMELY frequent. After drinking water, before even eating or drinking anything. Additionally, it feels as though there is a burp trapped I am always trying to get myself to have the one burp that’ll just clear it all up but alas, no. 3 days ago I began to feel like chest pains not hard but a mid chest region-after taking bites swallowing. These feelings were very painful. 
I have anxiety, this has been magnified with the ongoing pandemic. Once I went down the rabbit hole of google I figured I would try an acid reflux type chewable. I took this for first time 2 days ago. This helped tremendously and the pains went away. They have not come back. I also attempted to utilize remedies such as not lying down after a meal and eating slowly. I am still burping frequently and just now I had a burp so powerful I thought I was going to vomit. 
A few other symptoms worth mentioning is slight abdominal cramping and random coughing. Additionally, my diet has not changed at all this was all very random thus making it even more alarming. 
I’m not sure if this is acid reflux, heartburn or GERD. Any information or insight would be much appreciated!</t>
        </is>
      </c>
      <c r="D6302" t="n">
        <v>1</v>
      </c>
      <c r="E6302" t="n">
        <v>5</v>
      </c>
      <c r="F6302">
        <f>HYPERLINK("https://www.reddit.com/r/GERD/comments/fy8d5q/i_25_f_have_multiple_symptoms_please_help_me/")</f>
        <v/>
      </c>
      <c r="G6302" t="inlineStr">
        <is>
          <t>2020-04-09 21:31:15</t>
        </is>
      </c>
      <c r="H6302" t="inlineStr"/>
    </row>
    <row r="6303">
      <c r="A6303" t="inlineStr">
        <is>
          <t>fyhb3t</t>
        </is>
      </c>
      <c r="B6303" t="inlineStr">
        <is>
          <t>Omeprazole</t>
        </is>
      </c>
      <c r="C6303" t="inlineStr">
        <is>
          <t>I have GERD. But I never coughed before taking Omeprazole. I've been coughing about 5 times a day on Omeprazole. Is this normal.</t>
        </is>
      </c>
      <c r="D6303" t="n">
        <v>1</v>
      </c>
      <c r="E6303" t="n">
        <v>23</v>
      </c>
      <c r="F6303">
        <f>HYPERLINK("https://www.reddit.com/r/GERD/comments/fyhb3t/omeprazole/")</f>
        <v/>
      </c>
      <c r="G6303" t="inlineStr">
        <is>
          <t>2020-04-10 07:56:35</t>
        </is>
      </c>
      <c r="H6303" t="inlineStr"/>
    </row>
    <row r="6304">
      <c r="A6304" t="inlineStr">
        <is>
          <t>fyj2kw</t>
        </is>
      </c>
      <c r="B6304" t="inlineStr">
        <is>
          <t>TIPS</t>
        </is>
      </c>
      <c r="C6304" t="inlineStr">
        <is>
          <t>I posted recently about not being able to go to the doctor because of coronavirus. I’m currently taking Pepcid and omeprazole daily. I have a couple of question:
1. Does your GERD flare up? It seems that mine gets really bad nonstop every few months. I wasn’t sure if other people experience that. I’m currently on week three of what I’m assuming is a flare. 
2. Do you drink coffee? I REALLY love coffee. I’ve drastically cut my consumption to a cup a day max but I try to do a cup every few days. Anyone have any suggestions here? Any magical way to still drink coffee?
3. What are your best tips for managing? 
Thank you! My appointment was pushed back 2 months and I’m really looking for any advice to get by.</t>
        </is>
      </c>
      <c r="D6304" t="n">
        <v>1</v>
      </c>
      <c r="E6304" t="n">
        <v>4</v>
      </c>
      <c r="F6304">
        <f>HYPERLINK("https://www.reddit.com/r/GERD/comments/fyj2kw/tips/")</f>
        <v/>
      </c>
      <c r="G6304" t="inlineStr">
        <is>
          <t>2020-04-10 09:26:58</t>
        </is>
      </c>
      <c r="H6304" t="inlineStr"/>
    </row>
    <row r="6305">
      <c r="A6305" t="inlineStr">
        <is>
          <t>fykkwx</t>
        </is>
      </c>
      <c r="B6305" t="inlineStr">
        <is>
          <t>Possible LPR - PPIs making it worse? Does this make sense?</t>
        </is>
      </c>
      <c r="C6305" t="inlineStr">
        <is>
          <t>I've had problems losing my voice over the past year, especially when I drink coffee and teach at the same time. It's gotten worse. If I try to drink or eat and have a conversation at the same time, I'll have to clear my throat over and over again. I have constant post-nasal drip, and sometimes I feel a slight burning high up in my throat. So, I tried PPIs--first Prilosec, then Nexium. Neither really did much. I quit diet ginger ale and reduced my coffee from 3 /day to .5/day , cut out alcohol and spicy foods. Nothing. Still the mucus, still the creepy twinges in my throat. Possibly worse, or maybe I'm just more aware of the creepy twinges now.
Just recently I switched to 2x /day with Nexium, and...it gave me heartburn and constant burping? I don't normally have heartburn, at least not regularly. Or burping. 
I'm just so confused. Is this normal? Something I read said these symptoms can be caused by low acid, but if I have LPR shouldn't I need to reduce my acid?
(Yeah, I know, I need to actually get it diagnosed. I was going to go over Spring break when the world fell apart.)</t>
        </is>
      </c>
      <c r="D6305" t="n">
        <v>1</v>
      </c>
      <c r="E6305" t="n">
        <v>9</v>
      </c>
      <c r="F6305">
        <f>HYPERLINK("https://www.reddit.com/r/GERD/comments/fykkwx/possible_lpr_ppis_making_it_worse_does_this_make/")</f>
        <v/>
      </c>
      <c r="G6305" t="inlineStr">
        <is>
          <t>2020-04-10 10:42:31</t>
        </is>
      </c>
      <c r="H6305" t="inlineStr"/>
    </row>
    <row r="6306">
      <c r="A6306" t="inlineStr">
        <is>
          <t>fykysh</t>
        </is>
      </c>
      <c r="B6306" t="inlineStr">
        <is>
          <t>GERD or Something else?</t>
        </is>
      </c>
      <c r="C6306" t="inlineStr">
        <is>
          <t>Hi everyone! I am hoping to get some clarity on whether or not what I am experiencing may be GERD. For the past week or so I have been experiencing a feeling of fullness near my stomach right under my left rib cage. The past few days I've occasionally been mid sentence on zoom calls and just need to catch my breath (which often results in a quick cough). I also have a feeling that phlegm is just chillin' in my throat but it clearly isn't. And finally, every now and then it almost feels as if my chest flutters. It doesn't really feel like a heart palpitation but maybe it is. At night when I am sleeping or laying down I do not have any symptoms of shortness of breath (if thats even what you would call it). Its mainly when I sit in certain positions as the day progresses and I have eaten. 
&amp;amp;#x200B;
Full disclosure: About three or four weeks ago I have fever, cough, shortness of breath, and loss my sense of taste/ smell. I couldn't get tested for COVID-19 but I am pretty convinced that is what it was. Its possible the lingering cough/ shortness of breath is from that but its been an awful long time since then for this to be reoccurring. 
&amp;amp;#x200B;
Thanks for your help!</t>
        </is>
      </c>
      <c r="D6306" t="n">
        <v>1</v>
      </c>
      <c r="E6306" t="n">
        <v>3</v>
      </c>
      <c r="F6306">
        <f>HYPERLINK("https://www.reddit.com/r/GERD/comments/fykysh/gerd_or_something_else/")</f>
        <v/>
      </c>
      <c r="G6306" t="inlineStr">
        <is>
          <t>2020-04-10 11:01:39</t>
        </is>
      </c>
      <c r="H6306" t="inlineStr"/>
    </row>
    <row r="6307">
      <c r="A6307" t="inlineStr">
        <is>
          <t>fyljap</t>
        </is>
      </c>
      <c r="B6307" t="inlineStr">
        <is>
          <t>Hunger feeling in chest that doesnt go away?</t>
        </is>
      </c>
      <c r="C6307" t="inlineStr">
        <is>
          <t>Hey,
So I just tapered off of dexilant 30mg and have been of the medication for 21 days. Shortly after the heartburn subsided I started getting this constant hunger feeling in my chest.
Is this normal? How long can I expect this to last? The heartburn is pretty much all gone for me now.</t>
        </is>
      </c>
      <c r="D6307" t="n">
        <v>1</v>
      </c>
      <c r="E6307" t="n">
        <v>8</v>
      </c>
      <c r="F6307">
        <f>HYPERLINK("https://www.reddit.com/r/GERD/comments/fyljap/hunger_feeling_in_chest_that_doesnt_go_away/")</f>
        <v/>
      </c>
      <c r="G6307" t="inlineStr">
        <is>
          <t>2020-04-10 11:28:17</t>
        </is>
      </c>
      <c r="H6307" t="inlineStr"/>
    </row>
    <row r="6308">
      <c r="A6308" t="inlineStr">
        <is>
          <t>fylpl7</t>
        </is>
      </c>
      <c r="B6308" t="inlineStr">
        <is>
          <t>Stretta Procedure</t>
        </is>
      </c>
      <c r="C6308" t="inlineStr">
        <is>
          <t xml:space="preserve"> Hi Am a patient with Barrets Esophagus and have a small Hiatus hernia...I have  severe reflux,indigestion and burning sensation in my throat and chest frequently.
Hence due to this i have stopped eating fried,spicy foods,pizza,burger,Chocolates etc and have started eating only rice,bread,bun etc 
After Googling about my problem Am planning to undergo a Stretta [procedure.Am](https://procedure.Am) 30 year old..I stand at 6'4 and weigh 150 pounds and i have been told am underweight ..I look skinny and am  an aspiring bodybuilder.I have read in the internet
that gaining weight increases pressure in the stomach...So will i never be able to gain weight after stretta procedure and should i live my bodybuilding dream ?Kindly advice and  provide me suggestions please..</t>
        </is>
      </c>
      <c r="D6308" t="n">
        <v>1</v>
      </c>
      <c r="E6308" t="n">
        <v>2</v>
      </c>
      <c r="F6308">
        <f>HYPERLINK("https://www.reddit.com/r/GERD/comments/fylpl7/stretta_procedure/")</f>
        <v/>
      </c>
      <c r="G6308" t="inlineStr">
        <is>
          <t>2020-04-10 11:36:11</t>
        </is>
      </c>
      <c r="H6308" t="inlineStr"/>
    </row>
    <row r="6309">
      <c r="A6309" t="inlineStr">
        <is>
          <t>fyo1mh</t>
        </is>
      </c>
      <c r="B6309" t="inlineStr">
        <is>
          <t>Help with Reflux, Burping, and pellet poops</t>
        </is>
      </c>
      <c r="C6309" t="inlineStr">
        <is>
          <t>Hello, let me preface this by saying: I know you guys aren’t doctors. That’s fine! I’m just looking for encouragement, ideas, advice, and community. Most of these meds are OTC that I reference.  
Now then...   
I’ve been having trouble with constant heartburn/burping most of the day, and:  
- carafate I’m allergic to,  
- PPI’s give me a LOT of anxiety (I’m talking panic attacks and shortness of breath that only stops once I quit them)
- Famotidine (or pepcid as you know) helps but doesn’t help enough and might give me anxiety too??  
Question:  Any methods to help stop the reflux/ constant burping and indigestion? Feel free to even guess. That’s what I’ve been doing! Gotta try.</t>
        </is>
      </c>
      <c r="D6309" t="n">
        <v>1</v>
      </c>
      <c r="E6309" t="n">
        <v>36</v>
      </c>
      <c r="F6309">
        <f>HYPERLINK("https://www.reddit.com/r/GERD/comments/fyo1mh/help_with_reflux_burping_and_pellet_poops/")</f>
        <v/>
      </c>
      <c r="G6309" t="inlineStr">
        <is>
          <t>2020-04-10 13:28:40</t>
        </is>
      </c>
      <c r="H6309" t="inlineStr"/>
    </row>
    <row r="6310">
      <c r="A6310" t="inlineStr">
        <is>
          <t>fyokhx</t>
        </is>
      </c>
      <c r="B6310" t="inlineStr">
        <is>
          <t>Could all of this just be Anxiety?</t>
        </is>
      </c>
      <c r="C6310" t="inlineStr">
        <is>
          <t xml:space="preserve">
Hello friends,
In January I began having heart palpitations after eating ( heart pounding, not especially fast or arrhythmic). I also started having bouts of violet belching and chest discomfort, which felt like someone inflated a balloon in my chest. On top of that, I started get burning and heat sensations on my face. Again,mostly after eating. Went to PCP and he seemed perplexed. Recommend PPIs. I took minimal OTC dose of Nexium for one week. This stopped the heart palpitations, but burning sensations spread to legs and feet, so stopped the Nexium. Also completely changed diet and lost 25 lbs. Went to a GI doc and they upped the dose on a different PPI.Anyway the GI said most of what I had was due to anxiety. The thing is, I’m not anxious at all until  I get these symptoms. I had one really bad spiral where I convinced myself I had some kind of cancer and had to just lay down and go to sleep, but other than that I’m fine until these symptoms come on. Finally, the higher dose of PPI acid suppressors appeared to be taking care of all these symptoms, but I reduced the dose only slightly to try and get off them and bam, all of the original symptoms came back. Anyway, what in the world is this? Anxiety? GERD? Both? 34/M</t>
        </is>
      </c>
      <c r="D6310" t="n">
        <v>1</v>
      </c>
      <c r="E6310" t="n">
        <v>9</v>
      </c>
      <c r="F6310">
        <f>HYPERLINK("https://www.reddit.com/r/GERD/comments/fyokhx/could_all_of_this_just_be_anxiety/")</f>
        <v/>
      </c>
      <c r="G6310" t="inlineStr">
        <is>
          <t>2020-04-10 13:54:55</t>
        </is>
      </c>
      <c r="H6310" t="inlineStr"/>
    </row>
    <row r="6311">
      <c r="A6311" t="inlineStr">
        <is>
          <t>fypkek</t>
        </is>
      </c>
      <c r="B6311" t="inlineStr">
        <is>
          <t>Anyone have similar symptoms? Chest pain, hard to breath and back pain?</t>
        </is>
      </c>
      <c r="C6311" t="inlineStr">
        <is>
          <t>couple years ago while in college I saw these yakult probiotic drinks at the grocery store and decided to try them cause I heard good things about it. 
A week in I started having the symptoms of what I still have today. I would randomly throw up the food I had just eaten, especially if I just laid down. Tightness in my chest worse after eating but it affects me also whenever I don’t eat. I tried most OTC for weeks and it didn’t help at all. I started to lose a ton of weight and I absolutely hated eating anything at that point. I started having a bad cough, and I’d cough year round everyday. Felt like a tickle in my throat that got worse at night. 
Eventually found protonix which was incredible! It felt like it had cured my symptoms. Now a year later it’s not working at all anymore, so my family doctor switched me over to nexium 40mg today. I still hardly eat as much as I use too. Mainly rice, grilled chicken and salads. I don’t drink coffee or soda anymore. 
Lately the chest tightness is worse than ever, I have middle back pain all the time, I’m coughing, burping up my food sometimes if I had a big meal. I just don’t feel great at all and sometimes dizzy from the shortness of breath from GERD, added with the stress of covid-19 now just makes it worse. 
Anyone have similar symptoms? I might just make an appointment for a gastro doctor right now</t>
        </is>
      </c>
      <c r="D6311" t="n">
        <v>1</v>
      </c>
      <c r="E6311" t="n">
        <v>8</v>
      </c>
      <c r="F6311">
        <f>HYPERLINK("https://www.reddit.com/r/GERD/comments/fypkek/anyone_have_similar_symptoms_chest_pain_hard_to/")</f>
        <v/>
      </c>
      <c r="G6311" t="inlineStr">
        <is>
          <t>2020-04-10 14:44:20</t>
        </is>
      </c>
      <c r="H6311" t="inlineStr"/>
    </row>
    <row r="6312">
      <c r="A6312" t="inlineStr">
        <is>
          <t>fysvss</t>
        </is>
      </c>
      <c r="B6312" t="inlineStr">
        <is>
          <t>New symptom</t>
        </is>
      </c>
      <c r="C6312" t="inlineStr">
        <is>
          <t>Hey y’all. So i’ve been diagnosed with acid reflux for about 8 months. It’s been a weird journey, but lately i’ve been developing problems breathing. I don’t know much about LPR or anything. Im making changes to my diet, but can someone give me more insight??</t>
        </is>
      </c>
      <c r="D6312" t="n">
        <v>1</v>
      </c>
      <c r="E6312" t="n">
        <v>11</v>
      </c>
      <c r="F6312">
        <f>HYPERLINK("https://www.reddit.com/r/GERD/comments/fysvss/new_symptom/")</f>
        <v/>
      </c>
      <c r="G6312" t="inlineStr">
        <is>
          <t>2020-04-10 17:39:46</t>
        </is>
      </c>
      <c r="H6312" t="inlineStr"/>
    </row>
    <row r="6313">
      <c r="A6313" t="inlineStr">
        <is>
          <t>fytq37</t>
        </is>
      </c>
      <c r="B6313" t="inlineStr">
        <is>
          <t>Trouble Breathing?</t>
        </is>
      </c>
      <c r="C6313" t="inlineStr">
        <is>
          <t>Hi there, 26 y/o who potentially has GERD? 
I've had some trouble breathing off and on in the last year. Last fall I was experiencing trouble breathing to the point where lying down gave me a feeling of "breathlessness" and my chest felt strained. I got all of the tests done to rule out anything to do with my heart/lungs: EKG test, chest x-ray, a stress test along with a cardiologist assessment, I saw a lung specialist and I even wore a heart monitor - it all came back negative. The doctor mentioned it could be stress/anxiety, which made sense at the time since I was experiencing other symptoms of anxiety as well. The symptoms went away for a bit after dealing with the stressors.
However, fast forward to the past couple weeks and I have started experiencing the persistent trouble with breathing once again without any of the usual symptoms that come along with anxiety? With COVID going around, I figured it was smart to call my doctor and rule that out, which the doctor did as I don't have a fever, a cough, sore throat, etc and this was about a week and a half ago. 
This visit, the doctor prescribed Ativan which didn't really help with the breathing issues, it just gave me a general sense of "calm", which was nice but not really helpful lol. When I went back to the doc and mentioned that, they suggested it could be related to having heartburn and acid reflux, which can also result in troubles breathing and prescribed an antacid to take everyday and test out. I'm wondering if others have had the same experience and if anyone has tips/suggestions on how to manage this, IF it even is GERD. I don't have the typical symptoms of GERD i.e. A burning sensation in my chest , usually after eating, which might be worse at night, difficulty swallowing or regurgitation of food. **My only symptoms are chest pain/trouble breathing**, which have been persistent this past week especially. It could be because my diet is not as regular as it usually is, with working from home I've found myself snacking more and eating more unhealthy foods, maybe that's why this is happening? Not sure and I'm feeling anxious about these symptoms, which probably isn't helping my case either. 
Hoping to get some answers/help here! Thanks!</t>
        </is>
      </c>
      <c r="D6313" t="n">
        <v>1</v>
      </c>
      <c r="E6313" t="n">
        <v>14</v>
      </c>
      <c r="F6313">
        <f>HYPERLINK("https://www.reddit.com/r/GERD/comments/fytq37/trouble_breathing/")</f>
        <v/>
      </c>
      <c r="G6313" t="inlineStr">
        <is>
          <t>2020-04-10 18:31:29</t>
        </is>
      </c>
      <c r="H6313" t="inlineStr"/>
    </row>
    <row r="6314">
      <c r="A6314" t="inlineStr">
        <is>
          <t>fyvhef</t>
        </is>
      </c>
      <c r="B6314" t="inlineStr">
        <is>
          <t>Nausea and cough in the morning after brushing my teeth.</t>
        </is>
      </c>
      <c r="C6314" t="inlineStr">
        <is>
          <t>I was diagnosed with GERD this week, but it was a video doctor’s appointment because of the dilemma with COVID-19. I have been having tons of stomach discomfort, bloating, and feeling like I still have to evacuate (even if I have gone to the bathroom 2-3 times a day. 
After I told the doctor that I often feel nauseated and cough a lot in the morning after brushing my teeth (even before these recent symptoms of bloating, etc), he immediately said that this could be GERD and prescribed pantoprazole. I took it yesterday for the second time and felt amazingly good. Then this morning I brushed my teeth and was coughing so much that I felt that I was going to throw up. Even though, I didn’t have anything to eat for at least 5 hours before I went to bed yesterday.
I have been feeling super bloated all day and just had a little bread, tons of water, and a banana. I’m a little better now. Has anyone experienced similar symptoms?</t>
        </is>
      </c>
      <c r="D6314" t="n">
        <v>1</v>
      </c>
      <c r="E6314" t="n">
        <v>4</v>
      </c>
      <c r="F6314">
        <f>HYPERLINK("https://www.reddit.com/r/GERD/comments/fyvhef/nausea_and_cough_in_the_morning_after_brushing_my/")</f>
        <v/>
      </c>
      <c r="G6314" t="inlineStr">
        <is>
          <t>2020-04-10 20:21:16</t>
        </is>
      </c>
      <c r="H6314" t="inlineStr"/>
    </row>
    <row r="6315">
      <c r="A6315" t="inlineStr">
        <is>
          <t>fyviqz</t>
        </is>
      </c>
      <c r="B6315" t="inlineStr">
        <is>
          <t>Orange Juice Regrets (Question)</t>
        </is>
      </c>
      <c r="C6315" t="inlineStr">
        <is>
          <t>An hour or two ago, I downed two nice, tall glasses of orange juice. Within 10 minutes I was feeling the burn deep in my throat. I knew what I was doing. But that OJ was so yummy.
Anyway, if I expect to get any good sleep tonight, I need to do something about this. It's getting worse. I ate a large dinner, which is now saturated in citrusy acids in my belly. My stomach will have this acid in it for awhile....
The question I have is what I can do about this? I take 30mg prescription of lansoprazole daily. Doesn't completely solve my heartburn issues, so I've also pulled out my big ol bottle of Tums that I have at my bedside with me. Those work alright, but the relief is very, very short-lived. I fear I might have to resort to regurgitating the OJ just to get it out of me. Y'all know how terrible it is trying to sleep when burning lava is constantly rising up your esophagus.
Would drinking a glass of milk help at all? To neutralize the acid?? Or anything else? I do have milk if that'll work.</t>
        </is>
      </c>
      <c r="D6315" t="n">
        <v>1</v>
      </c>
      <c r="E6315" t="n">
        <v>3</v>
      </c>
      <c r="F6315">
        <f>HYPERLINK("https://www.reddit.com/r/GERD/comments/fyviqz/orange_juice_regrets_question/")</f>
        <v/>
      </c>
      <c r="G6315" t="inlineStr">
        <is>
          <t>2020-04-10 20:23:49</t>
        </is>
      </c>
      <c r="H6315" t="inlineStr"/>
    </row>
    <row r="6316">
      <c r="A6316" t="inlineStr">
        <is>
          <t>fyvsgi</t>
        </is>
      </c>
      <c r="B6316" t="inlineStr">
        <is>
          <t>Does heart palpitations make anybody else feel sick to the stomach?</t>
        </is>
      </c>
      <c r="C6316" t="inlineStr">
        <is>
          <t>About a month ago I was diagnosed with GERD. During that time they were unable to do any testing. I’m having this weird thing where when I play games my adrenaline is up and it makes my heart go faster? I start to feel sick to my stomach and get lightheaded, I don’t know if it’s my anxiety or not or a symptom of gerd.</t>
        </is>
      </c>
      <c r="D6316" t="n">
        <v>1</v>
      </c>
      <c r="E6316" t="n">
        <v>11</v>
      </c>
      <c r="F6316">
        <f>HYPERLINK("https://www.reddit.com/r/GERD/comments/fyvsgi/does_heart_palpitations_make_anybody_else_feel/")</f>
        <v/>
      </c>
      <c r="G6316" t="inlineStr">
        <is>
          <t>2020-04-10 20:43:15</t>
        </is>
      </c>
      <c r="H6316" t="inlineStr"/>
    </row>
    <row r="6317">
      <c r="A6317" t="inlineStr">
        <is>
          <t>fz00v6</t>
        </is>
      </c>
      <c r="B6317" t="inlineStr">
        <is>
          <t>Can u send me pics of ur pills this month of protonix.</t>
        </is>
      </c>
      <c r="C6317" t="inlineStr">
        <is>
          <t>Alot stronger than the usual protonix. And the color looks darker? It's usually a light yellow?? And absolutely no heartburn on these. Please people I been taking these . This the 4th bottle in my life. I feel no heartburn like at all and my boyfriend sweating they used to be white. But no they was a light yellow. I notice this like an orange yellowish pill. Did it get imprinted idk but I skipped a day and I just took noe cux I need it. But I am freaking out.. this never happened to me. Anyone else bottle this month look like this?</t>
        </is>
      </c>
      <c r="D6317" t="n">
        <v>1</v>
      </c>
      <c r="E6317" t="n">
        <v>7</v>
      </c>
      <c r="F6317">
        <f>HYPERLINK("https://www.reddit.com/r/GERD/comments/fz00v6/can_u_send_me_pics_of_ur_pills_this_month_of/")</f>
        <v/>
      </c>
      <c r="G6317" t="inlineStr">
        <is>
          <t>2020-04-11 01:22:21</t>
        </is>
      </c>
      <c r="H6317" t="inlineStr"/>
    </row>
    <row r="6318">
      <c r="A6318" t="inlineStr">
        <is>
          <t>fz2phf</t>
        </is>
      </c>
      <c r="B6318" t="inlineStr">
        <is>
          <t>Chest pressure 24/7 with gerds?</t>
        </is>
      </c>
      <c r="C6318" t="inlineStr">
        <is>
          <t>Hi, I was diagnosed with acid reflux many years ago and was on and off medication. This year I was told I have gerds when I went to the hospital due to chest pressure/pain, constant belching, chronic cough. They did blood work, ultrasounds, chest xray - all came normal. I was put on pantoprozole and after the about a week and half the symptoms went away. Then about 2 months later the symptoms came back full force (around March 20ish). There was about 3 days I went without the medication due to the covid19 pandemic then the symptoms came back. I got a new supply of pantoprazole and started taking it, but the symptoms wouldnt go away. After about a week of taking my doctor switches me to dexilant 60 mg and I feel like it does nothing. My constant belching has been reduced alot, but that constant warm chest pressure with occasional sharp pain is still there.
Does anyone with gerds get anything similar to what I'm feeling?
It should be noted that I also get stressed out very easily and sometimes get anxiety.
Thank you kindly!</t>
        </is>
      </c>
      <c r="D6318" t="n">
        <v>1</v>
      </c>
      <c r="E6318" t="n">
        <v>11</v>
      </c>
      <c r="F6318">
        <f>HYPERLINK("https://www.reddit.com/r/GERD/comments/fz2phf/chest_pressure_247_with_gerds/")</f>
        <v/>
      </c>
      <c r="G6318" t="inlineStr">
        <is>
          <t>2020-04-11 04:04:22</t>
        </is>
      </c>
      <c r="H6318" t="inlineStr"/>
    </row>
    <row r="6319">
      <c r="A6319" t="inlineStr">
        <is>
          <t>fz3i29</t>
        </is>
      </c>
      <c r="B6319" t="inlineStr">
        <is>
          <t>My throat! Experiences and advice please.</t>
        </is>
      </c>
      <c r="C6319" t="inlineStr">
        <is>
          <t>I need to hear peoples experience/symptoms with GERD or Laryngopharyngeal Reflux. 
I got sick early March. Not sure what it was. But I went to the doctor and he prescribed me antibiotics, was pretty certain it was strep. I thought it was helping, but after the 10 days.. I still have a lingering persistent cough, and off and on pressure in my throat, like it feels like a fuzzy hairball, and my voice still isn't right (had lost it completely at one point). I had all this at the height of my illness (among other symptoms) It's been 35 days. It's much improved, but these couple symptoms have stayed with me. Since after the antibiotics, my stomach has been gurgling a lot now too, and gurgling up my throat. I am wondering if this could actually be bad GERD I am mistaking for still being sick? All other symptoms are gone from my illness, but these ones remain. I have times where I just have a minor little cough and throat feels fine (this part never really had gone away yet)...  tonight, I took DGL licorice, thinking it would help, but it has flared up so badly. I don't have the burning sensations I associated with GERD. I have a lot of noise/gurgling and throat pressure/soreness/hairball feeling in throat, and cough. I am buying a bunch of GERD safe foods, to hopefully help minimize these symptoms, I am buying pepcid to see if it helps too. I have been sucking on halls like candies because they have been helping the cough/ thought it was because I was still sick, but I read its terrible for gerd, if thats what it is. I am wondering if the stuff I was taking for this illness, (lots of lemon, garlic and onions, halls, listerine, vit c +eating my normal foods) caused me to have serious GERD attack? I am just surprised because, I never really have suffered from GERD before. It's so wearing down on me, having this non stop for this long. Are these typical symptoms of GERD? 
I just took 4 tums now and it gave me some relief. So I guess that means its probably it? I will consult with my doctor of course, but I as honestly hoping to avoid going there if I can avoid it now during these times. I was hoping some kind folks could please help me out and let me know if this is similar to what you have experienced. Please, and thank-you so much. I hope you all are staying safe, well and happy.</t>
        </is>
      </c>
      <c r="D6319" t="n">
        <v>1</v>
      </c>
      <c r="E6319" t="n">
        <v>0</v>
      </c>
      <c r="F6319">
        <f>HYPERLINK("https://www.reddit.com/r/GERD/comments/fz3i29/my_throat_experiences_and_advice_please/")</f>
        <v/>
      </c>
      <c r="G6319" t="inlineStr">
        <is>
          <t>2020-04-11 04:51:08</t>
        </is>
      </c>
      <c r="H6319" t="inlineStr"/>
    </row>
    <row r="6320">
      <c r="A6320" t="inlineStr">
        <is>
          <t>fz5qxv</t>
        </is>
      </c>
      <c r="B6320" t="inlineStr">
        <is>
          <t>At a loss on what to do next</t>
        </is>
      </c>
      <c r="C6320" t="inlineStr">
        <is>
          <t>History: chronic heartburn or whatever this is since the age of 6. 8 endoscopes, underwent any diet you can name, took any medication in just about any combination. Lived in four different climates, antihistamines have no impact. I’ve seen so many GI doctors that I’m really clueless as to who to see next. Actually, I’ve seen a lot of doctors: allergy, ENT, you name it. Each one recommends a different combination of medicine after endoscopy shows zero issues and they are at a loss because I’m “perfectly healthy.”
Fast forward roughly two decades later, and I really don’t know what to do now. Nexium is helping less and less now. I’m having more frequent flare ups where my throat is killing me and my stomach gets bloated from even the smallest simple meals. Burping is the norm for the one-three weeks I have these flare ups, and in between I’m decently okay. This consistent trend started about a year ago after taking a course of antibiotics, but the symptoms in general have been around on-and-off for a very long time. In the last two years, I changed my lifestyle yet again to be treading the line for underweight by BMI, and I eat incredibly clean. I have no trigger foods other than recently hummus—which I’ve eaten since like 3.
If anyone has any ideas on who I can see next, what I can try, or if they have any concept of what perhaps I might be experiencing that isn’t EE (which doctors have tried to treat unsuccessfully), please let me know. I doubt anyone will respond, but I can only hope because I’ve no where to turn, especially now that COVID-19 shut everything down.</t>
        </is>
      </c>
      <c r="D6320" t="n">
        <v>1</v>
      </c>
      <c r="E6320" t="n">
        <v>18</v>
      </c>
      <c r="F6320">
        <f>HYPERLINK("https://www.reddit.com/r/GERD/comments/fz5qxv/at_a_loss_on_what_to_do_next/")</f>
        <v/>
      </c>
      <c r="G6320" t="inlineStr">
        <is>
          <t>2020-04-11 06:56:03</t>
        </is>
      </c>
      <c r="H6320" t="inlineStr"/>
    </row>
    <row r="6321">
      <c r="A6321" t="inlineStr">
        <is>
          <t>fz7p28</t>
        </is>
      </c>
      <c r="B6321" t="inlineStr">
        <is>
          <t>How long did it take for withdrawal symptoms to go away after stopping pantoprazole?</t>
        </is>
      </c>
      <c r="C6321" t="inlineStr">
        <is>
          <t>Been off pantoprazole for about 2 months but still experience my chest burning when i eat certain things and also my stomach hurts alot with gas when i go without eating for even a short time anyone else experience this, if so how long did these symptoms last?</t>
        </is>
      </c>
      <c r="D6321" t="n">
        <v>1</v>
      </c>
      <c r="E6321" t="n">
        <v>18</v>
      </c>
      <c r="F6321">
        <f>HYPERLINK("https://www.reddit.com/r/GERD/comments/fz7p28/how_long_did_it_take_for_withdrawal_symptoms_to/")</f>
        <v/>
      </c>
      <c r="G6321" t="inlineStr">
        <is>
          <t>2020-04-11 08:36:20</t>
        </is>
      </c>
      <c r="H6321" t="inlineStr"/>
    </row>
    <row r="6322">
      <c r="A6322" t="inlineStr">
        <is>
          <t>fz813t</t>
        </is>
      </c>
      <c r="B6322" t="inlineStr">
        <is>
          <t>Milk (kefir) and esophagitis</t>
        </is>
      </c>
      <c r="C6322" t="inlineStr">
        <is>
          <t>To qualify this, I'm not one for relying on 'natural remedies' and I totally am on a high dose of Pantoprazole right now (and have been for a week). I have been having really bad trouble swallowing, and random pains up and down the food tube. Yesterday I bought some kefir to see if it would help with my indigestion. I drank it around 4 PM and by dinnertime I swear I was swallowing nearly normally again. I don't know what the hell happened, maybe it's just coincidental timing, but I don't think so. I suspect that any good milk would do. I looked it up after that fact and apparently milk does 'reduce inflammation markers' (whatever that means). But the point is, if your doc hasn't told you to avoid it, and you've got a swollen food tube, it can't hurt to try some milk. Am curious if anyone else has noticed this...?</t>
        </is>
      </c>
      <c r="D6322" t="n">
        <v>1</v>
      </c>
      <c r="E6322" t="n">
        <v>30</v>
      </c>
      <c r="F6322">
        <f>HYPERLINK("https://www.reddit.com/r/GERD/comments/fz813t/milk_kefir_and_esophagitis/")</f>
        <v/>
      </c>
      <c r="G6322" t="inlineStr">
        <is>
          <t>2020-04-11 08:51:58</t>
        </is>
      </c>
      <c r="H6322" t="inlineStr"/>
    </row>
    <row r="6323">
      <c r="A6323" t="inlineStr">
        <is>
          <t>fzahbh</t>
        </is>
      </c>
      <c r="B6323" t="inlineStr">
        <is>
          <t>DAE feel like they have a burning hot back of the tongue that fills the mouth with a disgusting taste and salivate profusely?</t>
        </is>
      </c>
      <c r="C6323" t="inlineStr">
        <is>
          <t>It's really driving me insane.</t>
        </is>
      </c>
      <c r="D6323" t="n">
        <v>2</v>
      </c>
      <c r="E6323" t="n">
        <v>1</v>
      </c>
      <c r="F6323">
        <f>HYPERLINK("https://www.reddit.com/r/GERD/comments/fzahbh/dae_feel_like_they_have_a_burning_hot_back_of_the/")</f>
        <v/>
      </c>
      <c r="G6323" t="inlineStr">
        <is>
          <t>2020-04-11 10:26:59</t>
        </is>
      </c>
      <c r="H6323" t="inlineStr"/>
    </row>
    <row r="6324">
      <c r="A6324" t="inlineStr">
        <is>
          <t>fzbh4y</t>
        </is>
      </c>
      <c r="B6324" t="inlineStr">
        <is>
          <t>What clears the nasal passages and opens breathing from silent reflux havoc?</t>
        </is>
      </c>
      <c r="C6324" t="inlineStr">
        <is>
          <t>I have a hard time getting good oxygen due to reflux and LPR/silent reflux. 
How can I keep these airways open. I just want to breathe in peace!!!!</t>
        </is>
      </c>
      <c r="D6324" t="n">
        <v>5</v>
      </c>
      <c r="E6324" t="n">
        <v>7</v>
      </c>
      <c r="F6324">
        <f>HYPERLINK("https://www.reddit.com/r/GERD/comments/fzbh4y/what_clears_the_nasal_passages_and_opens/")</f>
        <v/>
      </c>
      <c r="G6324" t="inlineStr">
        <is>
          <t>2020-04-11 10:50:02</t>
        </is>
      </c>
      <c r="H6324" t="inlineStr"/>
    </row>
    <row r="6325">
      <c r="A6325" t="inlineStr">
        <is>
          <t>fzcvlx</t>
        </is>
      </c>
      <c r="B6325" t="inlineStr">
        <is>
          <t>Do PPIs affect recovering from an infection?</t>
        </is>
      </c>
      <c r="C6325" t="inlineStr">
        <is>
          <t>I’m wondering this as I know through reading that being on PPis can make it easier to catch a infection.
I’m been recovering from a flu or cold or whatever I had 3 weeks ago but it’s so slow. I just can’t seem to get the mucus out of my throat or lungs or whatever. I’m not feeling too poorly but clearing my throat more than usual and I can “feel” mucus down in my throat further than just at the back of my mouth.
Wondering if my lansoprazole is slowing my progress??
I certainly don’t want to cut it out since I tried getting off it a month ago (after a year of daily useage) and my GERD flared up so much.
Thanks</t>
        </is>
      </c>
      <c r="D6325" t="n">
        <v>9</v>
      </c>
      <c r="E6325" t="n">
        <v>3</v>
      </c>
      <c r="F6325">
        <f>HYPERLINK("https://www.reddit.com/r/GERD/comments/fzcvlx/do_ppis_affect_recovering_from_an_infection/")</f>
        <v/>
      </c>
      <c r="G6325" t="inlineStr">
        <is>
          <t>2020-04-11 11:22:35</t>
        </is>
      </c>
      <c r="H6325" t="inlineStr"/>
    </row>
    <row r="6326">
      <c r="A6326" t="inlineStr">
        <is>
          <t>fzdbhm</t>
        </is>
      </c>
      <c r="B6326" t="inlineStr">
        <is>
          <t>17 years old with GERD?</t>
        </is>
      </c>
      <c r="C6326" t="inlineStr">
        <is>
          <t>Hello, I've been having events of food and acid regurgitation since I was 5, but didn't know that could mean a problem until now. I've never had heartburn, and every once in a while I'll feel acid come into the bottom of my throat and stay there a few seconds, but more often into the mouth (happens almost daily). Should I be worried about this? It doesn't really bother me that much but I know it's not good for the inner lining of my esophagus and it may get worse with age.</t>
        </is>
      </c>
      <c r="D6326" t="n">
        <v>1</v>
      </c>
      <c r="E6326" t="n">
        <v>7</v>
      </c>
      <c r="F6326">
        <f>HYPERLINK("https://www.reddit.com/r/GERD/comments/fzdbhm/17_years_old_with_gerd/")</f>
        <v/>
      </c>
      <c r="G6326" t="inlineStr">
        <is>
          <t>2020-04-11 11:32:53</t>
        </is>
      </c>
      <c r="H6326" t="inlineStr"/>
    </row>
    <row r="6327">
      <c r="A6327" t="inlineStr">
        <is>
          <t>fzepzi</t>
        </is>
      </c>
      <c r="B6327" t="inlineStr">
        <is>
          <t>Does GERD always come with hearthburn?</t>
        </is>
      </c>
      <c r="C6327" t="inlineStr">
        <is>
          <t>Hi! Does anyone that has been diagnosed with GERD experienced no hearthburn? I ofen have hearthburn, but not right now. However, I am experiencing GERD like symptoms. I feel like something is stuck in my throat and I have difficulty burping. I am not in pain. Does the fact that I am not experiencing hearthburn could automatically mean that I dont have GERD? Thanks :)</t>
        </is>
      </c>
      <c r="D6327" t="n">
        <v>1</v>
      </c>
      <c r="E6327" t="n">
        <v>1</v>
      </c>
      <c r="F6327">
        <f>HYPERLINK("https://www.reddit.com/r/GERD/comments/fzepzi/does_gerd_always_come_with_hearthburn/")</f>
        <v/>
      </c>
      <c r="G6327" t="inlineStr">
        <is>
          <t>2020-04-11 12:05:27</t>
        </is>
      </c>
      <c r="H6327" t="inlineStr"/>
    </row>
    <row r="6328">
      <c r="A6328" t="inlineStr">
        <is>
          <t>fzf82y</t>
        </is>
      </c>
      <c r="B6328" t="inlineStr">
        <is>
          <t>Are you coughing a lot?</t>
        </is>
      </c>
      <c r="C6328" t="inlineStr">
        <is>
          <t>Hi, is someone coughing a lot, and has a feeling that something between your stomach and throat is like"blocking"your breathing? I have it for a long time but its getting worse, I really dont know what to do.
Could someone give me advice please?</t>
        </is>
      </c>
      <c r="D6328" t="n">
        <v>1</v>
      </c>
      <c r="E6328" t="n">
        <v>22</v>
      </c>
      <c r="F6328">
        <f>HYPERLINK("https://www.reddit.com/r/GERD/comments/fzf82y/are_you_coughing_a_lot/")</f>
        <v/>
      </c>
      <c r="G6328" t="inlineStr">
        <is>
          <t>2020-04-11 12:17:13</t>
        </is>
      </c>
      <c r="H6328" t="inlineStr"/>
    </row>
    <row r="6329">
      <c r="A6329" t="inlineStr">
        <is>
          <t>fzgegm</t>
        </is>
      </c>
      <c r="B6329" t="inlineStr">
        <is>
          <t>The intense heartburn and burping 24/7 for about a week</t>
        </is>
      </c>
      <c r="C6329" t="inlineStr">
        <is>
          <t>I’ve been experiencing severe heartburn,belching and occasionally acid in my throat for about a week now. I have no idea what triggered it and it seems nothing can give me any relief I have already been to the doctor and received Prilosec(I have only started taking yesterday, once a day). It seems eating anything triggers it as well and antacids seem to be ineffective. Is there anything I could do or should I schedule a gastroenterologist appointment? I appreciate any feedback as I’ve never experienced this much pain in my life and have never as had to deal with any digestive problems in my life as I am an active 20 year old.</t>
        </is>
      </c>
      <c r="D6329" t="n">
        <v>1</v>
      </c>
      <c r="E6329" t="n">
        <v>2</v>
      </c>
      <c r="F6329">
        <f>HYPERLINK("https://www.reddit.com/r/GERD/comments/fzgegm/the_intense_heartburn_and_burping_247_for_about_a/")</f>
        <v/>
      </c>
      <c r="G6329" t="inlineStr">
        <is>
          <t>2020-04-11 12:44:33</t>
        </is>
      </c>
      <c r="H6329" t="inlineStr"/>
    </row>
    <row r="6330">
      <c r="A6330" t="inlineStr">
        <is>
          <t>fzh0mf</t>
        </is>
      </c>
      <c r="B6330" t="inlineStr">
        <is>
          <t>Acid in mouth and nose</t>
        </is>
      </c>
      <c r="C6330" t="inlineStr">
        <is>
          <t>So yeah. As title says. Am on a high dose of PPI, but I still get "burps" with acid that comes up in my mouth and sometimes large flushes that goes through nose etc... Have a hiatial hearnia so that's the reason. 
Two questions for y'all. 
Any remedies for this? Talking about remedies for acid spurting trough nose etc. 
I had a massive one a few hours ago, and it felt like my nose was filled with wasabi. Have anyone experienced **complete loss of sense of smell and taste after this?**</t>
        </is>
      </c>
      <c r="D6330" t="n">
        <v>0</v>
      </c>
      <c r="E6330" t="n">
        <v>4</v>
      </c>
      <c r="F6330">
        <f>HYPERLINK("https://www.reddit.com/r/GERD/comments/fzh0mf/acid_in_mouth_and_nose/")</f>
        <v/>
      </c>
      <c r="G6330" t="inlineStr">
        <is>
          <t>2020-04-11 12:58:44</t>
        </is>
      </c>
      <c r="H6330" t="inlineStr"/>
    </row>
    <row r="6331">
      <c r="A6331" t="inlineStr">
        <is>
          <t>fzj76w</t>
        </is>
      </c>
      <c r="B6331" t="inlineStr">
        <is>
          <t>Tips on soothing sore throat from acid?</t>
        </is>
      </c>
      <c r="C6331" t="inlineStr">
        <is>
          <t>Everything I see on LPR/GERD is generally about prevention, and believe me I am working on that too. In the meanwhile though, and for those occasions where I slip up, what can I best do to help it heal my throat heal faster after acid comes up or minimize the damage?
To clarify, I don't care pain relief (it doesn't even hurt, just mildly burns), but to actually help it heal and stop being inflammed for once.</t>
        </is>
      </c>
      <c r="D6331" t="n">
        <v>3</v>
      </c>
      <c r="E6331" t="n">
        <v>5</v>
      </c>
      <c r="F6331">
        <f>HYPERLINK("https://www.reddit.com/r/GERD/comments/fzj76w/tips_on_soothing_sore_throat_from_acid/")</f>
        <v/>
      </c>
      <c r="G6331" t="inlineStr">
        <is>
          <t>2020-04-11 14:08:37</t>
        </is>
      </c>
      <c r="H6331" t="inlineStr"/>
    </row>
    <row r="6332">
      <c r="A6332" t="inlineStr">
        <is>
          <t>fzjay5</t>
        </is>
      </c>
      <c r="B6332" t="inlineStr">
        <is>
          <t>Anyone have any insight or experience on cognitive side effects of PPIs?</t>
        </is>
      </c>
      <c r="C6332" t="inlineStr">
        <is>
          <t>Particularly I'm asking about the short term. I've tried going back on a low dose, even EOD dose, of a PPI, and in this latest attempt, as well as pretty much all previous attempts, I experience brain fog and fatigue quickly after starting PPIs. Usually after 4 or 5 doses, sooner with Dexilant.
To be clear, I don't believe this is potentially related to mineral or nutrient deficiencies. I doubt a clinically relevant deficiency can form that rapidly. It seems like some kind of short term side effect.
Has anyone else had this?</t>
        </is>
      </c>
      <c r="D6332" t="n">
        <v>2</v>
      </c>
      <c r="E6332" t="n">
        <v>4</v>
      </c>
      <c r="F6332">
        <f>HYPERLINK("https://www.reddit.com/r/GERD/comments/fzjay5/anyone_have_any_insight_or_experience_on/")</f>
        <v/>
      </c>
      <c r="G6332" t="inlineStr">
        <is>
          <t>2020-04-11 14:15:07</t>
        </is>
      </c>
      <c r="H6332" t="inlineStr"/>
    </row>
    <row r="6333">
      <c r="A6333" t="inlineStr">
        <is>
          <t>fzl8s3</t>
        </is>
      </c>
      <c r="B6333" t="inlineStr">
        <is>
          <t>Need some reassurance/advice/support</t>
        </is>
      </c>
      <c r="C6333" t="inlineStr">
        <is>
          <t>To start with i know none of you are doctors but i guess i just need some reassurance.
BACKGROUND:
7 weeks ago i went to my GP due to ear pain/sore throat/constricted feeling in throat.
I was misdiagnosed with tonsilitis, given antibiotics which i reacted to and ended up in A&amp;amp;amp;E.
In A&amp;amp;amp;E i was seen by an ENT and given a nasal endoscopy. I was told i had GERD and acute pharyngitis and to come back in 4weeks. (Given omeprezol for the duration)
Then the virus/lockdown came and the ENT told me they were unable to repeat the nasal endoscopy however i may have silent reflux, they also referred me for a MRI but thats also been cancelled for time being.
After feeling my symptoms worsening i rang my GP who prescribed another round of omeprezol and peptac acid and to refer me for a endoscopy once they can.
CURRENT SITUATION:
So ive never had GERD or silent reflux before so im constantly concerned about my symptoms. Is ear pain a genuine symptom of this? Im also getting chest tightness only when i breath in through my mouth (nose is fine). 
I quit smoking 2 weeks ago, cut out coffees and spicy food but are there any other triggers i should be aware of?
Does anyone have any advice on managing symptoms and the anxiety that comes on from them? 
Is it normal to have a persistent sore throat/ear pain/constricted throat for THIS LONG because im constantly having to tell myself to trust the doctor eventhough no one has actually managed to put a camera all the way down as of yet.</t>
        </is>
      </c>
      <c r="D6333" t="n">
        <v>1</v>
      </c>
      <c r="E6333" t="n">
        <v>9</v>
      </c>
      <c r="F6333">
        <f>HYPERLINK("https://www.reddit.com/r/GERD/comments/fzl8s3/need_some_reassuranceadvicesupport/")</f>
        <v/>
      </c>
      <c r="G6333" t="inlineStr">
        <is>
          <t>2020-04-11 16:14:21</t>
        </is>
      </c>
      <c r="H6333" t="inlineStr"/>
    </row>
    <row r="6334">
      <c r="A6334" t="inlineStr">
        <is>
          <t>fzo2j6</t>
        </is>
      </c>
      <c r="B6334" t="inlineStr">
        <is>
          <t>Probiotic supplements vs probiotic-rich foods?</t>
        </is>
      </c>
      <c r="C6334" t="inlineStr">
        <is>
          <t>I have not been formally diagnosed with GERD but based on all of my symptoms, I'm fairly certain that's what I have. I was being treated for an h. pylori infection and have a follow-up appointment with my GI doctor at the end of the month to see if the treatment worked and potentially undergo an endoscopy to see what else is going on with my GI system. During my last appointment, my doctor suggested that I take probiotics on a daily basis to help reinvigorate my gut flora after the intensive course of antibiotics that I was on. My question is, which one do you think is most effective: probiotic supplements or probiotic foods? I've been drinking a glass of kefir every single day, but part of me is a bit skeptical that it's doing anything. I also have probiotic pills at home, but am a bit wary of taking pills given my history with unnecessary overmedication so I haven't taken them yet. Any insights you can share would be greatly appreciated!</t>
        </is>
      </c>
      <c r="D6334" t="n">
        <v>4</v>
      </c>
      <c r="E6334" t="n">
        <v>3</v>
      </c>
      <c r="F6334">
        <f>HYPERLINK("https://www.reddit.com/r/GERD/comments/fzo2j6/probiotic_supplements_vs_probioticrich_foods/")</f>
        <v/>
      </c>
      <c r="G6334" t="inlineStr">
        <is>
          <t>2020-04-11 19:11:16</t>
        </is>
      </c>
      <c r="H6334" t="inlineStr"/>
    </row>
    <row r="6335">
      <c r="A6335" t="inlineStr">
        <is>
          <t>fzsi0o</t>
        </is>
      </c>
      <c r="B6335" t="inlineStr">
        <is>
          <t>Can ppi rebound cause gastritis?</t>
        </is>
      </c>
      <c r="C6335" t="inlineStr">
        <is>
          <t>Been off pantoprazole for 2 months going on 3 and still experiencing burning stomach and chest, can you get gastritis as a result of acid rebound?</t>
        </is>
      </c>
      <c r="D6335" t="n">
        <v>1</v>
      </c>
      <c r="E6335" t="n">
        <v>65</v>
      </c>
      <c r="F6335">
        <f>HYPERLINK("https://www.reddit.com/r/GERD/comments/fzsi0o/can_ppi_rebound_cause_gastritis/")</f>
        <v/>
      </c>
      <c r="G6335" t="inlineStr">
        <is>
          <t>2020-04-12 00:41:56</t>
        </is>
      </c>
      <c r="H6335" t="inlineStr"/>
    </row>
    <row r="6336">
      <c r="A6336" t="inlineStr">
        <is>
          <t>fzsz7y</t>
        </is>
      </c>
      <c r="B6336" t="inlineStr">
        <is>
          <t>Throat tightness and jerking awake when falling asleep</t>
        </is>
      </c>
      <c r="C6336" t="inlineStr">
        <is>
          <t>What’s up everyone, I have previously been seen by doctors for GERD symptoms a few years ago that included sudden shortness of breath and the sensation of something being stuck in the throat.
I was fine with everything for a while and even stopped taking the medications, but recently I’ve been having almost constant nightly flair ups that I believe may be linked to both GERD and anxiety with all this Covid-19 stuff going on, not to mention I’m currently sick and have allergies.
Anyways, to the point is when I go to lay down in the evenings for bed, I feel like my throat gets tight. This is accompanied by the classic sensation of something being stuck in my throat, as well as forced belching to try and relieve that feeling. The main concern is when I am going to fall asleep and I am on that edge of awake/asleep, I’ll jolt awake gasping for a breath with the feeling of my throat being tight.
Has anyone here experienced similar symptoms, particularly the jolting awake part? It’s very inconvenient and sometimes takes me an hour or two to fall asleep.
I have been taking the medication again for about 4 days, so here’s to hoping it helps.</t>
        </is>
      </c>
      <c r="D6336" t="n">
        <v>1</v>
      </c>
      <c r="E6336" t="n">
        <v>3</v>
      </c>
      <c r="F6336">
        <f>HYPERLINK("https://www.reddit.com/r/GERD/comments/fzsz7y/throat_tightness_and_jerking_awake_when_falling/")</f>
        <v/>
      </c>
      <c r="G6336" t="inlineStr">
        <is>
          <t>2020-04-12 01:21:39</t>
        </is>
      </c>
      <c r="H6336" t="inlineStr"/>
    </row>
    <row r="6337">
      <c r="A6337" t="inlineStr">
        <is>
          <t>fzuuai</t>
        </is>
      </c>
      <c r="B6337" t="inlineStr">
        <is>
          <t>Looking for reassurance?</t>
        </is>
      </c>
      <c r="C6337" t="inlineStr">
        <is>
          <t>Hi beautiful people!!
I come to this sub with sorrys but relief that I am not the only person in the world feeling like this even though it feels like it when I look around...  
I'm 21F and in December 2018 after a miscarriage I developed this horrid lump in my throat... I thought it was anxiety due to the trauma of the loss although I felt as though I was dealing with it ok and I've experienced anxiety before and this didn't seem to correlate but I health with it. I lost my appetite because of it and every morning woke up nauseous... I googled the symptoms (as we do) and of course I presumed it was reflux. I bought myself some gaviscon and tried to ignore it. However weeks passed and it was severely affecting my quality of life. I could barely get up and brush my hair without this persistent feeling of food being stuck at the back of my mouth. I started to lose weight which alarmed my family. I chased my gyno for a long time considering this was after the miscarriage thinking they correlated somehow but to all medical explanations, everything was perfect, in fact even better than what it was years ago. I went for MULTIPLE tests over the next 12 months. Colonoscopy, every blood test known to human kind, CT scans, ultrasounds, laparoscopy, endoscopy. The endoscopy came back with mild gastritis and that was all... THAT WAS ALL? I bawled my eyes out to my GI begging for relief and answers and while he sympathised with me he advised me GERD can be debilitating and life changing. I was in denial for a really long time that I was stuck with a chronic disease at 21 when I was relatively healthier than ALL of my friends. WHY ME? Anyway a year and 4 months have gone by and my life has never been the same. I have never got up early in the morning and bounced around my house to music like I used too, I've never did my makeup without constantly clearing my throat, coughing or (if I've ate bad food) dry reaching.   
Here I was thinking I was the only unlucky human being going through this... do you ever hear people say "ohh man I just got a bit of reflux!" as they continue to sip their alcoholic bev with limes on it and chow down their spaghetti bol? Ummmm puh lease... Try waking up daily to what feels like a piece of chicken stuck in your neck and a hot coal in your chest. Thats my only wonder? Does it subside for you guys? Obviously triggers make it so much worse for me but I never feel 100% its always kinda there... ?
Just writing this to thank you guys for coming here and supporting eachother. I pray you all heal, what a terrible thing to bond over but at least we know we're out there. This is a truly debilitating life changing disease. I often find myself missing and reminiscing about life before December 2018 but I know that will only do more damage than good. Its just nice to remember eating a big pizza while laying on the lounge watching a movie... maybe again one day :)</t>
        </is>
      </c>
      <c r="D6337" t="n">
        <v>2</v>
      </c>
      <c r="E6337" t="n">
        <v>12</v>
      </c>
      <c r="F6337">
        <f>HYPERLINK("https://www.reddit.com/r/GERD/comments/fzuuai/looking_for_reassurance/")</f>
        <v/>
      </c>
      <c r="G6337" t="inlineStr">
        <is>
          <t>2020-04-12 04:04:22</t>
        </is>
      </c>
      <c r="H6337" t="inlineStr"/>
    </row>
    <row r="6338">
      <c r="A6338" t="inlineStr">
        <is>
          <t>fzvetk</t>
        </is>
      </c>
      <c r="B6338" t="inlineStr">
        <is>
          <t>is this what LPR/silent reflux is like?</t>
        </is>
      </c>
      <c r="C6338" t="inlineStr">
        <is>
          <t>so, since the doctors offices are closed until Tuesday (due to the Easter stuff or whatever) I can’t go see one yet. but I just want to have an idea of what I’m dealing with. so, for the past couple of days I have been having trouble with eating. sometimes when I swallow food it feels like it kind of gets stuck (not to the point where I’m gasping for air or uncontrollably coughing). 
The main thing I’ve been dealing with those is anything that I eat makes me feel really bloated and really short of breathe. From chips to a banana. it’s really uncomfortable and can last a little while and sometimes I feel a slight burning in my throat. but it’s not extremely painful or painful at all.
letting out gas seems to relieve it a little bit. but i have no clue what to eat, because everything seems to be making me feel bloated. i have also been drinking more water than usual since i had pneumonia a couple of weeks back and took Amoxicillin for it. 
but the shortness of breath seemed to start after i bit into some spice and it all went downhill from there. but just before that i could eat or drink whatever i want and this has never happened before.
any suggestions would be very helpful. thank you!</t>
        </is>
      </c>
      <c r="D6338" t="n">
        <v>1</v>
      </c>
      <c r="E6338" t="n">
        <v>10</v>
      </c>
      <c r="F6338">
        <f>HYPERLINK("https://www.reddit.com/r/GERD/comments/fzvetk/is_this_what_lprsilent_reflux_is_like/")</f>
        <v/>
      </c>
      <c r="G6338" t="inlineStr">
        <is>
          <t>2020-04-12 04:52:18</t>
        </is>
      </c>
      <c r="H6338" t="inlineStr"/>
    </row>
    <row r="6339">
      <c r="A6339" t="inlineStr">
        <is>
          <t>fzwbu5</t>
        </is>
      </c>
      <c r="B6339" t="inlineStr">
        <is>
          <t>Omeprazole and GERD (bit of a long one)</t>
        </is>
      </c>
      <c r="C6339" t="inlineStr">
        <is>
          <t>So I was prescribed Omeprazole because I had  gastritis/GERD and I was taking that for a few days and seem to settle my stomach a lot, so I stopped taking them because I thought ahh my acid is getting better and would rather not take tablets. Fast forward a couple weeks later I’m getting a acid reflux, bad stomachs and feeling uncomfortable with a lot of bloating.. I then look up and find out it’s called acid rebound, so again I take them again for three days and in my head for some reason I think ahh the acid rebound won’t come back because this time I’ve actually eaten better blah blah blah. Low and behold it’s come back again, so now I’ve just thought sod it im gonna just take the Omeprazole for a long time so I don’t get reflux and I can’t get the rebound acid. Has anyone done this?
Originally I was suppose to be on the Omeprazole for three months anyway, in total I’ve done around 8 days. If anyone has any suggestions or advice for me that would be helpful:)
Also anyone who has taken Omeprazole have they ever had any side affects?</t>
        </is>
      </c>
      <c r="D6339" t="n">
        <v>1</v>
      </c>
      <c r="E6339" t="n">
        <v>4</v>
      </c>
      <c r="F6339">
        <f>HYPERLINK("https://www.reddit.com/r/GERD/comments/fzwbu5/omeprazole_and_gerd_bit_of_a_long_one/")</f>
        <v/>
      </c>
      <c r="G6339" t="inlineStr">
        <is>
          <t>2020-04-12 06:00:15</t>
        </is>
      </c>
      <c r="H6339" t="inlineStr"/>
    </row>
    <row r="6340">
      <c r="A6340" t="inlineStr">
        <is>
          <t>fzwcpb</t>
        </is>
      </c>
      <c r="B6340" t="inlineStr">
        <is>
          <t>My acid reflux came back after I took tums for the first time in forever...</t>
        </is>
      </c>
      <c r="C6340" t="inlineStr">
        <is>
          <t>I had bad reflux for a couple of weeks and got rid of it by eating less/eating a strict diet for a bit as well. Well then I was able to eat whatever I want again. 3 months later, I ate too much a couple of nights ago too close to bedtime so I took tums because I couldn’t lay down without getting reflux. Well ever since I woke up the next morning, it feels like I’m back to ground 0 and get reflux nearly every meal again. I’ve been having to start all over again, cutting out foods and eating low carbs. 
Just a PSA- tums might be doing more harm than good. Only take it if you need to. It’s better to get to the root of the problem than apply this temp fix that is actually worse for you in the long run</t>
        </is>
      </c>
      <c r="D6340" t="n">
        <v>0</v>
      </c>
      <c r="E6340" t="n">
        <v>8</v>
      </c>
      <c r="F6340">
        <f>HYPERLINK("https://www.reddit.com/r/GERD/comments/fzwcpb/my_acid_reflux_came_back_after_i_took_tums_for/")</f>
        <v/>
      </c>
      <c r="G6340" t="inlineStr">
        <is>
          <t>2020-04-12 06:01:45</t>
        </is>
      </c>
      <c r="H6340" t="inlineStr"/>
    </row>
    <row r="6341">
      <c r="A6341" t="inlineStr">
        <is>
          <t>fzwlvq</t>
        </is>
      </c>
      <c r="B6341" t="inlineStr">
        <is>
          <t>Omeprazole side effects anyone?</t>
        </is>
      </c>
      <c r="C6341" t="inlineStr">
        <is>
          <t>I have been on omeprazole for 5 weeks now and up until afew days ago things for the most part have been fine. 
Im suddenly feeling very dizzy, nauseous and tired. After reading the little leaflet that comes with the pills it seems these are common but also that omeprezole can also inhibit iron absorption.
I am due on quite soon so im assuming the dizziness/fatigue is a combination of low iron and the side effect of omeprezole.
Has anyone else experienced any of these symptoms whilst taking omeprezole before? 
Should i stop taking them for a while and see how i get on?
I would ring my GP for guidance but they are closed until tuesday and even then its still a long wait for phone appointment.</t>
        </is>
      </c>
      <c r="D6341" t="n">
        <v>1</v>
      </c>
      <c r="E6341" t="n">
        <v>21</v>
      </c>
      <c r="F6341">
        <f>HYPERLINK("https://www.reddit.com/r/GERD/comments/fzwlvq/omeprazole_side_effects_anyone/")</f>
        <v/>
      </c>
      <c r="G6341" t="inlineStr">
        <is>
          <t>2020-04-12 06:18:42</t>
        </is>
      </c>
      <c r="H6341" t="inlineStr"/>
    </row>
    <row r="6342">
      <c r="A6342" t="inlineStr">
        <is>
          <t>fzxio1</t>
        </is>
      </c>
      <c r="B6342" t="inlineStr">
        <is>
          <t>24m LPR and acid reflux</t>
        </is>
      </c>
      <c r="C6342" t="inlineStr">
        <is>
          <t>Hi guys. I'm not sure who will be able to read this but I just wanted to give y'all Abit of hope for those whom are going through this.
3 months ago I had this lump feeling in my throat and it was really uncomfortable and painful. So I decided to go to a hospital and do a scope. And turns out it was lpr and doctor said I had to cut out alot of things in my life. Fried food, acid food/drinks,coffee Spicy food especially mala :( (those of u who know you know). And smoking too(I was a social smoker). 
But I really enjoy food and I must say I live to eat not eat to live so I was determine to cure myself. Doctor gave me some meds but after taking it for 3 days I realised it got worse so I stopped taking it. (Please still take ur meds if it makes u feel better, everyone body defers from one another) I had a clean diet or just soupy stuff and porridge and just drank water.
I think the impt part is to avoid all the trigger food I said above for awhile and really just chew food longer it really helps. It kindda got better for me and now I can barely feel the lump anymore. I now currently eat a few pieces of fried food here and there but I still try to control myself cause idw to lump to come back I know the feeling really sucks :(
Just sharing my experiences with y'all and hope y'all recover soon as well. Cheers!
Edit: the meds I took was Omeprazole and gaviscon. I did some research on them before I stop taking them. I didn't want to fully rely on eating them that's why I stopped :( I saw that once u start ur stomach would continue to rely on these meds</t>
        </is>
      </c>
      <c r="D6342" t="n">
        <v>8</v>
      </c>
      <c r="E6342" t="n">
        <v>5</v>
      </c>
      <c r="F6342">
        <f>HYPERLINK("https://www.reddit.com/r/GERD/comments/fzxio1/24m_lpr_and_acid_reflux/")</f>
        <v/>
      </c>
      <c r="G6342" t="inlineStr">
        <is>
          <t>2020-04-12 07:19:45</t>
        </is>
      </c>
      <c r="H6342" t="inlineStr"/>
    </row>
    <row r="6343">
      <c r="A6343" t="inlineStr">
        <is>
          <t>fzyauu</t>
        </is>
      </c>
      <c r="B6343" t="inlineStr">
        <is>
          <t>The Refluxer - a 'here's my blog' post, apologies...</t>
        </is>
      </c>
      <c r="C6343" t="inlineStr">
        <is>
          <t>Having had acid reflux for the last four years and having found little support out there when it first started, I thought I'd set up this blog. I'm no medical expert so it's my experience and attributable information - but I would have found this helpful four years ago, so I thought someone else might now...
 [https://therefluxer.co.uk/](https://therefluxer.co.uk/) 
Wishing you all well in this bizarre time!</t>
        </is>
      </c>
      <c r="D6343" t="n">
        <v>5</v>
      </c>
      <c r="E6343" t="n">
        <v>5</v>
      </c>
      <c r="F6343">
        <f>HYPERLINK("https://www.reddit.com/r/GERD/comments/fzyauu/the_refluxer_a_heres_my_blog_post_apologies/")</f>
        <v/>
      </c>
      <c r="G6343" t="inlineStr">
        <is>
          <t>2020-04-12 08:07:40</t>
        </is>
      </c>
      <c r="H6343" t="inlineStr"/>
    </row>
    <row r="6344">
      <c r="A6344" t="inlineStr">
        <is>
          <t>fzzfw9</t>
        </is>
      </c>
      <c r="B6344" t="inlineStr">
        <is>
          <t>Lifetime PPI or Surgery?</t>
        </is>
      </c>
      <c r="C6344" t="inlineStr">
        <is>
          <t>Hey guys
I've been diagnosed with GERD since I was in highschool. It's been almost 5 years of taking PPI esomeprazole 40 mg daily. The doctors told me I could either go for surgery or stay on meds for the rest of my life.
I'm still young in my 20s and I'm worried if I stay on PPIs for the rest of my life there will be severe long term side effects. Is there anyone like me out there?
I'm considering surgery laproscopic fundoplication but the doctors say the decision is up to me. Did anyone get the surgery, is it worth it to get off the PPIs?</t>
        </is>
      </c>
      <c r="D6344" t="n">
        <v>1</v>
      </c>
      <c r="E6344" t="n">
        <v>29</v>
      </c>
      <c r="F6344">
        <f>HYPERLINK("https://www.reddit.com/r/GERD/comments/fzzfw9/lifetime_ppi_or_surgery/")</f>
        <v/>
      </c>
      <c r="G6344" t="inlineStr">
        <is>
          <t>2020-04-12 09:11:15</t>
        </is>
      </c>
      <c r="H6344" t="inlineStr"/>
    </row>
    <row r="6345">
      <c r="A6345" t="inlineStr">
        <is>
          <t>fzzgt5</t>
        </is>
      </c>
      <c r="B6345" t="inlineStr">
        <is>
          <t>Sleeping problem with gerd</t>
        </is>
      </c>
      <c r="C6345" t="inlineStr">
        <is>
          <t>Hi guys, i am 26 yo male. Its my first time i experienced gerd.
It makes me feel like i have something stuck in my throat. I cant really fall asleep. I took gerd medicine 8 hours ago.
I am so sleepy but my sleeep keep getting stoped Immediately as soon as i start to sleep. Its been 2 days i slept for only 2 hrs.. 
How long does it take to cure gerd? And how do u guys cope with it?</t>
        </is>
      </c>
      <c r="D6345" t="n">
        <v>1</v>
      </c>
      <c r="E6345" t="n">
        <v>4</v>
      </c>
      <c r="F6345">
        <f>HYPERLINK("https://www.reddit.com/r/GERD/comments/fzzgt5/sleeping_problem_with_gerd/")</f>
        <v/>
      </c>
      <c r="G6345" t="inlineStr">
        <is>
          <t>2020-04-12 09:12:37</t>
        </is>
      </c>
      <c r="H6345" t="inlineStr"/>
    </row>
    <row r="6346">
      <c r="A6346" t="inlineStr">
        <is>
          <t>g02z2g</t>
        </is>
      </c>
      <c r="B6346" t="inlineStr">
        <is>
          <t>drug most similar to raniditine?</t>
        </is>
      </c>
      <c r="C6346" t="inlineStr">
        <is>
          <t>I was on zantac for 3 years and it worked amazingly but I had to stop taking it cus I found it’s a carcinogen, I was wondering if there’s anything similar, i’m on pepcid now for a couple days but really nauseous now, idk it I should stick to pepcid or just try something different altogether I was nauseous all day before I took zantac but the zantac made it go away completely</t>
        </is>
      </c>
      <c r="D6346" t="n">
        <v>1</v>
      </c>
      <c r="E6346" t="n">
        <v>2</v>
      </c>
      <c r="F6346">
        <f>HYPERLINK("https://www.reddit.com/r/GERD/comments/g02z2g/drug_most_similar_to_raniditine/")</f>
        <v/>
      </c>
      <c r="G6346" t="inlineStr">
        <is>
          <t>2020-04-12 12:24:23</t>
        </is>
      </c>
      <c r="H6346" t="inlineStr"/>
    </row>
    <row r="6347">
      <c r="A6347" t="inlineStr">
        <is>
          <t>g033gf</t>
        </is>
      </c>
      <c r="B6347" t="inlineStr">
        <is>
          <t>Gerd sucks!!!!</t>
        </is>
      </c>
      <c r="C6347" t="inlineStr">
        <is>
          <t>I can’t breath, my chest is always heavy/tight I wake up with awful tasting/smelling breath it smells like acid. Doesn’t help having asthma, my post nasal drip is AWFUL... My doctor is so hard to get ahold of I’m going to try all week to, but I need meds the diet thing finding out my triggers is hard... seems as if all I can eat is plain eggs.</t>
        </is>
      </c>
      <c r="D6347" t="n">
        <v>21</v>
      </c>
      <c r="E6347" t="n">
        <v>54</v>
      </c>
      <c r="F6347">
        <f>HYPERLINK("https://www.reddit.com/r/GERD/comments/g033gf/gerd_sucks/")</f>
        <v/>
      </c>
      <c r="G6347" t="inlineStr">
        <is>
          <t>2020-04-12 12:31:19</t>
        </is>
      </c>
      <c r="H6347" t="inlineStr"/>
    </row>
    <row r="6348">
      <c r="A6348" t="inlineStr">
        <is>
          <t>g03la6</t>
        </is>
      </c>
      <c r="B6348" t="inlineStr">
        <is>
          <t>tips for dealing with nausea?</t>
        </is>
      </c>
      <c r="C6348" t="inlineStr">
        <is>
          <t>I’m battling the feeling of being nauseous pretty much all day as my primary symptom, it definitely greatly reduces my quality of life Idk if anyone has any good tips for dealing with it because rifgt now it’s all i’m focused on is how crappy I feel throughout the day</t>
        </is>
      </c>
      <c r="D6348" t="n">
        <v>2</v>
      </c>
      <c r="E6348" t="n">
        <v>3</v>
      </c>
      <c r="F6348">
        <f>HYPERLINK("https://www.reddit.com/r/GERD/comments/g03la6/tips_for_dealing_with_nausea/")</f>
        <v/>
      </c>
      <c r="G6348" t="inlineStr">
        <is>
          <t>2020-04-12 12:58:48</t>
        </is>
      </c>
      <c r="H6348" t="inlineStr"/>
    </row>
    <row r="6349">
      <c r="A6349" t="inlineStr">
        <is>
          <t>g06h9l</t>
        </is>
      </c>
      <c r="B6349" t="inlineStr">
        <is>
          <t>20 years</t>
        </is>
      </c>
      <c r="C6349" t="inlineStr">
        <is>
          <t>I cannot believe it, I am nearly 40. All this time I never knew what was going on. The bad breath everything. I am so worried about this. White male.</t>
        </is>
      </c>
      <c r="D6349" t="n">
        <v>7</v>
      </c>
      <c r="E6349" t="n">
        <v>0</v>
      </c>
      <c r="F6349">
        <f>HYPERLINK("https://www.reddit.com/r/GERD/comments/g06h9l/20_years/")</f>
        <v/>
      </c>
      <c r="G6349" t="inlineStr">
        <is>
          <t>2020-04-12 15:42:47</t>
        </is>
      </c>
      <c r="H6349" t="inlineStr"/>
    </row>
    <row r="6350">
      <c r="A6350" t="inlineStr">
        <is>
          <t>g099x0</t>
        </is>
      </c>
      <c r="B6350" t="inlineStr">
        <is>
          <t>How to make constant clearing of throat and cough go away?</t>
        </is>
      </c>
      <c r="C6350" t="inlineStr">
        <is>
          <t>Hello Everyone,
I haven't been diagnosed fully I've been needing to clear my throat with a cough after eating/laying down. This is my only symptom so I'm not too concerned. Yesterday I had a pretty bad flare up with a terrible cough. 
I'm on a diet and PPI (Dexilant 60mg). My plan is to take it for 2 weeks and see if it improves then come off. 
I'm not really overweight (5'9 165lbs). 
Is there a way I can stop this and will it be permanent? 
I'm also a pilot so my health is very important as this will basically end my career if I can't get it under control. 
Thanks,</t>
        </is>
      </c>
      <c r="D6350" t="n">
        <v>1</v>
      </c>
      <c r="E6350" t="n">
        <v>4</v>
      </c>
      <c r="F6350">
        <f>HYPERLINK("https://www.reddit.com/r/GERD/comments/g099x0/how_to_make_constant_clearing_of_throat_and_cough/")</f>
        <v/>
      </c>
      <c r="G6350" t="inlineStr">
        <is>
          <t>2020-04-12 18:41:32</t>
        </is>
      </c>
      <c r="H6350" t="inlineStr"/>
    </row>
    <row r="6351">
      <c r="A6351" t="inlineStr">
        <is>
          <t>g0ad3l</t>
        </is>
      </c>
      <c r="B6351" t="inlineStr">
        <is>
          <t>Continuous Burps! What is this condition?</t>
        </is>
      </c>
      <c r="C6351" t="inlineStr">
        <is>
          <t>Good Morning everyone,
I know this is not the doctor's office but I have more faith in the wisdom of the crowds than in my local doc. I would love to hear from somebody who has felt the symptoms I started to develop in the past 2/3 months.
These days, every time I eat a meal, not necessarily junk food, I will feel like my food is never being fully processed. I always feel a little "weight" or discomfort in the upper part of my stomach (where the heart is, but more centered). Every 10/15 minutes I will have a feeling that air is building up in that region, and I will have to move aroud my body, and stand straight, to expel that air. This takes the form of a nice little burp that smells like my last food, and sometimes the burp is acidic. Most of the time though, this is not painful, but it feels very weird. The burps will continue for several hours after the meal, sometimes continue even after the night...
It's really hard for me to understand what I have, as its not really painful, but it has been there for a while and I don't think it's related to my diet. I can't correlate these symptoms to any particular shift in behavior. 
Thank you for reading guys :)
PS: I am not overweight.</t>
        </is>
      </c>
      <c r="D6351" t="n">
        <v>5</v>
      </c>
      <c r="E6351" t="n">
        <v>9</v>
      </c>
      <c r="F6351">
        <f>HYPERLINK("https://www.reddit.com/r/GERD/comments/g0ad3l/continuous_burps_what_is_this_condition/")</f>
        <v/>
      </c>
      <c r="G6351" t="inlineStr">
        <is>
          <t>2020-04-12 19:50:31</t>
        </is>
      </c>
      <c r="H6351" t="inlineStr"/>
    </row>
    <row r="6352">
      <c r="A6352" t="inlineStr">
        <is>
          <t>g0ai5z</t>
        </is>
      </c>
      <c r="B6352" t="inlineStr">
        <is>
          <t>how long for pepcid to work?</t>
        </is>
      </c>
      <c r="C6352" t="inlineStr">
        <is>
          <t>since quitting zantac a week ago and switching to pepcid i’ve been nauseous every day i’m telling myself maybe it takes a while to start working but am I wasting time by sticking to this and should it be making me feel good right away ?</t>
        </is>
      </c>
      <c r="D6352" t="n">
        <v>1</v>
      </c>
      <c r="E6352" t="n">
        <v>3</v>
      </c>
      <c r="F6352">
        <f>HYPERLINK("https://www.reddit.com/r/GERD/comments/g0ai5z/how_long_for_pepcid_to_work/")</f>
        <v/>
      </c>
      <c r="G6352" t="inlineStr">
        <is>
          <t>2020-04-12 19:59:09</t>
        </is>
      </c>
      <c r="H6352" t="inlineStr"/>
    </row>
    <row r="6353">
      <c r="A6353" t="inlineStr">
        <is>
          <t>g0anax</t>
        </is>
      </c>
      <c r="B6353" t="inlineStr">
        <is>
          <t>What is the highest dose of omeprazole you took?</t>
        </is>
      </c>
      <c r="C6353" t="inlineStr">
        <is>
          <t>80mg not helping. Is it unheard of to go higher than that?</t>
        </is>
      </c>
      <c r="D6353" t="n">
        <v>1</v>
      </c>
      <c r="E6353" t="n">
        <v>10</v>
      </c>
      <c r="F6353">
        <f>HYPERLINK("https://www.reddit.com/r/GERD/comments/g0anax/what_is_the_highest_dose_of_omeprazole_you_took/")</f>
        <v/>
      </c>
      <c r="G6353" t="inlineStr">
        <is>
          <t>2020-04-12 20:07:20</t>
        </is>
      </c>
      <c r="H6353" t="inlineStr"/>
    </row>
    <row r="6354">
      <c r="A6354" t="inlineStr">
        <is>
          <t>g0bul2</t>
        </is>
      </c>
      <c r="B6354" t="inlineStr">
        <is>
          <t>In pain, feels hopeless..</t>
        </is>
      </c>
      <c r="C6354" t="inlineStr">
        <is>
          <t>My GERD seems to be easy to handle all day until I go to sleep, I start to get palpitations, weird acidic feelings in my stomach, chest pains, and nausea. I’m following all the rules (sleeping 8in elevated, no eating or drinking water three hour’s before bed, and sleeping on my right side) what else can I do? It seems hopeless at this point. (I’m getting to the point where I’m anxious to go to sleep)</t>
        </is>
      </c>
      <c r="D6354" t="n">
        <v>5</v>
      </c>
      <c r="E6354" t="n">
        <v>12</v>
      </c>
      <c r="F6354">
        <f>HYPERLINK("https://www.reddit.com/r/GERD/comments/g0bul2/in_pain_feels_hopeless/")</f>
        <v/>
      </c>
      <c r="G6354" t="inlineStr">
        <is>
          <t>2020-04-12 21:25:55</t>
        </is>
      </c>
      <c r="H6354" t="inlineStr"/>
    </row>
    <row r="6355">
      <c r="A6355" t="inlineStr">
        <is>
          <t>g0cg1d</t>
        </is>
      </c>
      <c r="B6355" t="inlineStr">
        <is>
          <t>Can I take omeprazole before bed?</t>
        </is>
      </c>
      <c r="C6355" t="inlineStr">
        <is>
          <t>I am currently feeling some reflux symptoms and don’t want to wait until the morning to take it if I don’t have to. I probably won’t be able to sleep if I don’t do anything, so I was just wondering if I can take it now before bed?</t>
        </is>
      </c>
      <c r="D6355" t="n">
        <v>3</v>
      </c>
      <c r="E6355" t="n">
        <v>4</v>
      </c>
      <c r="F6355">
        <f>HYPERLINK("https://www.reddit.com/r/GERD/comments/g0cg1d/can_i_take_omeprazole_before_bed/")</f>
        <v/>
      </c>
      <c r="G6355" t="inlineStr">
        <is>
          <t>2020-04-12 22:09:12</t>
        </is>
      </c>
      <c r="H6355" t="inlineStr"/>
    </row>
    <row r="6356">
      <c r="A6356" t="inlineStr">
        <is>
          <t>g0d3ga</t>
        </is>
      </c>
      <c r="B6356" t="inlineStr">
        <is>
          <t>GERD and Palpitations</t>
        </is>
      </c>
      <c r="C6356" t="inlineStr">
        <is>
          <t>Hi. I'm a 28yo male. Back in 2013 I started getting chest pain. It scared me a lot because about a year earlier I had started getting palpitations. The cardiologist checked me and said I was alright although he didn't give me a specific cause for the palpitations.
Anyway, I had chest pain and returned to the cardiologist. He cleared me again. I went to many doctors until I landed on the gastroenterologist. Had an endoscopy done and yea, my esophagus was red. I had esophagitis and gerd. 
After two months of treatment with PPI and diet I felt better and went pretty much back to normal. However, in 2016 the GERD came back and it felt worse than ever. I've had two endoscopy since and, surprisingly,  the esophagus looked better and better in each. But the disconforts have actually increased. 
In early 2019, my palpitations became worse. I believe I have a form of postural intolerance/dusautonomia. I couldn't get out of bed without getting tachycardia and skipped beats. Had to start taking beta blockers that have helped me continue my daily routines. But I still cant excercice standing up without getting them. 
What else has been consistent? Stomach discomforts. While I dont usually feel chest pain any more, I get all sorts of stomach discomforts. Bloating, nausea, and pain at times. This happens to me almost every single day. Specially in the morning, having breakfast is challenging even if I'm just having papaya and boiled eggs... I take gaviscon and pepcid before going to bed or when I feel very symptomatic l but I feel like, overall, they dont help too much. I used to take Dexilant 60mg (PPI) but I felt that everytime I took it my intestines would start doing some weird contractions or cramps, so I stopped it. 
So yea, everyday I have to deal with occasional skipped beats, postural tachycardia and stomach issues. I feel like I haven't felt ok in a long time and I've had an increase in health anxiety attacks since last year because of this. 
Have any of you experienced a similar combo of symptoms?</t>
        </is>
      </c>
      <c r="D6356" t="n">
        <v>4</v>
      </c>
      <c r="E6356" t="n">
        <v>13</v>
      </c>
      <c r="F6356">
        <f>HYPERLINK("https://www.reddit.com/r/GERD/comments/g0d3ga/gerd_and_palpitations/")</f>
        <v/>
      </c>
      <c r="G6356" t="inlineStr">
        <is>
          <t>2020-04-12 22:58:30</t>
        </is>
      </c>
      <c r="H6356" t="inlineStr"/>
    </row>
    <row r="6357">
      <c r="A6357" t="inlineStr">
        <is>
          <t>g0d4ci</t>
        </is>
      </c>
      <c r="B6357" t="inlineStr">
        <is>
          <t>GERD Personal Hell- long read</t>
        </is>
      </c>
      <c r="C6357" t="inlineStr">
        <is>
          <t>Finding this subreddit was one of the best things (and maybe the worst depending how you look at it) that has happened to me. 
I am 27, and have had GERD since I was 18 but it was not diagnosed till I was 26. When I was 18, for one year straight I had shallow breathing but I wrote it off as anxiety and it eventually went away and never bothered me. The shallow breathing feeling is like I’m forcing myself to take deep breaths and/or taking frequent short breaths. From 18-23 I was fine, no shallow breathing issue. But I did however always choke on my food, which I couldn’t understand why. I wrote it off as me not properly chewing my food. 
Age 23 comes around and i start having the shallow breathing again, it would moreso come on Sundays and I again wrote it off as anxiety and Sunday scaries. I also started choking more frequently as well and that again I thought was just me not chewing properly. Both of these were impacting my quality of life but I sucked it up. The shallow breathing gave me several scares because it had sometimes I went to the hospital, because I started having heart pains as well (in hindsight it was heartburn).  Just to add, I socially drink often, eat lots of spicy food and just love eating in general. Now that I’m older it’s not as frequent but I binge drink at least 1-2 weekends out of the month. This includes beers, liquor and lots of spiked seltzer’s. 
Around age 26, my friend started choking on food and he ended up talking to a GI doctor who prescribed did an EGD and he was prescribed medications and was somewhat ok after. I never thought I had a GI issue, I did not know what GERD even was. So I went and immediately they scheduled me for a EGD. But I had to wait about 2 months to get an appointment that worked, in the meantime, I was told to take Nexium and Zantac (before it was recalled). So I started taking those and my life turned upside down...in a good way. I stopped choking, no more shallow breathing. There were a few times when those symptoms appeared but they were only after my bachelor party and my birthday weekend where I binged drank excessively. (Yes I know this is a big problem). 
Time came for my EGD, took it and I had rings in my throat due to EoE. Everything else was benign, they did a balloon dilation to expand my esophagus as well. 
Was prescribed steroids to help with the rings for one month and osmezoprale 40mg. This where things started getting weird. My shallow breathing started acting up more often, no choking but lots of wet burps, and waking up to choking on my acid. 
My symptoms have never been this bad before nor was it ever this sensitive. I used to be able to drink a few drinks, eat whatever and I would be just fine, now my body reacts like I had drank and entire forth of alcohol or eaten an entire pepper at once. 
Has anyone ever had their symptoms worsen after an EGD?
My biggest concern is the shallow breathing, I have to walk about a mile after ever meal now, even if it’s a bowl of cereal to somewhat tame my symptoms and it’s effecting my quality of life. I have an appt with my GI doctor next week but wanted to see if anyone else has tips for this.</t>
        </is>
      </c>
      <c r="D6357" t="n">
        <v>3</v>
      </c>
      <c r="E6357" t="n">
        <v>0</v>
      </c>
      <c r="F6357">
        <f>HYPERLINK("https://www.reddit.com/r/GERD/comments/g0d4ci/gerd_personal_hell_long_read/")</f>
        <v/>
      </c>
      <c r="G6357" t="inlineStr">
        <is>
          <t>2020-04-12 23:00:25</t>
        </is>
      </c>
      <c r="H6357" t="inlineStr"/>
    </row>
    <row r="6358">
      <c r="A6358" t="inlineStr">
        <is>
          <t>g0dou4</t>
        </is>
      </c>
      <c r="B6358" t="inlineStr">
        <is>
          <t>Does eating help with regurgitation or make it worse?</t>
        </is>
      </c>
      <c r="C6358" t="inlineStr">
        <is>
          <t>I’m currently experiencing regurgitation but I am also hungry and feel as though I need to eat something (I get hypoglycemia if I don’t eat regularly). Will eating make the regurgitation worse or might it help somehow?</t>
        </is>
      </c>
      <c r="D6358" t="n">
        <v>2</v>
      </c>
      <c r="E6358" t="n">
        <v>1</v>
      </c>
      <c r="F6358">
        <f>HYPERLINK("https://www.reddit.com/r/GERD/comments/g0dou4/does_eating_help_with_regurgitation_or_make_it/")</f>
        <v/>
      </c>
      <c r="G6358" t="inlineStr">
        <is>
          <t>2020-04-12 23:45:51</t>
        </is>
      </c>
      <c r="H6358" t="inlineStr"/>
    </row>
    <row r="6359">
      <c r="A6359" t="inlineStr">
        <is>
          <t>g0e5al</t>
        </is>
      </c>
      <c r="B6359" t="inlineStr">
        <is>
          <t>It is back again.</t>
        </is>
      </c>
      <c r="C6359" t="inlineStr">
        <is>
          <t>So after three months of it calming down, GERD is back. Great. Whoopie doopie do. I have a suspicion that it is caused by gastritis. My stomach right now hurts when I touch it. My chest area feels radiated pain. I am burping like a mad man. It could lead to heartburn but I took some omeprazole my gastro doc prescribed me for 8 weeks last October. 
Before those eight weeks I had battled GERD for a year. It had really put my life in a living hell. Not only was I battling GERD but I had panic attacks that were caused by pressure (GERD bloatedness?) I felt in my chest that caused me to have troubled breathing. I have not had panic attacks since November which has allowed me to get my life back.
 I just feel right now like I can manage the pain and live with this flare up. It will pass like the other ones. Just have to eliminate the trigger foods and eat less in the next couple of weeks. Damn GERD is back again but my fears of whether it was a heart attack or something else are now long gone. It is just acid going up my esophagus causing pain to radiate into my body causing different symptoms that we are all familiar with. I know its tricks to finally say I can live with it. 
Anyway does anybody have experience with gastritis?</t>
        </is>
      </c>
      <c r="D6359" t="n">
        <v>3</v>
      </c>
      <c r="E6359" t="n">
        <v>1</v>
      </c>
      <c r="F6359">
        <f>HYPERLINK("https://www.reddit.com/r/GERD/comments/g0e5al/it_is_back_again/")</f>
        <v/>
      </c>
      <c r="G6359" t="inlineStr">
        <is>
          <t>2020-04-13 00:22:42</t>
        </is>
      </c>
      <c r="H6359" t="inlineStr"/>
    </row>
    <row r="6360">
      <c r="A6360" t="inlineStr">
        <is>
          <t>g0fu2z</t>
        </is>
      </c>
      <c r="B6360" t="inlineStr">
        <is>
          <t>GERD out of the blue</t>
        </is>
      </c>
      <c r="C6360" t="inlineStr">
        <is>
          <t>I’ve never had issues with my stomach or acid reflux. I’m 35 healthy male eating a varied diet. 2 weeks ago I had this sensation before going to sleep that I can only compare to swallowing a load of toothpaste. First it only occurred when I was lying flat in bed but a few days later I had the same feeling during the day. It’s like a cooling minty sensation going through my oesophagus to my throat. In the following days I had a very spicy curry and things started to get worse. I feel constantly bloated like food is not being digested and just sits right there in my stomach, my upper abdomen is firm and I have discomfort under my ribs. The most disturbing thing is that I cannot burp which makes me feel like even more full and bloated. I have lost my appetite completely. Lately my uvula is so painful I can feel it all the time and I have this “there’s something stuck in my throat” feeling. My chest is so tight I can hardly breathe. I had a bitter taste at the back of my mouth but only for a day when ai swallowed. I do not have any reflux but the symptoms described above persist almost all day. I spoke to a doctor online and she put me on Ranitidine 150mg twice a day. It came as a shock cause I never experience anything like this and it has now taken over my life in 2 weeks. Any advice for a newbie other than changing diet? How do you guys manage? I was reluctant to take the diagnosis cause I don’t have reflux but all the other symptoms described fit so perfectly that I’m starting to make peace with it.
Any medical tests that would help in your experience?</t>
        </is>
      </c>
      <c r="D6360" t="n">
        <v>3</v>
      </c>
      <c r="E6360" t="n">
        <v>23</v>
      </c>
      <c r="F6360">
        <f>HYPERLINK("https://www.reddit.com/r/GERD/comments/g0fu2z/gerd_out_of_the_blue/")</f>
        <v/>
      </c>
      <c r="G6360" t="inlineStr">
        <is>
          <t>2020-04-13 02:44:14</t>
        </is>
      </c>
      <c r="H6360" t="inlineStr"/>
    </row>
    <row r="6361">
      <c r="A6361" t="inlineStr">
        <is>
          <t>g0fvir</t>
        </is>
      </c>
      <c r="B6361" t="inlineStr">
        <is>
          <t>Omeprazole and puking</t>
        </is>
      </c>
      <c r="C6361" t="inlineStr">
        <is>
          <t>Has anyone taken omeprazole and puked? I’ve got really bad health anxiety and I have a fear of being sick so I want to know if it’s common</t>
        </is>
      </c>
      <c r="D6361" t="n">
        <v>2</v>
      </c>
      <c r="E6361" t="n">
        <v>29</v>
      </c>
      <c r="F6361">
        <f>HYPERLINK("https://www.reddit.com/r/GERD/comments/g0fvir/omeprazole_and_puking/")</f>
        <v/>
      </c>
      <c r="G6361" t="inlineStr">
        <is>
          <t>2020-04-13 02:47:32</t>
        </is>
      </c>
      <c r="H6361" t="inlineStr"/>
    </row>
    <row r="6362">
      <c r="A6362" t="inlineStr">
        <is>
          <t>g0gal7</t>
        </is>
      </c>
      <c r="B6362" t="inlineStr">
        <is>
          <t>I cannot eat anything, my chest feels on fire 24/7, fever</t>
        </is>
      </c>
      <c r="C6362" t="inlineStr">
        <is>
          <t>Hello,
I got tested for corona and am waiting for the results, but at first I thought it was my lungs that were hurting and the pain was radiating to my chest. I am sick, but my lungs are okay. I have a state of inflammation. Around the same time as I got a fever (which eventually went up to 104 degrees) my lips started getting ulcers. It grew quickly and now both my lips are swollen and are incredibly painful. Theres ulcers everywhere. I've never had this happen before.
I have GERD and acid reflux since I gained a lot of weight over the past year. I weigh 310+ lbs and am 6'2", 22 years old. I gained like 100 lbs within a year and I used to weigh 180. Ever since I've slowly been able to eat less without feeling bad.
I love tomato sauce, but it instantly gives me this bad feeling and burning. I take antacids before eating and it helped a bit but some foods are too much for me. Oranges and orange juice I used to love. Stuff like Kebabs and sometimes when I ate too much McDonalds.
But this time.. it's different. Usually my throat would hurt for a few hours and itd pass. I talked with docs before and got nexium, but it made me feel bad and I stopped using it. 
Now I cannot eat like.. anything. When i drink water it burns. My chest feels constantly on fire and like someone would be stepping on it. 24/7. Antacids and other drugs arent helping at all. I'm currently on antibiotics and antifungal medicine but i wont be able to have an endoscopy until after the 2 week quarantine is over. 
It hurts sometimes when I breath, it hurts when I cough, so it's easy to mistake for the lungs but doctors x rayed me and did an ECG and other blood tests, other than my liver being 3cm too big and my heart rate/blood pressure too high, nothing stands out as being the trigger. Maybe it's a fungal infection in the esophagus? Maybe it's a hiatal hernia? Maybe esophagusitis 
I miss food dearly. And it constantly feels like I'm close to some organ failing. This is worse than any GERD pain I've had before. I dont even know if it is, but I suspect it could be since any food.. even lukewarm rice stew hurt or plain yogurt. I tried many things. Forget about normal meals. I usually ingest 5,000 calories or more, and it's like 4,000 to maintain weight.. now I eat like 500 calories in extreme pain while drinking stomach relievers and antacids to try and help, without avail. Maybe it is the coronavirus. I still have a fever, I still have a cough, but the chest / lips burning worries me the most as I'm really weak and cant eat.</t>
        </is>
      </c>
      <c r="D6362" t="n">
        <v>5</v>
      </c>
      <c r="E6362" t="n">
        <v>5</v>
      </c>
      <c r="F6362">
        <f>HYPERLINK("https://www.reddit.com/r/GERD/comments/g0gal7/i_cannot_eat_anything_my_chest_feels_on_fire_247/")</f>
        <v/>
      </c>
      <c r="G6362" t="inlineStr">
        <is>
          <t>2020-04-13 03:20:32</t>
        </is>
      </c>
      <c r="H6362" t="inlineStr"/>
    </row>
    <row r="6363">
      <c r="A6363" t="inlineStr">
        <is>
          <t>g0j5zg</t>
        </is>
      </c>
      <c r="B6363" t="inlineStr">
        <is>
          <t>How can I get rid of this..</t>
        </is>
      </c>
      <c r="C6363" t="inlineStr">
        <is>
          <t>I’ve got major burning feeling in my nose and throat and a pain in the top of my stomach below the breast bone and keep feeling gaggy.. will this go away or what should I do. I’m taking omeprazole for two days</t>
        </is>
      </c>
      <c r="D6363" t="n">
        <v>6</v>
      </c>
      <c r="E6363" t="n">
        <v>33</v>
      </c>
      <c r="F6363">
        <f>HYPERLINK("https://www.reddit.com/r/GERD/comments/g0j5zg/how_can_i_get_rid_of_this/")</f>
        <v/>
      </c>
      <c r="G6363" t="inlineStr">
        <is>
          <t>2020-04-13 06:42:10</t>
        </is>
      </c>
      <c r="H6363" t="inlineStr"/>
    </row>
    <row r="6364">
      <c r="A6364" t="inlineStr">
        <is>
          <t>g0j9qa</t>
        </is>
      </c>
      <c r="B6364" t="inlineStr">
        <is>
          <t>Length of time?</t>
        </is>
      </c>
      <c r="C6364" t="inlineStr">
        <is>
          <t>Hi team,
I recently came to the conclusion that these strange symptoms (chest pressure, lump in throat, semi sore throat) I have been experiencing are GERD after talking to my Dr. 
he prescribed Fatomidine 20mg twice a day with food and I have been doing this for 4 days now. My symptoms have existed in total for 4 weeks and until 4 days ago I was guzzling red wine smoking weed and only eating spicy foods and highly acidic things. Since I learned what was wrong I completely changed my diet and have seen some slight improvement but I’m still experiencing symptoms. 
How long does it usually take to have these flare ups go down once I take away the triggers and start on medication? 
Before this started I had no idea this condition existed and my heart goes out to all of you that also suffer this affliction. 
Thanks in advance!</t>
        </is>
      </c>
      <c r="D6364" t="n">
        <v>3</v>
      </c>
      <c r="E6364" t="n">
        <v>8</v>
      </c>
      <c r="F6364">
        <f>HYPERLINK("https://www.reddit.com/r/GERD/comments/g0j9qa/length_of_time/")</f>
        <v/>
      </c>
      <c r="G6364" t="inlineStr">
        <is>
          <t>2020-04-13 06:48:21</t>
        </is>
      </c>
      <c r="H6364" t="inlineStr"/>
    </row>
    <row r="6365">
      <c r="A6365" t="inlineStr">
        <is>
          <t>g0kwyv</t>
        </is>
      </c>
      <c r="B6365" t="inlineStr">
        <is>
          <t>Anybody else have the same experience?</t>
        </is>
      </c>
      <c r="C6365" t="inlineStr">
        <is>
          <t>I always have shortness of breath, one time it got worse that I had to go to the ER 2 times on different hospitals. Had an ECG and Xray, and the results came back normal. Doctors at both hospitals diagnosed me with GERD.
When I was short in breath, my body numbs and it's as if I would pass out. 
I only had Omeprazole and Gaviscon for medication.
When I eat the trigger foods, it becomes worse. I don't exactly have a choice since I'm limited on money. 
Anybody else has this experience?</t>
        </is>
      </c>
      <c r="D6365" t="n">
        <v>1</v>
      </c>
      <c r="E6365" t="n">
        <v>5</v>
      </c>
      <c r="F6365">
        <f>HYPERLINK("https://www.reddit.com/r/GERD/comments/g0kwyv/anybody_else_have_the_same_experience/")</f>
        <v/>
      </c>
      <c r="G6365" t="inlineStr">
        <is>
          <t>2020-04-13 08:18:14</t>
        </is>
      </c>
      <c r="H6365" t="inlineStr"/>
    </row>
    <row r="6366">
      <c r="A6366" t="inlineStr">
        <is>
          <t>g0mmqz</t>
        </is>
      </c>
      <c r="B6366" t="inlineStr">
        <is>
          <t>Migraines?</t>
        </is>
      </c>
      <c r="C6366" t="inlineStr">
        <is>
          <t>Hi guys, I’ve previously posted on here a few days ago because I suspect that my breathing issues and chest pain are associated with GERD. 
I’ve been taking Rabeprazole for the past 4 days and yesterday I started experiencing sharp pains behind my right eye (migraine-like). Is this normal??</t>
        </is>
      </c>
      <c r="D6366" t="n">
        <v>3</v>
      </c>
      <c r="E6366" t="n">
        <v>1</v>
      </c>
      <c r="F6366">
        <f>HYPERLINK("https://www.reddit.com/r/GERD/comments/g0mmqz/migraines/")</f>
        <v/>
      </c>
      <c r="G6366" t="inlineStr">
        <is>
          <t>2020-04-13 09:45:48</t>
        </is>
      </c>
      <c r="H6366" t="inlineStr"/>
    </row>
    <row r="6367">
      <c r="A6367" t="inlineStr">
        <is>
          <t>g0n76o</t>
        </is>
      </c>
      <c r="B6367" t="inlineStr">
        <is>
          <t>Endoscopy : red lesion on esophagus</t>
        </is>
      </c>
      <c r="C6367" t="inlineStr">
        <is>
          <t>Hello,  I had my endoscopy 3 weeks ago and they found a " red lesion"  on my esophagus
Today my doctor called  me and said that  I don't need any follow up because the biopsy showed nothing concerning 
He didn't explain me at all what was this red lesion...
Im just afraid they missed it during the endoscopy or maybe they didn't take the right sample...
Im just afraid to have something serious without knowing it</t>
        </is>
      </c>
      <c r="D6367" t="n">
        <v>4</v>
      </c>
      <c r="E6367" t="n">
        <v>4</v>
      </c>
      <c r="F6367">
        <f>HYPERLINK("https://www.reddit.com/r/GERD/comments/g0n76o/endoscopy_red_lesion_on_esophagus/")</f>
        <v/>
      </c>
      <c r="G6367" t="inlineStr">
        <is>
          <t>2020-04-13 10:15:27</t>
        </is>
      </c>
      <c r="H6367" t="inlineStr"/>
    </row>
    <row r="6368">
      <c r="A6368" t="inlineStr">
        <is>
          <t>g0nc6n</t>
        </is>
      </c>
      <c r="B6368" t="inlineStr">
        <is>
          <t>Effexor heartburn trigger?</t>
        </is>
      </c>
      <c r="C6368" t="inlineStr">
        <is>
          <t xml:space="preserve">I don't see heartburn listed under Effexor's known side effects (other than "Indigestion")  [https://www.webmd.com/drugs/2/drug-4896/effexor-xr-oral/details/list-sideeffects](https://www.webmd.com/drugs/2/drug-4896/effexor-xr-oral/details/list-sideeffects)
However, after starting the lowest dose of effexor (37.5mg) my GERD is back in full force, whereas it was previously mostly in remission. This is particularly disturbing to me because effexor was working well for my vestibular migraines (in the 4 days I took it), and PPIs have never really been very effective for me. I wonder if effexor is relaxing the LES and allowing my SIBO bloating to splash upward
&amp;amp;#x200B;
I'm left wondering what's going on and I hope someone can provide some scientific study or anecdotes on effexor use &amp;amp; heartburn.  
Edit: I found this interesting document  [https://www.accessdata.fda.gov/drugsatfda\_docs/label/2012/020151s031s055s058s060lbl.pdf](https://www.accessdata.fda.gov/drugsatfda_docs/label/2012/020151s031s055s058s060lbl.pdf)   
Looks like 37% of people experience some nausea, and belching is a very commonly reported side effect ("eructation" -- thanks smart people for inventing a useless word)  </t>
        </is>
      </c>
      <c r="D6368" t="n">
        <v>1</v>
      </c>
      <c r="E6368" t="n">
        <v>0</v>
      </c>
      <c r="F6368">
        <f>HYPERLINK("https://www.reddit.com/r/GERD/comments/g0nc6n/effexor_heartburn_trigger/")</f>
        <v/>
      </c>
      <c r="G6368" t="inlineStr">
        <is>
          <t>2020-04-13 10:22:25</t>
        </is>
      </c>
      <c r="H6368" t="inlineStr"/>
    </row>
    <row r="6369">
      <c r="A6369" t="inlineStr">
        <is>
          <t>g0nle4</t>
        </is>
      </c>
      <c r="B6369" t="inlineStr">
        <is>
          <t>Ladies: menstural cycle and acid?</t>
        </is>
      </c>
      <c r="C6369" t="inlineStr">
        <is>
          <t>Hello!
Today was the start of my period and yesterday and today I’ve had an extra hard and uncomfortable time with acid reflux. Choking feeling, tightness in my neck. Etc.
I don’t know if this is a coincidence but I’m starting to think there is a link?? 
I’m bloated, fatigued and ehhhh. I haven’t eaten really bad. But I have really bad acid reflux. Has anyone had issues with heightened acid during their period? 
Xx thanks</t>
        </is>
      </c>
      <c r="D6369" t="n">
        <v>5</v>
      </c>
      <c r="E6369" t="n">
        <v>16</v>
      </c>
      <c r="F6369">
        <f>HYPERLINK("https://www.reddit.com/r/GERD/comments/g0nle4/ladies_menstural_cycle_and_acid/")</f>
        <v/>
      </c>
      <c r="G6369" t="inlineStr">
        <is>
          <t>2020-04-13 10:35:19</t>
        </is>
      </c>
      <c r="H6369" t="inlineStr"/>
    </row>
    <row r="6370">
      <c r="A6370" t="inlineStr">
        <is>
          <t>g0nlg5</t>
        </is>
      </c>
      <c r="B6370" t="inlineStr">
        <is>
          <t>Esophagitis, having trouble eating properly and anxious</t>
        </is>
      </c>
      <c r="C6370" t="inlineStr">
        <is>
          <t>Hi everyone,
It really sucks to have a flare up during a global pandemic. 
I've had GERD for a while, but I've mostly managed to handle it on my own through diet and soldiering  on through occasional flare-up.
This time however, it feels quite bad. I'm getting pain even after eating a cream soup. Burping is so much. Palpitations sometimes too. I'm afraid of it getting worse, the hospitals will be full and I won't be able to get proper treatment. 
Can anyone please recommend a good website with recipes that I can try? I am thinking about trying different foods. For example, I will make a bland boiled pumpkin mash. I've never tried this before - I hope it will help.
I have to force myself to eat to maintain my weight because the idea of being thinner than I already am is making me anxious. I'm about 56-7 kilos, but I really don't want to be lower. My oesophagus and throat feel inflamed (not in their whole length thank God), painful after meals and cool down after 3-4 hours of no food. I get tiny blisters on my throat after I eat (sometimes) and I have the typical throat lump feeling, that only goes away after a break from food. I had some fever, but it was low and it disappeared quickly - which I took as a sign of improvement.  What scares me the most is the slight choking feeling I get sometimes, especially if I try to eat something more solid. I probably have some narrowing going on.
I was on Pantoprazole a while back and it didn't sit well with me at all. It made me feel like I had eaten rocks after every meal. I don't want to go back on it and lose even more weight. I did buy a reflux pillow and I've started using it again, it helps.
If anyone has any helpful tips on food, recipes, how to get calories in without irritating the oesophagus, please share them. 
I've been to many gastro-enterologists and none of them ever talk about food and natural aids. Which is quite frustrating, because I've found this to be the most important part. Obviously, there's no "food cure", but I'm sure there must be some sound food advice out there that can help. Especially for narrowings, active stages of inflammation and such.
I'm young and I've only ever done general research... not really going too deep. Because I've always managed to handle it myself. I've never been a smoker or drinker. I had to say goodbye to chocolate and coffee and watch my food in general, but that was about it. I don't know what happened this time... Needless to say, I will be going deep into the research now. This post is a part of that.
**I seek advice from older and more experienced GERD sufferers! Any advice! Please!**
p.s. I was scoped two years ago, but it was in a non-flare state (I had to wait for more than a month to get scoped, by which time I felt better through my own methods). They described what they saw as "quite mild". I had no symptoms for a long time after that.
Thanks to all who took the time to read!</t>
        </is>
      </c>
      <c r="D6370" t="n">
        <v>5</v>
      </c>
      <c r="E6370" t="n">
        <v>9</v>
      </c>
      <c r="F6370">
        <f>HYPERLINK("https://www.reddit.com/r/GERD/comments/g0nlg5/esophagitis_having_trouble_eating_properly_and/")</f>
        <v/>
      </c>
      <c r="G6370" t="inlineStr">
        <is>
          <t>2020-04-13 10:35:24</t>
        </is>
      </c>
      <c r="H6370" t="inlineStr"/>
    </row>
    <row r="6371">
      <c r="A6371" t="inlineStr">
        <is>
          <t>g0p38p</t>
        </is>
      </c>
      <c r="B6371" t="inlineStr">
        <is>
          <t>About TIF procedure</t>
        </is>
      </c>
      <c r="C6371" t="inlineStr">
        <is>
          <t>Hi Am a patient with Barrets Esophagus and have a small Hiatus hernia...I have  severe reflux,indigestion and burning sensation in my throat and chest frequently.
Hence due to this i have stopped eating fried,spicy foods,pizza,burger,Chocolates etc 
After Googling about my problem Am planning to undergo a TIF [procedure.Am](https://procedure.Am) 30 year old..I stand at 6'4 and weigh 150 pounds and i have been told am underweight ..I look skinny and am  an aspiring bodybuilder.I have read that
that gaining weight increases pressure in the stomach...So will i never be able to gain weight after TIF procedure and should i live my bodybuilding dream ??Would like to know if someone has underwent TIF Procedure and how far its good and recomended ??.Thanx in advance</t>
        </is>
      </c>
      <c r="D6371" t="n">
        <v>1</v>
      </c>
      <c r="E6371" t="n">
        <v>1</v>
      </c>
      <c r="F6371">
        <f>HYPERLINK("https://www.reddit.com/r/GERD/comments/g0p38p/about_tif_procedure/")</f>
        <v/>
      </c>
      <c r="G6371" t="inlineStr">
        <is>
          <t>2020-04-13 11:49:57</t>
        </is>
      </c>
      <c r="H6371" t="inlineStr"/>
    </row>
    <row r="6372">
      <c r="A6372" t="inlineStr">
        <is>
          <t>g0pl36</t>
        </is>
      </c>
      <c r="B6372" t="inlineStr">
        <is>
          <t>Those with LPR and normal ph impedance</t>
        </is>
      </c>
      <c r="C6372" t="inlineStr">
        <is>
          <t>Try to seek out a speech therapist. I’ve done some research and I’ve read a lot about how many people who have LPR type symptoms and a normal ph study, kind of overlap with speech issues that can start in your throat and cause all kinds of mayhem. Muscle tension dysphonia can cause globus, (sensation in throat) burning feeling, and throat irritation.
Edit: these issues can normally be fixed with exercises and certain massages. It is important you don’t diagnose yourself though as you won’t know what you actually have until you’ve been physically seen in person.</t>
        </is>
      </c>
      <c r="D6372" t="n">
        <v>4</v>
      </c>
      <c r="E6372" t="n">
        <v>13</v>
      </c>
      <c r="F6372">
        <f>HYPERLINK("https://www.reddit.com/r/GERD/comments/g0pl36/those_with_lpr_and_normal_ph_impedance/")</f>
        <v/>
      </c>
      <c r="G6372" t="inlineStr">
        <is>
          <t>2020-04-13 12:15:02</t>
        </is>
      </c>
      <c r="H6372" t="inlineStr"/>
    </row>
    <row r="6373">
      <c r="A6373" t="inlineStr">
        <is>
          <t>g0qptm</t>
        </is>
      </c>
      <c r="B6373" t="inlineStr">
        <is>
          <t>Throat so tight i cannot eat or drink. Please help</t>
        </is>
      </c>
      <c r="C6373" t="inlineStr">
        <is>
          <t>So I was diagnosed with GERD three weeks ago which I think is from me being overweight. I lost 20 lbs since and it's still bad. I was initially on antibiotics for 10 days and during those days everything was seemingly normal. Then I got off of it and now I've been having complications again where I can no longer eat and I call the doctor but they told me they have a malfunction with there computers and can't see me for a while. What an I supposed to do? It feels like im being choked and I'm too scared to eat or drink anything.</t>
        </is>
      </c>
      <c r="D6373" t="n">
        <v>17</v>
      </c>
      <c r="E6373" t="n">
        <v>25</v>
      </c>
      <c r="F6373">
        <f>HYPERLINK("https://www.reddit.com/r/GERD/comments/g0qptm/throat_so_tight_i_cannot_eat_or_drink_please_help/")</f>
        <v/>
      </c>
      <c r="G6373" t="inlineStr">
        <is>
          <t>2020-04-13 13:16:05</t>
        </is>
      </c>
      <c r="H6373" t="inlineStr"/>
    </row>
    <row r="6374">
      <c r="A6374" t="inlineStr">
        <is>
          <t>g0rdmp</t>
        </is>
      </c>
      <c r="B6374" t="inlineStr">
        <is>
          <t>Are hiccups considered a normal symptom if you have GERD?</t>
        </is>
      </c>
      <c r="C6374" t="inlineStr">
        <is>
          <t>I'm having constant hiccups, are they normal for this condition?</t>
        </is>
      </c>
      <c r="D6374" t="n">
        <v>2</v>
      </c>
      <c r="E6374" t="n">
        <v>2</v>
      </c>
      <c r="F6374">
        <f>HYPERLINK("https://www.reddit.com/r/GERD/comments/g0rdmp/are_hiccups_considered_a_normal_symptom_if_you/")</f>
        <v/>
      </c>
      <c r="G6374" t="inlineStr">
        <is>
          <t>2020-04-13 13:52:29</t>
        </is>
      </c>
      <c r="H6374" t="inlineStr"/>
    </row>
    <row r="6375">
      <c r="A6375" t="inlineStr">
        <is>
          <t>g0re4y</t>
        </is>
      </c>
      <c r="B6375" t="inlineStr">
        <is>
          <t>Pain in upper right side of abdomen a couple of hours after barium swallow. Is it because of the lab test? The fasting a day before? Taking my Omeprazole later than the routine (after the test was done)?</t>
        </is>
      </c>
      <c r="C6375" t="inlineStr">
        <is>
          <t>Is this pain normal? I called the tech who tested me and said what they give aren't digestible and will just pass through the system so maybe the pain is from fasting a day before? or is it because I took PPI late today? I haven't eaten yet because I'm worried it will get worse, that could be another reason.
Two weeks ago I had the same pain after eating fried rice after midnight and that terrible pain lasted for 3 days. I'm worried it's happening again and not sure if I should fast again to ease the pain. I've been referred to a GI doctor but can't meet him until mid-May so all I could do is read more about this and ask people for their experiences. Thank you for any advice.</t>
        </is>
      </c>
      <c r="D6375" t="n">
        <v>2</v>
      </c>
      <c r="E6375" t="n">
        <v>5</v>
      </c>
      <c r="F6375">
        <f>HYPERLINK("https://www.reddit.com/r/GERD/comments/g0re4y/pain_in_upper_right_side_of_abdomen_a_couple_of/")</f>
        <v/>
      </c>
      <c r="G6375" t="inlineStr">
        <is>
          <t>2020-04-13 13:53:16</t>
        </is>
      </c>
      <c r="H6375" t="inlineStr"/>
    </row>
    <row r="6376">
      <c r="A6376" t="inlineStr">
        <is>
          <t>g0uvww</t>
        </is>
      </c>
      <c r="B6376" t="inlineStr">
        <is>
          <t>20mg worked for 4 days and now it’s not</t>
        </is>
      </c>
      <c r="C6376" t="inlineStr">
        <is>
          <t>20mg of Omperazole worked for 4 days and today is the 5th day. I’m noticing symptoms slowly coming back. And all day I can feel mucus or liquid in my throat coming up so I have to keep swallowing. Stomach is starting to feel like before.
I spoke to my doctor today on a web chat and she’s an internal medicine doctor not sure if she’s well versed in stomach related issues. But she said she is going to switch me to protonix 20mg. She told me to take one tonight and one tomorrow in the morning and continue that. Does this sound logical?</t>
        </is>
      </c>
      <c r="D6376" t="n">
        <v>1</v>
      </c>
      <c r="E6376" t="n">
        <v>0</v>
      </c>
      <c r="F6376">
        <f>HYPERLINK("https://www.reddit.com/r/GERD/comments/g0uvww/20mg_worked_for_4_days_and_now_its_not/")</f>
        <v/>
      </c>
      <c r="G6376" t="inlineStr">
        <is>
          <t>2020-04-13 17:09:12</t>
        </is>
      </c>
      <c r="H6376" t="inlineStr"/>
    </row>
    <row r="6377">
      <c r="A6377" t="inlineStr">
        <is>
          <t>g0vm4c</t>
        </is>
      </c>
      <c r="B6377" t="inlineStr">
        <is>
          <t>New to the GERD world and need help with my new diet</t>
        </is>
      </c>
      <c r="C6377" t="inlineStr">
        <is>
          <t>Hi, I was diagnosed with GERD about 3 months ago. I don't get heartburn that's too bad, I just burp like CRAZY. I'll take one bite and start burping it's the most annoying thing. 
I tried taking antiacid tablets and I swear they made it worse. So I think the best thing to do is get on a strict less-acidic diet. There's so much conflicting information online so I wanted to reach out and confirm what you should and shouldn't eat with GERD. I understand that everyone is different, but if there is anything that is flat out wrong or something you'd like to add PLEASE let me know! 
Veggies you CAN eat with GERD: 
* Broccoli
* spinach
* eggplant
* squash
* zucchini 
* brussel sprouts
* asparagus 
* kale
* carrots
* celery
* ginger (I hear ginger is good for GERD is that true?)
* romaine lettuce
* cabbage
* beets
* potatoes 
* cauliflower
Veggies you SHOULDN'T eat (I'm not sure about these):
* swiss chard
* garbanzo beans
* lima beans
* pickles
* garlic
* onions
Fruits you SHOULDN'T eat: 
* tomatoes
* pomegranate
* grapefruit
* dried fruits 
* dates and figs
* Lemon - this one I'm confused about, obviously lemon is acidic but some websites say it's good acidic that can help GERD? is that wrong? 
* orange
* tangerines
* pineapple
* kiwi
* peaches
* apples
Fruits you CAN eat:
* watermelon
* blackberries
* rasberries 
* stawberries
* mangos
* coconut
* bananas
Meats you CAN eat:
* chicken
* turkey
* fish? (is fish okay? I got different results on the internet about fish)
Meats you SHOULDN'T eat:
* red meats
* bacon 
* eggs (besides egg whites)
Grains you CAN eat:
* whole wheat bread (also got mixed information about this)
* oatmeal
* brown rice
Grains you SHOULDN'T eat:
* white bread
* flower tortilla
* white rice
Misc things you SHOULDN'T eat
* ketchup
* spicy food
* mustard??
* mayo??
* cheese
* dairy?? (I heard nonfat milk is okay but I wasn't sure)
Okay that's all I got! If anyone took the time to read this I appreciate you</t>
        </is>
      </c>
      <c r="D6377" t="n">
        <v>11</v>
      </c>
      <c r="E6377" t="n">
        <v>35</v>
      </c>
      <c r="F6377">
        <f>HYPERLINK("https://www.reddit.com/r/GERD/comments/g0vm4c/new_to_the_gerd_world_and_need_help_with_my_new/")</f>
        <v/>
      </c>
      <c r="G6377" t="inlineStr">
        <is>
          <t>2020-04-13 17:53:26</t>
        </is>
      </c>
      <c r="H6377" t="inlineStr"/>
    </row>
    <row r="6378">
      <c r="A6378" t="inlineStr">
        <is>
          <t>g0w4o0</t>
        </is>
      </c>
      <c r="B6378" t="inlineStr">
        <is>
          <t>Milk and soda (Carbonated water)</t>
        </is>
      </c>
      <c r="C6378" t="inlineStr">
        <is>
          <t>I have been suffering from GERD. I basically have a lot of burning sensation in my stomach. 
A friend who suffers from it time to time, recommended to have cold milk with mixed with carbonated water like a short 100 ml each early morning and night and it feels better. but i am not sure how good is carbonated water. 
Does anyone have any suggestion</t>
        </is>
      </c>
      <c r="D6378" t="n">
        <v>2</v>
      </c>
      <c r="E6378" t="n">
        <v>4</v>
      </c>
      <c r="F6378">
        <f>HYPERLINK("https://www.reddit.com/r/GERD/comments/g0w4o0/milk_and_soda_carbonated_water/")</f>
        <v/>
      </c>
      <c r="G6378" t="inlineStr">
        <is>
          <t>2020-04-13 18:25:25</t>
        </is>
      </c>
      <c r="H6378" t="inlineStr"/>
    </row>
    <row r="6379">
      <c r="A6379" t="inlineStr">
        <is>
          <t>g0wxnc</t>
        </is>
      </c>
      <c r="B6379" t="inlineStr">
        <is>
          <t>H Pylori Treatment</t>
        </is>
      </c>
      <c r="C6379" t="inlineStr">
        <is>
          <t>Hey all, so I’m a little bit nervous about side effects to the treatment for my recently diagnosed h pylori and was just looking for some expectations/reassurance. I was originally put on Clarithromycin, Metronidazole, and Omeprazole. However, I had a severe reaction (tachycardia, dizziness, trouble breathing) to the Clarithromycin combined with my RA medication and had to go to the ER to be put on an IV to flush the meds out of my system. My doctor was unaware that those drugs would interact, but I have since consulted with a pharmacist who assured me that this new combination will be fine with my current RA meds. I’ve now been switched to Tetracycline, Metronidazole, Bismuth, and Omeprazole. This is the only option I have for treatment (I’m allergic to Amoxicillin) so I’m already nervous about it not working for me. Was just curious if anyone has used this specific combination and what their experience was like. I plan on starting in the morning, and I know people have said this treatment is rough. Hoping that if I know what to expect it will at least lower my anxiety somewhat ):</t>
        </is>
      </c>
      <c r="D6379" t="n">
        <v>1</v>
      </c>
      <c r="E6379" t="n">
        <v>6</v>
      </c>
      <c r="F6379">
        <f>HYPERLINK("https://www.reddit.com/r/GERD/comments/g0wxnc/h_pylori_treatment/")</f>
        <v/>
      </c>
      <c r="G6379" t="inlineStr">
        <is>
          <t>2020-04-13 19:16:43</t>
        </is>
      </c>
      <c r="H6379" t="inlineStr"/>
    </row>
    <row r="6380">
      <c r="A6380" t="inlineStr">
        <is>
          <t>g0y4fm</t>
        </is>
      </c>
      <c r="B6380" t="inlineStr">
        <is>
          <t>I am scared I might have stomach or pancreatic cancer</t>
        </is>
      </c>
      <c r="C6380" t="inlineStr">
        <is>
          <t>Hello all, 
So I am a 21 year old college student and about 3 months ago I started to have a dull pain in center of my belly right under my ribs. I became so worried and went to my general doctor, she said it’s probably anxiety but I explained to her how my mom and grandmom and besically everyone in my moms family have had cancer but she said not to worry about that. 
I still went to a gastroenterologist and he first told me to get a ultrasound and bloodwork done, and in blood work there were specific panels meant to be for stomach and internal things. I got both ultrasound and blood work done and nothing came up and everything seemed normal. He still gave me orders for CT scan with IV contrast and another test for checking if I have a stomach infection but sadly due to corona I haven’t been able to get them done because I do not want risking going outside to the hospital and getting the elderly at my house sick (side note: my gastroenterologist also recommended this and told me he won’t make any appointments until Covid-19 is over) 
Anyways, my dull pain and loss of appetite and constipation went away for two weeks but started again last week. Even though I don’t have any extreme symptoms like vomiting, dark stools or anything, I still feel a very dull pain in my stomach that gets worse at night, and I have constipation and loss of appetite and I get full super early. On top of that every time I stand up my stomach feels heavy and weird ... not necessarily painful but still heavy and weird feeling even tho I don’t eat much. 
Guys I am genuinely scared of cancer and have seen multiple members of my family go through it. And now that I can’t really go to the hospital or see my doctor I am worried and super nervous about this. 😞
Any advice or recommendation helps.</t>
        </is>
      </c>
      <c r="D6380" t="n">
        <v>2</v>
      </c>
      <c r="E6380" t="n">
        <v>6</v>
      </c>
      <c r="F6380">
        <f>HYPERLINK("https://www.reddit.com/r/GERD/comments/g0y4fm/i_am_scared_i_might_have_stomach_or_pancreatic/")</f>
        <v/>
      </c>
      <c r="G6380" t="inlineStr">
        <is>
          <t>2020-04-13 20:38:35</t>
        </is>
      </c>
      <c r="H6380" t="inlineStr"/>
    </row>
    <row r="6381">
      <c r="A6381" t="inlineStr">
        <is>
          <t>g100kn</t>
        </is>
      </c>
      <c r="B6381" t="inlineStr">
        <is>
          <t>What helps you breathe?</t>
        </is>
      </c>
      <c r="C6381" t="inlineStr">
        <is>
          <t>I’ve been taking the PPI meds for 5 days now, they’re helping with my symptoms slowly but the doctor said it can take a week or so to really kick in. 
For now, my breathing is back to almost normal when I’m standing/sitting and doing my regular day to day activities. I only really feel the heaviness in my chest and lungs when I’m laying down in bed, about to go to sleep. 
Is there anything that helps you guys? I’ve propped my pillows up and I’m laying on my side but I still feel out of breathe and dizzy?</t>
        </is>
      </c>
      <c r="D6381" t="n">
        <v>1</v>
      </c>
      <c r="E6381" t="n">
        <v>1</v>
      </c>
      <c r="F6381">
        <f>HYPERLINK("https://www.reddit.com/r/GERD/comments/g100kn/what_helps_you_breathe/")</f>
        <v/>
      </c>
      <c r="G6381" t="inlineStr">
        <is>
          <t>2020-04-13 22:59:47</t>
        </is>
      </c>
      <c r="H6381" t="inlineStr"/>
    </row>
    <row r="6382">
      <c r="A6382" t="inlineStr">
        <is>
          <t>g108mq</t>
        </is>
      </c>
      <c r="B6382" t="inlineStr">
        <is>
          <t>a pyloric dilation (excluding other mechanical issues) can cure GERD /LPR ?</t>
        </is>
      </c>
      <c r="C6382" t="inlineStr">
        <is>
          <t>Been reading some things about it but no concrete data, anyone have knowledge on this?</t>
        </is>
      </c>
      <c r="D6382" t="n">
        <v>1</v>
      </c>
      <c r="E6382" t="n">
        <v>2</v>
      </c>
      <c r="F6382">
        <f>HYPERLINK("https://www.reddit.com/r/GERD/comments/g108mq/a_pyloric_dilation_excluding_other_mechanical/")</f>
        <v/>
      </c>
      <c r="G6382" t="inlineStr">
        <is>
          <t>2020-04-13 23:18:06</t>
        </is>
      </c>
      <c r="H6382" t="inlineStr"/>
    </row>
    <row r="6383">
      <c r="A6383" t="inlineStr">
        <is>
          <t>g12aev</t>
        </is>
      </c>
      <c r="B6383" t="inlineStr">
        <is>
          <t>Anybody here has the feeling that their whole body numbs due to chest tightness?</t>
        </is>
      </c>
      <c r="C6383" t="inlineStr">
        <is>
          <t>I've been having this together with shortness of breath. It sucks so much because I've been feeling this since yesterday.</t>
        </is>
      </c>
      <c r="D6383" t="n">
        <v>3</v>
      </c>
      <c r="E6383" t="n">
        <v>4</v>
      </c>
      <c r="F6383">
        <f>HYPERLINK("https://www.reddit.com/r/GERD/comments/g12aev/anybody_here_has_the_feeling_that_their_whole/")</f>
        <v/>
      </c>
      <c r="G6383" t="inlineStr">
        <is>
          <t>2020-04-14 02:14:14</t>
        </is>
      </c>
      <c r="H6383" t="inlineStr"/>
    </row>
    <row r="6384">
      <c r="A6384" t="inlineStr">
        <is>
          <t>g150pg</t>
        </is>
      </c>
      <c r="B6384" t="inlineStr">
        <is>
          <t>Anyone else have issues with family not believing GERD actually sucks?</t>
        </is>
      </c>
      <c r="C6384" t="inlineStr">
        <is>
          <t>I work for a doctors office and I’ve been up since 2am, and 5am throwing up, with stomach aches and a headache. I ate dinner a little too late and laid down which probably caused the throwing up. Decided I just wanted to stay home and rest instead of driving the 50min it takes to get to work and answer phones for 9 hours today. 
Called in sick today (first time in 4 months) and parents preceded to come into my room, turn my light on and tell me to get my butt out of bed and go to work. Said I should only stay home if I’m “deathly sick.” Said no one should stay home from work if you’re “just throwing up.” 
I really hate GERD</t>
        </is>
      </c>
      <c r="D6384" t="n">
        <v>44</v>
      </c>
      <c r="E6384" t="n">
        <v>33</v>
      </c>
      <c r="F6384">
        <f>HYPERLINK("https://www.reddit.com/r/GERD/comments/g150pg/anyone_else_have_issues_with_family_not_believing/")</f>
        <v/>
      </c>
      <c r="G6384" t="inlineStr">
        <is>
          <t>2020-04-14 05:55:42</t>
        </is>
      </c>
      <c r="H6384" t="inlineStr"/>
    </row>
    <row r="6385">
      <c r="A6385" t="inlineStr">
        <is>
          <t>g15f3m</t>
        </is>
      </c>
      <c r="B6385" t="inlineStr">
        <is>
          <t>GERD can dissapear?</t>
        </is>
      </c>
      <c r="C6385" t="inlineStr">
        <is>
          <t>Im on the 4th day without ppi and seems i dont have heartburn or itching in throat. The only thing i feel its something stuck in my throat but dont have pain. I tried to sleep normal and on my fav position, on belly and when i woke up i had nothing.
The only thing i didnt test was eating sugar and candy, but im afraid it could come back.
Still idk if its related to this, but i always have my nose blocked or clogged and my throat is very dry.
It is ok to continue?</t>
        </is>
      </c>
      <c r="D6385" t="n">
        <v>1</v>
      </c>
      <c r="E6385" t="n">
        <v>12</v>
      </c>
      <c r="F6385">
        <f>HYPERLINK("https://www.reddit.com/r/GERD/comments/g15f3m/gerd_can_dissapear/")</f>
        <v/>
      </c>
      <c r="G6385" t="inlineStr">
        <is>
          <t>2020-04-14 06:21:40</t>
        </is>
      </c>
      <c r="H6385" t="inlineStr"/>
    </row>
    <row r="6386">
      <c r="A6386" t="inlineStr">
        <is>
          <t>g16dmk</t>
        </is>
      </c>
      <c r="B6386" t="inlineStr">
        <is>
          <t>LPR worse than GERD</t>
        </is>
      </c>
      <c r="C6386" t="inlineStr">
        <is>
          <t>I need to keep taking PPI or GERD comes back maybe if I toughed it out for a few weeks body would go back to normal very risky.  But LPR sucks ass. I’m on so many meds unsure which will kill me first.  The diseases or the medications?</t>
        </is>
      </c>
      <c r="D6386" t="n">
        <v>1</v>
      </c>
      <c r="E6386" t="n">
        <v>0</v>
      </c>
      <c r="F6386">
        <f>HYPERLINK("https://www.reddit.com/r/GERD/comments/g16dmk/lpr_worse_than_gerd/")</f>
        <v/>
      </c>
      <c r="G6386" t="inlineStr">
        <is>
          <t>2020-04-14 07:21:16</t>
        </is>
      </c>
      <c r="H6386" t="inlineStr"/>
    </row>
    <row r="6387">
      <c r="A6387" t="inlineStr">
        <is>
          <t>g18o0e</t>
        </is>
      </c>
      <c r="B6387" t="inlineStr">
        <is>
          <t>How long do your GERD symptoms or acid reflux last?</t>
        </is>
      </c>
      <c r="C6387" t="inlineStr">
        <is>
          <t>almost a year ago, i didn't know I had GERD. 
I was experiencing shortness of breath and weird chest sensation (not pain). I couldn't sleep either. 
Went to a family doctor and she said I have GERD after a bunch of tests (for other things) - told me she has it herself. 
I changed something's about my lifestyle. I already led an active lifestyle, ate healthy for the most part and was physically fit. So really, i cut down on black coffee from like 2-3 cups to 0-1 cups. Cut down on spicy food and stopped eating 3-4 hours before bed. 
My GERD symptoms went away for months after this. 
now they're back. The acid reflux just doesn't stop. This last one has lasted hours (10-12). I can't sleep even with a makeshift wedge. I'm elevated and I sleep on my side. But I feel like I can't breath or stop breathing as much. It freaks me out and I can't sleep. I keep burping the entire night too and all day. 
I didn't need antacid for months so I didn't buy any. I had some Zantac from the summer and I found out that it's been recalled so I can't take that either. Quarantine means I can't just go get antacid either. 
I'm still hoping its only GERD and nothing serious but shit this reflux just won't go away. I think it's effecting my sinuses too and i feel pressure on my nose and sometimes get migraines.
Hopefully antacid that I will get by tomorrow should help. what do you guys think?</t>
        </is>
      </c>
      <c r="D6387" t="n">
        <v>1</v>
      </c>
      <c r="E6387" t="n">
        <v>13</v>
      </c>
      <c r="F6387">
        <f>HYPERLINK("https://www.reddit.com/r/GERD/comments/g18o0e/how_long_do_your_gerd_symptoms_or_acid_reflux_last/")</f>
        <v/>
      </c>
      <c r="G6387" t="inlineStr">
        <is>
          <t>2020-04-14 09:25:56</t>
        </is>
      </c>
      <c r="H6387" t="inlineStr"/>
    </row>
    <row r="6388">
      <c r="A6388" t="inlineStr">
        <is>
          <t>g196c0</t>
        </is>
      </c>
      <c r="B6388" t="inlineStr">
        <is>
          <t>Any advice on weird GERD flare ups?</t>
        </is>
      </c>
      <c r="C6388" t="inlineStr">
        <is>
          <t>I got diagnosed over a year ago with GERD, it came on all of a sudden and gave me a panic attack, since then it’s been discovered that I have small hiatal hernia.
I can go for weeks at a time where my GERD isn’t too bad, sometimes eating what I want and feel completely fine. Then out of the blue I will get really bad heartburn, it will last for days or weeks at a time. Food can trigger it but there isn’t any specific trigger, even water will cause a flare up. After all this time I can’t seem to find relief, even after implementing diet and lifestyle changes. 
I take 20mg of esomeprazole a day, PPIs never really seemed to work for me, even on really high doses and with H2 blockers. 
One last note, before my GERD problems started I was having trouble on the toilet if you catch my drift and was put on omeprazole for possible IBS. 
Really sucks, I’ve followed so much advice and really still made little progress. There has to be another cause, surely?</t>
        </is>
      </c>
      <c r="D6388" t="n">
        <v>1</v>
      </c>
      <c r="E6388" t="n">
        <v>2</v>
      </c>
      <c r="F6388">
        <f>HYPERLINK("https://www.reddit.com/r/GERD/comments/g196c0/any_advice_on_weird_gerd_flare_ups/")</f>
        <v/>
      </c>
      <c r="G6388" t="inlineStr">
        <is>
          <t>2020-04-14 09:53:24</t>
        </is>
      </c>
      <c r="H6388" t="inlineStr"/>
    </row>
    <row r="6389">
      <c r="A6389" t="inlineStr">
        <is>
          <t>g1avgo</t>
        </is>
      </c>
      <c r="B6389" t="inlineStr">
        <is>
          <t>Some things I've noticed about my LPR</t>
        </is>
      </c>
      <c r="C6389" t="inlineStr">
        <is>
          <t>Hello, 
Back in Feb--I was suffering from horrible LPR symptoms. Waking up in the morning with a terrible taste in my mouth, sore throat, the feeling of something being stuck in my throat, constantly feeling the need to clear my throat...even like a sense of swollen glands sometimes. Also, raspy voice. It was really uncomfortable and driving me nuts. During Feb, I must have caught like a cold/flu type of thing because there was like a 3 - 4 day period where I was quite ill with a fever, headache, the whole 9 yards. Also during that period, my appetite was non-existant, so barely ate anything for about 2.5 to 3 days. I had a little soup here and there and a random scrambled egg and fluids...that was basically it. 
Well, I had never felt better. My LPR had literally disappeared. My sore chest, which had been bothering me on and off for years--gone. My voice had come back nice and strong, globus senstation? Gone. I felt like I used to feel 3 years ago, I couldn't believe it. Even the bad taste in my mouth every morning had minimized. For the first time in years, I felt like I could control this beast. 
Well, as my dumbass would do-- I slowly felt better and my appetite slowly returned and I began eating normally again. Mind you, "normal" for me is still pretty healthy--no fast-foods/fried foods...minimally processed foods, etc, but I'm no stranger to a common sammich or a dinner consisting of chicken, veggies, some type of starch, and I do eat desserts like ice cream, cake, etc. 
So recently, my LPR had been really bad again and I decided "what if I kind of re-create what I had done in Feb. when I was sick?" So yesterday, I ate minimally-- basically a bowl of oatmeal for breakky, 2 scrambled eggs for lunch and a smoothie for dinner. That's it. While I was starving for most of the day yesterday and it did nothing for my mood, I gotta say that today-- I feel 50% better. Chest soreness/tighness- reduced, throat sensations- reduced. I feel like I can breathe easier, my voice feels relatively normal. 
Sorry for the long story-- the point is I notice when I give my stomach a break or "fast" i notice my symptoms get much better. While I'm not sure how sustainable this is, it may be something some may wish to try? Like a day of fasting and mostly eating super small and minimally. I had my smoothie around 6PM and nothing after-- went to bed at 11:30PM. Was hungry when I went to bed, but I woke up feeling pretty darn good. 
TL:DR-- I basically fast and it gets my LPR symptoms under control. 
Anyone else have success with this tactic?</t>
        </is>
      </c>
      <c r="D6389" t="n">
        <v>3</v>
      </c>
      <c r="E6389" t="n">
        <v>6</v>
      </c>
      <c r="F6389">
        <f>HYPERLINK("https://www.reddit.com/r/GERD/comments/g1avgo/some_things_ive_noticed_about_my_lpr/")</f>
        <v/>
      </c>
      <c r="G6389" t="inlineStr">
        <is>
          <t>2020-04-14 11:23:38</t>
        </is>
      </c>
      <c r="H6389" t="inlineStr"/>
    </row>
    <row r="6390">
      <c r="A6390" t="inlineStr">
        <is>
          <t>g1c90m</t>
        </is>
      </c>
      <c r="B6390" t="inlineStr">
        <is>
          <t>Itopride (Ganaton)</t>
        </is>
      </c>
      <c r="C6390" t="inlineStr">
        <is>
          <t>Has anyone here tried Itopride (Ganaton)?
From what I understand, it's a (relatively) newer drug from Japan and isn't approved for sale in the US. However, it is sold and prescribed in Japan, South Korea, China, India and some European countries. It is supposedly safer than other drugs in its class such as Domperidone, however, I am always wary of newer drugs although I'm not sure if that should be a concern. Redditors more experienced in these matters vis a vis pharmacology, please advise.
Note: I've been prescribed Pantoprazole(20mg) +Itopride (150mg). My Doc said that the drug is safe and widely used however, I tend to be extra cautious with what I put in my body.</t>
        </is>
      </c>
      <c r="D6390" t="n">
        <v>3</v>
      </c>
      <c r="E6390" t="n">
        <v>1</v>
      </c>
      <c r="F6390">
        <f>HYPERLINK("https://www.reddit.com/r/GERD/comments/g1c90m/itopride_ganaton/")</f>
        <v/>
      </c>
      <c r="G6390" t="inlineStr">
        <is>
          <t>2020-04-14 12:36:02</t>
        </is>
      </c>
      <c r="H6390" t="inlineStr"/>
    </row>
    <row r="6391">
      <c r="A6391" t="inlineStr">
        <is>
          <t>g1cys9</t>
        </is>
      </c>
      <c r="B6391" t="inlineStr">
        <is>
          <t>20 year old with Sliding Hiatal Hernia</t>
        </is>
      </c>
      <c r="C6391" t="inlineStr">
        <is>
          <t>So I’ve had done Barium and 3 endoscopies, only the last endoscopy finally showed small sliding hiatal hernia back in 2019. My symptoms have become worse throughout the last weeks/ months to the point where I sometimes wake up with acid reflux droplets stuck in my nose and cause shitty pain.
I come with advice and questions. 
Well for starters, has anyone here had any luck with the exercises? Specifically small sliding hiatal hernia. I’ve lurked here for a while and read a lot of posts, so fear not, this isn’t the usual *asking same questions over and over again* case. I’ve been on Controloc 40mg for a while now, and it seems it’s not really effective anymore. It was good in the start, but started to become less and less effective.
I have multiple mucosal breaks less than 5 mm (2019) in the lower esophageal area. That must have changed though. It’s like (or I don’t know if it is) ulcers in my throat. I drink a cold cup of water slowly after I wake up to relieve the pain. Has anyone found anything for that?
I’ve also found that adjusting your bed and having it elevated, as well as sleeping on your left side helps a lot, especially when you’re out of meds.
I’ve not experienced much of the nauseating symptoms and headaches, although that may just be because I’ve gotten used to them, since I’ve had GERD as long as I can remember. 
I also have another question. Now I know my GP should know and recommend the best surgery for my case, but out of curiosity, what are the differences, pros and cons between Nissen, Linx, Stretta and TIF?. I’ve read mixed results, people not being able to puke/burp on Nissen, and other stories. 
Thanks for reading :)</t>
        </is>
      </c>
      <c r="D6391" t="n">
        <v>2</v>
      </c>
      <c r="E6391" t="n">
        <v>3</v>
      </c>
      <c r="F6391">
        <f>HYPERLINK("https://www.reddit.com/r/GERD/comments/g1cys9/20_year_old_with_sliding_hiatal_hernia/")</f>
        <v/>
      </c>
      <c r="G6391" t="inlineStr">
        <is>
          <t>2020-04-14 13:13:53</t>
        </is>
      </c>
      <c r="H6391" t="inlineStr"/>
    </row>
    <row r="6392">
      <c r="A6392" t="inlineStr">
        <is>
          <t>g1eg99</t>
        </is>
      </c>
      <c r="B6392" t="inlineStr">
        <is>
          <t>Symptoms getting worse</t>
        </is>
      </c>
      <c r="C6392" t="inlineStr">
        <is>
          <t>So I’ve had GERD for a while and the only cure I can find is gaviscon 
I was not long ago prescribed omeprazole due to coughing up blood ( brought on by GERD ) 
The omeprazole didn’t work and my symptoms got worse 10 days ago, I don’t currently have any gaviscon and don’t want to walk all the way into town to get some due to the current circumstances especially when it’s £7 a bottle 
I have a really bad cough which was only at night but since last Saturday it’s persistent throughout the day now too. The only thing that seems to help is fresh air but if I open the window at night I won’t get any sleep due to it being a noisy area and I’ve had them open during the day too but still no progress
I sleep with 2 pillows and elevated at night 
I’m fairly certain it’s not the ‘big rona’ virus as there are no other symptoms and this has been a problem before there was even an outbreak 
Is there anything else I can do or try to help?
Sorry about poor spelling grammar hopefully this is readable enough.</t>
        </is>
      </c>
      <c r="D6392" t="n">
        <v>2</v>
      </c>
      <c r="E6392" t="n">
        <v>2</v>
      </c>
      <c r="F6392">
        <f>HYPERLINK("https://www.reddit.com/r/GERD/comments/g1eg99/symptoms_getting_worse/")</f>
        <v/>
      </c>
      <c r="G6392" t="inlineStr">
        <is>
          <t>2020-04-14 14:37:26</t>
        </is>
      </c>
      <c r="H6392" t="inlineStr"/>
    </row>
    <row r="6393">
      <c r="A6393" t="inlineStr">
        <is>
          <t>g1fs1r</t>
        </is>
      </c>
      <c r="B6393" t="inlineStr">
        <is>
          <t>Tickly feeling in chest and throat only relieved (temporarily) with a burp</t>
        </is>
      </c>
      <c r="C6393" t="inlineStr">
        <is>
          <t>Is this normal with GERD?</t>
        </is>
      </c>
      <c r="D6393" t="n">
        <v>2</v>
      </c>
      <c r="E6393" t="n">
        <v>2</v>
      </c>
      <c r="F6393">
        <f>HYPERLINK("https://www.reddit.com/r/GERD/comments/g1fs1r/tickly_feeling_in_chest_and_throat_only_relieved/")</f>
        <v/>
      </c>
      <c r="G6393" t="inlineStr">
        <is>
          <t>2020-04-14 15:51:18</t>
        </is>
      </c>
      <c r="H6393" t="inlineStr"/>
    </row>
    <row r="6394">
      <c r="A6394" t="inlineStr">
        <is>
          <t>g1gbir</t>
        </is>
      </c>
      <c r="B6394" t="inlineStr">
        <is>
          <t>probably posted a lot here, but how do you guys cope with the fact that you have a neverending disease?</t>
        </is>
      </c>
      <c r="C6394" t="inlineStr">
        <is>
          <t>I have been taking PPIs for 2 weeks now but the symptoms still there. my chest hurts, my lung hurts, my neck too. I tried to taper it down cause I heard that you can't take them more than 14 days, but once I did that the symptom get worse, so the most comfortable for me is going back to the regular dosage, that is 60mg of lansoprazole. I never had a lifelong disease before. this is kinda depressing.</t>
        </is>
      </c>
      <c r="D6394" t="n">
        <v>4</v>
      </c>
      <c r="E6394" t="n">
        <v>10</v>
      </c>
      <c r="F6394">
        <f>HYPERLINK("https://www.reddit.com/r/GERD/comments/g1gbir/probably_posted_a_lot_here_but_how_do_you_guys/")</f>
        <v/>
      </c>
      <c r="G6394" t="inlineStr">
        <is>
          <t>2020-04-14 16:22:49</t>
        </is>
      </c>
      <c r="H6394" t="inlineStr"/>
    </row>
    <row r="6395">
      <c r="A6395" t="inlineStr">
        <is>
          <t>g1gfjp</t>
        </is>
      </c>
      <c r="B6395" t="inlineStr">
        <is>
          <t>Recommendations for medication-induced GERD?</t>
        </is>
      </c>
      <c r="C6395" t="inlineStr">
        <is>
          <t>Hey y’all! I hope this is the right forum for this question, but please feel free to suggest other subreddits if you think they would be more appropriate.
Long story short, I’ve been sick with COVID-19 for over a month now. I developed atypical/“walking” pneumonia as a result, and now I’m on antibiotics (doxycycline) to help fight the infection. It’s my first time taking this medication, and it is *destroying* me - I’ve exorcist-barfed at least three times, and today I had reflux/epigastric pain that was so intense that I couldn’t lay down for hours. I have a history of chronic gastritis, so I’m not surprised that the meds are upsetting my stomach, but it’s worse than any other antibiotic that I’ve ever taken. 
Here’s the big problem: the warning label and patient care instructions both say to NOT take any antacids while you’re on it, as they decrease the effectiveness of the drug. I’ve tried taking it before and after a meal, I’ve tried seltzer, saltines, and plain toast, I’ve tried peppermint tea, finger, sipping room temperature water ... I’m running out of ideas, and I *need* to be able to keep the pills down. Do y’all have any non-antacid recommendations to reduce the reflux? Thanks in advance!</t>
        </is>
      </c>
      <c r="D6395" t="n">
        <v>3</v>
      </c>
      <c r="E6395" t="n">
        <v>8</v>
      </c>
      <c r="F6395">
        <f>HYPERLINK("https://www.reddit.com/r/GERD/comments/g1gfjp/recommendations_for_medicationinduced_gerd/")</f>
        <v/>
      </c>
      <c r="G6395" t="inlineStr">
        <is>
          <t>2020-04-14 16:29:23</t>
        </is>
      </c>
      <c r="H6395" t="inlineStr"/>
    </row>
    <row r="6396">
      <c r="A6396" t="inlineStr">
        <is>
          <t>g1gnlk</t>
        </is>
      </c>
      <c r="B6396" t="inlineStr">
        <is>
          <t>I miss zantac so bad</t>
        </is>
      </c>
      <c r="C6396" t="inlineStr">
        <is>
          <t>I had really bad acid reflux in 2017, omeprazol was no help but after that I started taking zantac and it was a miracle drug i could eat whatever I wanted, since then i’ve been switching between different h2 blockers but haven’t found relief, I want to refuse to believe that zantac is the only one that will work for me</t>
        </is>
      </c>
      <c r="D6396" t="n">
        <v>27</v>
      </c>
      <c r="E6396" t="n">
        <v>45</v>
      </c>
      <c r="F6396">
        <f>HYPERLINK("https://www.reddit.com/r/GERD/comments/g1gnlk/i_miss_zantac_so_bad/")</f>
        <v/>
      </c>
      <c r="G6396" t="inlineStr">
        <is>
          <t>2020-04-14 16:42:35</t>
        </is>
      </c>
      <c r="H6396" t="inlineStr"/>
    </row>
    <row r="6397">
      <c r="A6397" t="inlineStr">
        <is>
          <t>g1gusn</t>
        </is>
      </c>
      <c r="B6397" t="inlineStr">
        <is>
          <t>How could one tell if oxygen was hindered due to reflux scarring?</t>
        </is>
      </c>
      <c r="C6397" t="inlineStr">
        <is>
          <t>Outside of going to the doctor....how would one be able to tell if their oxygen intake levels were lower due to scarring from acid reflux?
Would an oxygen saturation monitor work?</t>
        </is>
      </c>
      <c r="D6397" t="n">
        <v>3</v>
      </c>
      <c r="E6397" t="n">
        <v>3</v>
      </c>
      <c r="F6397">
        <f>HYPERLINK("https://www.reddit.com/r/GERD/comments/g1gusn/how_could_one_tell_if_oxygen_was_hindered_due_to/")</f>
        <v/>
      </c>
      <c r="G6397" t="inlineStr">
        <is>
          <t>2020-04-14 16:54:28</t>
        </is>
      </c>
      <c r="H6397" t="inlineStr"/>
    </row>
    <row r="6398">
      <c r="A6398" t="inlineStr">
        <is>
          <t>g1gwnm</t>
        </is>
      </c>
      <c r="B6398" t="inlineStr">
        <is>
          <t>Try this as a silent reflux temp remedy</t>
        </is>
      </c>
      <c r="C6398" t="inlineStr">
        <is>
          <t>Instead of grabbing a tums or rolaids or whatever. Grab a few romaine lettuce leaves, rinse them off, squeeze a good amount of lemon on it and eat it. 
This gives me relief.  I can only do it so much because lettuce is harder to digest. But it's an added helper whenever you need to try something different</t>
        </is>
      </c>
      <c r="D6398" t="n">
        <v>5</v>
      </c>
      <c r="E6398" t="n">
        <v>0</v>
      </c>
      <c r="F6398">
        <f>HYPERLINK("https://www.reddit.com/r/GERD/comments/g1gwnm/try_this_as_a_silent_reflux_temp_remedy/")</f>
        <v/>
      </c>
      <c r="G6398" t="inlineStr">
        <is>
          <t>2020-04-14 16:57:30</t>
        </is>
      </c>
      <c r="H6398" t="inlineStr"/>
    </row>
    <row r="6399">
      <c r="A6399" t="inlineStr">
        <is>
          <t>g1i5f4</t>
        </is>
      </c>
      <c r="B6399" t="inlineStr">
        <is>
          <t>chest pressure/pain</t>
        </is>
      </c>
      <c r="C6399" t="inlineStr">
        <is>
          <t>best OTC for chest pressure/pain?</t>
        </is>
      </c>
      <c r="D6399" t="n">
        <v>1</v>
      </c>
      <c r="E6399" t="n">
        <v>1</v>
      </c>
      <c r="F6399">
        <f>HYPERLINK("https://www.reddit.com/r/GERD/comments/g1i5f4/chest_pressurepain/")</f>
        <v/>
      </c>
      <c r="G6399" t="inlineStr">
        <is>
          <t>2020-04-14 18:14:37</t>
        </is>
      </c>
      <c r="H6399" t="inlineStr"/>
    </row>
    <row r="6400">
      <c r="A6400" t="inlineStr">
        <is>
          <t>g1j4b3</t>
        </is>
      </c>
      <c r="B6400" t="inlineStr">
        <is>
          <t>Weird sensation after treatment</t>
        </is>
      </c>
      <c r="C6400" t="inlineStr">
        <is>
          <t>Hi I was in a treatment for gastritis for some weeks almost had an ulcer and they gave me PPI
 straight to the point
I am still feeling a cold tickle sensation sometimes.
It can get super annoying and if I eat a some irritating food it makes the heartburn  come back also sometimes is accompanied by the feeling of pressure on my back
My sister says it's due to Cicatrization and residual inflammation, that I should just forget about it and it will go away in a week or so
Has anyone else had that strange feeling?
Also I'm taking probiotics (B. Coagulans) and seems to make digestion easier, and also kills H. Pylori</t>
        </is>
      </c>
      <c r="D6400" t="n">
        <v>1</v>
      </c>
      <c r="E6400" t="n">
        <v>0</v>
      </c>
      <c r="F6400">
        <f>HYPERLINK("https://www.reddit.com/r/GERD/comments/g1j4b3/weird_sensation_after_treatment/")</f>
        <v/>
      </c>
      <c r="G6400" t="inlineStr">
        <is>
          <t>2020-04-14 19:18:05</t>
        </is>
      </c>
      <c r="H6400" t="inlineStr"/>
    </row>
    <row r="6401">
      <c r="A6401" t="inlineStr">
        <is>
          <t>g1jgmi</t>
        </is>
      </c>
      <c r="B6401" t="inlineStr">
        <is>
          <t>Probably having GERD for a long time</t>
        </is>
      </c>
      <c r="C6401" t="inlineStr">
        <is>
          <t>Hi all, I have been regurgitating food for like 7 - 8 years. Helps a little when I eat less and I was symptom free (except for irregular bowel movement) for 2 - 3 years in between. I've never had any medication since I thought it was because of chronic gastritis but I have been experiencing heartburn for the past 6 - 7 months. Not frequently though but for the past 2 weeks, I have a burning sensation in my chest and I'm having wet burps with acid. I'm too stressed and concerned that I have left it too late. Could I have developed Barrett's? I'm 25 year old, Male and I do not smoke.
PS :I started regurgitating again as soon as I went on a crazy diet to loose some weight.</t>
        </is>
      </c>
      <c r="D6401" t="n">
        <v>1</v>
      </c>
      <c r="E6401" t="n">
        <v>15</v>
      </c>
      <c r="F6401">
        <f>HYPERLINK("https://www.reddit.com/r/GERD/comments/g1jgmi/probably_having_gerd_for_a_long_time/")</f>
        <v/>
      </c>
      <c r="G6401" t="inlineStr">
        <is>
          <t>2020-04-14 19:41:18</t>
        </is>
      </c>
      <c r="H6401" t="inlineStr"/>
    </row>
    <row r="6402">
      <c r="A6402" t="inlineStr">
        <is>
          <t>g1kn0c</t>
        </is>
      </c>
      <c r="B6402" t="inlineStr">
        <is>
          <t>Does anyone ever feel like they're gonna blow up?</t>
        </is>
      </c>
      <c r="C6402" t="inlineStr">
        <is>
          <t>My whole torso gets a squeezing feeling like I'm going to blow up. I then start panicking and belching really bad. As if the gas is stuck. Not sure if it's just gerd or something else.</t>
        </is>
      </c>
      <c r="D6402" t="n">
        <v>8</v>
      </c>
      <c r="E6402" t="n">
        <v>3</v>
      </c>
      <c r="F6402">
        <f>HYPERLINK("https://www.reddit.com/r/GERD/comments/g1kn0c/does_anyone_ever_feel_like_theyre_gonna_blow_up/")</f>
        <v/>
      </c>
      <c r="G6402" t="inlineStr">
        <is>
          <t>2020-04-14 21:04:38</t>
        </is>
      </c>
      <c r="H6402" t="inlineStr"/>
    </row>
    <row r="6403">
      <c r="A6403" t="inlineStr">
        <is>
          <t>g1lvok</t>
        </is>
      </c>
      <c r="B6403" t="inlineStr">
        <is>
          <t>Shortness of breath HELP?</t>
        </is>
      </c>
      <c r="C6403" t="inlineStr">
        <is>
          <t>Anyone have any remedies for shortness of breath. Its annoying and has my anxiety up</t>
        </is>
      </c>
      <c r="D6403" t="n">
        <v>3</v>
      </c>
      <c r="E6403" t="n">
        <v>6</v>
      </c>
      <c r="F6403">
        <f>HYPERLINK("https://www.reddit.com/r/GERD/comments/g1lvok/shortness_of_breath_help/")</f>
        <v/>
      </c>
      <c r="G6403" t="inlineStr">
        <is>
          <t>2020-04-14 22:39:10</t>
        </is>
      </c>
      <c r="H6403" t="inlineStr"/>
    </row>
    <row r="6404">
      <c r="A6404" t="inlineStr">
        <is>
          <t>g1m9ca</t>
        </is>
      </c>
      <c r="B6404" t="inlineStr">
        <is>
          <t>Anyone tried gaviscon for gerd?</t>
        </is>
      </c>
      <c r="C6404" t="inlineStr">
        <is>
          <t>Symptoms that I’ve been having include: constant throat clearing, hoarse voice, constant mucus in throat, trouble talking if I don’t clear it, hard time swallowing. Was suppose to have an endoscopy unfortunately cancled bc of current situations. And do gerd symptoms show up on endoscopy</t>
        </is>
      </c>
      <c r="D6404" t="n">
        <v>3</v>
      </c>
      <c r="E6404" t="n">
        <v>6</v>
      </c>
      <c r="F6404">
        <f>HYPERLINK("https://www.reddit.com/r/GERD/comments/g1m9ca/anyone_tried_gaviscon_for_gerd/")</f>
        <v/>
      </c>
      <c r="G6404" t="inlineStr">
        <is>
          <t>2020-04-14 23:08:37</t>
        </is>
      </c>
      <c r="H6404" t="inlineStr"/>
    </row>
    <row r="6405">
      <c r="A6405" t="inlineStr">
        <is>
          <t>g1nwpy</t>
        </is>
      </c>
      <c r="B6405" t="inlineStr">
        <is>
          <t>TIF surgery in Europe?</t>
        </is>
      </c>
      <c r="C6405" t="inlineStr">
        <is>
          <t>I was doing my research about surgical options for GERD, and TIF stand out as the best procedure for young people (I am 26). However, I have a hard time finding a clinic that does it in Europe. Any recomendation?</t>
        </is>
      </c>
      <c r="D6405" t="n">
        <v>1</v>
      </c>
      <c r="E6405" t="n">
        <v>0</v>
      </c>
      <c r="F6405">
        <f>HYPERLINK("https://www.reddit.com/r/GERD/comments/g1nwpy/tif_surgery_in_europe/")</f>
        <v/>
      </c>
      <c r="G6405" t="inlineStr">
        <is>
          <t>2020-04-15 01:22:19</t>
        </is>
      </c>
      <c r="H6405" t="inlineStr"/>
    </row>
    <row r="6406">
      <c r="A6406" t="inlineStr">
        <is>
          <t>g1rjuy</t>
        </is>
      </c>
      <c r="B6406" t="inlineStr">
        <is>
          <t>Can anxiety cause acid reflux?</t>
        </is>
      </c>
      <c r="C6406" t="inlineStr">
        <is>
          <t>Stopped taking pantoprazole 2 months ago going on 3 been experiencing burning in my chest with certain things i eat since but now out of nowhere for the past week or so ive been experiencing burping up acid</t>
        </is>
      </c>
      <c r="D6406" t="n">
        <v>39</v>
      </c>
      <c r="E6406" t="n">
        <v>68</v>
      </c>
      <c r="F6406">
        <f>HYPERLINK("https://www.reddit.com/r/GERD/comments/g1rjuy/can_anxiety_cause_acid_reflux/")</f>
        <v/>
      </c>
      <c r="G6406" t="inlineStr">
        <is>
          <t>2020-04-15 06:06:42</t>
        </is>
      </c>
      <c r="H6406" t="inlineStr"/>
    </row>
    <row r="6407">
      <c r="A6407" t="inlineStr">
        <is>
          <t>g1rtq9</t>
        </is>
      </c>
      <c r="B6407" t="inlineStr">
        <is>
          <t>Can you taper off a PPI using 40mg pills?</t>
        </is>
      </c>
      <c r="C6407" t="inlineStr">
        <is>
          <t>So I've been on protonix for a couple months for gastritis and GERD and want to try and taper off, but I only have 40mg pills. Is it possible to do a taper with those, like skipping every 4th day for a while, then skipping every 3rd day, etc? Or is it really better to have 20mg pills for this?</t>
        </is>
      </c>
      <c r="D6407" t="n">
        <v>2</v>
      </c>
      <c r="E6407" t="n">
        <v>3</v>
      </c>
      <c r="F6407">
        <f>HYPERLINK("https://www.reddit.com/r/GERD/comments/g1rtq9/can_you_taper_off_a_ppi_using_40mg_pills/")</f>
        <v/>
      </c>
      <c r="G6407" t="inlineStr">
        <is>
          <t>2020-04-15 06:23:55</t>
        </is>
      </c>
      <c r="H6407" t="inlineStr"/>
    </row>
    <row r="6408">
      <c r="A6408" t="inlineStr">
        <is>
          <t>g1s7l0</t>
        </is>
      </c>
      <c r="B6408" t="inlineStr">
        <is>
          <t>Prilosec not working anymore on first 14days usage</t>
        </is>
      </c>
      <c r="C6408" t="inlineStr">
        <is>
          <t>This is bad news? Same acid reflux symptoms. No longer feel the effects on day 11 of my first two weeks usage</t>
        </is>
      </c>
      <c r="D6408" t="n">
        <v>1</v>
      </c>
      <c r="E6408" t="n">
        <v>1</v>
      </c>
      <c r="F6408">
        <f>HYPERLINK("https://www.reddit.com/r/GERD/comments/g1s7l0/prilosec_not_working_anymore_on_first_14days_usage/")</f>
        <v/>
      </c>
      <c r="G6408" t="inlineStr">
        <is>
          <t>2020-04-15 06:46:30</t>
        </is>
      </c>
      <c r="H6408" t="inlineStr"/>
    </row>
    <row r="6409">
      <c r="A6409" t="inlineStr">
        <is>
          <t>g1uwqm</t>
        </is>
      </c>
      <c r="B6409" t="inlineStr">
        <is>
          <t>Feels like something is constantly stuck in my throat -- HELP</t>
        </is>
      </c>
      <c r="C6409" t="inlineStr">
        <is>
          <t>TL;DR -- Trying to find out if this weird feeling in my throat is GERD-related or something else. 
Hey guys, I'm new to this community but I've had trouble with heartburn/acid reflux in the past. Normally it's the typical burning feeling in my chest that goes away after I move around/drink water, but sometimes it's so bad I literally can't do anything to fix it except let the feeling pass.
My stomach was pretty agreeable in the months before the pandemic, but lately since I've been more inactive and have been eating more junk food, I'll have days where my digestive system feels totally out of whack. And over the last few days, I started experiencing a symptom that I thought would go away, but hasn't, and I'm wondering if anyone else has experienced it too. 
So basically, it feels like something is constantly stuck in my throat. No matter how much I swallow, drink water or eat, it doesn't go away. When I lay down or sit for a long time after eating it seems to get worse, and sometimes when I burp I feel like there's liquid that wants to come back up from my stomach. But here's the weird thing -- I'm not having any pain. No heartburn at all. My appetite is pretty normal, too, and I've tried taking some antacids (TUMS) but it doesn't seem to do anything. I really can't tell if it's due to GERD because there's no heartburn, or if something else is wrong with my body.
I shined a flashlight down my throat the other day and it doesn't look like there are any obstructions (such as a tonsil stone). My other thought was allergies, but it's still pretty cold where I live, and my home has pretty good air circulation and I clean it regularly. I also struggle with anxiety, but I haven't been feeling that anxious lately, and I know what it's like to feel like my throat is closing up due a panic attack. This just feels different.
Anyway, looking for advice because I'm curious if you guys have experienced this feeling before. I'm trying to narrow down if it's GERD or digestion-related as opposed to allergies, anxiety or something worse. Again, I just find it super weird that this doesn't seem to be like the symptoms I've had in the past. In the meantime I'm trying to drink lots of water, eat less junk food and go for walks, but my throat still feels all gunked up. It's been about three days so far, so my guess is that if it is a stomach problem, it'll likely take at least a week to feel better.</t>
        </is>
      </c>
      <c r="D6409" t="n">
        <v>1</v>
      </c>
      <c r="E6409" t="n">
        <v>3</v>
      </c>
      <c r="F6409">
        <f>HYPERLINK("https://www.reddit.com/r/GERD/comments/g1uwqm/feels_like_something_is_constantly_stuck_in_my/")</f>
        <v/>
      </c>
      <c r="G6409" t="inlineStr">
        <is>
          <t>2020-04-15 09:08:12</t>
        </is>
      </c>
      <c r="H6409" t="inlineStr"/>
    </row>
    <row r="6410">
      <c r="A6410" t="inlineStr">
        <is>
          <t>g1v2wh</t>
        </is>
      </c>
      <c r="B6410" t="inlineStr">
        <is>
          <t>Horrid taste in mouth and GERD</t>
        </is>
      </c>
      <c r="C6410" t="inlineStr">
        <is>
          <t>Hey guysss anyone know what I can do to get rid of the horrible taste in my mouth due to GERD?! 
It’s disgusting and it makes me get really anxious as I feel like I’m gonna be sick! 
Thank you so much I’m advance
Just a side note I’m taking omeprazole for 4 days now so I am taking some sort of PPI to help it just hasn’t kicked in yet :) but want some natural remedies</t>
        </is>
      </c>
      <c r="D6410" t="n">
        <v>2</v>
      </c>
      <c r="E6410" t="n">
        <v>2</v>
      </c>
      <c r="F6410">
        <f>HYPERLINK("https://www.reddit.com/r/GERD/comments/g1v2wh/horrid_taste_in_mouth_and_gerd/")</f>
        <v/>
      </c>
      <c r="G6410" t="inlineStr">
        <is>
          <t>2020-04-15 09:16:55</t>
        </is>
      </c>
      <c r="H6410" t="inlineStr"/>
    </row>
    <row r="6411">
      <c r="A6411" t="inlineStr">
        <is>
          <t>g1v3ko</t>
        </is>
      </c>
      <c r="B6411" t="inlineStr">
        <is>
          <t>Question about Ineffective Esophageal Motility and Nissen Fundoplication</t>
        </is>
      </c>
      <c r="C6411" t="inlineStr">
        <is>
          <t>Hi there! I’m new to this forum, but not new to GERD. I’ve been on all sorts of medication for it for the past 13 years, with each medication either not working or stopping working after a few months. After exhausting most PPI’s out there at the max dosage, my GI sent me for an esophageal manometry and 24hr pH probe test (which were absolutely horrendous- happy to answer any questions about the process). Well, the results showed that I fail 70% of my swallows, only have 50% complete bolus transit, have acid reflux and regurgitation pretty much constantly, and was diagnosed with Ineffective Esophageal Motility. My GI said it is now time to consider surgical intervention, although I do not have a hiatal hernia. 
I am writing this because I am curious to hear about anyone else’s experience with IEM and GERD, and also if anyone has gotten the full Nissen with IEM. I have read that a partial fundoplication sometimes works better for those with IEM, but I wanted to see if anyone else out there has had experience with any of the above, and if anyone has any words of advice for the upcoming conversations with my GI. Thank you all for reading this far!</t>
        </is>
      </c>
      <c r="D6411" t="n">
        <v>1</v>
      </c>
      <c r="E6411" t="n">
        <v>0</v>
      </c>
      <c r="F6411">
        <f>HYPERLINK("https://www.reddit.com/r/GERD/comments/g1v3ko/question_about_ineffective_esophageal_motility/")</f>
        <v/>
      </c>
      <c r="G6411" t="inlineStr">
        <is>
          <t>2020-04-15 09:17:55</t>
        </is>
      </c>
      <c r="H6411" t="inlineStr"/>
    </row>
    <row r="6412">
      <c r="A6412" t="inlineStr">
        <is>
          <t>g1w2ep</t>
        </is>
      </c>
      <c r="B6412" t="inlineStr">
        <is>
          <t>A couple tips and exercises to help with Dysphagia (tight/narrow throat feeling)</t>
        </is>
      </c>
      <c r="C6412" t="inlineStr">
        <is>
          <t>Hey all, I see a lot of people here struggling with the feeling of your throat feeling like it’s gonna shut or close up so I saw [this article online that helps people with Dysphagia](https://thickit.com/12-breathing-and-relaxation-techniques-for-dysphagia-patients/) 
Biggest tip of all: RELAX. I know it’s easier said than done and especially during all this COVID stuff a lot of people are more stressed out than usual but seriously just try to keep your mind at ease. 
Since we can’t post links as posts here I’ll just write it out here for anyone that needs these tips. It includes yoga exercises. If anyone else has any tips or tricks please post them in the comments. 
These special breathing exercises can be learned and practiced in order to improve the condition of the esophagus as well as to lessen or eliminate the effects of dysphagia:
Blow out as slowly as possible (five repetitions)
Blow into a balloon and inflate as much as possible
Blow into a pinwheel to create movement
Blow into a straw to create bubbles in water
Say or repeat, out loud one word at a time (automatic sequences: counting 1-10, days of the week, months of the year, etc.)
Shrug shoulders with inhalation, lower shoulders with exhalation
Raise chin with inhalation, lower chin toward neck with exhalation
Raise arm with inhalation, lower arm with exhalation (use one or both arms)
And Yoga exercises 
Sit in a comfortable upright position, which will automatically focus breathing on the diaphragm and lead to a positive state of relaxation
Sit in the “Thinker’s Position” in a chair or on the edge of a bed, placing head in hands, elbows on knees, and feet on the floor
Sit in a chair with both hands resting slightly above the hips with elbows slightly back
Sit in a chair with arms comfortably folded and eyes closed, while consciously taking slow, relaxed breaths</t>
        </is>
      </c>
      <c r="D6412" t="n">
        <v>28</v>
      </c>
      <c r="E6412" t="n">
        <v>9</v>
      </c>
      <c r="F6412">
        <f>HYPERLINK("https://www.reddit.com/r/GERD/comments/g1w2ep/a_couple_tips_and_exercises_to_help_with/")</f>
        <v/>
      </c>
      <c r="G6412" t="inlineStr">
        <is>
          <t>2020-04-15 10:07:16</t>
        </is>
      </c>
      <c r="H6412" t="inlineStr"/>
    </row>
    <row r="6413">
      <c r="A6413" t="inlineStr">
        <is>
          <t>g1xlux</t>
        </is>
      </c>
      <c r="B6413" t="inlineStr">
        <is>
          <t>Crackling Sounds</t>
        </is>
      </c>
      <c r="C6413" t="inlineStr">
        <is>
          <t>I have been getting bad crackling sounds randomly that I can hear but no one else can hear.  No one can give me a medical expiation of what it is.  There is no documentation I can find linking it fully to GERD.</t>
        </is>
      </c>
      <c r="D6413" t="n">
        <v>4</v>
      </c>
      <c r="E6413" t="n">
        <v>7</v>
      </c>
      <c r="F6413">
        <f>HYPERLINK("https://www.reddit.com/r/GERD/comments/g1xlux/crackling_sounds/")</f>
        <v/>
      </c>
      <c r="G6413" t="inlineStr">
        <is>
          <t>2020-04-15 11:23:54</t>
        </is>
      </c>
      <c r="H6413" t="inlineStr"/>
    </row>
    <row r="6414">
      <c r="A6414" t="inlineStr">
        <is>
          <t>g1ymmh</t>
        </is>
      </c>
      <c r="B6414" t="inlineStr">
        <is>
          <t>Picking between Acid Reflux and Constipation/Abdomen Pain</t>
        </is>
      </c>
      <c r="C6414" t="inlineStr">
        <is>
          <t>Has anyone else been here? I can take PPIs to manage my acid reflux but they leave me feeling constipated and like I have a bowling ball sitting in my intestines. I feel like I have to pick what to to deal with.
Recently I have tossed the PPIs as the bloated feeling and stomach pain was worse then the acid being kicked into my esophagus.
Just looking for any alternatives. My GI doc said to take Maalox as needed instead of a daily PPI and I am going to try this. Also seen that Lilly of the Desert stuff posted here and wondering how effective it would be?
I have cut dairy, soda, and most sweets from my diet. I don't have a perfect diet by any means but I do eat healthy 75% of the time, work out, am not over weight, and do not drink or smoke.
Thanks guys</t>
        </is>
      </c>
      <c r="D6414" t="n">
        <v>4</v>
      </c>
      <c r="E6414" t="n">
        <v>3</v>
      </c>
      <c r="F6414">
        <f>HYPERLINK("https://www.reddit.com/r/GERD/comments/g1ymmh/picking_between_acid_reflux_and/")</f>
        <v/>
      </c>
      <c r="G6414" t="inlineStr">
        <is>
          <t>2020-04-15 12:15:22</t>
        </is>
      </c>
      <c r="H6414" t="inlineStr"/>
    </row>
    <row r="6415">
      <c r="A6415" t="inlineStr">
        <is>
          <t>g21wyk</t>
        </is>
      </c>
      <c r="B6415" t="inlineStr">
        <is>
          <t>Throat tight wondering if im in danger?</t>
        </is>
      </c>
      <c r="C6415" t="inlineStr">
        <is>
          <t>I was diagnosed with GERD about 3 and a half ago and the first 2 weeks everything was fine after. I was eating healthy now since u need to lose weight and I have so far. Now out of nowhere my throat is starting to become right throughout the day where it feels like im being constantly choked. The only time this is really relieved is when I chew gum or eat soft foods mainly oatmeal or soup. 
I first started off on amoxicillin and peptide. After I told the doctor about my throat always feeling tight I started taking pantoprazole.  Right now it's my second day. I know it will take time for my throat to heal I've been only eat soft foods like I said and maybe fish and  brown rice for dinner. But is all of this normal in the first few weeks or should be worried and go to the doctor again?
I've also been drinking warm water only with herbal tea.</t>
        </is>
      </c>
      <c r="D6415" t="n">
        <v>2</v>
      </c>
      <c r="E6415" t="n">
        <v>4</v>
      </c>
      <c r="F6415">
        <f>HYPERLINK("https://www.reddit.com/r/GERD/comments/g21wyk/throat_tight_wondering_if_im_in_danger/")</f>
        <v/>
      </c>
      <c r="G6415" t="inlineStr">
        <is>
          <t>2020-04-15 15:08:03</t>
        </is>
      </c>
      <c r="H6415" t="inlineStr"/>
    </row>
    <row r="6416">
      <c r="A6416" t="inlineStr">
        <is>
          <t>g22pgm</t>
        </is>
      </c>
      <c r="B6416" t="inlineStr">
        <is>
          <t>Is this esophagitis?</t>
        </is>
      </c>
      <c r="C6416" t="inlineStr">
        <is>
          <t>My chest hurts when I breathe in and when I'm burping. Also, movements like sleeping on the side hurts my chest. Is this esophagitis?</t>
        </is>
      </c>
      <c r="D6416" t="n">
        <v>3</v>
      </c>
      <c r="E6416" t="n">
        <v>21</v>
      </c>
      <c r="F6416">
        <f>HYPERLINK("https://www.reddit.com/r/GERD/comments/g22pgm/is_this_esophagitis/")</f>
        <v/>
      </c>
      <c r="G6416" t="inlineStr">
        <is>
          <t>2020-04-15 15:51:07</t>
        </is>
      </c>
      <c r="H6416" t="inlineStr"/>
    </row>
    <row r="6417">
      <c r="A6417" t="inlineStr">
        <is>
          <t>g2303i</t>
        </is>
      </c>
      <c r="B6417" t="inlineStr">
        <is>
          <t>gerd meal plan/diet book</t>
        </is>
      </c>
      <c r="C6417" t="inlineStr">
        <is>
          <t>Hello
I’m searching for a gerd meal plan/diet book what would you recommend ?
And if you know where can I get it online
Thanks</t>
        </is>
      </c>
      <c r="D6417" t="n">
        <v>3</v>
      </c>
      <c r="E6417" t="n">
        <v>4</v>
      </c>
      <c r="F6417">
        <f>HYPERLINK("https://www.reddit.com/r/GERD/comments/g2303i/gerd_meal_plandiet_book/")</f>
        <v/>
      </c>
      <c r="G6417" t="inlineStr">
        <is>
          <t>2020-04-15 16:07:13</t>
        </is>
      </c>
      <c r="H6417" t="inlineStr"/>
    </row>
    <row r="6418">
      <c r="A6418" t="inlineStr">
        <is>
          <t>g23ba6</t>
        </is>
      </c>
      <c r="B6418" t="inlineStr">
        <is>
          <t>Heartburn for six months straight??</t>
        </is>
      </c>
      <c r="C6418" t="inlineStr">
        <is>
          <t>I’ve had constant pain and pressure in my chest for six months straight and now my doctor is saying it’s probably heartburn. Just curious has anyone here had heartburn for six consecutive months straight non-stop??</t>
        </is>
      </c>
      <c r="D6418" t="n">
        <v>2</v>
      </c>
      <c r="E6418" t="n">
        <v>4</v>
      </c>
      <c r="F6418">
        <f>HYPERLINK("https://www.reddit.com/r/GERD/comments/g23ba6/heartburn_for_six_months_straight/")</f>
        <v/>
      </c>
      <c r="G6418" t="inlineStr">
        <is>
          <t>2020-04-15 16:24:33</t>
        </is>
      </c>
      <c r="H6418" t="inlineStr"/>
    </row>
    <row r="6419">
      <c r="A6419" t="inlineStr">
        <is>
          <t>g24059</t>
        </is>
      </c>
      <c r="B6419" t="inlineStr">
        <is>
          <t>Has anyone cured their dysphagia or trouble swallowing?</t>
        </is>
      </c>
      <c r="C6419" t="inlineStr">
        <is>
          <t>And if so, how?</t>
        </is>
      </c>
      <c r="D6419" t="n">
        <v>3</v>
      </c>
      <c r="E6419" t="n">
        <v>2</v>
      </c>
      <c r="F6419">
        <f>HYPERLINK("https://www.reddit.com/r/GERD/comments/g24059/has_anyone_cured_their_dysphagia_or_trouble/")</f>
        <v/>
      </c>
      <c r="G6419" t="inlineStr">
        <is>
          <t>2020-04-15 17:03:14</t>
        </is>
      </c>
      <c r="H6419" t="inlineStr"/>
    </row>
    <row r="6420">
      <c r="A6420" t="inlineStr">
        <is>
          <t>g24i0v</t>
        </is>
      </c>
      <c r="B6420" t="inlineStr">
        <is>
          <t>Is this GERD?</t>
        </is>
      </c>
      <c r="C6420" t="inlineStr">
        <is>
          <t>Hope this is okay. I joined because my doctor diagnosed me with GERD. I’m unsure it’s what I have because I don’t know much about it. 
Due to the covid situation, he diagnosed me over telemedicine. 
I have super high anxiety. Health anxiety that’s been triggered by the pandemic. 
Anyway, I’ve had this sore throat (annoying, not super painful, more scratchy and tight on occasion. It hurts more at night when I’ve talked all day) for 4 weeks. I have allergies and post nasal drip for a bit. The doctor also thinks that acid reflux is contributing. 
I have gas occasionally. Burping and hiccups when I’m super anxious, or eat spicy stuff or drink a lot of soda or alcohol. 
Some weeks I do have daily acid reflux. Right now I’ve not had much due to taking 40mg of Pepcid daily (doctors orders). I ate a lot of tums before hand. 
My throat sometimes feels tight. Sometimes scratchy and makes me want to cough. I frequently have the whole need to swallow something feeling in the throat. 
In fact, before I got this sore throat weeks ago, I didn’t have any throat issues. 
I know none of you are doctors, so I understand that you can’t give medical advice. But do you think my doctor is correct? I also have a stuffed up ear and both of them hurt occasionally. 
I think I have a viral infection that is just minor and won’t go away with anxiety bringing out the acid reflux occasionally.</t>
        </is>
      </c>
      <c r="D6420" t="n">
        <v>2</v>
      </c>
      <c r="E6420" t="n">
        <v>5</v>
      </c>
      <c r="F6420">
        <f>HYPERLINK("https://www.reddit.com/r/GERD/comments/g24i0v/is_this_gerd/")</f>
        <v/>
      </c>
      <c r="G6420" t="inlineStr">
        <is>
          <t>2020-04-15 17:33:15</t>
        </is>
      </c>
      <c r="H6420" t="inlineStr"/>
    </row>
    <row r="6421">
      <c r="A6421" t="inlineStr">
        <is>
          <t>g265y7</t>
        </is>
      </c>
      <c r="B6421" t="inlineStr">
        <is>
          <t>Daily cannabis smoker, occasional vaper/cigarette smoker, blood in phlegm after coughing/vomiting</t>
        </is>
      </c>
      <c r="C6421" t="inlineStr">
        <is>
          <t>So about 10 minutes ago I smoked a bowl out of a bong, but just prior I felt a weird acid reflux feeling in my stomach. It briefly went away so I thought nothing of it and continued to smoke my (1)bowl. After lighting it and pulling it, I let it out and after a few seconds I begin to cough. This isn’t unusual for me, as I have asthma and am used to coughing after a toke. However, this time I didn’t feel so right after my usual cough attack. I felt my stomach turn and instantly leaned over and threw up. Didn’t think much of it, until I leaned over again. This time I throw up a few more times maybe 3 (small amounts, seemingly acidic) very harshly, and then go inside, still coughing a bit from the acid buildup. I go into my bathroom, and as I spit into the white sink there’s blood in my mucus. Is this something to be concerned about? What should I do? (It is still present when I spit)</t>
        </is>
      </c>
      <c r="D6421" t="n">
        <v>0</v>
      </c>
      <c r="E6421" t="n">
        <v>13</v>
      </c>
      <c r="F6421">
        <f>HYPERLINK("https://www.reddit.com/r/GERD/comments/g265y7/daily_cannabis_smoker_occasional_vapercigarette/")</f>
        <v/>
      </c>
      <c r="G6421" t="inlineStr">
        <is>
          <t>2020-04-15 19:18:26</t>
        </is>
      </c>
      <c r="H6421" t="inlineStr"/>
    </row>
    <row r="6422">
      <c r="A6422" t="inlineStr">
        <is>
          <t>g26rz0</t>
        </is>
      </c>
      <c r="B6422" t="inlineStr">
        <is>
          <t>Gerd and high bp?</t>
        </is>
      </c>
      <c r="C6422" t="inlineStr">
        <is>
          <t>I’ve been reading a lot about how gerd could cause higher bp readings. Is this true? Anyone else have high bp and gerd? I was “diagnosed” with gerd but then his meds didn’t do anything for me. And then like a year later I was told I had high bp. While I’m a healthy 21 year old with a health diet. It all doesn’t make sense. My symptoms are a burning like dry sensation in my throat. Almost like I’ve been smoking a ton or something (I don’t smoke anymore) and then a dry throat, and dry sinuses. I’m also a welder though and my idea was the pollutants in the air and bad fumes were causin my throat to have a really dry irritated burning sensation. Helpppp</t>
        </is>
      </c>
      <c r="D6422" t="n">
        <v>0</v>
      </c>
      <c r="E6422" t="n">
        <v>32</v>
      </c>
      <c r="F6422">
        <f>HYPERLINK("https://www.reddit.com/r/GERD/comments/g26rz0/gerd_and_high_bp/")</f>
        <v/>
      </c>
      <c r="G6422" t="inlineStr">
        <is>
          <t>2020-04-15 19:59:44</t>
        </is>
      </c>
      <c r="H6422" t="inlineStr"/>
    </row>
    <row r="6423">
      <c r="A6423" t="inlineStr">
        <is>
          <t>g274li</t>
        </is>
      </c>
      <c r="B6423" t="inlineStr">
        <is>
          <t>Constant throat clearing</t>
        </is>
      </c>
      <c r="C6423" t="inlineStr">
        <is>
          <t>Anyone else have to constantly (like, EVERYDAY) clear their throat? I don't know if it's the GERD or the post nasal drip which I also experience on a daily basis but it's really annoying, not only to myself but to those around me. I'm also not sure if GERD is causing the post nasal drip but i've been dealing with all of these things for many years. I'm scared because i've never taken medication of any kind for this stuff. I feel like medication will only hide the problem and make it worse or screw me over in other ways. It's like a catch 22 you know? So my questions are, what do yall do to help with throat clearing? Is medication worth it? And lastly, is it possible that my post nasal drip was induced by GERD? Thanks in advance for checking out my post!</t>
        </is>
      </c>
      <c r="D6423" t="n">
        <v>1</v>
      </c>
      <c r="E6423" t="n">
        <v>16</v>
      </c>
      <c r="F6423">
        <f>HYPERLINK("https://www.reddit.com/r/GERD/comments/g274li/constant_throat_clearing/")</f>
        <v/>
      </c>
      <c r="G6423" t="inlineStr">
        <is>
          <t>2020-04-15 20:23:04</t>
        </is>
      </c>
      <c r="H6423" t="inlineStr"/>
    </row>
    <row r="6424">
      <c r="A6424" t="inlineStr">
        <is>
          <t>g27b8s</t>
        </is>
      </c>
      <c r="B6424" t="inlineStr">
        <is>
          <t>Is it safe to take omeprazole and probiotics?</t>
        </is>
      </c>
      <c r="C6424" t="inlineStr">
        <is>
          <t>Hi everyone,
New sufferer of GERD here, or at least I was recently diagnosed. I've been feeling the same awful symptoms you guys have, except for heartburn and stomach pain. But I have the unbearable breathing issues and some other things. My doctor took one look down my throat and said yep, you should go on omeprazole. 
So I started taking it two days ago, but have been very impatient because of how shitty I feel. Then I took to reddit to see what you guys have been doing, and I read a lot of success stories about probiotics. Something about Garden of Life, Nature's Bounty, etc.
Is it safe to take probiotics at the same time as omeprazole? I want to get this shit under control so I can have my life back. I'm literally willing to do anything. Thanks!</t>
        </is>
      </c>
      <c r="D6424" t="n">
        <v>1</v>
      </c>
      <c r="E6424" t="n">
        <v>3</v>
      </c>
      <c r="F6424">
        <f>HYPERLINK("https://www.reddit.com/r/GERD/comments/g27b8s/is_it_safe_to_take_omeprazole_and_probiotics/")</f>
        <v/>
      </c>
      <c r="G6424" t="inlineStr">
        <is>
          <t>2020-04-15 20:35:46</t>
        </is>
      </c>
      <c r="H6424" t="inlineStr"/>
    </row>
    <row r="6425">
      <c r="A6425" t="inlineStr">
        <is>
          <t>g28afl</t>
        </is>
      </c>
      <c r="B6425" t="inlineStr">
        <is>
          <t>Constant lump in throat (globus) feeling</t>
        </is>
      </c>
      <c r="C6425" t="inlineStr">
        <is>
          <t>I’m just wondering if anyone else struggles with this as a result of GERD or LPR, also does it ever make breathing feel shallow for you guys?</t>
        </is>
      </c>
      <c r="D6425" t="n">
        <v>11</v>
      </c>
      <c r="E6425" t="n">
        <v>15</v>
      </c>
      <c r="F6425">
        <f>HYPERLINK("https://www.reddit.com/r/GERD/comments/g28afl/constant_lump_in_throat_globus_feeling/")</f>
        <v/>
      </c>
      <c r="G6425" t="inlineStr">
        <is>
          <t>2020-04-15 21:46:09</t>
        </is>
      </c>
      <c r="H6425" t="inlineStr"/>
    </row>
    <row r="6426">
      <c r="A6426" t="inlineStr">
        <is>
          <t>g28rnm</t>
        </is>
      </c>
      <c r="B6426" t="inlineStr">
        <is>
          <t>Help- globus after trigger food?</t>
        </is>
      </c>
      <c r="C6426" t="inlineStr">
        <is>
          <t>Two days ago I was overly indulgent because I finally was feeling good enough to eat "normally." Ate some chocolate that caused me reflux that night. That led me to have a lot of issues the next day with reflux, globus sensation, food feeling like it was getting stuck. Still having this issue today as well. Biggest issue is feeling like food is getting stuck. I'm thinking this could just be from inflammation from the reflux that night.
How long after after eating a trigger food that leads to a bad episode does it take for you to settle back down usually?
I'm hoping this will settle down within the week... I can deal with pain, nausea, etc but the globus sensation drives me crazy. Any support is appreciated</t>
        </is>
      </c>
      <c r="D6426" t="n">
        <v>1</v>
      </c>
      <c r="E6426" t="n">
        <v>0</v>
      </c>
      <c r="F6426">
        <f>HYPERLINK("https://www.reddit.com/r/GERD/comments/g28rnm/help_globus_after_trigger_food/")</f>
        <v/>
      </c>
      <c r="G6426" t="inlineStr">
        <is>
          <t>2020-04-15 22:22:09</t>
        </is>
      </c>
      <c r="H6426" t="inlineStr"/>
    </row>
    <row r="6427">
      <c r="A6427" t="inlineStr">
        <is>
          <t>g2ba5m</t>
        </is>
      </c>
      <c r="B6427" t="inlineStr">
        <is>
          <t>Psyllium husk for stomach burns or GERD</t>
        </is>
      </c>
      <c r="C6427" t="inlineStr">
        <is>
          <t>I have been reading many articles and its mentioned to take Psyllium husk for acidity\\stomach burns\\gerd 
Does anyone have any experience</t>
        </is>
      </c>
      <c r="D6427" t="n">
        <v>1</v>
      </c>
      <c r="E6427" t="n">
        <v>0</v>
      </c>
      <c r="F6427">
        <f>HYPERLINK("https://www.reddit.com/r/GERD/comments/g2ba5m/psyllium_husk_for_stomach_burns_or_gerd/")</f>
        <v/>
      </c>
      <c r="G6427" t="inlineStr">
        <is>
          <t>2020-04-16 01:50:27</t>
        </is>
      </c>
      <c r="H6427" t="inlineStr"/>
    </row>
    <row r="6428">
      <c r="A6428" t="inlineStr">
        <is>
          <t>g2bwch</t>
        </is>
      </c>
      <c r="B6428" t="inlineStr">
        <is>
          <t>Upper abdominal pain once a month</t>
        </is>
      </c>
      <c r="C6428" t="inlineStr">
        <is>
          <t>I'm a 20yo male. I've had recurrent stomach pain just above the belly button. The first episode was August 2018, I had constant stomach pain for 5 days. Literally woke up and went to sleep with stomach pain. Same thing in May 2019. 
I had that same pain but only for 2 days in September 2019, then again for 1 day in February 2020 and just last night. It's always the same kind of pain, just above my belly button. It's never accompanied by diarrhea or constipation, only stomach pain. However in that May 2019 episode I did do liquid poo the last day when the pain subsided. Other than that, each time it has been only the pain. 
I've had a gallbladder ultrasound which was fine, I've had antibiotics to treat h pylori, I've had omenprazole - but I keep getting it. September 2019 was the first time I took the omenprazole, maybe that's why it didn't last 5 days that time? I'm starting to think if it isn't diet related (eg I get awful heartburn when I eat Weetabix, but no stomach pain), then maybe it's all a coincidence? Anyone have similar story?
The pain a few days ago came 4 hours after I had eaten an omelette and porridge for breakfast, I had peanut butter and jam with the porridge. There's been so many times when I had peanut butter in my smoothies and I'm perfectly fine, I also eat pasta lots and am fine. I'm tall and skinny not overweight.</t>
        </is>
      </c>
      <c r="D6428" t="n">
        <v>5</v>
      </c>
      <c r="E6428" t="n">
        <v>13</v>
      </c>
      <c r="F6428">
        <f>HYPERLINK("https://www.reddit.com/r/GERD/comments/g2bwch/upper_abdominal_pain_once_a_month/")</f>
        <v/>
      </c>
      <c r="G6428" t="inlineStr">
        <is>
          <t>2020-04-16 02:41:55</t>
        </is>
      </c>
      <c r="H6428" t="inlineStr"/>
    </row>
    <row r="6429">
      <c r="A6429" t="inlineStr">
        <is>
          <t>g2czud</t>
        </is>
      </c>
      <c r="B6429" t="inlineStr">
        <is>
          <t>Similar Symptoms?</t>
        </is>
      </c>
      <c r="C6429" t="inlineStr">
        <is>
          <t>Hello,
I haven’t posted here before, but found it a possible place to share for any insight, given the fact that the Covid situation is making it hard to have appointments for things that aren’t severe and emergencies. I’m 29/M.
For the last 24 hours, I’ve been having a sudden blip of chest pain, but only when I swallow—saliva, water, food, anything. I first noticed it waking up yesterday morning. Sometimes it feels more of a sharp tightness, and other times it feels more of a burn. It’s right beneath the sternum, and it literally just occurs when something is going down my esophagus. My throat doesn’t hurt, there is no pain or tingle in my throat, and no need to clear my throat. I can breathe and move around completely fine, and the pain is hardly present unless I swallow. I didn’t do anything or eat anything that different from what I’ve done in my life before. All I can think of is that on Tuesday I did go for a more-intensive run and pushed myself a bit harder than usual, but I felt fine afterwards and had no concerns before/during/after the run. And then on Monday I had some wings and a cheesesteak sandwich. I’ve certainly had some flare ups of heartburn when eating food like that, but never 24 hours later, and never this type of pain—plus the heartburn that I might get from that food goes away with some OTC-medication.
Some history for me, I have never been diagnosed with GERD, but I grew up as a kid with some acid reflux issues. I get heartburn at least once every 7-10 days, which I take Pepcid or antacids for. But as I said, this is a new pain and I am not sure if it’s GERD-related, if it’s esophagitis, or something more severe?
I appreciate any insight and help!</t>
        </is>
      </c>
      <c r="D6429" t="n">
        <v>3</v>
      </c>
      <c r="E6429" t="n">
        <v>2</v>
      </c>
      <c r="F6429">
        <f>HYPERLINK("https://www.reddit.com/r/GERD/comments/g2czud/similar_symptoms/")</f>
        <v/>
      </c>
      <c r="G6429" t="inlineStr">
        <is>
          <t>2020-04-16 04:12:41</t>
        </is>
      </c>
      <c r="H6429" t="inlineStr"/>
    </row>
    <row r="6430">
      <c r="A6430" t="inlineStr">
        <is>
          <t>g2dqxa</t>
        </is>
      </c>
      <c r="B6430" t="inlineStr">
        <is>
          <t>Is taking 40mg Pantoprazole every day + long-term unhealthy?</t>
        </is>
      </c>
      <c r="C6430" t="inlineStr">
        <is>
          <t>Today is my 1 year GERD-iversary. I've been through a LOT in order to deal with GERD. Took lots of medications, been to ER countless times, had procedures done, etc. For the past 6 months or so, I've been doing 40mg Pantoprazole(AKA Protonix) once per day for the time being. It definitely works. I still need to watch what I eat, but for the most part it works well. I know that this medication is supposed to be used short term, so what side effects can happen if I continue to use this? Should I stop or nah? I don't wanna keep taking this and find out years later that it screwed up my stomach or some shit..</t>
        </is>
      </c>
      <c r="D6430" t="n">
        <v>12</v>
      </c>
      <c r="E6430" t="n">
        <v>27</v>
      </c>
      <c r="F6430">
        <f>HYPERLINK("https://www.reddit.com/r/GERD/comments/g2dqxa/is_taking_40mg_pantoprazole_every_day_longterm/")</f>
        <v/>
      </c>
      <c r="G6430" t="inlineStr">
        <is>
          <t>2020-04-16 05:11:38</t>
        </is>
      </c>
      <c r="H6430" t="inlineStr"/>
    </row>
    <row r="6431">
      <c r="A6431" t="inlineStr">
        <is>
          <t>g2iifb</t>
        </is>
      </c>
      <c r="B6431" t="inlineStr">
        <is>
          <t>Elimination Diet Tips</t>
        </is>
      </c>
      <c r="C6431" t="inlineStr">
        <is>
          <t>I was diagnosed with GERD about 2 months ago. Dr prescribed 20 mg of Omeprazole but after that made symptoms worse, put me on 40mg Protonix 2x a day and Mitox 3x a day as of yesterday.
Not sure if thats normal, but that feels like a lot of medication that I don’t want to be taking everyday for the unforeseeable future. I want to do a strict elimination diet to figure out what my specific triggers are. Does anyone have any tips or experience doing this? What can I eat for 2 weeks straight that is completely GERD-safe? Here’s what I have so far: 
-really any green veggies
-root veggies 
-White or brown rice 
-potatoes, sweet potatoes 
-tofu, chicken, pork, all unseasoned 
-grains like oats, quinoa, etc 
-beans/lentils 
I’m also planning on taking Slippery elm and licorice chewable to see if that would help me wean off the PPI.
Any tips at all would be so so helpful, I want to get my diet straight and ease myself off these meds.</t>
        </is>
      </c>
      <c r="D6431" t="n">
        <v>3</v>
      </c>
      <c r="E6431" t="n">
        <v>3</v>
      </c>
      <c r="F6431">
        <f>HYPERLINK("https://www.reddit.com/r/GERD/comments/g2iifb/elimination_diet_tips/")</f>
        <v/>
      </c>
      <c r="G6431" t="inlineStr">
        <is>
          <t>2020-04-16 09:44:10</t>
        </is>
      </c>
      <c r="H6431" t="inlineStr"/>
    </row>
    <row r="6432">
      <c r="A6432" t="inlineStr">
        <is>
          <t>g2isyz</t>
        </is>
      </c>
      <c r="B6432" t="inlineStr">
        <is>
          <t>PPI intolerance: Any alternatives?</t>
        </is>
      </c>
      <c r="C6432" t="inlineStr">
        <is>
          <t>I have SEVERE reflux burning (hurts so bad I cry), indigestion, chronic burping and yes, anxiety.  
My issue with PPI’s: (I’ve tried protonix, prilosec)  
- The anxiety on PPI’s though is too much to handle, despite them stopping the reflux.  
- They do stop it, but give me incredible “restlessness” and panic attacks.  
What else can i try? Famotidine sort of helps but it’s not doing it for me. Tums don’t do anything. Eating temporarily helps (probably by coating the ulcer/sore). No significant food allergies.  
All my GI knows is PPI’s.</t>
        </is>
      </c>
      <c r="D6432" t="n">
        <v>3</v>
      </c>
      <c r="E6432" t="n">
        <v>10</v>
      </c>
      <c r="F6432">
        <f>HYPERLINK("https://www.reddit.com/r/GERD/comments/g2isyz/ppi_intolerance_any_alternatives/")</f>
        <v/>
      </c>
      <c r="G6432" t="inlineStr">
        <is>
          <t>2020-04-16 09:59:07</t>
        </is>
      </c>
      <c r="H6432" t="inlineStr"/>
    </row>
    <row r="6433">
      <c r="A6433" t="inlineStr">
        <is>
          <t>g2kncl</t>
        </is>
      </c>
      <c r="B6433" t="inlineStr">
        <is>
          <t>Does caffeine cause GERD to flare up?</t>
        </is>
      </c>
      <c r="C6433" t="inlineStr">
        <is>
          <t>So I thought I was done with reflux so I started drinking caffeine again and eating whatever I want to eat. Well it worked for a couple of months until it came back again last week or so. So I’ve been eating clean and eating significantly less (around 2800 cals down to about 2000) and I thought this would fix the problem. Well even when I barely eat anything, I still get reflux back up my throat and the last thing that I haven’t eliminated is caffeine. I did switch from to fully tea but still get reflux. But I just read that coffee causes it because it’s so acidic but tea shouldn’t because of its low acidity? Anyone have any idea?</t>
        </is>
      </c>
      <c r="D6433" t="n">
        <v>11</v>
      </c>
      <c r="E6433" t="n">
        <v>44</v>
      </c>
      <c r="F6433">
        <f>HYPERLINK("https://www.reddit.com/r/GERD/comments/g2kncl/does_caffeine_cause_gerd_to_flare_up/")</f>
        <v/>
      </c>
      <c r="G6433" t="inlineStr">
        <is>
          <t>2020-04-16 11:32:11</t>
        </is>
      </c>
      <c r="H6433" t="inlineStr"/>
    </row>
    <row r="6434">
      <c r="A6434" t="inlineStr">
        <is>
          <t>g2ln49</t>
        </is>
      </c>
      <c r="B6434" t="inlineStr">
        <is>
          <t>Anyone on omeprazole gain weight/can't lose weight?</t>
        </is>
      </c>
      <c r="C6434" t="inlineStr">
        <is>
          <t xml:space="preserve"> 
&amp;amp;#x200B;
To start off , around 4 years ago I lost a significant amount of weight going from 200- 120. I was super proud of myself! I maintained this weight for 3.5 years. However, Last year I developed GERD (gastro-esophageal reflux disease - so severe and chronic acid reflux). I went a few months unmedicated but began taking 40mg omeprazole on thanksgiving 2019. By Christmas, with no change in my diet, save a little more oatmeal and rice cakes (which I was already eating for years), I shot up to 145 pounds (so about 20-25 pounds in one month). The only real change is I exercised less because it aggravated my reflux (but I also never have heavily exercised previously).
Since January, I told myself that I would made sure I was really only sticking too proteins fruits and vegetables and healthy carbs (very infrequently, one or twice a week and only ever the serving size). I began drinking approx 75 ounces of water a day and began using the elliptical, going for walks, and doing an hour of weighted exercises and started utilizing resistance bands. This is how I previously lost 80 pounds. However, the lowest I have ever gotten is 143 pounds despite that all, and even now I'm now 149 pounds. I hate the way I look, especially that my clothes don't fit, when I worked so hard the first time to get all the weight off. I'd say I'm eating about 1,000 - 1,200 calories most days.
I don't know what more to do, I am exercising, eating right, drinking a ton of water, I have tried everything that has worked in the past and I am getting absolutely no results in 4 months of dieting. Honestly at this point I'd settle for even being like 130/135 with muscle or something. But I can't stand being basically 150 pounds when my weight shot up out of not my own habits and nothing I'm doing is helping.
Has anyone else experienced this? Is it just the medication?</t>
        </is>
      </c>
      <c r="D6434" t="n">
        <v>1</v>
      </c>
      <c r="E6434" t="n">
        <v>4</v>
      </c>
      <c r="F6434">
        <f>HYPERLINK("https://www.reddit.com/r/GERD/comments/g2ln49/anyone_on_omeprazole_gain_weightcant_lose_weight/")</f>
        <v/>
      </c>
      <c r="G6434" t="inlineStr">
        <is>
          <t>2020-04-16 12:22:21</t>
        </is>
      </c>
      <c r="H6434" t="inlineStr"/>
    </row>
    <row r="6435">
      <c r="A6435" t="inlineStr">
        <is>
          <t>g2lyi4</t>
        </is>
      </c>
      <c r="B6435" t="inlineStr">
        <is>
          <t>Short Burst of Pain Near Right Peck?</t>
        </is>
      </c>
      <c r="C6435" t="inlineStr">
        <is>
          <t>Hello everyone.
30Yr M and back about 2 months or so ago i had this pain in my chest, left of my right peck. It wouldnt linger like "normal" heartburn ive had in the past, it also comes and goes, lasts maybe 15-20 seconds at a time a was reoccurring throughout the day, even in morning before i at or drank anything.
my dr gave me  Famotidine, which only last a couple hours at a time he then gave me omeprazole for 14 days and that helped, i havent had in issue until a couple days ago. Now, every once in a while it get that short pain to the left of right peck. I just want to know if any of you experience something like this? in the past when i would have heartburn it would be more in my sternum and throat but this isnt.
Thank you.</t>
        </is>
      </c>
      <c r="D6435" t="n">
        <v>2</v>
      </c>
      <c r="E6435" t="n">
        <v>0</v>
      </c>
      <c r="F6435">
        <f>HYPERLINK("https://www.reddit.com/r/GERD/comments/g2lyi4/short_burst_of_pain_near_right_peck/")</f>
        <v/>
      </c>
      <c r="G6435" t="inlineStr">
        <is>
          <t>2020-04-16 12:38:19</t>
        </is>
      </c>
      <c r="H6435" t="inlineStr"/>
    </row>
    <row r="6436">
      <c r="A6436" t="inlineStr">
        <is>
          <t>g2m7a8</t>
        </is>
      </c>
      <c r="B6436" t="inlineStr">
        <is>
          <t>Please let me hear some success stories here!</t>
        </is>
      </c>
      <c r="C6436" t="inlineStr">
        <is>
          <t>I’ve read some very demoralising posts here about how bad GERD has been for them. Does anyone have success stories about recovering from their severe symptoms. And if you could briefly explain how you did it. 
I’m 20 and suffer from 24/7 breathlessness and difficulty sleeping and I just need some hope that this can be cured. Please.</t>
        </is>
      </c>
      <c r="D6436" t="n">
        <v>11</v>
      </c>
      <c r="E6436" t="n">
        <v>35</v>
      </c>
      <c r="F6436">
        <f>HYPERLINK("https://www.reddit.com/r/GERD/comments/g2m7a8/please_let_me_hear_some_success_stories_here/")</f>
        <v/>
      </c>
      <c r="G6436" t="inlineStr">
        <is>
          <t>2020-04-16 12:50:40</t>
        </is>
      </c>
      <c r="H6436" t="inlineStr"/>
    </row>
    <row r="6437">
      <c r="A6437" t="inlineStr">
        <is>
          <t>g2m84p</t>
        </is>
      </c>
      <c r="B6437" t="inlineStr">
        <is>
          <t>Can omeprazole (or any ppi for that matter) cure gerd?</t>
        </is>
      </c>
      <c r="C6437" t="inlineStr">
        <is>
          <t>I'm super new to this gerd thing - I was just prescribed 40mg omeprazole a couple days ago. But I started doing some reading online and am now slightly concerned. Can a PPI even cure me of gerd? Or rather, is there an underlying cause I should be tackling instead of merely relieving my symptoms?
My doctor said it could possibly cure it, which is why I want to go forward with completing my month of this prescription. 
Alternatively, I've read some good things about probiotics. Is that a better route to take?</t>
        </is>
      </c>
      <c r="D6437" t="n">
        <v>2</v>
      </c>
      <c r="E6437" t="n">
        <v>8</v>
      </c>
      <c r="F6437">
        <f>HYPERLINK("https://www.reddit.com/r/GERD/comments/g2m84p/can_omeprazole_or_any_ppi_for_that_matter_cure/")</f>
        <v/>
      </c>
      <c r="G6437" t="inlineStr">
        <is>
          <t>2020-04-16 12:51:55</t>
        </is>
      </c>
      <c r="H6437" t="inlineStr"/>
    </row>
    <row r="6438">
      <c r="A6438" t="inlineStr">
        <is>
          <t>g2nwt2</t>
        </is>
      </c>
      <c r="B6438" t="inlineStr">
        <is>
          <t>How important is posture after eating?</t>
        </is>
      </c>
      <c r="C6438" t="inlineStr">
        <is>
          <t>It seems like I get aggravated in my upper stomach esophagus if I ever reclined backwards just a bit</t>
        </is>
      </c>
      <c r="D6438" t="n">
        <v>6</v>
      </c>
      <c r="E6438" t="n">
        <v>14</v>
      </c>
      <c r="F6438">
        <f>HYPERLINK("https://www.reddit.com/r/GERD/comments/g2nwt2/how_important_is_posture_after_eating/")</f>
        <v/>
      </c>
      <c r="G6438" t="inlineStr">
        <is>
          <t>2020-04-16 14:19:19</t>
        </is>
      </c>
      <c r="H6438" t="inlineStr"/>
    </row>
    <row r="6439">
      <c r="A6439" t="inlineStr">
        <is>
          <t>g2o2m7</t>
        </is>
      </c>
      <c r="B6439" t="inlineStr">
        <is>
          <t>Difficulty swallowing</t>
        </is>
      </c>
      <c r="C6439" t="inlineStr">
        <is>
          <t>I was supposed to have an upper endoscopy and biopsy on my esophagus but covid has caused that to no longer be considered “essential.”  I have been trying to lower my dosage of omeprezol and after horrible esophogitus caused by rebound.  I finally adjusted and no longer have bad heartburn or esophogitus (I’m also eating really limited food types.) Well now I have horrible difficulty swallowing and I constantly feel like there is food stuck in my throat. This is a consistent horrible feeling. Does anyone have any solutions???? I have been trying hot tea, carbonation (but that does cause heartburn), and jumping, etc... nothing works. I want to puke.</t>
        </is>
      </c>
      <c r="D6439" t="n">
        <v>2</v>
      </c>
      <c r="E6439" t="n">
        <v>4</v>
      </c>
      <c r="F6439">
        <f>HYPERLINK("https://www.reddit.com/r/GERD/comments/g2o2m7/difficulty_swallowing/")</f>
        <v/>
      </c>
      <c r="G6439" t="inlineStr">
        <is>
          <t>2020-04-16 14:27:59</t>
        </is>
      </c>
      <c r="H6439" t="inlineStr"/>
    </row>
    <row r="6440">
      <c r="A6440" t="inlineStr">
        <is>
          <t>g2oha0</t>
        </is>
      </c>
      <c r="B6440" t="inlineStr">
        <is>
          <t>esophagitis - need advice</t>
        </is>
      </c>
      <c r="C6440" t="inlineStr">
        <is>
          <t xml:space="preserve">
I think I might have GERD I was prescribed omeprazole for abdominal pain and took it for months but it would always cause acid reflux up my throat I thought that was normal I’ve stopped taking it now but my throat has a lumpy feeling in it now and it burn minutes after I eat anything, also feels uncomfortable swallowing my own saliva. I’ve used gaviscon for 2 weeks and I was fine but when I went off it the throat stuff came back. What medicine do I need for this? Does this ever go away or do I need a lifetime supply of gaviscon?</t>
        </is>
      </c>
      <c r="D6440" t="n">
        <v>2</v>
      </c>
      <c r="E6440" t="n">
        <v>5</v>
      </c>
      <c r="F6440">
        <f>HYPERLINK("https://www.reddit.com/r/GERD/comments/g2oha0/esophagitis_need_advice/")</f>
        <v/>
      </c>
      <c r="G6440" t="inlineStr">
        <is>
          <t>2020-04-16 14:49:04</t>
        </is>
      </c>
      <c r="H6440" t="inlineStr"/>
    </row>
    <row r="6441">
      <c r="A6441" t="inlineStr">
        <is>
          <t>g2ou3c</t>
        </is>
      </c>
      <c r="B6441" t="inlineStr">
        <is>
          <t>Herbal teas that are good for reflux</t>
        </is>
      </c>
      <c r="C6441" t="inlineStr">
        <is>
          <t>So I'm pretty tired of the same 3 teas and I wanted to try a hibiscus rosehip blend but I cant seem to find any info on if it's safe for reflux so I was curious if anyone here has any experience with it</t>
        </is>
      </c>
      <c r="D6441" t="n">
        <v>3</v>
      </c>
      <c r="E6441" t="n">
        <v>14</v>
      </c>
      <c r="F6441">
        <f>HYPERLINK("https://www.reddit.com/r/GERD/comments/g2ou3c/herbal_teas_that_are_good_for_reflux/")</f>
        <v/>
      </c>
      <c r="G6441" t="inlineStr">
        <is>
          <t>2020-04-16 15:07:32</t>
        </is>
      </c>
      <c r="H6441" t="inlineStr"/>
    </row>
    <row r="6442">
      <c r="A6442" t="inlineStr">
        <is>
          <t>g2pf6d</t>
        </is>
      </c>
      <c r="B6442" t="inlineStr">
        <is>
          <t>27F diagnosed with LPR</t>
        </is>
      </c>
      <c r="C6442" t="inlineStr">
        <is>
          <t>I’ve always been relatively healthy. 115lbs, 5’5, active lifestyle. Decent eating, although I like my sweets and occasional (less than 4 times a month) drinking of beer or vodka/soda water. 
Starting last summer I had constant throat irritation, inflamed tonsils and a constant feeling of post nasal drip and jaw/ear pain. Tonsils were so inflamed for months and antibiotics did nothing, scans didn’t show anything, so they had to come out in September. Since then I’ve had the continued feeling of post nasal drip, ear fullness, jaw muscle pain that travels to my mouth, and frequent belching and bad taste in my throat. 
My ENT finally diagnosed me in January after a very brief exam and some weird scope down my nose with LPR. He seemed very short with me and like he was tired of hearing from me since the beginning of my tonsil stuff the summer before. I almost feel like he thought I was making stuff up. He put me on a PPI 2x a day for 6 months and basically told me to stop eating all the things I love- handed me a list of “no no” foods. I’ve tried my best for the first 2 months do follow that and noticed no improvement, and no change. And I think the PPI’s are messing with my stomach- I now find it hard to have bowel movements and feel bloated frequently. I’ve cut out dairy except for soft cheeses and try to limit all acidic foods. If I have an alcoholic beverage, I drink it along with water and they are very few and far between. I don’t eat before bed, and I work on eating small meals (which I’ve pretty much done anyhow, I eat 4 or 5 small meals instead of 3 large ones). 
Nothing seems to be changing. I worry the PPI’s are doing anything and don’t want to keep taking them if they aren’t beneficial. The things I’ve been reading lately strongly suggests that PPI’s are not a good solution for LPR and are as effective as placebos, which is concerning. I just want to figure out what I’m supposed to do, or what has worked for any of you, because my research is giving no conclusive ideas. 
Anybody have any ideas or advice? I’m so sick of this! It seems so stupid but it’s taking over my life!</t>
        </is>
      </c>
      <c r="D6442" t="n">
        <v>10</v>
      </c>
      <c r="E6442" t="n">
        <v>23</v>
      </c>
      <c r="F6442">
        <f>HYPERLINK("https://www.reddit.com/r/GERD/comments/g2pf6d/27f_diagnosed_with_lpr/")</f>
        <v/>
      </c>
      <c r="G6442" t="inlineStr">
        <is>
          <t>2020-04-16 15:38:48</t>
        </is>
      </c>
      <c r="H6442" t="inlineStr"/>
    </row>
    <row r="6443">
      <c r="A6443" t="inlineStr">
        <is>
          <t>g2qvz8</t>
        </is>
      </c>
      <c r="B6443" t="inlineStr">
        <is>
          <t>is Kraft Mac &amp;amp; Cheese a trigger for anyone?</t>
        </is>
      </c>
      <c r="C6443" t="inlineStr">
        <is>
          <t>Been a few years since I had a flare up this bad - trying to remember whats safe to eat.</t>
        </is>
      </c>
      <c r="D6443" t="n">
        <v>1</v>
      </c>
      <c r="E6443" t="n">
        <v>3</v>
      </c>
      <c r="F6443">
        <f>HYPERLINK("https://www.reddit.com/r/GERD/comments/g2qvz8/is_kraft_mac_cheese_a_trigger_for_anyone/")</f>
        <v/>
      </c>
      <c r="G6443" t="inlineStr">
        <is>
          <t>2020-04-16 17:00:27</t>
        </is>
      </c>
      <c r="H6443" t="inlineStr"/>
    </row>
    <row r="6444">
      <c r="A6444" t="inlineStr">
        <is>
          <t>g2r6ep</t>
        </is>
      </c>
      <c r="B6444" t="inlineStr">
        <is>
          <t>Chest pain when swallowing?</t>
        </is>
      </c>
      <c r="C6444" t="inlineStr">
        <is>
          <t>I had my wisdom teeth taken out last Friday, they had me on a bunch of antibiotics and pain meds. 3 days ago I started experiencing a slight chest pain whenever I swallowed or drank anything. Now, it gives me excruciating pain and nothing seems to help, I started taking omeprazole but thats not helping and I cant eat anything. Its a bit of a stabbing pain and intense pressure, no acid in throat or anything. Could this be gerd?</t>
        </is>
      </c>
      <c r="D6444" t="n">
        <v>1</v>
      </c>
      <c r="E6444" t="n">
        <v>1</v>
      </c>
      <c r="F6444">
        <f>HYPERLINK("https://www.reddit.com/r/GERD/comments/g2r6ep/chest_pain_when_swallowing/")</f>
        <v/>
      </c>
      <c r="G6444" t="inlineStr">
        <is>
          <t>2020-04-16 17:18:29</t>
        </is>
      </c>
      <c r="H6444" t="inlineStr"/>
    </row>
    <row r="6445">
      <c r="A6445" t="inlineStr">
        <is>
          <t>g2rwp0</t>
        </is>
      </c>
      <c r="B6445" t="inlineStr">
        <is>
          <t>Tired, in pain, fed-up: Looking for empathy</t>
        </is>
      </c>
      <c r="C6445" t="inlineStr">
        <is>
          <t>I am a 30yo woman with a lot to be grateful for. But good lord, GERD is making me absolutely miserable. I had intermittent coughing last summer that I more or less shrugged off. It got worse --&amp;gt; went to ER when I started feeling short of breath--&amp;gt; GERD diagnosis. A month of PPIs seemed to fix it. Then this November, the cough returned. After some terrible medical advice from my university's health center and no improvements, I asked for an endoscopy and finally got some answers. I have severe GERD and small patches of Barrett's. I went on stronger PPIs, landing eventually on Dexilant twice a day, which seemed to help for about a week. Now I feel I'm back where I started, if not worse. I feel like I've been sick for years. It's maddening. Last night I went in for a sleep test to determine whether or not sleep apnea is worsening things, and I could NOT sleep-- just could not. I ultimately slept for 40 minutes, unlikely enough to support any diagnosis. So not only did I expose myself in the context of a hospital (though rates of infection are quite low in my town) but I also got to pay for the privilege of lying in extreme anxiety and reflux pain (I have never had such bad stomach burning before-- the technician asked me to lay flat rather than elevated as I have been for months to really get a sense of "worst case" sleeping). It was awful. Traumatic even. I had been looking forward to the appointment for a month. I imagined it would give me the answer to the question: How in the hell is this high dose PPI not working for me? Do I have super GERD?? My symptoms include swollen throat feelings/tonsils (I already have naturally large tonsils), a slight wheezy feeling on the out-breath, mid-rib pressure pain that sometimes travels to my back. I do seem to feel a bit better if I'm more active but I am, like most of us, stuck inside except for daily 1hr walk/runs. I am also an academic and my job requires that I spend a ton of time in front of the computer. I've tried standing and working but it just doesn't work for me (my neck really) and I dont want to mess with my work-flow as I have to defend my dissertation in a few months. Anyway, the emotional toll of all this is beyond what anyone seems to understand. I am deeply depressed and, in my darkest moments, think things like: What is the point of living like this? I am not at all suicidal, but the thoughts creep in when I'm sitting at the computer in pain, pushing through writing tasks. Will this ever get better? My job is talking-- how the hell am I going to do my work for life if talking for an hour bothers my throat? Should I see an ENT doctor too (voice problems are huge for me, and have been for a long time-- I remember working as a cashier and struggling to get through the small talk without cracking my voice)? I am so sad and tired, and no one but you all seem to get how devastating it is to live with this chronic pain with little hope on the horizon. It isn't heartburn. It's daily, distracting pain. Food used to be a huge coping mechanism for me. Now it's a source of pain and terror. I guess I just needed to write this out. Any responses welcome. Advice too if you have it. Hope everyone is managing.</t>
        </is>
      </c>
      <c r="D6445" t="n">
        <v>1</v>
      </c>
      <c r="E6445" t="n">
        <v>4</v>
      </c>
      <c r="F6445">
        <f>HYPERLINK("https://www.reddit.com/r/GERD/comments/g2rwp0/tired_in_pain_fedup_looking_for_empathy/")</f>
        <v/>
      </c>
      <c r="G6445" t="inlineStr">
        <is>
          <t>2020-04-16 18:01:46</t>
        </is>
      </c>
      <c r="H6445" t="inlineStr"/>
    </row>
    <row r="6446">
      <c r="A6446" t="inlineStr">
        <is>
          <t>g2ryr4</t>
        </is>
      </c>
      <c r="B6446" t="inlineStr">
        <is>
          <t>Difference between LPR and GERD?</t>
        </is>
      </c>
      <c r="C6446" t="inlineStr">
        <is>
          <t>I have seen a few posts for LPR here and was wondering if anyone can explain the difference. The only thing I see online is that LPR shoots stomach acid further up the throat then GERD? They sound about the same to me. Not sure which one I have, or if it even matters.</t>
        </is>
      </c>
      <c r="D6446" t="n">
        <v>1</v>
      </c>
      <c r="E6446" t="n">
        <v>3</v>
      </c>
      <c r="F6446">
        <f>HYPERLINK("https://www.reddit.com/r/GERD/comments/g2ryr4/difference_between_lpr_and_gerd/")</f>
        <v/>
      </c>
      <c r="G6446" t="inlineStr">
        <is>
          <t>2020-04-16 18:05:42</t>
        </is>
      </c>
      <c r="H6446" t="inlineStr"/>
    </row>
    <row r="6447">
      <c r="A6447" t="inlineStr">
        <is>
          <t>g2t6o2</t>
        </is>
      </c>
      <c r="B6447" t="inlineStr">
        <is>
          <t>Can GERD cause a small amount of nasal congestion? someone please calm me down.</t>
        </is>
      </c>
      <c r="C6447" t="inlineStr">
        <is>
          <t>I was diagnosed with GERD awhile ago but I’ve been doing really well lately and ate a couple foods today that I probably shouldn’t have, i now have a tiny bit of nasal congestion and am FREAKING out. I’ve never had this happen before can this be a symptom of gerd?</t>
        </is>
      </c>
      <c r="D6447" t="n">
        <v>2</v>
      </c>
      <c r="E6447" t="n">
        <v>13</v>
      </c>
      <c r="F6447">
        <f>HYPERLINK("https://www.reddit.com/r/GERD/comments/g2t6o2/can_gerd_cause_a_small_amount_of_nasal_congestion/")</f>
        <v/>
      </c>
      <c r="G6447" t="inlineStr">
        <is>
          <t>2020-04-16 19:25:02</t>
        </is>
      </c>
      <c r="H6447" t="inlineStr"/>
    </row>
    <row r="6448">
      <c r="A6448" t="inlineStr">
        <is>
          <t>g2u8bd</t>
        </is>
      </c>
      <c r="B6448" t="inlineStr">
        <is>
          <t>Bad breath caused by gerd?</t>
        </is>
      </c>
      <c r="C6448" t="inlineStr">
        <is>
          <t>I have been having bad breath problems for awhile now. I’ve tried everythingggg. I brush my teeth and floss and use mouth wash however I still have bad breath. Any one else? Also what can I do to help with my bad breath?</t>
        </is>
      </c>
      <c r="D6448" t="n">
        <v>5</v>
      </c>
      <c r="E6448" t="n">
        <v>9</v>
      </c>
      <c r="F6448">
        <f>HYPERLINK("https://www.reddit.com/r/GERD/comments/g2u8bd/bad_breath_caused_by_gerd/")</f>
        <v/>
      </c>
      <c r="G6448" t="inlineStr">
        <is>
          <t>2020-04-16 20:37:07</t>
        </is>
      </c>
      <c r="H6448" t="inlineStr"/>
    </row>
    <row r="6449">
      <c r="A6449" t="inlineStr">
        <is>
          <t>g30lam</t>
        </is>
      </c>
      <c r="B6449" t="inlineStr">
        <is>
          <t>being a teen with GERD</t>
        </is>
      </c>
      <c r="C6449" t="inlineStr">
        <is>
          <t>Sort of a vent I guess, but GERD has been bothering me so much as of late. Also throwaway acc because I don’t want this on my main. 
Recently I’ve been having flare ups EVERY day and it’s making my life such a huge pain in the ass. Stomach pain, that tightness and burning in the throat where you feel like you can’t breathe, anxiety—more anxiety that I usually get if I were to be at school which I’m not because of covid-19. I always feel like I’m having a heart attack, which is causing me to lose a ton of sleep, so I look and feel like a zombie most of the time. I’m already kind of a hypochondriac so to have these symptoms scares the living shit out of me. So here I am feeling like a huge lump in my throat at 5:00am unable to sleep. 
My parents also have it and they insist that I take their prescription pantoprazole which doesn’t really help... I’m definitely to blame for my shitty eating habits but especially now that my city is under lockdown, it’s harder to manage my diet and cut down on trigger foods. Plus I’m overweight so hell what else should I expect. Like everything I usually eat seems to trigger my acid reflux. I consume a lot of milk and caffeine but those seem to be big NO NO, so I’m going through a bit of caffeine withdrawal as well... great. 
Then there’s always that nausea when I wake up and it’s just so frustrating. My mom says the only solution is to take the meds every day but if I forget. My acid reflux used to come and go but now it seems constant. Well I hope that they start being more effective in the long run. And what sucks is there’s no one my age that I know has GERD from what I know so I feel sort of out of my element. 
So yeah.</t>
        </is>
      </c>
      <c r="D6449" t="n">
        <v>3</v>
      </c>
      <c r="E6449" t="n">
        <v>14</v>
      </c>
      <c r="F6449">
        <f>HYPERLINK("https://www.reddit.com/r/GERD/comments/g30lam/being_a_teen_with_gerd/")</f>
        <v/>
      </c>
      <c r="G6449" t="inlineStr">
        <is>
          <t>2020-04-17 04:57:20</t>
        </is>
      </c>
      <c r="H6449" t="inlineStr"/>
    </row>
    <row r="6450">
      <c r="A6450" t="inlineStr">
        <is>
          <t>g317ch</t>
        </is>
      </c>
      <c r="B6450" t="inlineStr">
        <is>
          <t>Do you guys actually cough up acid? Or is it less noticeable?</t>
        </is>
      </c>
      <c r="C6450" t="inlineStr">
        <is>
          <t>My digestion is very slow so if I eat some heavy fatty meat then I can feel it even a day after and I'll probably sleep bad. but if I don't eat too much and not before bed then all I get is burping for a while. just high pressure in the stomach, maybe some pain I'm not sure I always just burp it up, is that reflux? 
I very rarely if ever actually feel the stomach acid in my throat. Is there any chance of damaged esophagus still? been having these digestive problems for 4 years now</t>
        </is>
      </c>
      <c r="D6450" t="n">
        <v>3</v>
      </c>
      <c r="E6450" t="n">
        <v>7</v>
      </c>
      <c r="F6450">
        <f>HYPERLINK("https://www.reddit.com/r/GERD/comments/g317ch/do_you_guys_actually_cough_up_acid_or_is_it_less/")</f>
        <v/>
      </c>
      <c r="G6450" t="inlineStr">
        <is>
          <t>2020-04-17 05:38:49</t>
        </is>
      </c>
      <c r="H6450" t="inlineStr"/>
    </row>
    <row r="6451">
      <c r="A6451" t="inlineStr">
        <is>
          <t>g32owg</t>
        </is>
      </c>
      <c r="B6451" t="inlineStr">
        <is>
          <t>What am I supposed to eat?</t>
        </is>
      </c>
      <c r="C6451" t="inlineStr">
        <is>
          <t>I thought this was a matter of eating really healthy for a while until I saw I can’t eat bell peppers, onions, garlic, peanut butter, yogurt, milk, broccoli, asparagus, beans, any bread, etc..... 
So what am I supposed to eat? I’ve been eating the same things every day: oatmeal, bananas, apples, rice, sweet potatoes, and eggs but now I’m hearing eggs are even bad because of the fat content. What do I eat then??? Just nothing?
Btw the diet I’m doing is quite effective. Only having around 5 mini flare ups a day compared to constant flare ups before. A flare up for me just means acid comes back up my throat and creates a burning sensation in my throat</t>
        </is>
      </c>
      <c r="D6451" t="n">
        <v>1</v>
      </c>
      <c r="E6451" t="n">
        <v>5</v>
      </c>
      <c r="F6451">
        <f>HYPERLINK("https://www.reddit.com/r/GERD/comments/g32owg/what_am_i_supposed_to_eat/")</f>
        <v/>
      </c>
      <c r="G6451" t="inlineStr">
        <is>
          <t>2020-04-17 07:09:00</t>
        </is>
      </c>
      <c r="H6451" t="inlineStr"/>
    </row>
    <row r="6452">
      <c r="A6452" t="inlineStr">
        <is>
          <t>g3460q</t>
        </is>
      </c>
      <c r="B6452" t="inlineStr">
        <is>
          <t>Does anyone experience loss of taste?</t>
        </is>
      </c>
      <c r="C6452" t="inlineStr">
        <is>
          <t>For the past few days my gerd has been pretty bad....and I've had an incredible loss of taste.
I googled it and the first thing that came up was coronavirus. Now I'm freaking out. literally.
Could it just be because of my gerd?</t>
        </is>
      </c>
      <c r="D6452" t="n">
        <v>2</v>
      </c>
      <c r="E6452" t="n">
        <v>3</v>
      </c>
      <c r="F6452">
        <f>HYPERLINK("https://www.reddit.com/r/GERD/comments/g3460q/does_anyone_experience_loss_of_taste/")</f>
        <v/>
      </c>
      <c r="G6452" t="inlineStr">
        <is>
          <t>2020-04-17 08:29:01</t>
        </is>
      </c>
      <c r="H6452" t="inlineStr"/>
    </row>
    <row r="6453">
      <c r="A6453" t="inlineStr">
        <is>
          <t>g358pg</t>
        </is>
      </c>
      <c r="B6453" t="inlineStr">
        <is>
          <t>Exercise-induced GERD, what should I expect?</t>
        </is>
      </c>
      <c r="C6453" t="inlineStr">
        <is>
          <t>Hi, newly diagnosed with gerd in a sort of exercise-induced form. I was wondering if it's normal to work out one day and feel fine, then feel like shit for the following two days? Do other people experience that? And if so, how have you coped with it?</t>
        </is>
      </c>
      <c r="D6453" t="n">
        <v>1</v>
      </c>
      <c r="E6453" t="n">
        <v>8</v>
      </c>
      <c r="F6453">
        <f>HYPERLINK("https://www.reddit.com/r/GERD/comments/g358pg/exerciseinduced_gerd_what_should_i_expect/")</f>
        <v/>
      </c>
      <c r="G6453" t="inlineStr">
        <is>
          <t>2020-04-17 09:24:54</t>
        </is>
      </c>
      <c r="H6453" t="inlineStr"/>
    </row>
    <row r="6454">
      <c r="A6454" t="inlineStr">
        <is>
          <t>g35gyo</t>
        </is>
      </c>
      <c r="B6454" t="inlineStr">
        <is>
          <t>Advice for throat tightness/painful swallowing</t>
        </is>
      </c>
      <c r="C6454" t="inlineStr">
        <is>
          <t>So, to a cut a long story short. I've only noticeably been suffering reflux symptoms for 2-3 months (before that I had the odd regurgitation episode and burping - but nothing that really affected my daily life). Think it was brought on by eating a lot of spicy/tomato in diet, as well as chocolate. Plus, was dealing with a lot of anxiety and panic attacks at this time. I had an endoscopy about a month ago that revealed a slight erosion in esophagus due to reflux damage, as well as testing postive for the H Pylori bacteria.
&amp;amp;#x200B;
Been on the the triple therapy for that, been taking 20mg of omeprazole morning and evening. As well as making the appropriate dietary changes. Hoping the antibiotics killed off the infection, but can't find out with a follow up procedure due to COVID-19. I suffer from TMJ problems in my jaw, which can refer to to my neck and shoulders. The reflux has giving me an on and off sore throat, but the tightness has been particularly bad the past few days. Obviously I am stressed and anxious due to the current state of affairs, and am pretty sure this stress, the healing esophagus and my tight neck/jaw is making the throat discomfort and pain pretty grim.
The tightness is mostly present at the front of my throat, and if I rub along the adam's apple area it feels super tender. Sometimes slight pain when swallowing. Was wondering if anyone else experienced this pesky symptom and had some advice and/or exercises to ease the tightness?</t>
        </is>
      </c>
      <c r="D6454" t="n">
        <v>1</v>
      </c>
      <c r="E6454" t="n">
        <v>2</v>
      </c>
      <c r="F6454">
        <f>HYPERLINK("https://www.reddit.com/r/GERD/comments/g35gyo/advice_for_throat_tightnesspainful_swallowing/")</f>
        <v/>
      </c>
      <c r="G6454" t="inlineStr">
        <is>
          <t>2020-04-17 09:36:58</t>
        </is>
      </c>
      <c r="H6454" t="inlineStr"/>
    </row>
    <row r="6455">
      <c r="A6455" t="inlineStr">
        <is>
          <t>g35hxz</t>
        </is>
      </c>
      <c r="B6455" t="inlineStr">
        <is>
          <t>PPI and H2 seems to make me worse. What gives?</t>
        </is>
      </c>
      <c r="C6455" t="inlineStr">
        <is>
          <t>M28, no history.
Suffering with heartburn and globulus sensation (constant need to clear my throat). Seems to make me fatigued as well (full energy on good days). Diet decent but I drink coffee.
Haven't spoken to my GP about this yet but planning to. I've tried both PPI (Omeprazol) and H2 (Pepcid) on my own. Both seem to make me significantly *worse*: Tired, depressed and a general ill feeling.
How should I interpret this? That both of them does it makes me think it's the acid-inhibiting effect in itself rather than the medication. But what sense does that make...?
Thankful for all answers.</t>
        </is>
      </c>
      <c r="D6455" t="n">
        <v>1</v>
      </c>
      <c r="E6455" t="n">
        <v>1</v>
      </c>
      <c r="F6455">
        <f>HYPERLINK("https://www.reddit.com/r/GERD/comments/g35hxz/ppi_and_h2_seems_to_make_me_worse_what_gives/")</f>
        <v/>
      </c>
      <c r="G6455" t="inlineStr">
        <is>
          <t>2020-04-17 09:38:19</t>
        </is>
      </c>
      <c r="H6455" t="inlineStr"/>
    </row>
    <row r="6456">
      <c r="A6456" t="inlineStr">
        <is>
          <t>g363n7</t>
        </is>
      </c>
      <c r="B6456" t="inlineStr">
        <is>
          <t>LPR sore throat getting unbearable</t>
        </is>
      </c>
      <c r="C6456" t="inlineStr">
        <is>
          <t>so i have both LPR and GERD. i am not medicated because the only reflux medication that worked for me was ranitidine and if has been recalled, things like Tums do virtually nothing, i can’t take PPI’s because of digestive issues, and also any medication i take has to be gluten free (a lot of them arent) 
i haven’t been getting very severe LPR sore throats until this quarantine started. before it was just a mild stinging feeling at the back of my throat that went away pretty quickly, not that big of an issue. sometimes it would make one of my tonsils get irritated but never too swollen, and now looking back on the past 5 years i’ve gotten so many strep tests for sore throats and just getting a negative test and being told it’s “viral” but now knowing it was probably reflux but my health anxiety won’t let me believe that. 
now my sore throats usually are in the middle of my throat (right underneath my chin to around the “adams apple” area) and sometimes is concentrated to one side or sometimes the middle. it always feels like my tonsils are swollen but they never are. usually if it’s one side that side of my throat and that side’s tonsil develop maybe one white-ish spot, but it’s never strep because they always go away by themselves. i always used to be terrified of a sore throat this bad, i always thought it meant viral illness. but now that i’m literally confined in my house with my family who is also confined, we don’t go anywhere in public, there’s no chance of it being viral, plus i know it’s reflux because of the burning in my nose/ears/mouth like stomach acid and the horrible taste. 
it’s so painful. sometimes it’s painful to swallow spit but doesn’t hurt to swallow food or water, but this time it doesn’t hurt to swallow spit but hurts to swallow food and water. it also hurts my jaw sometimes and makes everything in that area of my neck a little sore. what does lessen the pain is tylenol and pulling the skin on my neck out away from my throat occasionally. i just can’t deal with this anymore. on top of my bad intestinal bacterial overgrowth almost every treatment option for either ailment will worsen the other one. i just HATE having a sore throat. it makes me think i’m sick. 
does anyone else have similar experiences? i hate when chronic illness mimics viral/bacterial illness, especially during a pandemic.</t>
        </is>
      </c>
      <c r="D6456" t="n">
        <v>3</v>
      </c>
      <c r="E6456" t="n">
        <v>24</v>
      </c>
      <c r="F6456">
        <f>HYPERLINK("https://www.reddit.com/r/GERD/comments/g363n7/lpr_sore_throat_getting_unbearable/")</f>
        <v/>
      </c>
      <c r="G6456" t="inlineStr">
        <is>
          <t>2020-04-17 10:09:53</t>
        </is>
      </c>
      <c r="H6456" t="inlineStr"/>
    </row>
    <row r="6457">
      <c r="A6457" t="inlineStr">
        <is>
          <t>g37xxi</t>
        </is>
      </c>
      <c r="B6457" t="inlineStr">
        <is>
          <t>Anyone get esophagus spasms?</t>
        </is>
      </c>
      <c r="C6457" t="inlineStr">
        <is>
          <t>My GERD has gotten worse in the last few weeks with all the anxiety. A few times a day I get what feels like spasms in my esophagus (in my chest) - from stronger ones that seem like heart arrhythmia to milder ones that are more like a tickle. They also make me cough or feel like coughing. Has anyone else experienced this?</t>
        </is>
      </c>
      <c r="D6457" t="n">
        <v>3</v>
      </c>
      <c r="E6457" t="n">
        <v>30</v>
      </c>
      <c r="F6457">
        <f>HYPERLINK("https://www.reddit.com/r/GERD/comments/g37xxi/anyone_get_esophagus_spasms/")</f>
        <v/>
      </c>
      <c r="G6457" t="inlineStr">
        <is>
          <t>2020-04-17 11:46:24</t>
        </is>
      </c>
      <c r="H6457" t="inlineStr"/>
    </row>
    <row r="6458">
      <c r="A6458" t="inlineStr">
        <is>
          <t>g38ubv</t>
        </is>
      </c>
      <c r="B6458" t="inlineStr">
        <is>
          <t>Wet sensation in my left hip</t>
        </is>
      </c>
      <c r="C6458" t="inlineStr">
        <is>
          <t>It feels wet but it is not wet is it because of GERD?</t>
        </is>
      </c>
      <c r="D6458" t="n">
        <v>0</v>
      </c>
      <c r="E6458" t="n">
        <v>4</v>
      </c>
      <c r="F6458">
        <f>HYPERLINK("https://www.reddit.com/r/GERD/comments/g38ubv/wet_sensation_in_my_left_hip/")</f>
        <v/>
      </c>
      <c r="G6458" t="inlineStr">
        <is>
          <t>2020-04-17 12:35:00</t>
        </is>
      </c>
      <c r="H6458" t="inlineStr"/>
    </row>
    <row r="6459">
      <c r="A6459" t="inlineStr">
        <is>
          <t>g39b4e</t>
        </is>
      </c>
      <c r="B6459" t="inlineStr">
        <is>
          <t>Tested positive for H.pylori.</t>
        </is>
      </c>
      <c r="C6459" t="inlineStr">
        <is>
          <t>I tested positive and got prescribed two antibiotics and a PPI for a two week treatment. Anyone else experience it? Should my partner get tested? How likely am I to be reinfected from him if he has it? And should I take some sort of probiotics during the treatment? If so, what? Thanks.</t>
        </is>
      </c>
      <c r="D6459" t="n">
        <v>1</v>
      </c>
      <c r="E6459" t="n">
        <v>1</v>
      </c>
      <c r="F6459">
        <f>HYPERLINK("https://www.reddit.com/r/GERD/comments/g39b4e/tested_positive_for_hpylori/")</f>
        <v/>
      </c>
      <c r="G6459" t="inlineStr">
        <is>
          <t>2020-04-17 13:00:29</t>
        </is>
      </c>
      <c r="H6459" t="inlineStr"/>
    </row>
    <row r="6460">
      <c r="A6460" t="inlineStr">
        <is>
          <t>g3bc0k</t>
        </is>
      </c>
      <c r="B6460" t="inlineStr">
        <is>
          <t>GERD Cough</t>
        </is>
      </c>
      <c r="C6460" t="inlineStr">
        <is>
          <t>I know GERD cough is generally considered dry. But my chronic cough that I’m getting with my other symptoms seems to produce just a tiny bit of mucus, it doesn’t come up to my mouth but I feel it rise a little in my throat before I swallow. It’s not a lot, but it definitely feels like I have a little mucus being cleared. Doors anyone else have any mucus with their GERD/chronic cough?</t>
        </is>
      </c>
      <c r="D6460" t="n">
        <v>1</v>
      </c>
      <c r="E6460" t="n">
        <v>6</v>
      </c>
      <c r="F6460">
        <f>HYPERLINK("https://www.reddit.com/r/GERD/comments/g3bc0k/gerd_cough/")</f>
        <v/>
      </c>
      <c r="G6460" t="inlineStr">
        <is>
          <t>2020-04-17 14:51:12</t>
        </is>
      </c>
      <c r="H6460" t="inlineStr"/>
    </row>
    <row r="6461">
      <c r="A6461" t="inlineStr">
        <is>
          <t>g3bu0v</t>
        </is>
      </c>
      <c r="B6461" t="inlineStr">
        <is>
          <t>Anyone take gaviscon for their heartburn/gerd and notice it makes things worse?</t>
        </is>
      </c>
      <c r="C6461" t="inlineStr">
        <is>
          <t>The past week or so I’ve been having nausea so I’ve been taking ondansetron and it’s causing me to have heartburn so I’ve tried gaviscon which I’ve taken in the past but this time like 30 minutes later after I take it the heartburn comes back again and worse usually. Anyone else experience this? I usually get the burning In my throat not so much my chest
It’s the regular version not the Uk one</t>
        </is>
      </c>
      <c r="D6461" t="n">
        <v>1</v>
      </c>
      <c r="E6461" t="n">
        <v>2</v>
      </c>
      <c r="F6461">
        <f>HYPERLINK("https://www.reddit.com/r/GERD/comments/g3bu0v/anyone_take_gaviscon_for_their_heartburngerd_and/")</f>
        <v/>
      </c>
      <c r="G6461" t="inlineStr">
        <is>
          <t>2020-04-17 15:18:13</t>
        </is>
      </c>
      <c r="H6461" t="inlineStr"/>
    </row>
    <row r="6462">
      <c r="A6462" t="inlineStr">
        <is>
          <t>g3d1td</t>
        </is>
      </c>
      <c r="B6462" t="inlineStr">
        <is>
          <t>Drinking water 3 hours before lying down?</t>
        </is>
      </c>
      <c r="C6462" t="inlineStr">
        <is>
          <t>I understand eating 3 hours before lying down is recommended for GERD/LPR but what about if you haven't eaten for many hours but only drink water shortly before sleeping? 
For those who have done this, can anyone share if it made their symptoms worse? What about those who are on PPI? Since PPI reduce acid significantly, I can't imagine drinking water would make it that much worse.
I sometimes get dry throat at night and would love to have a cup of water but have to skip it just to follow the guideline. Can anyone share if its that bad to drink water before lying down?
Thanks.</t>
        </is>
      </c>
      <c r="D6462" t="n">
        <v>1</v>
      </c>
      <c r="E6462" t="n">
        <v>5</v>
      </c>
      <c r="F6462">
        <f>HYPERLINK("https://www.reddit.com/r/GERD/comments/g3d1td/drinking_water_3_hours_before_lying_down/")</f>
        <v/>
      </c>
      <c r="G6462" t="inlineStr">
        <is>
          <t>2020-04-17 16:27:06</t>
        </is>
      </c>
      <c r="H6462" t="inlineStr"/>
    </row>
    <row r="6463">
      <c r="A6463" t="inlineStr">
        <is>
          <t>g3d6zm</t>
        </is>
      </c>
      <c r="B6463" t="inlineStr">
        <is>
          <t>Other issues that come with GERD?</t>
        </is>
      </c>
      <c r="C6463" t="inlineStr">
        <is>
          <t>It's been about a month since I have had GERD and now I feel like I'm having other complications. I've always struggled with depression and anxiety but now I'm experiencing a sensation of hot and wetness on my skin that's not really there. I'm not sure I my mind is playing tricks on my because my anxiety over my health is really high right now. Anxiety also makes me throat tighten up a bit too which is try to keep at a minimum. So is this normal? On top of that my urine is foamy alot more often which almost never happened before.</t>
        </is>
      </c>
      <c r="D6463" t="n">
        <v>1</v>
      </c>
      <c r="E6463" t="n">
        <v>2</v>
      </c>
      <c r="F6463">
        <f>HYPERLINK("https://www.reddit.com/r/GERD/comments/g3d6zm/other_issues_that_come_with_gerd/")</f>
        <v/>
      </c>
      <c r="G6463" t="inlineStr">
        <is>
          <t>2020-04-17 16:35:28</t>
        </is>
      </c>
      <c r="H6463" t="inlineStr"/>
    </row>
    <row r="6464">
      <c r="A6464" t="inlineStr">
        <is>
          <t>g3d7uj</t>
        </is>
      </c>
      <c r="B6464" t="inlineStr">
        <is>
          <t>Stomach cancer concerns</t>
        </is>
      </c>
      <c r="C6464" t="inlineStr">
        <is>
          <t>So I'm going to try to keep this short. Basically February of this year I started to get sinus infection like symptoms, swollen lymph nodes, clogged nose, crackling ears, generally feeling like crap.
Towards the end of that month I began to think it was clearing up, then when March came it felt like I got hit by a train. Same sinus-infection like symptoms but worse but along with that what began as CONSTANT burping and farting, no appetite, a feeling of acid just churning and churning in my stomach, acid reflux, chills, aches and pains, night sweats where I'd soak the sheets. I lost 14 pounds in 2 weeks due to the lack of appetite and had to drink Ensure shakes just to keep on any weight.
Finally after two doctor visits they prescribed me prescription PPIs and I began to regain my appetite. The worst of the symptoms got better, no more night sweats, chills are very rare now, and I've gained most of my weight back. However I'm still not well. I still have a constant runny nose, aches and pains throughout my body and in my lymph nodes, sore throat, acid reflux and just feeling generally bad. It's been about 2.5 weeks since I started taking these PPIs. The symptoms always seem worse at night.
So I've been sick for about 3 months at this point. I've waited 2 weeks for a GI virtual appointment and I couldn't be more disappointed. I tried to fit as much of my story into this appointment as possible with this doctor but was rushed, at one point I was describing what was going on in March and he cuts me off and says "ok but what about now?" as though the symptoms I was having BEFORE I started taking medication that could be masking my symptoms don't matter. He decides no actual appointment where he can check me out physically is needed, just prescribes me 8 more weeks PPIs and says we'll have another appointment at 8 weeks.
I'm still sick but he seemed to brush these symptoms off entirely only because I'm not as bad as I was prior to taking PPIs. I even asked him at some point, "you know most GERD symptoms seem to be brought on by diet, but I wasn't eating ANYTHING during the worst part of all this, why would this happen?" he had no answer other than saying maybe some viral infection brought it on. I suppose this is possible but still, 3 months of illness? shouldn't that at least warrant a check up?
I don't want to assume the worst but I really feel like something is very wrong going beyond normal GERD. Should I get a second opinion? During the worst of all this it truly felt like I was dying, I've never experienced anything like it. Has anyone ever heard of something like this? feeling like I'm at the end of my rope here.</t>
        </is>
      </c>
      <c r="D6464" t="n">
        <v>7</v>
      </c>
      <c r="E6464" t="n">
        <v>39</v>
      </c>
      <c r="F6464">
        <f>HYPERLINK("https://www.reddit.com/r/GERD/comments/g3d7uj/stomach_cancer_concerns/")</f>
        <v/>
      </c>
      <c r="G6464" t="inlineStr">
        <is>
          <t>2020-04-17 16:37:00</t>
        </is>
      </c>
      <c r="H6464" t="inlineStr"/>
    </row>
    <row r="6465">
      <c r="A6465" t="inlineStr">
        <is>
          <t>g3djo5</t>
        </is>
      </c>
      <c r="B6465" t="inlineStr">
        <is>
          <t>Need help with feeling of something stuck in throat. Pain around chest and stomach and growling and gas.</t>
        </is>
      </c>
      <c r="C6465" t="inlineStr">
        <is>
          <t>I need to go to the doctor for EGD test but I am switching jobs and my current insurance will end next week. Therefore I have to wait a week before I can make an appointment with my new insurance. I have completely changed my diet to just baked potatoes water and oatmeals. I started chewing my food completely but this pain/gas has been persistent for over a week now. I used to have a lot of gas but never pains like this. Pain was just once in a while. I do take anti-acid but doesn’t feel like it actually helps me. I was thinking about taking gas x because I feel like all this from a lot of gas stuck inside of me. Is there anything anyone can recommend? I can still go to urgent care but I don’t know if they will actually do the EGD test. Any insight is helpful thank you.</t>
        </is>
      </c>
      <c r="D6465" t="n">
        <v>1</v>
      </c>
      <c r="E6465" t="n">
        <v>3</v>
      </c>
      <c r="F6465">
        <f>HYPERLINK("https://www.reddit.com/r/GERD/comments/g3djo5/need_help_with_feeling_of_something_stuck_in/")</f>
        <v/>
      </c>
      <c r="G6465" t="inlineStr">
        <is>
          <t>2020-04-17 16:56:36</t>
        </is>
      </c>
      <c r="H6465" t="inlineStr"/>
    </row>
    <row r="6466">
      <c r="A6466" t="inlineStr">
        <is>
          <t>g3dphc</t>
        </is>
      </c>
      <c r="B6466" t="inlineStr">
        <is>
          <t>Meds for mucus..</t>
        </is>
      </c>
      <c r="C6466" t="inlineStr">
        <is>
          <t>I cured my GERD several years ago by eating low fat, oil free, lots of plant food. 
Well Im 9 months pregnant and my belly is pushing on stomach and everything has come back.. the sore throat, constant throat clearing and now coughing. 
Would mucinex help at all? Im desperate for relief until baby comes out. The mucus bothers me more than the heart burn!</t>
        </is>
      </c>
      <c r="D6466" t="n">
        <v>3</v>
      </c>
      <c r="E6466" t="n">
        <v>5</v>
      </c>
      <c r="F6466">
        <f>HYPERLINK("https://www.reddit.com/r/GERD/comments/g3dphc/meds_for_mucus/")</f>
        <v/>
      </c>
      <c r="G6466" t="inlineStr">
        <is>
          <t>2020-04-17 17:06:34</t>
        </is>
      </c>
      <c r="H6466" t="inlineStr"/>
    </row>
    <row r="6467">
      <c r="A6467" t="inlineStr">
        <is>
          <t>g3f4gg</t>
        </is>
      </c>
      <c r="B6467" t="inlineStr">
        <is>
          <t>Esophagitis</t>
        </is>
      </c>
      <c r="C6467" t="inlineStr">
        <is>
          <t>I can't get an endoscopy right now unless I go to ER but I'm pretty sure I have esophagitis. I have had chest pain in the front and about a week ago it has radiated toward the backbone. 
Anyone here have similar experience? How were you able to recover from it? Currently back again on Omeprazole but I don't know what else to do. 
I could also take Famotidine 40mg which have taken but doesn't seem to do much for me. Can anyone help?</t>
        </is>
      </c>
      <c r="D6467" t="n">
        <v>2</v>
      </c>
      <c r="E6467" t="n">
        <v>7</v>
      </c>
      <c r="F6467">
        <f>HYPERLINK("https://www.reddit.com/r/GERD/comments/g3f4gg/esophagitis/")</f>
        <v/>
      </c>
      <c r="G6467" t="inlineStr">
        <is>
          <t>2020-04-17 18:38:39</t>
        </is>
      </c>
      <c r="H6467" t="inlineStr"/>
    </row>
    <row r="6468">
      <c r="A6468" t="inlineStr">
        <is>
          <t>g3f7i9</t>
        </is>
      </c>
      <c r="B6468" t="inlineStr">
        <is>
          <t>Son 7yo getting reflux every time he brushes</t>
        </is>
      </c>
      <c r="C6468" t="inlineStr">
        <is>
          <t>My 7 yo is getting gerd every time he brushes.  It's getting to the point he's hyping himself up to it before he brushes his teeth, brushes fine, then when rinsing it starts?  Ped put him on ppi, but it's getting really frustrating.</t>
        </is>
      </c>
      <c r="D6468" t="n">
        <v>3</v>
      </c>
      <c r="E6468" t="n">
        <v>7</v>
      </c>
      <c r="F6468">
        <f>HYPERLINK("https://www.reddit.com/r/GERD/comments/g3f7i9/son_7yo_getting_reflux_every_time_he_brushes/")</f>
        <v/>
      </c>
      <c r="G6468" t="inlineStr">
        <is>
          <t>2020-04-17 18:44:10</t>
        </is>
      </c>
      <c r="H6468" t="inlineStr"/>
    </row>
    <row r="6469">
      <c r="A6469" t="inlineStr">
        <is>
          <t>g3fsae</t>
        </is>
      </c>
      <c r="B6469" t="inlineStr">
        <is>
          <t>Like clockwork?</t>
        </is>
      </c>
      <c r="C6469" t="inlineStr">
        <is>
          <t>On pantoprazole, managing my diet well and getting exercise. But every 5 days, I get a sort of flutter in my chest. I can usually feel it coming for hours. It causes palpitations and almost feels like shortness of breath. 
 Once it starts, it usually goes away in about an hour. Since I've been managing things well it is much less intense and alarming now.
Can anyone relate? What is causing this?</t>
        </is>
      </c>
      <c r="D6469" t="n">
        <v>1</v>
      </c>
      <c r="E6469" t="n">
        <v>1</v>
      </c>
      <c r="F6469">
        <f>HYPERLINK("https://www.reddit.com/r/GERD/comments/g3fsae/like_clockwork/")</f>
        <v/>
      </c>
      <c r="G6469" t="inlineStr">
        <is>
          <t>2020-04-17 19:23:16</t>
        </is>
      </c>
      <c r="H6469" t="inlineStr"/>
    </row>
    <row r="6470">
      <c r="A6470" t="inlineStr">
        <is>
          <t>g3fsm5</t>
        </is>
      </c>
      <c r="B6470" t="inlineStr">
        <is>
          <t>Brain Fog</t>
        </is>
      </c>
      <c r="C6470" t="inlineStr">
        <is>
          <t>Taking pantoprazole 40mg everyday 4th day. Feeling better. I just get brain fog from fermented foods, sauerkraut, Kim chi, kombucha whats going on with me?</t>
        </is>
      </c>
      <c r="D6470" t="n">
        <v>1</v>
      </c>
      <c r="E6470" t="n">
        <v>5</v>
      </c>
      <c r="F6470">
        <f>HYPERLINK("https://www.reddit.com/r/GERD/comments/g3fsm5/brain_fog/")</f>
        <v/>
      </c>
      <c r="G6470" t="inlineStr">
        <is>
          <t>2020-04-17 19:23:53</t>
        </is>
      </c>
      <c r="H6470" t="inlineStr"/>
    </row>
    <row r="6471">
      <c r="A6471" t="inlineStr">
        <is>
          <t>g3gix2</t>
        </is>
      </c>
      <c r="B6471" t="inlineStr">
        <is>
          <t>What's the correct mind-set to have?</t>
        </is>
      </c>
      <c r="C6471" t="inlineStr">
        <is>
          <t>Lately I'm struggling to straddle proactively bettering my situation with acceptance of this being a chronic condition. Do you guys ever feel like you're doing too much? I do. I eat very healthfully, drink alkaline water, take gut-friendly supplements, stop eating 3-4 hours before bedtime, take meds, meditate, etc etc etc. I feel like managing this condition has become my life, and I hate it. Is doing a little less and "getting away" from this illness better for one's mental health?</t>
        </is>
      </c>
      <c r="D6471" t="n">
        <v>1</v>
      </c>
      <c r="E6471" t="n">
        <v>2</v>
      </c>
      <c r="F6471">
        <f>HYPERLINK("https://www.reddit.com/r/GERD/comments/g3gix2/whats_the_correct_mindset_to_have/")</f>
        <v/>
      </c>
      <c r="G6471" t="inlineStr">
        <is>
          <t>2020-04-17 20:14:32</t>
        </is>
      </c>
      <c r="H6471" t="inlineStr"/>
    </row>
    <row r="6472">
      <c r="A6472" t="inlineStr">
        <is>
          <t>g3gk8y</t>
        </is>
      </c>
      <c r="B6472" t="inlineStr">
        <is>
          <t>Drowning</t>
        </is>
      </c>
      <c r="C6472" t="inlineStr">
        <is>
          <t>I feel like I’m drowning when I lay down. Like there is a block/fluid. It messes with my breathing and makes me feel nauseous.</t>
        </is>
      </c>
      <c r="D6472" t="n">
        <v>3</v>
      </c>
      <c r="E6472" t="n">
        <v>5</v>
      </c>
      <c r="F6472">
        <f>HYPERLINK("https://www.reddit.com/r/GERD/comments/g3gk8y/drowning/")</f>
        <v/>
      </c>
      <c r="G6472" t="inlineStr">
        <is>
          <t>2020-04-17 20:17:10</t>
        </is>
      </c>
      <c r="H6472" t="inlineStr"/>
    </row>
    <row r="6473">
      <c r="A6473" t="inlineStr">
        <is>
          <t>g3ieuf</t>
        </is>
      </c>
      <c r="B6473" t="inlineStr">
        <is>
          <t>Chest Discomfort</t>
        </is>
      </c>
      <c r="C6473" t="inlineStr">
        <is>
          <t>Anyone else experience chest discomfort or pressure as a symptom of GERD? I mainly feel it right in the middle of my chest.</t>
        </is>
      </c>
      <c r="D6473" t="n">
        <v>2</v>
      </c>
      <c r="E6473" t="n">
        <v>11</v>
      </c>
      <c r="F6473">
        <f>HYPERLINK("https://www.reddit.com/r/GERD/comments/g3ieuf/chest_discomfort/")</f>
        <v/>
      </c>
      <c r="G6473" t="inlineStr">
        <is>
          <t>2020-04-17 22:41:39</t>
        </is>
      </c>
      <c r="H6473" t="inlineStr"/>
    </row>
    <row r="6474">
      <c r="A6474" t="inlineStr">
        <is>
          <t>g3jg9d</t>
        </is>
      </c>
      <c r="B6474" t="inlineStr">
        <is>
          <t>Anyone else have this? (Mucus-Omeprazole Problem)</t>
        </is>
      </c>
      <c r="C6474" t="inlineStr">
        <is>
          <t>Hi all, I have been taking Omeprazole on and off for about 9 months now. It works wonders for my acid reflux and I haven’t had reflux for a long time. However, I have so much mucus production that I constantly need to clear my throat. It varies intensity daily and I’ve been trying different medication such as Gaviscon and Pepcid, but nothing stops the mucus production. Anyone else have this and if so have any suggestions?</t>
        </is>
      </c>
      <c r="D6474" t="n">
        <v>1</v>
      </c>
      <c r="E6474" t="n">
        <v>2</v>
      </c>
      <c r="F6474">
        <f>HYPERLINK("https://www.reddit.com/r/GERD/comments/g3jg9d/anyone_else_have_this_mucusomeprazole_problem/")</f>
        <v/>
      </c>
      <c r="G6474" t="inlineStr">
        <is>
          <t>2020-04-18 00:15:20</t>
        </is>
      </c>
      <c r="H6474" t="inlineStr"/>
    </row>
    <row r="6475">
      <c r="A6475" t="inlineStr">
        <is>
          <t>g3jlxf</t>
        </is>
      </c>
      <c r="B6475" t="inlineStr">
        <is>
          <t>Trouble swallowing randomly at night?</t>
        </is>
      </c>
      <c r="C6475" t="inlineStr">
        <is>
          <t>Hello I’ve never been diagnosed with GERD but only at night time when lying down I constantly burp and feel a burning sensation in my chest up into the back of my throat now randomly tonight for the first time I’m having trouble swallowing. Giving myself a bit of a panic attack. I’ve been drinking water and it goes down (though I don’t feel it go down) will this go away? Should I keep drinking water or force myself to burp?</t>
        </is>
      </c>
      <c r="D6475" t="n">
        <v>1</v>
      </c>
      <c r="E6475" t="n">
        <v>4</v>
      </c>
      <c r="F6475">
        <f>HYPERLINK("https://www.reddit.com/r/GERD/comments/g3jlxf/trouble_swallowing_randomly_at_night/")</f>
        <v/>
      </c>
      <c r="G6475" t="inlineStr">
        <is>
          <t>2020-04-18 00:31:09</t>
        </is>
      </c>
      <c r="H6475" t="inlineStr"/>
    </row>
    <row r="6476">
      <c r="A6476" t="inlineStr">
        <is>
          <t>g3mrkr</t>
        </is>
      </c>
      <c r="B6476" t="inlineStr">
        <is>
          <t>Anxiety and GERD together</t>
        </is>
      </c>
      <c r="C6476" t="inlineStr">
        <is>
          <t>This is long so bare with me.
I have suffered from general anxiety for years. It’s been miserable. I specifically suffer from health anxiety and am always terrified I’m dying from something. I’ve been to the doctor for multiple issues and always comes back clear and normal. 
Six weeks ago (right when all of this coronavirus crap started happening really) I had the worst heartburn of my life. It lasted pretty much three days non stop and really freaked me out. Eventually the burning went away but I still had this kind of drowning feeling. At one point I regurgitated what felt like stomach acid and that was miserable. I called my doctor and he sent in a prescription for esomeprazole. I never did take it (I’m always anxious about medicine) and since the burning stopped, I figured I didn’t need it. However, I continued having pressure in my chest. The best way I can describe it is a drowning feeling. My heart just feels heavy and almost like it’s got a weight attached to it. Of course with severe anxiety, I googled my symptoms and it told me I was in heart failure. That’s been bombarding my brain but I just had a full cardio workup in Jan/feb and everything was totally normal. I’m a 28 yo relatively healthy female with no health issues so the possibility of random heart failure doesn’t seem logical. The only other conclusion I can come to is possibly GERD. I can’t get an appointment with my doctor right now because of everything going on, but I’m falling apart and miserable. 
A week ago I started anti anxiety meds (Lexapro) because I was so convinced I was dying from this that I couldn’t even get out of bed. The first three days, I felt wonderful and the chest pain/drowning/pressure went away. On Wednesday, it came back in full force and has been pretty much relentless since then. It has been almost six weeks now of non stop pressure/tightness in my chest. Occasionally I’ll have a sore/burning throat but nothing like typical heartburn which scares me that it’s not actually GERD and is heart failure. I’m tempted to try the esomeprazole but I searched it and it looked like suicidal thoughts was something people dealt with on it. I can’t mentally handle that right now. I’m on a low dose of Lexapro right now and wondering if anyone has taken them together or if it’s helped. I can’t keep living like this :( I’m terrified I’m dying every single day and this tightness in my chest and throat feels unbearable.</t>
        </is>
      </c>
      <c r="D6476" t="n">
        <v>1</v>
      </c>
      <c r="E6476" t="n">
        <v>11</v>
      </c>
      <c r="F6476">
        <f>HYPERLINK("https://www.reddit.com/r/GERD/comments/g3mrkr/anxiety_and_gerd_together/")</f>
        <v/>
      </c>
      <c r="G6476" t="inlineStr">
        <is>
          <t>2020-04-18 05:31:48</t>
        </is>
      </c>
      <c r="H6476" t="inlineStr"/>
    </row>
    <row r="6477">
      <c r="A6477" t="inlineStr">
        <is>
          <t>g3n1ll</t>
        </is>
      </c>
      <c r="B6477" t="inlineStr">
        <is>
          <t>LPR smaller meals and eating slower</t>
        </is>
      </c>
      <c r="C6477" t="inlineStr">
        <is>
          <t>I think I may have fixed my LPR by eating slower and not stuffing myself as much!</t>
        </is>
      </c>
      <c r="D6477" t="n">
        <v>1</v>
      </c>
      <c r="E6477" t="n">
        <v>25</v>
      </c>
      <c r="F6477">
        <f>HYPERLINK("https://www.reddit.com/r/GERD/comments/g3n1ll/lpr_smaller_meals_and_eating_slower/")</f>
        <v/>
      </c>
      <c r="G6477" t="inlineStr">
        <is>
          <t>2020-04-18 05:54:02</t>
        </is>
      </c>
      <c r="H6477" t="inlineStr"/>
    </row>
    <row r="6478">
      <c r="A6478" t="inlineStr">
        <is>
          <t>g3n5s6</t>
        </is>
      </c>
      <c r="B6478" t="inlineStr">
        <is>
          <t>Reflux and not responding to Pantoprazole</t>
        </is>
      </c>
      <c r="C6478" t="inlineStr">
        <is>
          <t>Hello, I have had a long experience with reflux that persists to this day. It started around Nov. 2018. From what I recall, I ate an undercooked pizza, which caused me to vomit that night, and encouraged me to vomit after any meal. I've visited my physician and I've been put me on pantoprazole for over a year now to no real result. I can still vomit even having taken it everyday as prescribed. I have had a barium test and endoscopy with biopsy done. The doctors concluded only that there is much acid in there, I have some red on the lining of my esophagus and the biopsy proved no antibiotics were needed. My symptoms are as follows: feeling of something stuck in my throat, vomiting generally preempted by belches, lack of feeling in my esophagus and mouth.
So, where do I go from here. I tried dexilant now as prescribed by my physician, and he said if I didnt respond to that, he would recommend nissen fundoplication. What do you guys think? Should i go with the surgery? I have many questions and concerns over the effectiveness of this surgery. Mainly if it can really keep the contents of my stomach inside and fixing the feeling in my throat. Any and all suggestions are appreciated whether your experiencing the same or you've done the surgery already. Thanks for reading.</t>
        </is>
      </c>
      <c r="D6478" t="n">
        <v>1</v>
      </c>
      <c r="E6478" t="n">
        <v>6</v>
      </c>
      <c r="F6478">
        <f>HYPERLINK("https://www.reddit.com/r/GERD/comments/g3n5s6/reflux_and_not_responding_to_pantoprazole/")</f>
        <v/>
      </c>
      <c r="G6478" t="inlineStr">
        <is>
          <t>2020-04-18 06:02:38</t>
        </is>
      </c>
      <c r="H6478" t="inlineStr"/>
    </row>
    <row r="6479">
      <c r="A6479" t="inlineStr">
        <is>
          <t>g3pdeu</t>
        </is>
      </c>
      <c r="B6479" t="inlineStr">
        <is>
          <t>I stopped drinking caffeine and haven't had any LPR since</t>
        </is>
      </c>
      <c r="C6479" t="inlineStr">
        <is>
          <t>My issue was LPR rather than heartburn and i was drinking tea every morning. for me personally, i found that drinking any sort of caffeine seemed to "slow down" my digestive system. i would go to bed at night and finally feel all the food go down my digestive system even if i ate 4 hours before bed which never happened before caffeine. I would also get LPR for like 30 minutes before i could finally go to sleep and had LPR throughout the day typically 1-2 hours after a meal (any meal). I tried everything but getting rid of caffeine in an attempt to control my acid reflux without quitting caffeine. Well nothing worked so i finally eliminated caffeine and i have instant relief.
&amp;amp;#x200B;
I do plan on going back to caffeine but won't make it an everyday thing. everyone is different and for some reason, my body doesn't like being consistently caffeinated. take 2-3 days off from caffeine and see if anything changes. I just ate two fatty meals in the span of 4 hours and have had 0 reflux when i would usually be dying rn. feels sooooo good. i prefer to eat whatever i want than to have an energy boost although i do miss it already</t>
        </is>
      </c>
      <c r="D6479" t="n">
        <v>1</v>
      </c>
      <c r="E6479" t="n">
        <v>22</v>
      </c>
      <c r="F6479">
        <f>HYPERLINK("https://www.reddit.com/r/GERD/comments/g3pdeu/i_stopped_drinking_caffeine_and_havent_had_any/")</f>
        <v/>
      </c>
      <c r="G6479" t="inlineStr">
        <is>
          <t>2020-04-18 08:32:41</t>
        </is>
      </c>
      <c r="H6479" t="inlineStr"/>
    </row>
    <row r="6480">
      <c r="A6480" t="inlineStr">
        <is>
          <t>g3psr4</t>
        </is>
      </c>
      <c r="B6480" t="inlineStr">
        <is>
          <t>Coughing issues</t>
        </is>
      </c>
      <c r="C6480" t="inlineStr">
        <is>
          <t>I was prescribed pantoprazole as I get acid reflux and the last month I’ve been coughing. Other than coughing and some acid reflux coming up my throat I feel fine. 
It’s worse in the morning which I was told by my doctor that is was due to the acid moving around as I laid flat at night. 
I’ve been taking it since we stay and nothing much has changed. I don’t get any acid reflux feeling but the coughing is still not great. 
From anyone’s experience does it take a while or have you had the same issue as myself? Thank you</t>
        </is>
      </c>
      <c r="D6480" t="n">
        <v>2</v>
      </c>
      <c r="E6480" t="n">
        <v>0</v>
      </c>
      <c r="F6480">
        <f>HYPERLINK("https://www.reddit.com/r/GERD/comments/g3psr4/coughing_issues/")</f>
        <v/>
      </c>
      <c r="G6480" t="inlineStr">
        <is>
          <t>2020-04-18 08:58:49</t>
        </is>
      </c>
      <c r="H6480" t="inlineStr"/>
    </row>
    <row r="6481">
      <c r="A6481" t="inlineStr">
        <is>
          <t>g3qjgp</t>
        </is>
      </c>
      <c r="B6481" t="inlineStr">
        <is>
          <t>Sick feeling then I sneeze?</t>
        </is>
      </c>
      <c r="C6481" t="inlineStr">
        <is>
          <t>Hi! So for the last several months I’ve been having this thing happen every couple of weeks. I’ll start to feel SICK - super nauseated, sometimes with that terrible icy feeling - and then I sneeze real big and the feeling goes away. 
Does anyone have a clue what this could be?
If it’s helpful:
I have been diagnosed with GERD. I was on Zantac 300mg and now I’m on Pepcid 40mg.</t>
        </is>
      </c>
      <c r="D6481" t="n">
        <v>1</v>
      </c>
      <c r="E6481" t="n">
        <v>0</v>
      </c>
      <c r="F6481">
        <f>HYPERLINK("https://www.reddit.com/r/GERD/comments/g3qjgp/sick_feeling_then_i_sneeze/")</f>
        <v/>
      </c>
      <c r="G6481" t="inlineStr">
        <is>
          <t>2020-04-18 09:42:11</t>
        </is>
      </c>
      <c r="H6481" t="inlineStr"/>
    </row>
    <row r="6482">
      <c r="A6482" t="inlineStr">
        <is>
          <t>g3qqdh</t>
        </is>
      </c>
      <c r="B6482" t="inlineStr">
        <is>
          <t>Burning/tingling tongue and throat when waking up</t>
        </is>
      </c>
      <c r="C6482" t="inlineStr">
        <is>
          <t>This seemed like the right place to ask this. I’ve been waking up with a kind of burning/tingling tongue and scratchy throat when I wake up.
Is this something that can be attributed to GERD? 
I’ve had other symptoms in the past, but this symptom tends to pop up in the mornings when no others are present.</t>
        </is>
      </c>
      <c r="D6482" t="n">
        <v>1</v>
      </c>
      <c r="E6482" t="n">
        <v>0</v>
      </c>
      <c r="F6482">
        <f>HYPERLINK("https://www.reddit.com/r/GERD/comments/g3qqdh/burningtingling_tongue_and_throat_when_waking_up/")</f>
        <v/>
      </c>
      <c r="G6482" t="inlineStr">
        <is>
          <t>2020-04-18 09:53:30</t>
        </is>
      </c>
      <c r="H6482" t="inlineStr"/>
    </row>
    <row r="6483">
      <c r="A6483" t="inlineStr">
        <is>
          <t>g3rdle</t>
        </is>
      </c>
      <c r="B6483" t="inlineStr">
        <is>
          <t>There is no hope.</t>
        </is>
      </c>
      <c r="C6483" t="inlineStr">
        <is>
          <t>I'm 23 and I'm tired of living with this. Even since I have had this disease I've had multiple other health problems like feeling hot and wet spots all over my body. Constant anxiety. Mucus  congestion in my throat 24/7. The damn PPI make feel even worse. Those have long term effects anyways so I just stopped taking them. I can't sleep. I can't eat. I can't focus. I can't do anything. Ive had depression got 5 years already but getting this is the last thing I can handle. 
After my parents die I want to kill myself. I can't do this shit anymore. It does not get better ever. I'm overweight and losing the weight probably won't even help me. I wish things were different but there's nothing I can do. What is the point of living if I have to avoid 98% of foods. Constant health issues that will probably kill me slowly anyways. I want out.</t>
        </is>
      </c>
      <c r="D6483" t="n">
        <v>3</v>
      </c>
      <c r="E6483" t="n">
        <v>30</v>
      </c>
      <c r="F6483">
        <f>HYPERLINK("https://www.reddit.com/r/GERD/comments/g3rdle/there_is_no_hope/")</f>
        <v/>
      </c>
      <c r="G6483" t="inlineStr">
        <is>
          <t>2020-04-18 10:30:56</t>
        </is>
      </c>
      <c r="H6483" t="inlineStr"/>
    </row>
    <row r="6484">
      <c r="A6484" t="inlineStr">
        <is>
          <t>g3rrf3</t>
        </is>
      </c>
      <c r="B6484" t="inlineStr">
        <is>
          <t>Frustrated</t>
        </is>
      </c>
      <c r="C6484" t="inlineStr">
        <is>
          <t>Does anyone get almost a pinch like or stabbing pain in a specific part of middle of left chest Due to this?  Also maybe some pain. Happens to me but doctor says ticket is fine.  Frustrating to say the least</t>
        </is>
      </c>
      <c r="D6484" t="n">
        <v>1</v>
      </c>
      <c r="E6484" t="n">
        <v>6</v>
      </c>
      <c r="F6484">
        <f>HYPERLINK("https://www.reddit.com/r/GERD/comments/g3rrf3/frustrated/")</f>
        <v/>
      </c>
      <c r="G6484" t="inlineStr">
        <is>
          <t>2020-04-18 10:53:32</t>
        </is>
      </c>
      <c r="H6484" t="inlineStr"/>
    </row>
    <row r="6485">
      <c r="A6485" t="inlineStr">
        <is>
          <t>g3safj</t>
        </is>
      </c>
      <c r="B6485" t="inlineStr">
        <is>
          <t>Weaning off Prilosec- anyone cut their pills?</t>
        </is>
      </c>
      <c r="C6485" t="inlineStr">
        <is>
          <t>Have been on Prilosec 20mg OTC for a year now with doctors okay due to treat damage from ulcers, gastritis from a severe restrictive eating disorder. I am so healthy now with my ED in remission and it’s time to try and get off the Prilosec. My doctor prescribed me 10mg but I was wondering has anyone cut the OTC 20mg to titrate? I want to go from 20mg to 15mg to 10mg ideally so I can hopefully side step the rebound effects. Pharmacist said it was okay to cut the OTC but I dunno I’m a little worried because on the package it says delayed release and I’m not chemist but am a little worried I’ll mess with the chemistry of the pill by cutting it.
TLDR: Looking for first hand accounts of people cutting the pill with success. Thanks!</t>
        </is>
      </c>
      <c r="D6485" t="n">
        <v>1</v>
      </c>
      <c r="E6485" t="n">
        <v>1</v>
      </c>
      <c r="F6485">
        <f>HYPERLINK("https://www.reddit.com/r/GERD/comments/g3safj/weaning_off_prilosec_anyone_cut_their_pills/")</f>
        <v/>
      </c>
      <c r="G6485" t="inlineStr">
        <is>
          <t>2020-04-18 11:24:09</t>
        </is>
      </c>
      <c r="H6485" t="inlineStr"/>
    </row>
    <row r="6486">
      <c r="A6486" t="inlineStr">
        <is>
          <t>g3sbiy</t>
        </is>
      </c>
      <c r="B6486" t="inlineStr">
        <is>
          <t>Acid bubble??</t>
        </is>
      </c>
      <c r="C6486" t="inlineStr">
        <is>
          <t>Has anyone get pain in the chest that last for more than 10hrs?  Not sure if it’s esophaguses spasms or it kinda feels like an acid ball sitting in my chest just waiting to burb it out?   On dexilant. And took Tagamet.   Any body else get this?  Thanks for your help.</t>
        </is>
      </c>
      <c r="D6486" t="n">
        <v>0</v>
      </c>
      <c r="E6486" t="n">
        <v>0</v>
      </c>
      <c r="F6486">
        <f>HYPERLINK("https://www.reddit.com/r/GERD/comments/g3sbiy/acid_bubble/")</f>
        <v/>
      </c>
      <c r="G6486" t="inlineStr">
        <is>
          <t>2020-04-18 11:25:59</t>
        </is>
      </c>
      <c r="H6486" t="inlineStr"/>
    </row>
    <row r="6487">
      <c r="A6487" t="inlineStr">
        <is>
          <t>g3sf91</t>
        </is>
      </c>
      <c r="B6487" t="inlineStr">
        <is>
          <t>Chest pain??</t>
        </is>
      </c>
      <c r="C6487" t="inlineStr">
        <is>
          <t>1-2 weeks ago I suddenly began having this pain in my neck/chest. It kind of freaked me out, but I felt a lot better the next day. No pain at all until yesterday, then the neck/chest pain came back even worse than before. It lasted all day long abs nothing seemed to help. I still feel a bit sore this morning.. worried it will get worse after I eat breakfast though. Also, I was coughing a lot yesterday. Can gerd cause this? My gerd has been getting worse lately, and I’ve recently been prescribed omeprazole. Only been taking it for a few days though. Is there anything I can do to relieve the pain? I’m on an extremely boring/bland diet so it’s not even like I’m eating lots of trigger foods or something. I’m just a bit freaked out, what with everything going on in the world right now. Any advice would be appreciated</t>
        </is>
      </c>
      <c r="D6487" t="n">
        <v>1</v>
      </c>
      <c r="E6487" t="n">
        <v>4</v>
      </c>
      <c r="F6487">
        <f>HYPERLINK("https://www.reddit.com/r/GERD/comments/g3sf91/chest_pain/")</f>
        <v/>
      </c>
      <c r="G6487" t="inlineStr">
        <is>
          <t>2020-04-18 11:31:59</t>
        </is>
      </c>
      <c r="H6487" t="inlineStr"/>
    </row>
    <row r="6488">
      <c r="A6488" t="inlineStr">
        <is>
          <t>g3sreq</t>
        </is>
      </c>
      <c r="B6488" t="inlineStr">
        <is>
          <t>A little suggestion.</t>
        </is>
      </c>
      <c r="C6488" t="inlineStr">
        <is>
          <t>I am someone who loves to workout but every time I do it I feel my chest on fire after the workout. I have GERD (as said by the doctor after my endoscopy showing damage to esophagus and injuries near mouth).  I am in a doubt if I should continue my workout schedule or not. Just here for the suggestions of people experienced in this. (I am on Acidity pills and PAN liquid)</t>
        </is>
      </c>
      <c r="D6488" t="n">
        <v>1</v>
      </c>
      <c r="E6488" t="n">
        <v>6</v>
      </c>
      <c r="F6488">
        <f>HYPERLINK("https://www.reddit.com/r/GERD/comments/g3sreq/a_little_suggestion/")</f>
        <v/>
      </c>
      <c r="G6488" t="inlineStr">
        <is>
          <t>2020-04-18 11:51:41</t>
        </is>
      </c>
      <c r="H6488" t="inlineStr"/>
    </row>
    <row r="6489">
      <c r="A6489" t="inlineStr">
        <is>
          <t>g3umhz</t>
        </is>
      </c>
      <c r="B6489" t="inlineStr">
        <is>
          <t>Wedge Pillow</t>
        </is>
      </c>
      <c r="C6489" t="inlineStr">
        <is>
          <t>Has anyone had any relief at night from using a wedge pillow? If so, any recommendations? Thanks!</t>
        </is>
      </c>
      <c r="D6489" t="n">
        <v>3</v>
      </c>
      <c r="E6489" t="n">
        <v>6</v>
      </c>
      <c r="F6489">
        <f>HYPERLINK("https://www.reddit.com/r/GERD/comments/g3umhz/wedge_pillow/")</f>
        <v/>
      </c>
      <c r="G6489" t="inlineStr">
        <is>
          <t>2020-04-18 13:40:01</t>
        </is>
      </c>
      <c r="H6489" t="inlineStr"/>
    </row>
    <row r="6490">
      <c r="A6490" t="inlineStr">
        <is>
          <t>g3uzrp</t>
        </is>
      </c>
      <c r="B6490" t="inlineStr">
        <is>
          <t>Tender Feeling Front of Neck (not to the touch)</t>
        </is>
      </c>
      <c r="C6490" t="inlineStr">
        <is>
          <t>Hi All,
First post here, but have been reading a lot. Nice to have a place where everyone can share their experiences.
I have what seems to be stress-induced acid reflux, or as my ENT just diagnosed me with - LPR (no physical exam as it was a virtual appointment). My symptoms following significantly stressful weeks in a row leave me with chest pain that comes and goes, excessive burping, lump in throat, phlegmy cough/clearing of throat after first meal of the day, and sometimes phlegm/feeling of something stuck right above the collarbone where the upper sphincter is.
I'm taking Pepsid 40mg in the AM and Famotadine 40mg in the PM for a few weeks. It's only been about 5 days and it seems that all symptoms have eased up, BUT just 4 days ago my frontal neck feels tender. Anywhere from under the jaw, to the left or right of my adams apple, or closer to my collarbone. It's not tender to the touch, I don't feel or see any swelling - although sometimes I can feel it with swallowing. And my throat lining feels perfectly okay. I would say it feels like it may be muscular, but the best way to describe the location is the cartilage that makes up my throat. And the sensation is not all at once, but kind of rotates around the area like it has a mind of its own. No correlation with food/sleep/etc. Very strange. And I can't find any info online about this without coming across endless results that just don't sum up what I'm feeling. Wish I could get some imaging done for peace of mind, but can't/maybe shouldn't due to current events.
Anyone else have/had this symptom?</t>
        </is>
      </c>
      <c r="D6490" t="n">
        <v>0</v>
      </c>
      <c r="E6490" t="n">
        <v>2</v>
      </c>
      <c r="F6490">
        <f>HYPERLINK("https://www.reddit.com/r/GERD/comments/g3uzrp/tender_feeling_front_of_neck_not_to_the_touch/")</f>
        <v/>
      </c>
      <c r="G6490" t="inlineStr">
        <is>
          <t>2020-04-18 14:01:53</t>
        </is>
      </c>
      <c r="H6490" t="inlineStr"/>
    </row>
    <row r="6491">
      <c r="A6491" t="inlineStr">
        <is>
          <t>g3w8wl</t>
        </is>
      </c>
      <c r="B6491" t="inlineStr">
        <is>
          <t>Does water brash ever go away?</t>
        </is>
      </c>
      <c r="C6491" t="inlineStr">
        <is>
          <t>I’ve been dealing with water brash for the past two years. Saliva keeps flooding my mouth, no matter what I eat. I’m taking Omeprazole but it’s not helping. When I drink water, it seems to be okay but then the saliva will come up again. Does anyone else have this symptom and how do you relieve it?</t>
        </is>
      </c>
      <c r="D6491" t="n">
        <v>1</v>
      </c>
      <c r="E6491" t="n">
        <v>11</v>
      </c>
      <c r="F6491">
        <f>HYPERLINK("https://www.reddit.com/r/GERD/comments/g3w8wl/does_water_brash_ever_go_away/")</f>
        <v/>
      </c>
      <c r="G6491" t="inlineStr">
        <is>
          <t>2020-04-18 15:18:07</t>
        </is>
      </c>
      <c r="H6491" t="inlineStr"/>
    </row>
    <row r="6492">
      <c r="A6492" t="inlineStr">
        <is>
          <t>g3x6lg</t>
        </is>
      </c>
      <c r="B6492" t="inlineStr">
        <is>
          <t>Anyone in here have post nasal drip just from one nostril?</t>
        </is>
      </c>
      <c r="C6492" t="inlineStr">
        <is>
          <t>I also only notice the sore throat is rather from one side than the other</t>
        </is>
      </c>
      <c r="D6492" t="n">
        <v>1</v>
      </c>
      <c r="E6492" t="n">
        <v>1</v>
      </c>
      <c r="F6492">
        <f>HYPERLINK("https://www.reddit.com/r/GERD/comments/g3x6lg/anyone_in_here_have_post_nasal_drip_just_from_one/")</f>
        <v/>
      </c>
      <c r="G6492" t="inlineStr">
        <is>
          <t>2020-04-18 16:17:05</t>
        </is>
      </c>
      <c r="H6492" t="inlineStr"/>
    </row>
    <row r="6493">
      <c r="A6493" t="inlineStr">
        <is>
          <t>g3xb1g</t>
        </is>
      </c>
      <c r="B6493" t="inlineStr">
        <is>
          <t>Just how long...</t>
        </is>
      </c>
      <c r="C6493" t="inlineStr">
        <is>
          <t>I am 17 years old and I have been healthy my entire life. I have anxiety and been feeling streesed out from school. Ever since the outbreak I began to feel more anxious. 2 weeks ago after eating homemade burgers and fries I began to have heartburn, the next day I started feeling uncontrollably full and thought I was having a heart attack.
My mom assured me I wasn't having one and we went to the doctor to check on my heart and breathing and everything came out fine, the doctor told me not to look at the news of covid-19, take plenty of walks, and try not to feel stressed out, I also took omeprazole. fast forward a couple of weeks, only ate oatmeal for breakfast, apples, and baked potatoes and nothing has really changed, I can't eat anything I want even if I feel better, I can barely get any sleep at night, and I never feel hungry. My mom doesn't even feel concerned about my condition becausr she's never had it so she doesn't know how to handle it and just tells me to take tums or alka seltzer and just wait for it to work. I have to avoid eating my favoirte meals that will trigger it. what's worse is that I have to live in the same house with someone who smokes everyday and it triggers it as well, I would tell my mom about it but I feel like there would be nothing she can do about it and would tell me to just stay in my room. I can't even stay over at anyone's house, especially ever since my Dad tested positive (He is recovering and doing fine) and forced to be here (Yes I understand I must stay inside to prevent the risk of getting the disease).
 I am now starting to lose all hope. will this acid reflux go away even after going on a certain deit? how will I know if I can go back to eating everything I want again without triggering acid reflux?</t>
        </is>
      </c>
      <c r="D6493" t="n">
        <v>2</v>
      </c>
      <c r="E6493" t="n">
        <v>2</v>
      </c>
      <c r="F6493">
        <f>HYPERLINK("https://www.reddit.com/r/GERD/comments/g3xb1g/just_how_long/")</f>
        <v/>
      </c>
      <c r="G6493" t="inlineStr">
        <is>
          <t>2020-04-18 16:25:19</t>
        </is>
      </c>
      <c r="H6493" t="inlineStr"/>
    </row>
    <row r="6494">
      <c r="A6494" t="inlineStr">
        <is>
          <t>g3xh9n</t>
        </is>
      </c>
      <c r="B6494" t="inlineStr">
        <is>
          <t>Flu symptoms after quitting omeprazole?</t>
        </is>
      </c>
      <c r="C6494" t="inlineStr">
        <is>
          <t>It’s day 13 of alternating days of 20mg omeprazole for me. Today I woke up and feel like SHIT. Sore throat and legit can’t get out of bed I’m so weak. 
Is this common, or am I sick</t>
        </is>
      </c>
      <c r="D6494" t="n">
        <v>0</v>
      </c>
      <c r="E6494" t="n">
        <v>4</v>
      </c>
      <c r="F6494">
        <f>HYPERLINK("https://www.reddit.com/r/GERD/comments/g3xh9n/flu_symptoms_after_quitting_omeprazole/")</f>
        <v/>
      </c>
      <c r="G6494" t="inlineStr">
        <is>
          <t>2020-04-18 16:36:23</t>
        </is>
      </c>
      <c r="H6494" t="inlineStr"/>
    </row>
    <row r="6495">
      <c r="A6495" t="inlineStr">
        <is>
          <t>g3xhrn</t>
        </is>
      </c>
      <c r="B6495" t="inlineStr">
        <is>
          <t>GERD related arm pain?</t>
        </is>
      </c>
      <c r="C6495" t="inlineStr">
        <is>
          <t>Trying to ease my hypochondriac mind a bit here. I have GERD and on a rare occasion when it’s flaring up bad I’ll also get a deep pain in my right arm. Every time I try to research this I can’t seem to find any correlation between the two. The best way I can describe the pain is a deep ache, much like a growing pain, that radiates down my entire arm. It’s not made worse or better by any movement, new position, or at rest. I’ve had it all day long along with a terrible case of reflux and stomach pain.
So my question is, does anybody else tend to get referred pains with your reflux? Do you ever get them in your arms?</t>
        </is>
      </c>
      <c r="D6495" t="n">
        <v>0</v>
      </c>
      <c r="E6495" t="n">
        <v>3</v>
      </c>
      <c r="F6495">
        <f>HYPERLINK("https://www.reddit.com/r/GERD/comments/g3xhrn/gerd_related_arm_pain/")</f>
        <v/>
      </c>
      <c r="G6495" t="inlineStr">
        <is>
          <t>2020-04-18 16:37:14</t>
        </is>
      </c>
      <c r="H6495" t="inlineStr"/>
    </row>
    <row r="6496">
      <c r="A6496" t="inlineStr">
        <is>
          <t>g3xwup</t>
        </is>
      </c>
      <c r="B6496" t="inlineStr">
        <is>
          <t>Can I up omeprazole dose temporarily?</t>
        </is>
      </c>
      <c r="C6496" t="inlineStr">
        <is>
          <t>My doctor prescribed me 20 mg omeprazole once daily for a two week course. I initially took it for 2 days but the side effects were making me miserable so I stopped and went back to see him the next day. He said to up the dose to 40mg (20mg twice a day) for a week and then go back down to 20mg once a day for another week. I was a little hesitant to do that just because of the side effects it was giving me. I didn’t want to start taking it again let alone at a higher dose.
Long story short my GERD flared up bad again a few days later and I started taking it once daily again. It’s been 6 days now and the side effects aren’t nearly as bad anymore, but I feel like I might need that second dose, as I feel it kind of wears off during the day. Can I start taking the 40mg now, a week later, for the duration of the second week? And then just stop on the 14th day? I can’t easily get a hold of my doc and don’t want to go in for another office visit, but I was wondering, is it okay/safe to do this?</t>
        </is>
      </c>
      <c r="D6496" t="n">
        <v>1</v>
      </c>
      <c r="E6496" t="n">
        <v>2</v>
      </c>
      <c r="F6496">
        <f>HYPERLINK("https://www.reddit.com/r/GERD/comments/g3xwup/can_i_up_omeprazole_dose_temporarily/")</f>
        <v/>
      </c>
      <c r="G6496" t="inlineStr">
        <is>
          <t>2020-04-18 17:04:02</t>
        </is>
      </c>
      <c r="H6496" t="inlineStr"/>
    </row>
    <row r="6497">
      <c r="A6497" t="inlineStr">
        <is>
          <t>g3y0y6</t>
        </is>
      </c>
      <c r="B6497" t="inlineStr">
        <is>
          <t>The Acid Watcher Diet - book</t>
        </is>
      </c>
      <c r="C6497" t="inlineStr">
        <is>
          <t>I'm only a 3rd of a way through this book but I strongly suggest you all get it.</t>
        </is>
      </c>
      <c r="D6497" t="n">
        <v>1</v>
      </c>
      <c r="E6497" t="n">
        <v>2</v>
      </c>
      <c r="F6497">
        <f>HYPERLINK("https://www.reddit.com/r/GERD/comments/g3y0y6/the_acid_watcher_diet_book/")</f>
        <v/>
      </c>
      <c r="G6497" t="inlineStr">
        <is>
          <t>2020-04-18 17:11:55</t>
        </is>
      </c>
      <c r="H6497" t="inlineStr"/>
    </row>
    <row r="6498">
      <c r="A6498" t="inlineStr">
        <is>
          <t>g3ymvt</t>
        </is>
      </c>
      <c r="B6498" t="inlineStr">
        <is>
          <t>discontinuing PPI use</t>
        </is>
      </c>
      <c r="C6498" t="inlineStr">
        <is>
          <t>hello all just curious if any one else can identify with my issues. i was originally prescribed omeprazole which i was on for about a month and a half to which i was then switched to esomeprazole which i’m currently taking. i’ve ben this for about 5-6 months but the past 2 months or so i’ve slowly been weening myself off (cut the dose in half each time i lower; went from twice a day&amp;gt;to just at night&amp;gt; to every other day&amp;gt; to every 2 days). my heartburn seems to have gotten better and i don’t have as nearly as much regurgitation/ vomiting. the only real lingering symptom is the having to burp all day and night and having a feeling of being bloated in my chest/esophageal area. i’m just wondering if this is a symptom of the rebound effect from stopping PPIs or if anyone else experienced this when stopping their medicine also. also worth noting after my endoscopy i was informed my LES is looser than it should but i’m unsure whether or not that plays a role in my burping problem.</t>
        </is>
      </c>
      <c r="D6498" t="n">
        <v>1</v>
      </c>
      <c r="E6498" t="n">
        <v>14</v>
      </c>
      <c r="F6498">
        <f>HYPERLINK("https://www.reddit.com/r/GERD/comments/g3ymvt/discontinuing_ppi_use/")</f>
        <v/>
      </c>
      <c r="G6498" t="inlineStr">
        <is>
          <t>2020-04-18 17:53:50</t>
        </is>
      </c>
      <c r="H6498" t="inlineStr"/>
    </row>
    <row r="6499">
      <c r="A6499" t="inlineStr">
        <is>
          <t>g409or</t>
        </is>
      </c>
      <c r="B6499" t="inlineStr">
        <is>
          <t>Jaw clenching shut</t>
        </is>
      </c>
      <c r="C6499" t="inlineStr">
        <is>
          <t>My jaw and even the inside of my lower mouth is extremely painful and tight. I'm having bad typical symptoms of my GERD</t>
        </is>
      </c>
      <c r="D6499" t="n">
        <v>1</v>
      </c>
      <c r="E6499" t="n">
        <v>0</v>
      </c>
      <c r="F6499">
        <f>HYPERLINK("https://www.reddit.com/r/GERD/comments/g409or/jaw_clenching_shut/")</f>
        <v/>
      </c>
      <c r="G6499" t="inlineStr">
        <is>
          <t>2020-04-18 19:51:43</t>
        </is>
      </c>
      <c r="H6499" t="inlineStr"/>
    </row>
    <row r="6500">
      <c r="A6500" t="inlineStr">
        <is>
          <t>g40xq6</t>
        </is>
      </c>
      <c r="B6500" t="inlineStr">
        <is>
          <t>Gerd and shortness of breath???</t>
        </is>
      </c>
      <c r="C6500" t="inlineStr">
        <is>
          <t>I hate really greasy food earlier now I am having shortness of breath and there is a lump in my throat. This is causing me anxiety. Who else does this happens to?</t>
        </is>
      </c>
      <c r="D6500" t="n">
        <v>1</v>
      </c>
      <c r="E6500" t="n">
        <v>1</v>
      </c>
      <c r="F6500">
        <f>HYPERLINK("https://www.reddit.com/r/GERD/comments/g40xq6/gerd_and_shortness_of_breath/")</f>
        <v/>
      </c>
      <c r="G6500" t="inlineStr">
        <is>
          <t>2020-04-18 20:42:22</t>
        </is>
      </c>
      <c r="H6500" t="inlineStr"/>
    </row>
    <row r="6501">
      <c r="A6501" t="inlineStr">
        <is>
          <t>g4112m</t>
        </is>
      </c>
      <c r="B6501" t="inlineStr">
        <is>
          <t>I felt great for 4 months and now i feel like garbage</t>
        </is>
      </c>
      <c r="C6501" t="inlineStr">
        <is>
          <t>I didn't change my diet or try anything new. I felt perfectly fine for so long and I feel terrible now. I don't know what to do.</t>
        </is>
      </c>
      <c r="D6501" t="n">
        <v>1</v>
      </c>
      <c r="E6501" t="n">
        <v>4</v>
      </c>
      <c r="F6501">
        <f>HYPERLINK("https://www.reddit.com/r/GERD/comments/g4112m/i_felt_great_for_4_months_and_now_i_feel_like/")</f>
        <v/>
      </c>
      <c r="G6501" t="inlineStr">
        <is>
          <t>2020-04-18 20:49:21</t>
        </is>
      </c>
      <c r="H6501" t="inlineStr"/>
    </row>
    <row r="6502">
      <c r="A6502" t="inlineStr">
        <is>
          <t>g42ixp</t>
        </is>
      </c>
      <c r="B6502" t="inlineStr">
        <is>
          <t>Shortness of breath...even with light/no activity?</t>
        </is>
      </c>
      <c r="C6502" t="inlineStr">
        <is>
          <t>Anyone else get this? It mainly happens to me after eating a meal or lying in bed, it's becomes harder to breath and I even get palpitations. When I wake up I feel fine though...
I have Athsma and I think it's getting mixed with my GERD</t>
        </is>
      </c>
      <c r="D6502" t="n">
        <v>1</v>
      </c>
      <c r="E6502" t="n">
        <v>27</v>
      </c>
      <c r="F6502">
        <f>HYPERLINK("https://www.reddit.com/r/GERD/comments/g42ixp/shortness_of_breatheven_with_lightno_activity/")</f>
        <v/>
      </c>
      <c r="G6502" t="inlineStr">
        <is>
          <t>2020-04-18 22:50:53</t>
        </is>
      </c>
      <c r="H6502" t="inlineStr"/>
    </row>
    <row r="6503">
      <c r="A6503" t="inlineStr">
        <is>
          <t>g43a5w</t>
        </is>
      </c>
      <c r="B6503" t="inlineStr">
        <is>
          <t>Gerd dose</t>
        </is>
      </c>
      <c r="C6503" t="inlineStr">
        <is>
          <t>Hey i have terrible simptoms, i dont know what to believe... So i feel lumps that moves in my end of neck that gives me choking sensation and  shortness of breath and hard swallowing..
More than that i feel more lumps around my neck.. That could possible be cancer? I rememeber once or twice i took double dose of antiacid and later on consultation doc said from physical exam if you take double dose u risk to get cancer. Omg
I'm Very dissapointed..
If this is true I advice you to never double dose..
Anyway no scans for me, i have to go to particular office.. And with this corona its very hard to get one.
Im sorry for everything</t>
        </is>
      </c>
      <c r="D6503" t="n">
        <v>1</v>
      </c>
      <c r="E6503" t="n">
        <v>1</v>
      </c>
      <c r="F6503">
        <f>HYPERLINK("https://www.reddit.com/r/GERD/comments/g43a5w/gerd_dose/")</f>
        <v/>
      </c>
      <c r="G6503" t="inlineStr">
        <is>
          <t>2020-04-19 00:00:16</t>
        </is>
      </c>
      <c r="H6503" t="inlineStr"/>
    </row>
    <row r="6504">
      <c r="A6504" t="inlineStr">
        <is>
          <t>g43idf</t>
        </is>
      </c>
      <c r="B6504" t="inlineStr">
        <is>
          <t>GERD and Hypersalivation?</t>
        </is>
      </c>
      <c r="C6504" t="inlineStr">
        <is>
          <t>Hi, I'm experiencing hypersalivation (producing too much saliva). This has been going on a couple of months now. It's pretty much non-stop. I've read that it can be caused by reflux, but has anyone experienced or is experiencing this?</t>
        </is>
      </c>
      <c r="D6504" t="n">
        <v>1</v>
      </c>
      <c r="E6504" t="n">
        <v>1</v>
      </c>
      <c r="F6504">
        <f>HYPERLINK("https://www.reddit.com/r/GERD/comments/g43idf/gerd_and_hypersalivation/")</f>
        <v/>
      </c>
      <c r="G6504" t="inlineStr">
        <is>
          <t>2020-04-19 00:21:16</t>
        </is>
      </c>
      <c r="H6504" t="inlineStr"/>
    </row>
    <row r="6505">
      <c r="A6505" t="inlineStr">
        <is>
          <t>g4462q</t>
        </is>
      </c>
      <c r="B6505" t="inlineStr">
        <is>
          <t>HELP!! I just took PPI and the symptoms make me WORRIED??</t>
        </is>
      </c>
      <c r="C6505" t="inlineStr">
        <is>
          <t>Im 20. For over half a year, i had extreme nausea and acid, that made me barely able to live at all. Finally I found a doctor who knew what was wrong with me, and prescribed a medication called Emozul 40 mgs for twice a day (because i had serious symptoms everyday, all day long).
I had to wait a week for the medication to arrive, and i was looking forward to it everday, since my nausea was getting even worse. Except for the last day before the medication arrived. I felt good, which is really weird. After six months, I finally felt good, and I couldn't understand it. The next day the meds arrived, but i didnt start it yet, because i felt so good. I waited 3 days, and yesterday I had stomachache for a couple of hours (even tho still no nausea), and decided to actually start the medication at night. 
I took it, and got the worst nausea. Also, suprsingly this med caused me to have GERD syptoms. And on top of that itching thoat (?!), and very heavy bloating, that left my underwears stained (?!?!).  I could barely sleep because of it, and im still having them to a little smaller extent, and I feel weak. I read that common syptoms are nausea and bloating, but this is more. To me these are concerning, and Im going to try to contact my doctor next week about this. Is the way to heal , to have even more symptoms for the lenght of the treatment??! Or could i be allergic to it? Please someone help me calm down, or tell me why this is.</t>
        </is>
      </c>
      <c r="D6505" t="n">
        <v>1</v>
      </c>
      <c r="E6505" t="n">
        <v>3</v>
      </c>
      <c r="F6505">
        <f>HYPERLINK("https://www.reddit.com/r/GERD/comments/g4462q/help_i_just_took_ppi_and_the_symptoms_make_me/")</f>
        <v/>
      </c>
      <c r="G6505" t="inlineStr">
        <is>
          <t>2020-04-19 01:23:38</t>
        </is>
      </c>
      <c r="H6505" t="inlineStr"/>
    </row>
    <row r="6506">
      <c r="A6506" t="inlineStr">
        <is>
          <t>g45wgm</t>
        </is>
      </c>
      <c r="B6506" t="inlineStr">
        <is>
          <t>Best free/paid diet plan books/pdfs for LPR/GERD?</t>
        </is>
      </c>
      <c r="C6506" t="inlineStr">
        <is>
          <t>All suggestions appreciated, I don't mind paying for one if it's highly recommended.</t>
        </is>
      </c>
      <c r="D6506" t="n">
        <v>1</v>
      </c>
      <c r="E6506" t="n">
        <v>0</v>
      </c>
      <c r="F6506">
        <f>HYPERLINK("https://www.reddit.com/r/GERD/comments/g45wgm/best_freepaid_diet_plan_bookspdfs_for_lprgerd/")</f>
        <v/>
      </c>
      <c r="G6506" t="inlineStr">
        <is>
          <t>2020-04-19 04:03:45</t>
        </is>
      </c>
      <c r="H6506" t="inlineStr"/>
    </row>
    <row r="6507">
      <c r="A6507" t="inlineStr">
        <is>
          <t>g471g9</t>
        </is>
      </c>
      <c r="B6507" t="inlineStr">
        <is>
          <t>Banana Ketchup for GERD</t>
        </is>
      </c>
      <c r="C6507" t="inlineStr">
        <is>
          <t>Hi everyone! I know that tomato ketchup is a big no no for condiments but I was wondering if anyone has any info on whether BANANA ketchup is okay for GERD? Please let me know! Thank you!</t>
        </is>
      </c>
      <c r="D6507" t="n">
        <v>1</v>
      </c>
      <c r="E6507" t="n">
        <v>4</v>
      </c>
      <c r="F6507">
        <f>HYPERLINK("https://www.reddit.com/r/GERD/comments/g471g9/banana_ketchup_for_gerd/")</f>
        <v/>
      </c>
      <c r="G6507" t="inlineStr">
        <is>
          <t>2020-04-19 05:41:22</t>
        </is>
      </c>
      <c r="H6507" t="inlineStr"/>
    </row>
    <row r="6508">
      <c r="A6508" t="inlineStr">
        <is>
          <t>g4ayq4</t>
        </is>
      </c>
      <c r="B6508" t="inlineStr">
        <is>
          <t>Been dealing with this for 2 years</t>
        </is>
      </c>
      <c r="C6508" t="inlineStr">
        <is>
          <t>Hi guys, I know I probably shouldn’t be seeking medical advice on the Internet but here we go. I’m 20 years old and I have been dealing with gerd for probably 2-3 years. I noticed that I started to have a lot of migraines , vertigo, and stomach problems ever since I started vaping when I was 18. Over the years it has continuously started to develop terrible acid reflux, migraines, and vertigo. I quit vaping about 6 weeks ago but am still feeling a lot of the scary symptoms. I have been to prob 3 ENTs and they all tell me that I need to change my diet and also take Prilosec 2 times a day. Last week I finished taking two weeks of 2 20 mg proposed per day and noticed only slight improvement of only my heartburn not over reflux. I have had terrible allergies especially to pollen ever since I was born. 
In regard to my symptoms, i have really bad chest pain, dryness of my throat, sometimes excess (yellow) thick mucus stuck in my throat, chest pain, shortness of breath, neck pain, headaches, ringing in my ear, ear fullness, changes in my vision, and many other . The ENTs I have been to want me to get a scan from a neurologist but I just don’t know long it will be until I can do that bc of the virus. I don’t believe that I have anything wrong neurologically but all of the ENTs keep referring me to them. Another point is that I have really bad anxiety at the moment especially when I was vaping and now bc if quitting, so I believe that this may also be a factor. One last thing, can gerd cause you to fee extremely shortness of breath and almost faint when working out. 
I believe that maybe my bad gerd with a mix of anxiety may be causing all of these other terrible symptoms. I have read online about gastric vertigo, but don’t see too much info about it. I asked the last ENT if that was a possibility but he didn’t seem like that was the case even though I believe it might be. Is gastric vertigo a real issue that can result from gerd? I know it’s a lot but I would really like to hear some other people’s experiences or opinions about this. Is it possible that gerd can be spreading up to the tubes in my middle ear making me feel like shit all the time?</t>
        </is>
      </c>
      <c r="D6508" t="n">
        <v>1</v>
      </c>
      <c r="E6508" t="n">
        <v>7</v>
      </c>
      <c r="F6508">
        <f>HYPERLINK("https://www.reddit.com/r/GERD/comments/g4ayq4/been_dealing_with_this_for_2_years/")</f>
        <v/>
      </c>
      <c r="G6508" t="inlineStr">
        <is>
          <t>2020-04-19 09:53:17</t>
        </is>
      </c>
      <c r="H6508" t="inlineStr"/>
    </row>
    <row r="6509">
      <c r="A6509" t="inlineStr">
        <is>
          <t>g4buuk</t>
        </is>
      </c>
      <c r="B6509" t="inlineStr">
        <is>
          <t>Has anyone else experienced acid reflux during the quarantine?</t>
        </is>
      </c>
      <c r="C6509" t="inlineStr">
        <is>
          <t>I have never had acid reflux/heartburn in my life. I eat fairly healthy (I do eat junk but moderate), don't smoke, not overweight, but could work out more. I do have a lot of anxiety that I have been dealing with way before the quarantine.
Last week my symptoms started: Lump in throat, acidic taste, dry cough, worse at night, acid feeling in throat?? (I can't really describe it) I've only experienced heartburn once over 2 weeks, which led me to read about "silent reflux." 
Since then, I've been eating low acidic foods, taking Tums, and Omeprazole which took 4 days to start working and it is helping, although at night it really sucks when it wears off.  
Is this going to be my life now? Sorry, I know thats dramatic, but if you have burning in your throat, and can no longer eat food besides oatmeal and bananas, maybe you can understand my pain :(</t>
        </is>
      </c>
      <c r="D6509" t="n">
        <v>1</v>
      </c>
      <c r="E6509" t="n">
        <v>26</v>
      </c>
      <c r="F6509">
        <f>HYPERLINK("https://www.reddit.com/r/GERD/comments/g4buuk/has_anyone_else_experienced_acid_reflux_during/")</f>
        <v/>
      </c>
      <c r="G6509" t="inlineStr">
        <is>
          <t>2020-04-19 10:43:14</t>
        </is>
      </c>
      <c r="H6509" t="inlineStr"/>
    </row>
    <row r="6510">
      <c r="A6510" t="inlineStr">
        <is>
          <t>g4cfpn</t>
        </is>
      </c>
      <c r="B6510" t="inlineStr">
        <is>
          <t>Can PPI mess with menstruation cycle?</t>
        </is>
      </c>
      <c r="C6510" t="inlineStr">
        <is>
          <t>I just took my PPI last evening (made a post about it). Today I woke up with brown stains. I thought it must have been the extreme bloating that i had from the meds. But seems like I actually got my period, even tho it shoulds start 8 day later. And I always have it on time. Could this be caused by the PPI?</t>
        </is>
      </c>
      <c r="D6510" t="n">
        <v>1</v>
      </c>
      <c r="E6510" t="n">
        <v>3</v>
      </c>
      <c r="F6510">
        <f>HYPERLINK("https://www.reddit.com/r/GERD/comments/g4cfpn/can_ppi_mess_with_menstruation_cycle/")</f>
        <v/>
      </c>
      <c r="G6510" t="inlineStr">
        <is>
          <t>2020-04-19 11:14:51</t>
        </is>
      </c>
      <c r="H6510" t="inlineStr"/>
    </row>
    <row r="6511">
      <c r="A6511" t="inlineStr">
        <is>
          <t>g4cwy4</t>
        </is>
      </c>
      <c r="B6511" t="inlineStr">
        <is>
          <t>Help!</t>
        </is>
      </c>
      <c r="C6511" t="inlineStr">
        <is>
          <t>Hi.  Has anyone experienced feeling hot and flushed with.GERD? I.dont have any other fever associated symptoms. My anxiety has been through the roof thinking ive caught the virus but i have no other symptoms.</t>
        </is>
      </c>
      <c r="D6511" t="n">
        <v>1</v>
      </c>
      <c r="E6511" t="n">
        <v>1</v>
      </c>
      <c r="F6511">
        <f>HYPERLINK("https://www.reddit.com/r/GERD/comments/g4cwy4/help/")</f>
        <v/>
      </c>
      <c r="G6511" t="inlineStr">
        <is>
          <t>2020-04-19 11:42:00</t>
        </is>
      </c>
      <c r="H6511" t="inlineStr"/>
    </row>
    <row r="6512">
      <c r="A6512" t="inlineStr">
        <is>
          <t>g4e0bt</t>
        </is>
      </c>
      <c r="B6512" t="inlineStr">
        <is>
          <t>Hurts to take a deep breath</t>
        </is>
      </c>
      <c r="C6512" t="inlineStr">
        <is>
          <t>I've been having some pain the last week where it hurts to take a deep breath. It doesn't go away, even with rest. This isn't the first time I've had this, but usually it doesn't last this long. I have been thinking it is either my GERD or anxiety. I found some posts on here with similar problems... But can anyone explain to me HOW GERD/acid reflux causes this shortness of breath/pain upon breathing deep?</t>
        </is>
      </c>
      <c r="D6512" t="n">
        <v>1</v>
      </c>
      <c r="E6512" t="n">
        <v>0</v>
      </c>
      <c r="F6512">
        <f>HYPERLINK("https://www.reddit.com/r/GERD/comments/g4e0bt/hurts_to_take_a_deep_breath/")</f>
        <v/>
      </c>
      <c r="G6512" t="inlineStr">
        <is>
          <t>2020-04-19 12:43:37</t>
        </is>
      </c>
      <c r="H6512" t="inlineStr"/>
    </row>
    <row r="6513">
      <c r="A6513" t="inlineStr">
        <is>
          <t>g4e9od</t>
        </is>
      </c>
      <c r="B6513" t="inlineStr">
        <is>
          <t>Potential GERD?</t>
        </is>
      </c>
      <c r="C6513" t="inlineStr">
        <is>
          <t>Hi, so this past week for me has been pretty bad. I've been looking through the symptoms for GERD, but the only similarity I have is nausea. Prior to these symptoms, I have been having protein shakes after working out. I would feel sick after having them, but continued.  Last week, I threw up and have been feeling sick after eating ever since. I stopped having these shakes and have been slowly getting better. If the problem gets any worse, I'll visit a doctor but would like your guys's opinion first. Is this potential GERD.</t>
        </is>
      </c>
      <c r="D6513" t="n">
        <v>1</v>
      </c>
      <c r="E6513" t="n">
        <v>1</v>
      </c>
      <c r="F6513">
        <f>HYPERLINK("https://www.reddit.com/r/GERD/comments/g4e9od/potential_gerd/")</f>
        <v/>
      </c>
      <c r="G6513" t="inlineStr">
        <is>
          <t>2020-04-19 12:58:05</t>
        </is>
      </c>
      <c r="H6513" t="inlineStr"/>
    </row>
    <row r="6514">
      <c r="A6514" t="inlineStr">
        <is>
          <t>g4el28</t>
        </is>
      </c>
      <c r="B6514" t="inlineStr">
        <is>
          <t>GERD and shortness of breath causes</t>
        </is>
      </c>
      <c r="C6514" t="inlineStr">
        <is>
          <t>I've been having some pain the last week where it hurts to take a deep breath. It doesn't go away, even with rest. This isn't the first time I've had this, but usually it doesn't last more than a couple of days. I have been thinking it is either my GERD or anxiety. I found some posts on here with similar problems... But can anyone explain to me..
HOW does GERD/acid reflux causes this shortness of breath/pain upon breathing deep?</t>
        </is>
      </c>
      <c r="D6514" t="n">
        <v>1</v>
      </c>
      <c r="E6514" t="n">
        <v>11</v>
      </c>
      <c r="F6514">
        <f>HYPERLINK("https://www.reddit.com/r/GERD/comments/g4el28/gerd_and_shortness_of_breath_causes/")</f>
        <v/>
      </c>
      <c r="G6514" t="inlineStr">
        <is>
          <t>2020-04-19 13:16:16</t>
        </is>
      </c>
      <c r="H6514" t="inlineStr"/>
    </row>
    <row r="6515">
      <c r="A6515" t="inlineStr">
        <is>
          <t>g4ern3</t>
        </is>
      </c>
      <c r="B6515" t="inlineStr">
        <is>
          <t>Hiccups every day, loud and painful</t>
        </is>
      </c>
      <c r="C6515" t="inlineStr">
        <is>
          <t>I have this problem where my stomach will hurt (I think it's bloat) and I'll get painful hiccups randomly. Sometimes it's from drinking a lot of liquids or eating a lot but sometimes it's when I'm hungry. I had an endoscopy done last summer and they didn't find anything. I often have this burning feeling in my stomach that crackers and a pepcid usually helps. I'm not sure what this is? I haven't had this my whole life and this acts up whether my anxiety is bad or not. Does anyone have any ideas?</t>
        </is>
      </c>
      <c r="D6515" t="n">
        <v>1</v>
      </c>
      <c r="E6515" t="n">
        <v>0</v>
      </c>
      <c r="F6515">
        <f>HYPERLINK("https://www.reddit.com/r/GERD/comments/g4ern3/hiccups_every_day_loud_and_painful/")</f>
        <v/>
      </c>
      <c r="G6515" t="inlineStr">
        <is>
          <t>2020-04-19 13:26:48</t>
        </is>
      </c>
      <c r="H6515" t="inlineStr"/>
    </row>
    <row r="6516">
      <c r="A6516" t="inlineStr">
        <is>
          <t>g4ewwi</t>
        </is>
      </c>
      <c r="B6516" t="inlineStr">
        <is>
          <t>How worried should I be about acid reflux that lasts around 24 hours (as someone who has never really been diagnosed with any gastrointestinal issues before?)</t>
        </is>
      </c>
      <c r="C6516" t="inlineStr">
        <is>
          <t>Hi everyone, I know this isn't a replacement for a doctor but I'm worried because I haven't had a day this month where i've felt healthy (unrelated conditions tho. back pain, muscle tightness, etc). Never been diagnosed (I'm 23 if its relevant) with GERD, LPR or anything like that. Sometimes (like once every few months) i wake up with indigestion if I have a bad or weird dream.
&amp;amp;#x200B;
Anyways, aside from a slightly stuffy nose and slight phlegm in my throat (I'm assuming allergies because of the pollen count in my area lately). Took two Advil (I know that's bad for people with GERD but I've never had a bad reaction to Advil before) for my back pain. I'm wondering if it's because I didn't take them soon enough after I ate lunch (about an hour or so. My stomach wasn't empty but I could've done better I guess). Then about 3 hours later had to have some fast food for dinner (I have Cerebral Palsy and my mother, who I live with, was going out so my brother and I had to order out because neither of us can cook lol)
That's when the acid reflux really flared up. Felt like, mild to moderately bad heartburn (as in like, not feeling like my arteries were clogged but I felt really full). Kept burping, as one does. Heartburn eventually went away.  It was really hard to sleep that night because it flared up again.
&amp;amp;#x200B;
Woke up this morning and it got better, but the throat feeling's still there, which is annoying. It's weird because I don't have any stomach pains or any chest pains really (maybe slight heartburn but it's hard to tell the difference between that and the throat thing because the throat sensation is localized in the area right before my neck meets my chest). Don't have any major issues swallowing but the phlegm's still mildly annoying about it. I think food might make the AR worse but hard to tell because I ate breakfast fine. Don't know if drinking fluids makes the AR worse but it makes the phlegm-y sensation better. Nothing's as bad as last night though.
&amp;amp;#x200B;
So my question is: If it's something that's been going on for about a day, should I be worried about it? Really only symptoms I have is acid reflux (with frequent but comparatively less burping than earlier) and the phlegm-y throat. I also noticed it actually feels better when laying down now, which sounds opposite of what I've heard about acid reflux. I mean I've been stressed all month too so maybe that's another factor.
(Side note: I apologize to those of you who have GERD or something similar as a chronic condition and I sound privileged lol. I just don't know where else to ask because all the connections to Advil worsening it that I've seen online come from people who have either been diagnosed with GERD or something OR are chronic Advil takers. I'm trying to figure out figure out if it's just me eating a bunch of oily foods yesterday and stress plus the Advil or if I developed something. Or maybe I'm overreacting entirely. I'm not sure if/when I should go to the doctor because my symptoms are all "annoying" rather than life-obstructing)</t>
        </is>
      </c>
      <c r="D6516" t="n">
        <v>1</v>
      </c>
      <c r="E6516" t="n">
        <v>0</v>
      </c>
      <c r="F6516">
        <f>HYPERLINK("https://www.reddit.com/r/GERD/comments/g4ewwi/how_worried_should_i_be_about_acid_reflux_that/")</f>
        <v/>
      </c>
      <c r="G6516" t="inlineStr">
        <is>
          <t>2020-04-19 13:35:27</t>
        </is>
      </c>
      <c r="H6516" t="inlineStr"/>
    </row>
    <row r="6517">
      <c r="A6517" t="inlineStr">
        <is>
          <t>g4g7i5</t>
        </is>
      </c>
      <c r="B6517" t="inlineStr">
        <is>
          <t>How long will this last??</t>
        </is>
      </c>
      <c r="C6517" t="inlineStr">
        <is>
          <t>I've been having severe acid reflux for about 24hrs straight now without any relief and I'm going crazy. My esophagus and stomach area feel like they're chemical burnt and last night I threw up from the pain. How can I stop this pain? I've taken 4 tums with no relief and I cant go to my doctor because of the craziness in the world. Is it normal to be this intense for so long?? How long could it last? I'll try anything please help me</t>
        </is>
      </c>
      <c r="D6517" t="n">
        <v>1</v>
      </c>
      <c r="E6517" t="n">
        <v>6</v>
      </c>
      <c r="F6517">
        <f>HYPERLINK("https://www.reddit.com/r/GERD/comments/g4g7i5/how_long_will_this_last/")</f>
        <v/>
      </c>
      <c r="G6517" t="inlineStr">
        <is>
          <t>2020-04-19 14:51:22</t>
        </is>
      </c>
      <c r="H6517" t="inlineStr"/>
    </row>
    <row r="6518">
      <c r="A6518" t="inlineStr">
        <is>
          <t>g4gdvx</t>
        </is>
      </c>
      <c r="B6518" t="inlineStr">
        <is>
          <t>Silent reflux for months bad breath</t>
        </is>
      </c>
      <c r="C6518" t="inlineStr">
        <is>
          <t>First of all im 21 male. I have been having bad breath since August 2019. Went to the ENT and she told me that at night im having acid reflux. Currently im using Omperazol 40mg a day. I have to use them for a month. In the past 8 months Im experiencing bad breath , at this point im just really depressed..
Ive never had issues with reflux, never had bad breath, till 8 month ago. What should I Do? Omperazol is not helping me at all :(. I feel like this will never go ever. I havent even dated a girl in the past year because im so afraid. I just dont know what to do anymore</t>
        </is>
      </c>
      <c r="D6518" t="n">
        <v>1</v>
      </c>
      <c r="E6518" t="n">
        <v>3</v>
      </c>
      <c r="F6518">
        <f>HYPERLINK("https://www.reddit.com/r/GERD/comments/g4gdvx/silent_reflux_for_months_bad_breath/")</f>
        <v/>
      </c>
      <c r="G6518" t="inlineStr">
        <is>
          <t>2020-04-19 15:01:57</t>
        </is>
      </c>
      <c r="H6518" t="inlineStr"/>
    </row>
    <row r="6519">
      <c r="A6519" t="inlineStr">
        <is>
          <t>g4iloo</t>
        </is>
      </c>
      <c r="B6519" t="inlineStr">
        <is>
          <t>So I'm not entirely certain and that terrifies me</t>
        </is>
      </c>
      <c r="C6519" t="inlineStr">
        <is>
          <t>So first off if this isn't supposed to be here then my apologies but since mid October 2019 I've had this constant gas and at the time I didn't think much of it however recently it sort of developed into near constant belching with a burning in my chest with the belching slightly burning my throat when lying down, I'm hoping to get an appointment with a local doctor but looking it up has really terrified me that the damage is permanent and I'll have to constantly experience this pain, basically how worried about this should I be, I already plan to diet with light exercise incase just losing weight does anything but like I said I'm just scared this is a lifetime thing because I thought it was bad takeout.</t>
        </is>
      </c>
      <c r="D6519" t="n">
        <v>1</v>
      </c>
      <c r="E6519" t="n">
        <v>2</v>
      </c>
      <c r="F6519">
        <f>HYPERLINK("https://www.reddit.com/r/GERD/comments/g4iloo/so_im_not_entirely_certain_and_that_terrifies_me/")</f>
        <v/>
      </c>
      <c r="G6519" t="inlineStr">
        <is>
          <t>2020-04-19 17:17:54</t>
        </is>
      </c>
      <c r="H6519" t="inlineStr"/>
    </row>
    <row r="6520">
      <c r="A6520" t="inlineStr">
        <is>
          <t>g4inym</t>
        </is>
      </c>
      <c r="B6520" t="inlineStr">
        <is>
          <t>Heart Discomfort I think, I'm unsure what this is</t>
        </is>
      </c>
      <c r="C6520" t="inlineStr">
        <is>
          <t>Around 2 or 3-ish weeks ago, maybe since the lockdown, I started feeling a discomfort around my heart. It's not painful (on a occassions i feel minor a sharp pain or 2 though), just like i can feel my heart, i dont feel each and every beat though like after a run. Now my heart beat doesn't race though either (unless I'm panicking about it like 1 night), it always goes from around 70 (average rest) to 100 at maximum. These feelings will come and go too but seem to normally trigger when I'm on a walk or the most common time at night around 9-10 pm until i decide to sleep. But then I wake up the next day feeling 100% fine again.  
Thing is I had an ECG last Friday, close to midday, the results came back saying I had a normal heart rhythm which was nice. Problem is was that the test was monitoring only a few minutes and I have also been using an app called 'FibriCheck', and it also said my results were normal around that time (i did multiple tests) but has said i wasnt a lot of the times i've mentioned. Basically I dont think its 100% accurate the app but it did align with the ECG and how i felt at the time, plus tells me something is off when i feel off.  
This all doesn't happen every day but probably like maybe on around 5 days in the past 2-3 weeks though possibly because somedays it was so minor i didn't notice it.  
I was told that I can go back for a longer ECG type test over multiple days if it doesn't get better, but I'm intrigued if anyone else has had this problem or knows what might be wrong.  
Thanks</t>
        </is>
      </c>
      <c r="D6520" t="n">
        <v>1</v>
      </c>
      <c r="E6520" t="n">
        <v>1</v>
      </c>
      <c r="F6520">
        <f>HYPERLINK("https://www.reddit.com/r/GERD/comments/g4inym/heart_discomfort_i_think_im_unsure_what_this_is/")</f>
        <v/>
      </c>
      <c r="G6520" t="inlineStr">
        <is>
          <t>2020-04-19 17:21:59</t>
        </is>
      </c>
      <c r="H6520" t="inlineStr"/>
    </row>
    <row r="6521">
      <c r="A6521" t="inlineStr">
        <is>
          <t>g4ja74</t>
        </is>
      </c>
      <c r="B6521" t="inlineStr">
        <is>
          <t>constant and it's giving me major anxiety</t>
        </is>
      </c>
      <c r="C6521" t="inlineStr">
        <is>
          <t>hello, I'm very new to GERD. I haven't had reflux since I was a baby but for the last week, it'd gotten worse and worse to the point that I called 911 the other night because I thought I was having a heart attack. my Dr prescribed me omprenzenal(spelling) and it's made the burning feeling in my chest go away but I still have a very constant burning at the back of my throat and metallic taste in my mouth. I know eventually I'll reach an equilibrium of symptoms when the med kicks in more but it's giving me major anxiety until then since I don't even know why I suddenly having reflux to begin with. I've been downing a bit of Pepto here and there, drinking more water, not eating anything acidic. hell, I even quit coffee! how worried should I be? is there anything more I can be doing? this is such a miserable feeling.</t>
        </is>
      </c>
      <c r="D6521" t="n">
        <v>1</v>
      </c>
      <c r="E6521" t="n">
        <v>2</v>
      </c>
      <c r="F6521">
        <f>HYPERLINK("https://www.reddit.com/r/GERD/comments/g4ja74/constant_and_its_giving_me_major_anxiety/")</f>
        <v/>
      </c>
      <c r="G6521" t="inlineStr">
        <is>
          <t>2020-04-19 18:02:06</t>
        </is>
      </c>
      <c r="H6521" t="inlineStr"/>
    </row>
    <row r="6522">
      <c r="A6522" t="inlineStr">
        <is>
          <t>g4munw</t>
        </is>
      </c>
      <c r="B6522" t="inlineStr">
        <is>
          <t>GERD and excessive white phlegm production</t>
        </is>
      </c>
      <c r="C6522" t="inlineStr">
        <is>
          <t>Hey guys,
So I was diagnosed with GERD in 2011 after an endoscopy. I had food poisoning or something of the sorts, and went to the ER throwing up bile for hours and pretty much ruined my esophagus.
Since 2011 it has only gotten worse and worse. In 2016 or so, I started producing white phlegm/mucus in the morning and after exercise. Even after eating -- if I eat food too cold(a shake), I start coughing up phlegm. If I use my asthma inhaler, I start coughing up mucus. If I smoke or vape, it irritates my esophagus, and I cough up mucus.
Doctors diagnosed me with exercise induced asthma, because of the phlegm production, but it's moreso from GERD and sucking in air fast while running irritates my throat/esophagus.
I'm at the point now where even I avoid all of these triggers, I'm just constantly spitting up thick white mucus 24/7. I fill up an empty water bottle about halfway per day from just mucus. I have it sitting next to me at all times, because at night i feel like I'm choking on mucus constantly and I have to spit it up.
My question is, is there any cure? My doctors way back when this happened told me to take Prilosec, however, it makes me feel weird. I take klonopin daily, and there is a reaction between the two.
I read on here that "supplementing l-glutamine and heavy probiotics(bifidobacteria infantis)" helps.
Any science behind this? Any information as to what could help me would be greatly recommended, as I can't exactly live a normal life anymore.
Today is 4/20, a holiday I used to love ten years ago, and now I can't enjoy it, and many other aspects of life, because smoking just makes me cough up that much more mucus.</t>
        </is>
      </c>
      <c r="D6522" t="n">
        <v>1</v>
      </c>
      <c r="E6522" t="n">
        <v>5</v>
      </c>
      <c r="F6522">
        <f>HYPERLINK("https://www.reddit.com/r/GERD/comments/g4munw/gerd_and_excessive_white_phlegm_production/")</f>
        <v/>
      </c>
      <c r="G6522" t="inlineStr">
        <is>
          <t>2020-04-19 22:22:49</t>
        </is>
      </c>
      <c r="H6522" t="inlineStr"/>
    </row>
    <row r="6523">
      <c r="A6523" t="inlineStr">
        <is>
          <t>g4nxvp</t>
        </is>
      </c>
      <c r="B6523" t="inlineStr">
        <is>
          <t>Natural route or PPis</t>
        </is>
      </c>
      <c r="C6523" t="inlineStr">
        <is>
          <t>I’ve noticed reflux in back of throat for like 7 months now but didn’t do anything about it thinking it’d go away because never had heartburn sore throat cough or anything so i found a study saying that taking b vitamins with 4 amino acids can help but it doesn’t say if it’s work for silent reflux so i’m curious as if i should try the PPI or just keep it natural</t>
        </is>
      </c>
      <c r="D6523" t="n">
        <v>1</v>
      </c>
      <c r="E6523" t="n">
        <v>4</v>
      </c>
      <c r="F6523">
        <f>HYPERLINK("https://www.reddit.com/r/GERD/comments/g4nxvp/natural_route_or_ppis/")</f>
        <v/>
      </c>
      <c r="G6523" t="inlineStr">
        <is>
          <t>2020-04-19 23:55:03</t>
        </is>
      </c>
      <c r="H6523" t="inlineStr"/>
    </row>
    <row r="6524">
      <c r="A6524" t="inlineStr">
        <is>
          <t>g4ocrc</t>
        </is>
      </c>
      <c r="B6524" t="inlineStr">
        <is>
          <t>OTC help for biliary reflux?</t>
        </is>
      </c>
      <c r="C6524" t="inlineStr">
        <is>
          <t>I have a prescription for PPIs; they’ve done nothing. Waiting on a gastroenterologist referral but due to COVID it’s been put on hold. I saw a GI ~18 months ago when I was diagnosed with biliary reflux but I went through a period of near symptom free before it’s come back intense. 
Gaviscon is the only thing that gives me mild relief but during an attack I have severe vomiting + diarrhea + pain that only codeine can hit. I prefer not to be on constant analgesics during that period. 
Any help you guys have found?</t>
        </is>
      </c>
      <c r="D6524" t="n">
        <v>1</v>
      </c>
      <c r="E6524" t="n">
        <v>3</v>
      </c>
      <c r="F6524">
        <f>HYPERLINK("https://www.reddit.com/r/GERD/comments/g4ocrc/otc_help_for_biliary_reflux/")</f>
        <v/>
      </c>
      <c r="G6524" t="inlineStr">
        <is>
          <t>2020-04-20 00:30:10</t>
        </is>
      </c>
      <c r="H6524" t="inlineStr"/>
    </row>
    <row r="6525">
      <c r="A6525" t="inlineStr">
        <is>
          <t>g4oekw</t>
        </is>
      </c>
      <c r="B6525" t="inlineStr">
        <is>
          <t>Anxious about taking Protonix</t>
        </is>
      </c>
      <c r="C6525" t="inlineStr">
        <is>
          <t>I’ve been having trouble swallowing for the past 1-2 years, which my doctor suggested might be caused by LPR. She prescribed omeprazole and I’ve been taking it for one week. My doctor also referred me to a gastroenterologist, and when I saw the gastro a few days ago she prescribed Protonix. I told her the omeprazole was helping with my reflux, but not with the trouble swallowing, so she wanted to try something stronger.
I have very bad health anxiety along with emetophobia, and I get nervous about taking new medications. Especially because Protonix has some concerning side effects.
I’m just too scared to take it! A few family members have taken it and all said they had side effects. my mom had to stop using it because it made her feel so sick. I’m already nervous about the omeprazole because I don’t want it to make me constipated haha. My stomach is also very sensitive right now because I have gallstones and my gallbladder is basically not functioning anymore. I’m so nervous. I’m still taking the omeprazole for now.. too scared to switch to Protonix. Help</t>
        </is>
      </c>
      <c r="D6525" t="n">
        <v>1</v>
      </c>
      <c r="E6525" t="n">
        <v>1</v>
      </c>
      <c r="F6525">
        <f>HYPERLINK("https://www.reddit.com/r/GERD/comments/g4oekw/anxious_about_taking_protonix/")</f>
        <v/>
      </c>
      <c r="G6525" t="inlineStr">
        <is>
          <t>2020-04-20 00:34:30</t>
        </is>
      </c>
      <c r="H6525" t="inlineStr"/>
    </row>
    <row r="6526">
      <c r="A6526" t="inlineStr">
        <is>
          <t>g4ogfl</t>
        </is>
      </c>
      <c r="B6526" t="inlineStr">
        <is>
          <t>recently diagnosed</t>
        </is>
      </c>
      <c r="C6526" t="inlineStr">
        <is>
          <t>hi! i never had GERD before. i always had stomach pains but more recently it got worse. i went to the doctor and they said it was acid reflex. i was wondering if i could get some tips or help. im trying to be very careful about what i eat but i still have bad stomach pains. pepcide and tums help but at night it is rough. thank you in advance !</t>
        </is>
      </c>
      <c r="D6526" t="n">
        <v>1</v>
      </c>
      <c r="E6526" t="n">
        <v>2</v>
      </c>
      <c r="F6526">
        <f>HYPERLINK("https://www.reddit.com/r/GERD/comments/g4ogfl/recently_diagnosed/")</f>
        <v/>
      </c>
      <c r="G6526" t="inlineStr">
        <is>
          <t>2020-04-20 00:39:07</t>
        </is>
      </c>
      <c r="H6526" t="inlineStr"/>
    </row>
    <row r="6527">
      <c r="A6527" t="inlineStr">
        <is>
          <t>g4pu6m</t>
        </is>
      </c>
      <c r="B6527" t="inlineStr">
        <is>
          <t>Omeprazole</t>
        </is>
      </c>
      <c r="C6527" t="inlineStr">
        <is>
          <t>Hi Guys, just a quick one been placed on omeprazole 10mg tabs ive tried lansoprazole 20mg and it gave me the same symptoms it just seems to make me feel really sick does it take a while to get used to them or should I stop? This is my first day on them. Thanks J.</t>
        </is>
      </c>
      <c r="D6527" t="n">
        <v>1</v>
      </c>
      <c r="E6527" t="n">
        <v>4</v>
      </c>
      <c r="F6527">
        <f>HYPERLINK("https://www.reddit.com/r/GERD/comments/g4pu6m/omeprazole/")</f>
        <v/>
      </c>
      <c r="G6527" t="inlineStr">
        <is>
          <t>2020-04-20 02:40:42</t>
        </is>
      </c>
      <c r="H6527" t="inlineStr"/>
    </row>
    <row r="6528">
      <c r="A6528" t="inlineStr">
        <is>
          <t>g4qszl</t>
        </is>
      </c>
      <c r="B6528" t="inlineStr">
        <is>
          <t>Omeprazole and Dizziness/Feeling Tipsy</t>
        </is>
      </c>
      <c r="C6528" t="inlineStr">
        <is>
          <t>I recently switched the timing of my omeprazole to before breakfast and dinner. I'm also on a relatively high dosage - 60mg. Since then, I've been feeling a slight dizziness/lightheadedness almost to the point of feeling tipsy but without the drunken happy feeling, just the balance-wise.
Do you think this is because of the omeprazole? Is it a sign of low B12 or magnesium levels. I have a good balanced diet, nuts , spinach etc. 
It appears to be getting worse rather than better. Any insight into this? 
I've been taking 60mg omeprazole for at least 4-5 months but only know getting this feeling. I was taking 40mg a day for 5 years before that.</t>
        </is>
      </c>
      <c r="D6528" t="n">
        <v>1</v>
      </c>
      <c r="E6528" t="n">
        <v>1</v>
      </c>
      <c r="F6528">
        <f>HYPERLINK("https://www.reddit.com/r/GERD/comments/g4qszl/omeprazole_and_dizzinessfeeling_tipsy/")</f>
        <v/>
      </c>
      <c r="G6528" t="inlineStr">
        <is>
          <t>2020-04-20 04:06:32</t>
        </is>
      </c>
      <c r="H6528" t="inlineStr"/>
    </row>
    <row r="6529">
      <c r="A6529" t="inlineStr">
        <is>
          <t>g4razh</t>
        </is>
      </c>
      <c r="B6529" t="inlineStr">
        <is>
          <t>Tightness of chest and Fatigue.</t>
        </is>
      </c>
      <c r="C6529" t="inlineStr">
        <is>
          <t>Hello.
I am having GERD like symptoms (lump sensation in the throat, bloated every after meal, upper stomach pain, tightness of chest and difficulty in taking deep breath). It started March 20 and continued for 2 weeks and after that I felt okay again but I am having those symptoms again but with the feeling of having a fever but my temperature is normal. Is that normal with GERD or acid reflux?</t>
        </is>
      </c>
      <c r="D6529" t="n">
        <v>1</v>
      </c>
      <c r="E6529" t="n">
        <v>11</v>
      </c>
      <c r="F6529">
        <f>HYPERLINK("https://www.reddit.com/r/GERD/comments/g4razh/tightness_of_chest_and_fatigue/")</f>
        <v/>
      </c>
      <c r="G6529" t="inlineStr">
        <is>
          <t>2020-04-20 04:44:43</t>
        </is>
      </c>
      <c r="H6529" t="inlineStr"/>
    </row>
    <row r="6530">
      <c r="A6530" t="inlineStr">
        <is>
          <t>g4sr68</t>
        </is>
      </c>
      <c r="B6530" t="inlineStr">
        <is>
          <t>Acidic burps cause insane throat pain - how to wash it down?</t>
        </is>
      </c>
      <c r="C6530" t="inlineStr">
        <is>
          <t>I've had chronic pharyngitis (inflamation of the back of the throat) because of reflux for the past 4 years. I read a lot about reflux and how pepsin floating up may be the cause. I tried drinking nothing but alkaline water for a month, it didn't help one bit.
Throughout the day I get these burps that cause tremendous pain in my throat, and that pain stays there for hours sometimes, and I haven't found anything that is able to "wash down" that acid/pepsin whatever it may be. EXCEPT: eating. Eating makes the pain go away for 30-60 minutes.
I'm wondering if someone else has had the same issue and any solution to it would be greatly appreciated. I'm also curious what causes this irritation in my throat, because I don't think it's pepsin - otherwise alkaline water would've solved it.
I know this is a long shot for help, but I'm really tired of not being able to speak because of constant throat pain :/</t>
        </is>
      </c>
      <c r="D6530" t="n">
        <v>1</v>
      </c>
      <c r="E6530" t="n">
        <v>12</v>
      </c>
      <c r="F6530">
        <f>HYPERLINK("https://www.reddit.com/r/GERD/comments/g4sr68/acidic_burps_cause_insane_throat_pain_how_to_wash/")</f>
        <v/>
      </c>
      <c r="G6530" t="inlineStr">
        <is>
          <t>2020-04-20 06:27:19</t>
        </is>
      </c>
      <c r="H6530" t="inlineStr"/>
    </row>
    <row r="6531">
      <c r="A6531" t="inlineStr">
        <is>
          <t>g4swpa</t>
        </is>
      </c>
      <c r="B6531" t="inlineStr">
        <is>
          <t>Doesn anyone else' voice constantly break due to GERD?</t>
        </is>
      </c>
      <c r="C6531" t="inlineStr">
        <is>
          <t>It feels like I can't vocalise properly, my voice feels muffled and my voice breaks constantly. Does anyone else have these stmptoms with GERD?</t>
        </is>
      </c>
      <c r="D6531" t="n">
        <v>1</v>
      </c>
      <c r="E6531" t="n">
        <v>32</v>
      </c>
      <c r="F6531">
        <f>HYPERLINK("https://www.reddit.com/r/GERD/comments/g4swpa/doesn_anyone_else_voice_constantly_break_due_to/")</f>
        <v/>
      </c>
      <c r="G6531" t="inlineStr">
        <is>
          <t>2020-04-20 06:36:48</t>
        </is>
      </c>
      <c r="H6531" t="inlineStr"/>
    </row>
    <row r="6532">
      <c r="A6532" t="inlineStr">
        <is>
          <t>g4t9gp</t>
        </is>
      </c>
      <c r="B6532" t="inlineStr">
        <is>
          <t>Silent reflux and white foamier saliva</t>
        </is>
      </c>
      <c r="C6532" t="inlineStr">
        <is>
          <t>I have had reflux constantly coming up for 7 months I was taking daily multivitamins then when i stopped it seemed that when i’d talk for a while white foam would come up some doctors have told me to take PPis and some said not to so i don’t know what to believe i’ve heard taking B vitamins could help</t>
        </is>
      </c>
      <c r="D6532" t="n">
        <v>1</v>
      </c>
      <c r="E6532" t="n">
        <v>0</v>
      </c>
      <c r="F6532">
        <f>HYPERLINK("https://www.reddit.com/r/GERD/comments/g4t9gp/silent_reflux_and_white_foamier_saliva/")</f>
        <v/>
      </c>
      <c r="G6532" t="inlineStr">
        <is>
          <t>2020-04-20 06:58:51</t>
        </is>
      </c>
      <c r="H6532" t="inlineStr"/>
    </row>
    <row r="6533">
      <c r="A6533" t="inlineStr">
        <is>
          <t>g4u7z5</t>
        </is>
      </c>
      <c r="B6533" t="inlineStr">
        <is>
          <t>Acid rebound from H2 blockers?</t>
        </is>
      </c>
      <c r="C6533" t="inlineStr">
        <is>
          <t>Is there any evidence that you can get acid rebound from stopping H2 blockers the way you can from PPIs?
Currently taking cimetidine only, as it seems to help and I’ve never had any success with PPIs.  I had been using it 3x a day (after talking with my primary care doctor), but my GI doc has suggested I try to get down to twice or even once a day.  
I’m currently back down to twice a day which has been alright, but if I go beyond 13-14 hours I usually start to feel it.  I’m curious if I try to push through without taking another dose, could I get down to once a day?  Or is 2x a day just where I’m at, and I’d just be making myself uncomfortable for no reason?</t>
        </is>
      </c>
      <c r="D6533" t="n">
        <v>1</v>
      </c>
      <c r="E6533" t="n">
        <v>2</v>
      </c>
      <c r="F6533">
        <f>HYPERLINK("https://www.reddit.com/r/GERD/comments/g4u7z5/acid_rebound_from_h2_blockers/")</f>
        <v/>
      </c>
      <c r="G6533" t="inlineStr">
        <is>
          <t>2020-04-20 07:53:36</t>
        </is>
      </c>
      <c r="H6533" t="inlineStr"/>
    </row>
    <row r="6534">
      <c r="A6534" t="inlineStr">
        <is>
          <t>g4ua3w</t>
        </is>
      </c>
      <c r="B6534" t="inlineStr">
        <is>
          <t>Clicking in throat when I swallow in my upper throat, thinking it is my hyoid bone??????</t>
        </is>
      </c>
      <c r="C6534" t="inlineStr">
        <is>
          <t>Hey everyone! 27 F here and I am very concerned with a new symptom i am having. Everytime I swallow I have a popping or clicking sensation in my upper throat in my hyoid bone area!! I also have throat tightness and pain in my upper back??!
Does anyone else have this??? Are these normal gerd symptoms????
Thank you!</t>
        </is>
      </c>
      <c r="D6534" t="n">
        <v>1</v>
      </c>
      <c r="E6534" t="n">
        <v>6</v>
      </c>
      <c r="F6534">
        <f>HYPERLINK("https://www.reddit.com/r/GERD/comments/g4ua3w/clicking_in_throat_when_i_swallow_in_my_upper/")</f>
        <v/>
      </c>
      <c r="G6534" t="inlineStr">
        <is>
          <t>2020-04-20 07:57:04</t>
        </is>
      </c>
      <c r="H6534" t="inlineStr"/>
    </row>
    <row r="6535">
      <c r="A6535" t="inlineStr">
        <is>
          <t>g4ucic</t>
        </is>
      </c>
      <c r="B6535" t="inlineStr">
        <is>
          <t>Plant based bean burrito messed me up</t>
        </is>
      </c>
      <c r="C6535" t="inlineStr">
        <is>
          <t>I had really bad acid reflux hit me outta no where for the first time in early March. (F/32) I never had it to that degree before. I had an ARRAY of different symptoms involving digestion that soon followed after and it really sucks! Dr suggested trying otc prilosec. I avoided taking it at first thinking antacids would solve the issue, nope. 
Yesterday after eating a plant based bean burrito (which I used to eat a few times a week) right before 4pm , I thought I would be good for the rest of the evening. Nope I had to pop an antacid 1 hour afterwards because I started to feel like the fire breathing dragon.
I popped another antacid 3 hours from the first. Last night was one of the worst nights dealing with gas, super nauseous, bletches and clumpy feeling reflux coming up throughout the night from something I ate slowly hours ago with water. Oh and slept upright, I should of just stood up straight to sleep lol.
So this morning I started prilosec. 
I did not sleep good and I'm just wanna go back to eating without these crappy symptoms!</t>
        </is>
      </c>
      <c r="D6535" t="n">
        <v>1</v>
      </c>
      <c r="E6535" t="n">
        <v>1</v>
      </c>
      <c r="F6535">
        <f>HYPERLINK("https://www.reddit.com/r/GERD/comments/g4ucic/plant_based_bean_burrito_messed_me_up/")</f>
        <v/>
      </c>
      <c r="G6535" t="inlineStr">
        <is>
          <t>2020-04-20 08:00:53</t>
        </is>
      </c>
      <c r="H6535" t="inlineStr"/>
    </row>
    <row r="6536">
      <c r="A6536" t="inlineStr">
        <is>
          <t>g4wgnk</t>
        </is>
      </c>
      <c r="B6536" t="inlineStr">
        <is>
          <t>Curing GERD and Globus Sensation</t>
        </is>
      </c>
      <c r="C6536" t="inlineStr">
        <is>
          <t>Hey pals,
First of, Two disclaimers
1. Curing is a big word, I'll explain later in the post what I mean by that
2. I'm not a doctor and this is not to guide you, I'm sharing my experience, and knowledge, but be responsible and cautious.
Background:
My GERD situation started two years ago, and gotten worse and worse over time..
at first I thought those heartburn are issues with my heart since we have heart issues history in the family, so I've ran all possible tests and my heart turned out to be alright..
As time went by, I've gotten more symptoms, vomiting, stomach aches, nausea.
Only when acid reflux in the middle of the night kicked in, I realized there's something else, and it's not just "something I ate".. so I've looked it up a bit and realized it's GERD.
So as a professional hypochondriac, I've began searching through every link and website on how to cure it, went to my doctor and tested positive for H.pylori as well as received some ppis.
I've tried almost anything, you name it, I've probably tried it.  
So what I discovered and what have helped for me the most, I'm ordering it by importance, I've listed here only things that helped.
1. Exercising before big meals, enough for the heart rate to go up for some time(roughly 10-15 mins of cardio and strength training every other day, just be smart with avoiding jumping exercises and stuff like that), resting a bit so the heart rate is back to normal, and only then eating. This one is huge! it will take some time to kick in, but you'll notice gradual improvement in your appetite and digestion.
2. Changing diet, the obvious is cutting caffeine, chocolate, alcohol, tomatoes. but other than that, my diet became 60% veggies, 20% grains and fruits, 20% meat and eggs. cut everything processed, and avoid starch as much as possible, only starchy veggie I ate was sweet potato (almost daily).  
also, avoid fruits that grow on the tree for the most part. this is a modified version of scd.
3. Only eating till I'm 80% full.
4. Diaphragm breathing
5. Eating only when I'm hungry, Drinking only when I'm thirsty, at first  I drank my 8-10 cups a day and it just increased the fluids in my stomach and got me acid reflux.
6. Stop eating when the sun set, preferable in the afternone, and don't drink like an hour before bed time.
7. Drinking alloe vera juice(buy one without alloin), twice a day.
8. Probiotics and vitamin D.   
9. Chewing a gum after a big meal.
So is all of that cured my GERD?, well, I can drop of diet from time to time and be fine, some days I'm 100% clean from all symptoms and the annoying globus sensation.
In any case, many of the stuff I've done above are overall good, no matter the condition, but also posses the powerful side effect of making my GERD symptoms disappear.
To anyone reading this, I hope you'll get better! and please share what helped for your as well from the list and not.</t>
        </is>
      </c>
      <c r="D6536" t="n">
        <v>1</v>
      </c>
      <c r="E6536" t="n">
        <v>1</v>
      </c>
      <c r="F6536">
        <f>HYPERLINK("https://www.reddit.com/r/GERD/comments/g4wgnk/curing_gerd_and_globus_sensation/")</f>
        <v/>
      </c>
      <c r="G6536" t="inlineStr">
        <is>
          <t>2020-04-20 09:53:50</t>
        </is>
      </c>
      <c r="H6536" t="inlineStr"/>
    </row>
    <row r="6537">
      <c r="A6537" t="inlineStr">
        <is>
          <t>g4wihr</t>
        </is>
      </c>
      <c r="B6537" t="inlineStr">
        <is>
          <t>pepcid causing dry mouth</t>
        </is>
      </c>
      <c r="C6537" t="inlineStr">
        <is>
          <t>i’ve been having a really dry mouth lately no matter how much water I drink and I looked it up and it turns out it’s one of the side effects of pepcid, was wondering if anyone else dealt with this and if it eventually goes away or if I should find different meds</t>
        </is>
      </c>
      <c r="D6537" t="n">
        <v>1</v>
      </c>
      <c r="E6537" t="n">
        <v>5</v>
      </c>
      <c r="F6537">
        <f>HYPERLINK("https://www.reddit.com/r/GERD/comments/g4wihr/pepcid_causing_dry_mouth/")</f>
        <v/>
      </c>
      <c r="G6537" t="inlineStr">
        <is>
          <t>2020-04-20 09:56:35</t>
        </is>
      </c>
      <c r="H6537" t="inlineStr"/>
    </row>
    <row r="6538">
      <c r="A6538" t="inlineStr">
        <is>
          <t>g4x1c6</t>
        </is>
      </c>
      <c r="B6538" t="inlineStr">
        <is>
          <t>Stretta procedure</t>
        </is>
      </c>
      <c r="C6538" t="inlineStr">
        <is>
          <t>Hi 2 yrs back i was Diagonised with Barrets esophagus (Next stage of Gerd) and a small hiatus hernia. Is there anyone who has recently undergone Stretta procedure ??If yes i would like to know how is life quality after the procedure</t>
        </is>
      </c>
      <c r="D6538" t="n">
        <v>1</v>
      </c>
      <c r="E6538" t="n">
        <v>1</v>
      </c>
      <c r="F6538">
        <f>HYPERLINK("https://www.reddit.com/r/GERD/comments/g4x1c6/stretta_procedure/")</f>
        <v/>
      </c>
      <c r="G6538" t="inlineStr">
        <is>
          <t>2020-04-20 10:23:04</t>
        </is>
      </c>
      <c r="H6538" t="inlineStr"/>
    </row>
    <row r="6539">
      <c r="A6539" t="inlineStr">
        <is>
          <t>g4xcon</t>
        </is>
      </c>
      <c r="B6539" t="inlineStr">
        <is>
          <t>Currently being denied a diagnostic endoscopy due to my state's lockdown</t>
        </is>
      </c>
      <c r="C6539" t="inlineStr">
        <is>
          <t>I'm pretty desperate at this point. I have pretty bad acid reflux and have been on a soft food diet for two months now due to dysphagia. 
Due to the lockdown in my state, they aren't performing endoscopies unless they're absolute emergencies. My health is being sacrificed for the "greater good." I'm looking for suggestions on how to get an endoscopy done. Thank you.</t>
        </is>
      </c>
      <c r="D6539" t="n">
        <v>1</v>
      </c>
      <c r="E6539" t="n">
        <v>11</v>
      </c>
      <c r="F6539">
        <f>HYPERLINK("https://www.reddit.com/r/GERD/comments/g4xcon/currently_being_denied_a_diagnostic_endoscopy_due/")</f>
        <v/>
      </c>
      <c r="G6539" t="inlineStr">
        <is>
          <t>2020-04-20 10:39:00</t>
        </is>
      </c>
      <c r="H6539" t="inlineStr"/>
    </row>
    <row r="6540">
      <c r="A6540" t="inlineStr">
        <is>
          <t>g4xvai</t>
        </is>
      </c>
      <c r="B6540" t="inlineStr">
        <is>
          <t>All of a sudden hurts when I swallow</t>
        </is>
      </c>
      <c r="C6540" t="inlineStr">
        <is>
          <t>So I've made lots of posts here, but long story short I have had esophagitis for 6 months now and no doctor has been able to help me.
I actually had a lot of improvement the past week, which has been a huge relief, but this morning I woke up with a sharp pain when I swallow. This feels different than before. Usually my throat hurts or feels worn down 24/7. Now my throat feels ok but when I swallow it hurts, like a pressure or something.
I am concerned...did my condition just get worse? Is this even related to the esophagitis or is it like a cold? Or something else? Anyone know what I'm talking about?</t>
        </is>
      </c>
      <c r="D6540" t="n">
        <v>1</v>
      </c>
      <c r="E6540" t="n">
        <v>0</v>
      </c>
      <c r="F6540">
        <f>HYPERLINK("https://www.reddit.com/r/GERD/comments/g4xvai/all_of_a_sudden_hurts_when_i_swallow/")</f>
        <v/>
      </c>
      <c r="G6540" t="inlineStr">
        <is>
          <t>2020-04-20 11:04:46</t>
        </is>
      </c>
      <c r="H6540" t="inlineStr"/>
    </row>
    <row r="6541">
      <c r="A6541" t="inlineStr">
        <is>
          <t>g4yzv9</t>
        </is>
      </c>
      <c r="B6541" t="inlineStr">
        <is>
          <t>Why some people "cure" gerd or even LPR and others don't</t>
        </is>
      </c>
      <c r="C6541" t="inlineStr">
        <is>
          <t>I Been battling with severe LPR after catching a cold and being on severe stress  6 mpnths ago ,practically lost everything even my sanity being young and dealijg with this shit ,  nothing seems to work, no meds no boring diets , it seems to get worse everyday, im now getting bloating excesive beclhing , (never heartburn to these day) in the other hand my brother a few years ago got gerd (a chronic heartburn for 3 straight months) he taked nexium for like 3 months and now he is doing very well, he don't take ppis just once in a while and he eat absolute  everything obviously im very happy for him because I saw some others in here with absolute horrot stories like mine and feel hopelees , sometimes I wish I can switch My devil work  LPR to a normal GERD without the upper symptoms, the point of the post here is that people that do well never ever read forums or post succes history , so theres hope, my suggestion is stay out of forums or googling non stop, gut issues had a strong relation with the mind . Im out of here now,i will focus on my healing  i'm  sure I got worse reading horror stories on the web from this diseases  my best wishes and hope you defeat this LPR/GERD or disease that mimic it soon  sorry for the rant and the english, FUCK LPR and GERD .</t>
        </is>
      </c>
      <c r="D6541" t="n">
        <v>1</v>
      </c>
      <c r="E6541" t="n">
        <v>1</v>
      </c>
      <c r="F6541">
        <f>HYPERLINK("https://www.reddit.com/r/GERD/comments/g4yzv9/why_some_people_cure_gerd_or_even_lpr_and_others/")</f>
        <v/>
      </c>
      <c r="G6541" t="inlineStr">
        <is>
          <t>2020-04-20 12:04:23</t>
        </is>
      </c>
      <c r="H6541" t="inlineStr"/>
    </row>
    <row r="6542">
      <c r="A6542" t="inlineStr">
        <is>
          <t>g4z7en</t>
        </is>
      </c>
      <c r="B6542" t="inlineStr">
        <is>
          <t>Anyone have more hiccups than usual?</t>
        </is>
      </c>
      <c r="C6542" t="inlineStr">
        <is>
          <t>I know it's relatively less common symptom but does anyone get more hiccups than usual? 
I used to have hiccup maybe once a day at most. Nowadays its more like 4-5 times a day.
I suspect I have esophagitis which could be causing it. I know its a minor nuisance at most but wanted to ask if anyone with GERD is experiencing same?</t>
        </is>
      </c>
      <c r="D6542" t="n">
        <v>1</v>
      </c>
      <c r="E6542" t="n">
        <v>1</v>
      </c>
      <c r="F6542">
        <f>HYPERLINK("https://www.reddit.com/r/GERD/comments/g4z7en/anyone_have_more_hiccups_than_usual/")</f>
        <v/>
      </c>
      <c r="G6542" t="inlineStr">
        <is>
          <t>2020-04-20 12:16:15</t>
        </is>
      </c>
      <c r="H6542" t="inlineStr"/>
    </row>
    <row r="6543">
      <c r="A6543" t="inlineStr">
        <is>
          <t>g50cfo</t>
        </is>
      </c>
      <c r="B6543" t="inlineStr">
        <is>
          <t>Esophagus Spasms?</t>
        </is>
      </c>
      <c r="C6543" t="inlineStr">
        <is>
          <t>Is there anyone with this?  I’m at a lost.  It feels like heartburn/pressure in my chest and it lasts for hours.   I take dexelant and Tagamet durning the day and nothing helps relieve the pain.  Any recommendations or someone who understands what’s happening please give me some advice.
Thanks in advance for your help.</t>
        </is>
      </c>
      <c r="D6543" t="n">
        <v>1</v>
      </c>
      <c r="E6543" t="n">
        <v>0</v>
      </c>
      <c r="F6543">
        <f>HYPERLINK("https://www.reddit.com/r/GERD/comments/g50cfo/esophagus_spasms/")</f>
        <v/>
      </c>
      <c r="G6543" t="inlineStr">
        <is>
          <t>2020-04-20 13:18:08</t>
        </is>
      </c>
      <c r="H6543" t="inlineStr"/>
    </row>
    <row r="6544">
      <c r="A6544" t="inlineStr">
        <is>
          <t>g50fof</t>
        </is>
      </c>
      <c r="B6544" t="inlineStr">
        <is>
          <t>Constant gagging and feeling like throwing up but nothing comes up?</t>
        </is>
      </c>
      <c r="C6544" t="inlineStr">
        <is>
          <t>I have water brash, and the saliva triggers my gag reflex and makes me gag all the time. When I gag, I also feel my stomach muscles stimulating me to throw up but nothing ever comes up except for more saliva. Does anyone else experience this? And how do I relieve this symptom? I can feel like it’s not good for my stomach trying to force me to throw up. Help.</t>
        </is>
      </c>
      <c r="D6544" t="n">
        <v>1</v>
      </c>
      <c r="E6544" t="n">
        <v>2</v>
      </c>
      <c r="F6544">
        <f>HYPERLINK("https://www.reddit.com/r/GERD/comments/g50fof/constant_gagging_and_feeling_like_throwing_up_but/")</f>
        <v/>
      </c>
      <c r="G6544" t="inlineStr">
        <is>
          <t>2020-04-20 13:22:33</t>
        </is>
      </c>
      <c r="H6544" t="inlineStr"/>
    </row>
    <row r="6545">
      <c r="A6545" t="inlineStr">
        <is>
          <t>g50zgl</t>
        </is>
      </c>
      <c r="B6545" t="inlineStr">
        <is>
          <t>My Journey if it helps anyone.</t>
        </is>
      </c>
      <c r="C6545" t="inlineStr">
        <is>
          <t>Hi all.  Just because i dont see enough success stories i want to share my advice to anyone who's currently going through this for the first time.  Its scary, painful, frustrating to say the least.  I'll post this every now and then for the people just arriving here for the first time who need some hope and optimism.
In 2018, here and there, i would get a feeling of something in my throat.  Some call it a lump, or pressure.  I did an internet and went to check it out, and usually the first cause they list is anxiety and they'll call it globus.  I'm sure you already seen the term.  But it would pass after a little bit - maybe be gone for a week or two and not last long when it came back.  Sometimes only an hour.
In Jan 2019, it came back and never left.  For me the only time i felt relief was lying on my back.  When i woke up in the morning, i couldnt even walk to the bathroom before the pressure, lump, etc returned.
Then the symptoms got a bit worse, a sore throat.  Mild, but sore.  That remained as well.  24 hours a day.  I kind of developed an issue swallowing, because of both of these issues i believe.  Then i was having chronic gas, burping etc.  It was worse when the feeling came like i wanted to burp, but it wasnt enough pressure to break through, so it was like the gas pressure in the throat couldnt escape.  Strong enough pressure to feel uncomfortable, but not enough to release the burp i guess you would say.  This could go on for 20-30-40 minutes, then i would burp, get relief for about 10 seconds or less, and then the process would continue.  All day.
Then my voice seemed like it was getting weaker.  Like, i'd run out of breath or it would take twice the effort to say something.  Much like you were shouting all night at a rock concert, and then the next day your larynx was shot.
I'd be able to speak for a few minutes and then needed to stop for awhile.  At one point i could never even imagine myself trying to sing or speak loudly again.  
I went to my primary, my ENT, and my Gastro.  I have good insurance, but i'll tell you this.  If you need surgery, thats one thing.  If you dont need surgery, you CAN deal with this with lifestyle changes, diet, perhaps a PPI, and lots of patience.  
in Jan 19:
42 years. 5'9" male, 190 lbs ish i remember right.
a pack a day smoker for 20+ years
Standard American Terrible diet - lots of carbs, sugars. etc.
Here's what i did - some of it had to have worked, maybe some things had no effect, but i threw the kitchen sink at it so i cant tell you what i tried for a week, or a month.  I just did everything and hoped for the best.
The approach here is you absolutely first must stop the on going damage.  I immediately quit cigarettes, (not easy - but DGAF because the globus was worse) quit alcohol, quit carbonated beverages, quit sugar, all the stuff we love.  
Anytime i ate something acidic, my throat would flare up.  My doctor explained to me that it could be something possibly called pepsin.  Drink alkaline water, you can either buy it (Sams Club, BJ's Costco, Walmart Target) etc, or you can add baking soda to regular water.  Its a very high ph water.  I drank that with every meal, in case i ate something my throat wouldnt agree with.  Also, its not a bad thing to have around your bed in the morning to drink when you first wake up.  This is just for your throat really but it did seem to help over time.
I basically switched into an alkaline type diet.  Nothing acidic.  I did Acid Watchers - The diet is the hardest because they'll be some things you'll tolerate and some things you wont even if theyre on the good and bad lists.  That's a little experimentation.  For me, i was literally eating oatmeal and drinking water at first.  Bananas are on the good list, but for me, they made me more gassey than i needed to be at this point so i stopped with them. You dont need a wedge pillow, there's a cheaper option, which is to raise the head of the bed a few inches.  Gravity helps here.  The goal is to keep the acid in the stomach and not let it get up so far into the throat.  
For my sore throat, i would use sugar free Halls, and the menthol in them would soothe my throat - Careful as the menthol will dry the throat - but stay hydrated and youre fine.  These were lifesavers for me.
A good supplement were some vanilla muscle milks - i found they gave me no issues at all, gave me a decent source protein, and got extra calories in me as i was dropping weight very quickly.
Eat slower, and smaller, and dont eat too late.  That simple.  Because i was having disgestion issues once i started the PPI, i would walk for 15 minutes after a meal.  I think it helped.  
As far as the PPI goes - i know that lots of people say that the PPI's dont help with LPR.  I disagree, but i see why they say that.  To me it was like i was fighting a two front war.  My throat and my stomach.  The PPI was terrible at first - it made my digestion crazy - literally at one point i thought i was developing IBS.  Trapped gas was also a problem, constipation.  The whole thing was a mess.  
I just kept going.  It took time.  Lots of time.  Had i lost patience, i'd probably be still fighting it.  That's my own opinion.  Everyone is different.
This went on for 7-8 months - but first the globus went away after a few weeks, then the sore throat went away shortly after.  My speaking voice got stronger again.  I started testing out older foods i liked.  just a little bit at a time.  My stomach stabilized.  By september 19 i felt 90 percent healed.  I've felt completely healed since about oct or november.  I still follow certain things.  I dont eat too late, and i try to eat slowly, (that parts a little harder).  I never went back to smoking thankfully.  I sleep each night elevated.  I can enjoy beer without an issue.  I still take pantoprozole 40mg and i take a daily vitamin D3 which i also believe helped quite a bit.  I do believe i could come off the PPI if my diet was better and I gradually weened off, but its not a concern for me at the moment.
If i think of anything else i'll leave an edit.  I hope this helps someone who is going through this now. It sucks.  It really sucks.  No doubt about it.  It can get better.  I wish everyone good luck!</t>
        </is>
      </c>
      <c r="D6545" t="n">
        <v>1</v>
      </c>
      <c r="E6545" t="n">
        <v>48</v>
      </c>
      <c r="F6545">
        <f>HYPERLINK("https://www.reddit.com/r/GERD/comments/g50zgl/my_journey_if_it_helps_anyone/")</f>
        <v/>
      </c>
      <c r="G6545" t="inlineStr">
        <is>
          <t>2020-04-20 13:50:30</t>
        </is>
      </c>
      <c r="H6545" t="inlineStr"/>
    </row>
    <row r="6546">
      <c r="A6546" t="inlineStr">
        <is>
          <t>g52oqy</t>
        </is>
      </c>
      <c r="B6546" t="inlineStr">
        <is>
          <t>Acid rebound</t>
        </is>
      </c>
      <c r="C6546" t="inlineStr">
        <is>
          <t>How long did acid rebound last for you when coming off PPIs? I went on 40mg of Prilosec two months ago and now am trying to wean off slowly since my symptoms disappeared and I started getting stomach soreness. Also, did anyone have face burning sensations as a symptom of GERD? The jury is still out on if it’s actually GERD or anxiety causing my issues, but I’m on day 3 of no PPI and my face is on fire</t>
        </is>
      </c>
      <c r="D6546" t="n">
        <v>1</v>
      </c>
      <c r="E6546" t="n">
        <v>2</v>
      </c>
      <c r="F6546">
        <f>HYPERLINK("https://www.reddit.com/r/GERD/comments/g52oqy/acid_rebound/")</f>
        <v/>
      </c>
      <c r="G6546" t="inlineStr">
        <is>
          <t>2020-04-20 15:20:05</t>
        </is>
      </c>
      <c r="H6546" t="inlineStr"/>
    </row>
    <row r="6547">
      <c r="A6547" t="inlineStr">
        <is>
          <t>g53bf8</t>
        </is>
      </c>
      <c r="B6547" t="inlineStr">
        <is>
          <t>Acid reflux flare up</t>
        </is>
      </c>
      <c r="C6547" t="inlineStr">
        <is>
          <t>So i rarely get them but ive been eating like crap, i have alot stomach pain i took some bepto. What should i do to reverse this? Like what should i eat?</t>
        </is>
      </c>
      <c r="D6547" t="n">
        <v>1</v>
      </c>
      <c r="E6547" t="n">
        <v>0</v>
      </c>
      <c r="F6547">
        <f>HYPERLINK("https://www.reddit.com/r/GERD/comments/g53bf8/acid_reflux_flare_up/")</f>
        <v/>
      </c>
      <c r="G6547" t="inlineStr">
        <is>
          <t>2020-04-20 15:54:56</t>
        </is>
      </c>
      <c r="H6547" t="inlineStr"/>
    </row>
    <row r="6548">
      <c r="A6548" t="inlineStr">
        <is>
          <t>g54h4n</t>
        </is>
      </c>
      <c r="B6548" t="inlineStr">
        <is>
          <t>Anyone with silent reflux have constant reflux??</t>
        </is>
      </c>
      <c r="C6548" t="inlineStr">
        <is>
          <t>A pop in ears when swallowing also but no sore throat, no cough, no heartburn but constant reflux and does anyone know if a PPi is best route or h2blocker or take vitamins and eating healthier i’m just worried since i haven’t done anything about it for so long it can cause squamous cell caricinoma i read where silent reflux is more likely to get it</t>
        </is>
      </c>
      <c r="D6548" t="n">
        <v>1</v>
      </c>
      <c r="E6548" t="n">
        <v>4</v>
      </c>
      <c r="F6548">
        <f>HYPERLINK("https://www.reddit.com/r/GERD/comments/g54h4n/anyone_with_silent_reflux_have_constant_reflux/")</f>
        <v/>
      </c>
      <c r="G6548" t="inlineStr">
        <is>
          <t>2020-04-20 17:03:59</t>
        </is>
      </c>
      <c r="H6548" t="inlineStr"/>
    </row>
    <row r="6549">
      <c r="A6549" t="inlineStr">
        <is>
          <t>g54rgb</t>
        </is>
      </c>
      <c r="B6549" t="inlineStr">
        <is>
          <t>PPIs and Gerd/Silent reflux.</t>
        </is>
      </c>
      <c r="C6549" t="inlineStr">
        <is>
          <t>I was diagnosed with GERD back in November of last year after having an endoscopy.   I went to a Gastroenterologist in mexico for this because of my current financial status at the time.  I was prescribed with pantaprazole, itopride and sucralfate.  I've heard that pantaprazole may cause damage if taken for a while. Since my communication with the specialist I saw in mexico is limited, and I currently have no health insurance... how long should I be taking pantaprazole ?  Or is it ideal to take for several months</t>
        </is>
      </c>
      <c r="D6549" t="n">
        <v>1</v>
      </c>
      <c r="E6549" t="n">
        <v>1</v>
      </c>
      <c r="F6549">
        <f>HYPERLINK("https://www.reddit.com/r/GERD/comments/g54rgb/ppis_and_gerdsilent_reflux/")</f>
        <v/>
      </c>
      <c r="G6549" t="inlineStr">
        <is>
          <t>2020-04-20 17:22:05</t>
        </is>
      </c>
      <c r="H6549" t="inlineStr"/>
    </row>
    <row r="6550">
      <c r="A6550" t="inlineStr">
        <is>
          <t>g54rwe</t>
        </is>
      </c>
      <c r="B6550" t="inlineStr">
        <is>
          <t>Coffee</t>
        </is>
      </c>
      <c r="C6550" t="inlineStr">
        <is>
          <t>What coffee is the best to drink with GERD? i gave up coffee and soda about a year ago and miss coffee dearly. i would even be ok with decaf.</t>
        </is>
      </c>
      <c r="D6550" t="n">
        <v>1</v>
      </c>
      <c r="E6550" t="n">
        <v>18</v>
      </c>
      <c r="F6550">
        <f>HYPERLINK("https://www.reddit.com/r/GERD/comments/g54rwe/coffee/")</f>
        <v/>
      </c>
      <c r="G6550" t="inlineStr">
        <is>
          <t>2020-04-20 17:22:45</t>
        </is>
      </c>
      <c r="H6550" t="inlineStr"/>
    </row>
    <row r="6551">
      <c r="A6551" t="inlineStr">
        <is>
          <t>g54yo9</t>
        </is>
      </c>
      <c r="B6551" t="inlineStr">
        <is>
          <t>linx vs nissen ?</t>
        </is>
      </c>
      <c r="C6551" t="inlineStr">
        <is>
          <t>hey guys!
i’m talking with my doctor tomorrow about surgical options as medication has done nothing (and i’ve had to quit zantac cause i don’t want cancer). the LINX procedure sounds better to me as it’s a little less invasive, but i wanted to ask and see if anyone has experience with either and knows pros/cons for them. 
thanks!</t>
        </is>
      </c>
      <c r="D6551" t="n">
        <v>1</v>
      </c>
      <c r="E6551" t="n">
        <v>8</v>
      </c>
      <c r="F6551">
        <f>HYPERLINK("https://www.reddit.com/r/GERD/comments/g54yo9/linx_vs_nissen/")</f>
        <v/>
      </c>
      <c r="G6551" t="inlineStr">
        <is>
          <t>2020-04-20 17:33:55</t>
        </is>
      </c>
      <c r="H6551" t="inlineStr"/>
    </row>
    <row r="6552">
      <c r="A6552" t="inlineStr">
        <is>
          <t>g553ho</t>
        </is>
      </c>
      <c r="B6552" t="inlineStr">
        <is>
          <t>Gerd and LPR and lingual tonsils / tongue irritation</t>
        </is>
      </c>
      <c r="C6552" t="inlineStr">
        <is>
          <t xml:space="preserve">
https://imgur.com/u6JVRgr
For the last 2 years I’ve had a globus sensation and mild anxiety around swallowing. It appeared out of nowhere and I believe it’s related to LPR based on the research I’ve done. 
It constantly felt like I had a large amount of phlegm in the back of my throat directly behind my tonsils and behind the tonsillar pillar is red and a bit irritated on both sides. I started using Flonase and it’s alleviated the globus feeling almost completely. 
I still have gerd and LPR, I wake up every morning with tons of post nasal drip and mucus and have what I’ve researched as water brash with sour taste after eating and burping a bit. Also a bad taste in my mouth from the mucus. For a bit it was green but now it’s back to white / clear. 
My question is how can all of this impact your lingual tonsils? I’ve noticed them after looking in my throat with a flashlight and can’t stop looking at them. The stress of thinking I have something else going on is driving me nuts and adding to the acid reflux. 
I’ve looked at then with a mirror and can see my epiglottis, both tonsils look about the same size when looking with a mirror, in the image they look a little uneven because one seems to be further up on my tongue. 
Also when I was poking around I noticed a small irritation fibroma / scar tissue looking inflamed taste bud type thing. I stupidly scraped it really hard with a tongue scraper and not sure if that’s what caused it? I can touch it with my finger and it’s soft and moves around really easy. I can push it up and when I swallow it goes back down it’s about 1/4 the size of a q-tip head. It is painless but I’m wondering if this could be from irritation and from forcefully swallowing for so long? The surrounding tissue seems normal and it isn’t ulcerated. It’s almost clear opaque in color and hasn’t grown or changed. If anything seems like it’s shrunk down a bit. 
It’s visible on the image at the very back in front of my tonsil on the left side of the image. 
Wondering if this could all be related to LPR and of irritation can cause issues like this at the back of the tongue?  Is it possible to damage that tissue with a tongue scraper? 
The LPR and reflux got a lot worse about 6 months ago after a round of antibiotics and haven’t really seemed to get back on track. That’s when I really noticed my tonsils. I had a pretty bad case of strep throat. 
My swallowing seems to go back to normal when I’m not anxious or stressed.
I have an appointment with an ENT but due to all the Covid issues it’s delayed. My primary care seems to think nothing looks irregular and the issues I’m having are from irritation. I also had a handful of fillings replaced in my rear molars on about 2 months ago and wondering if that could have caused any issues?</t>
        </is>
      </c>
      <c r="D6552" t="n">
        <v>1</v>
      </c>
      <c r="E6552" t="n">
        <v>2</v>
      </c>
      <c r="F6552">
        <f>HYPERLINK("https://www.reddit.com/r/GERD/comments/g553ho/gerd_and_lpr_and_lingual_tonsils_tongue_irritation/")</f>
        <v/>
      </c>
      <c r="G6552" t="inlineStr">
        <is>
          <t>2020-04-20 17:41:25</t>
        </is>
      </c>
      <c r="H6552" t="inlineStr"/>
    </row>
    <row r="6553">
      <c r="A6553" t="inlineStr">
        <is>
          <t>g565cb</t>
        </is>
      </c>
      <c r="B6553" t="inlineStr">
        <is>
          <t>Interesting research that could be helpful for GERD</t>
        </is>
      </c>
      <c r="C6553" t="inlineStr">
        <is>
          <t>https://www.ncbi.nlm.nih.gov/pmc/articles/PMC2663130/#idm140636580204080title</t>
        </is>
      </c>
      <c r="D6553" t="n">
        <v>1</v>
      </c>
      <c r="E6553" t="n">
        <v>0</v>
      </c>
      <c r="F6553">
        <f>HYPERLINK("https://www.reddit.com/r/GERD/comments/g565cb/interesting_research_that_could_be_helpful_for/")</f>
        <v/>
      </c>
      <c r="G6553" t="inlineStr">
        <is>
          <t>2020-04-20 18:47:39</t>
        </is>
      </c>
      <c r="H6553" t="inlineStr"/>
    </row>
    <row r="6554">
      <c r="A6554" t="inlineStr">
        <is>
          <t>g56lgn</t>
        </is>
      </c>
      <c r="B6554" t="inlineStr">
        <is>
          <t>Chamomile tea saved me</t>
        </is>
      </c>
      <c r="C6554" t="inlineStr">
        <is>
          <t>On January 20th, 2020, I began having symptoms of LPR that have since not gone away. My primary called it an exacerbation of reflux (which I have never had) after I had a stomach bug. I think that instead of heartburn, I get a strange, raw feeling when I breathe like I need to cough up some mucus. I've seen ENT, they said my laryngoscope looked mostly normal, with barely any redness to signify reflux. For about two months I had discomfort swallowing, constant post nasal drip, and the feeling that my throat was randomly about to swell shut. I started drinking chamomile tea just at night before bed because it would help calm my anxiety about my breathing. In the past two weeks, I've started drinking chamomile tea in the mornings (I weaned off coffee about 3 weeks ago), and sometimes I drink more midday as well as bedtime. I cannot express to you all how much chamomile tea soothes my throat throughout the day. I always put a small amount of honey, and my LPR symptoms are so much better over the past two weeks than they have been since they began. Life is looking up. Today is 3 months into my GERD story, and after taking panto 40mg once in the morning for the past 7 weeks I'm finally starting to feel like myself again. 
If you guys have any other suggestions, let me know. I'm not currently following any sort of special diet, and frankly have not been doing well with foods to avoid due to the lack of groceries in my home with the covid-19 pandemic. I was supposed to see ENT again next week, but that has been pushed off for now. The next time I see my doc, I'm hoping that I'll be able to wean off this PPI.</t>
        </is>
      </c>
      <c r="D6554" t="n">
        <v>1</v>
      </c>
      <c r="E6554" t="n">
        <v>12</v>
      </c>
      <c r="F6554">
        <f>HYPERLINK("https://www.reddit.com/r/GERD/comments/g56lgn/chamomile_tea_saved_me/")</f>
        <v/>
      </c>
      <c r="G6554" t="inlineStr">
        <is>
          <t>2020-04-20 19:15:14</t>
        </is>
      </c>
      <c r="H6554" t="inlineStr"/>
    </row>
    <row r="6555">
      <c r="A6555" t="inlineStr">
        <is>
          <t>g56s67</t>
        </is>
      </c>
      <c r="B6555" t="inlineStr">
        <is>
          <t>Does CBD affect the LES?</t>
        </is>
      </c>
      <c r="C6555" t="inlineStr">
        <is>
          <t>I’m wondering if my recent struggle with GERD has been caused by my cannabis intake. A month ago I stopped vaping flower, and last week I saw an ENT who told me I have acid reflux. And so I’ve been considering the possibility that smoking weed for years has weakened my LES - if that’s the case, will it go back to normal eventually?
And also, is CBD a good alternative? Would love to hear your guys experiences with it.</t>
        </is>
      </c>
      <c r="D6555" t="n">
        <v>1</v>
      </c>
      <c r="E6555" t="n">
        <v>5</v>
      </c>
      <c r="F6555">
        <f>HYPERLINK("https://www.reddit.com/r/GERD/comments/g56s67/does_cbd_affect_the_les/")</f>
        <v/>
      </c>
      <c r="G6555" t="inlineStr">
        <is>
          <t>2020-04-20 19:26:46</t>
        </is>
      </c>
      <c r="H6555" t="inlineStr"/>
    </row>
    <row r="6556">
      <c r="A6556" t="inlineStr">
        <is>
          <t>g56uix</t>
        </is>
      </c>
      <c r="B6556" t="inlineStr">
        <is>
          <t>Mucus in throat?</t>
        </is>
      </c>
      <c r="C6556" t="inlineStr">
        <is>
          <t>Who else gets mucus stuck in their throat after eating trigger foods? I always have to clear my throat, if I don’t I find it hard to breath.</t>
        </is>
      </c>
      <c r="D6556" t="n">
        <v>1</v>
      </c>
      <c r="E6556" t="n">
        <v>4</v>
      </c>
      <c r="F6556">
        <f>HYPERLINK("https://www.reddit.com/r/GERD/comments/g56uix/mucus_in_throat/")</f>
        <v/>
      </c>
      <c r="G6556" t="inlineStr">
        <is>
          <t>2020-04-20 19:31:09</t>
        </is>
      </c>
      <c r="H6556" t="inlineStr"/>
    </row>
    <row r="6557">
      <c r="A6557" t="inlineStr">
        <is>
          <t>g57sll</t>
        </is>
      </c>
      <c r="B6557" t="inlineStr">
        <is>
          <t>Drinking Alcohol With GERD</t>
        </is>
      </c>
      <c r="C6557" t="inlineStr">
        <is>
          <t>Hey y’all. Can you tell me your experiences of drinking with GERD? I’m coming to terms with the fact that I won’t be able to. I feel terrible after. The only way I can really describe it is that my esophagus feels sore. What do other people feel ?</t>
        </is>
      </c>
      <c r="D6557" t="n">
        <v>1</v>
      </c>
      <c r="E6557" t="n">
        <v>7</v>
      </c>
      <c r="F6557">
        <f>HYPERLINK("https://www.reddit.com/r/GERD/comments/g57sll/drinking_alcohol_with_gerd/")</f>
        <v/>
      </c>
      <c r="G6557" t="inlineStr">
        <is>
          <t>2020-04-20 20:32:48</t>
        </is>
      </c>
      <c r="H6557" t="inlineStr"/>
    </row>
    <row r="6558">
      <c r="A6558" t="inlineStr">
        <is>
          <t>g5919u</t>
        </is>
      </c>
      <c r="B6558" t="inlineStr">
        <is>
          <t>Does anyone else struggle with thick saliva?</t>
        </is>
      </c>
      <c r="C6558" t="inlineStr">
        <is>
          <t>My dental hygienist commented a while ago that I have “thick, ropy saliva” which is common in older folk. I drink plenty of water but the problem persists. In the mornings my mouth is acidic from reflux and I have the feeling of saliva/mucus in my mouth and stuck in my throat. Even after brushing my teeth and using a mouthwash, my spit doesn’t wash away easily. 
I’ve always suffered from year round allergies and am on singular to manage it. At night, I use a straight fluoride toothpaste to prevent the acid from eating at my teeth. I think the saliva also used to trap bacteria which caused tonsil stones quite often too. Anyone have this issue or any tips?</t>
        </is>
      </c>
      <c r="D6558" t="n">
        <v>1</v>
      </c>
      <c r="E6558" t="n">
        <v>1</v>
      </c>
      <c r="F6558">
        <f>HYPERLINK("https://www.reddit.com/r/GERD/comments/g5919u/does_anyone_else_struggle_with_thick_saliva/")</f>
        <v/>
      </c>
      <c r="G6558" t="inlineStr">
        <is>
          <t>2020-04-20 22:01:10</t>
        </is>
      </c>
      <c r="H6558" t="inlineStr"/>
    </row>
    <row r="6559">
      <c r="A6559" t="inlineStr">
        <is>
          <t>g5931j</t>
        </is>
      </c>
      <c r="B6559" t="inlineStr">
        <is>
          <t>Chronic morning sore throat or chronic sore throar , anyone in here who erradicated it for good?</t>
        </is>
      </c>
      <c r="C6559" t="inlineStr">
        <is>
          <t>I have a chronic morning sore throat since 6 months ago, bloating and belching too, no hernia and no esophagitis, don't know what to do, all started aftet stress, one cold and antibiotic, do you think is.possible to heal it with famotidine? (Ppis get me extreme bloating) to these day never experienced any heartburn at all , just the damn sore throat 24/7 , I already sleep almost standing up without 3 hours of no eqting  but no changes,  I'm thinking in taking famotodine or something to see it works somehow...</t>
        </is>
      </c>
      <c r="D6559" t="n">
        <v>1</v>
      </c>
      <c r="E6559" t="n">
        <v>5</v>
      </c>
      <c r="F6559">
        <f>HYPERLINK("https://www.reddit.com/r/GERD/comments/g5931j/chronic_morning_sore_throat_or_chronic_sore/")</f>
        <v/>
      </c>
      <c r="G6559" t="inlineStr">
        <is>
          <t>2020-04-20 22:04:48</t>
        </is>
      </c>
      <c r="H6559" t="inlineStr"/>
    </row>
    <row r="6560">
      <c r="A6560" t="inlineStr">
        <is>
          <t>g5cyvr</t>
        </is>
      </c>
      <c r="B6560" t="inlineStr">
        <is>
          <t>I'm just so tired of this. My story</t>
        </is>
      </c>
      <c r="C6560" t="inlineStr">
        <is>
          <t>Hi! If you are looking for an advice about gerd, this is not going to be that post. Here, I just want to get this off of my chest. The story, that isolated me from everyone and everything in my life. 
I was always prone to feeling nauseaus. I never knew why. I started observing that I was getting nauseaus even more than before, but i thought it might just be the stress. Then univeristy started, where to fit in, I dark alcohol with the others, 1-2 times a week. For the first time in my life, I had hangovers, that were progressively becoming worse, and on one fatal night, I got so sick from the alcohol, I threw up everywhere and since that, I have not been myself. After that happened, for one week I could not get out of bed, I felt so heavly hungover, and sick. I was dizzy and nauseaus, to the point I could not stand up or do anything. After a week, it became a little bit better, just so I could stand up. But i felt extremely sick every single day. I went to my local doctor, who gave me some stomach med, that didnt really help. Also he didnt say anything about why I could still feel so sick. I couldnt learn, focus, or do anything productive. Many times i couldnt even go into the university, and even if I did, i would feel extreme nausea the whole  time. The months went by, and my situation didnt improve, and I could only get a professional appointment after months. Meanwhile, I had exams, and because of this sickess, i failed many of them, and many subjects, having to say goodbye to my only friends I made with my groupmates.  The sickness went on, everyday, and every hour. I had not one hour of relief.
One night I was so fed up with this mystery sickness that I just took whatever stomach medicine was at home. It was quamatel. I felt immediately better, and I was shocked. That's when I realized I was having stomach acid issues, the blockage on my throat was gone, I felt so much better. But that was the only one of this left. After that I only took non prescription antiacid, like Rennie, which didnt really help. Finally the doctors appointment arrived, and my mom came with me. The doctor didnt even listen to me, and didnt believe that i was having acid issue because of my age (i was 19).  But he gave me quamatel for a month. Which worked perfectly for only a couple of days. Then the symptoms returned, but not as bad as before. But it would still be present everyday, just not as strong. Then I had to go back to the doctor who told me that my problem is psychologic, and sent me away. My mom believed it, and because of that I could not go to another doctor. My misery continued. And it got worse again. I started drinking herbal teas everyday, which helped a little at times. But then even they stopped working. At this point I was waking up everynight, having sudden nausea feeling like i was choking. I was getting worse and worse everyday. 
Then I had a big breakdown at home, and i just broke down crying, saying that I couldnt take it anymore. Then i had a big talk with my mother, and she let me get an online appointment (because of the current lockdown). I found a doctor who seemed perfect. She was writing articles, had really good reviews, seemed like a perfect, sweet doctor who knows how to treat this. I called her, she let me tell me my whole story, then told me why the previous methods didnt work, and assured me that we will find the solution. I was so happy. As i was waiitng for the medicine to arrive, I was still getting worse. But the day before it arrived, I felt better. So much better!! I couldn't believe it.. After 6 months of misery, finally I felt somewhat normal! Then the medication arrived, but i still felt good. So i didnt want to take PPI when i feel better. But then again, even tho i didnt have the nausea for this couple of days, I was still having stomach burning for a couple of hours, and I knew I wanted to treat this forever. So i decided to take my first PPI pill. Extreme sickness came because of it. My worst acid sypmtoms returned heavily, with extreme nausea, and my throat was itching as soon as i swallowed the pill. I was also very bloated, had random pains in different parts of my abdominals. I felt weak and sick, for one and a half day. I also got my period 8-9 days earlier because of the medication, and its not even like it always is. The consistency and the color of the blood is very different, and I have way less. I became very scared. I could only email the doctor, and told her my bad reaction to the medication (emozul).  I was expecting her to give me another medication. But she replied that I should take it for a week and only after that can she determine if it can help. But I just dont get this. The pill gave me such bad reactions, Im very scared to take it again. (I have posted about this before) I dont think i should. Since i took it, i not only wake up at night again, but i cant even sleep back, because the acid comes back when Im falling asleep.
 I am so sad. The day I consulted this second doctor was one of the happiest days of my life, and finally I had hope. But now i should take something that would make me vomit all day long, messed with my period, makes my throat itch like crazy for days, and makes me feel weak? I'm crying as I am writing this, I just want this all to end. I am now 20 years old, and I cant go out (even before the lockdown), I cant do anything, I can barely get out of my bed, I am close anorexic, because of the weight I lost from my nausea. I dont know if i should take the medication for a week, I am scared. And I still have a lot to learn for university, and a lot of assignments, even tho i am failing at it.. 
I just want to feel normal again.. Im so exhausted. Now I barely get 3 hours of sleep at night. I am scared every minute. I dont know what to do. I have felt sicker, a few months before, and telling myself that helps a little. But im tired of my nausea waves, the inability to eat. Im just tired of being sick every single day. Im so tired. I have fought now for over 6 months. I am on the edge of giving up everything, because I cant do this any longer. 
Sorry for the long post. And thank you, if someone took the time to read this. I am writing with this with tears, and being so tired I can barely see.</t>
        </is>
      </c>
      <c r="D6560" t="n">
        <v>1</v>
      </c>
      <c r="E6560" t="n">
        <v>20</v>
      </c>
      <c r="F6560">
        <f>HYPERLINK("https://www.reddit.com/r/GERD/comments/g5cyvr/im_just_so_tired_of_this_my_story/")</f>
        <v/>
      </c>
      <c r="G6560" t="inlineStr">
        <is>
          <t>2020-04-21 03:45:02</t>
        </is>
      </c>
      <c r="H6560" t="inlineStr"/>
    </row>
    <row r="6561">
      <c r="A6561" t="inlineStr">
        <is>
          <t>g5eoej</t>
        </is>
      </c>
      <c r="B6561" t="inlineStr">
        <is>
          <t>Has anyone here had to have a CT scan?</t>
        </is>
      </c>
      <c r="C6561" t="inlineStr">
        <is>
          <t>I have been waiting to be able to get a endoscopy for the past month but its postponed due to covid. 
They presumed and are treating me for GERD and LPR for time being however today I recieved a call letting me know i have been reffered for a CT scan to be done tommorow.
Just wondering if this is normal? And why they would want it done? 
I will ask tommorow but im stressing out right now</t>
        </is>
      </c>
      <c r="D6561" t="n">
        <v>1</v>
      </c>
      <c r="E6561" t="n">
        <v>32</v>
      </c>
      <c r="F6561">
        <f>HYPERLINK("https://www.reddit.com/r/GERD/comments/g5eoej/has_anyone_here_had_to_have_a_ct_scan/")</f>
        <v/>
      </c>
      <c r="G6561" t="inlineStr">
        <is>
          <t>2020-04-21 05:53:42</t>
        </is>
      </c>
      <c r="H6561" t="inlineStr"/>
    </row>
    <row r="6562">
      <c r="A6562" t="inlineStr">
        <is>
          <t>g5fd5n</t>
        </is>
      </c>
      <c r="B6562" t="inlineStr">
        <is>
          <t>GERD life story</t>
        </is>
      </c>
      <c r="C6562" t="inlineStr">
        <is>
          <t>I was born with gerd and now I’m 18. My earliest memories of acid reflux was an awful burning in my throat and me screaming me throats on fire and drinking water to no avail and me throwing up almost everything I ate either from the texture or my stomach rejecting it and throwing up immediately. I learned that I can’t eat basically all fruit or vegetables for these reasons from an early age. My sister made garlic bread a week ago and I eat it without the minced garlic but I grabbed the normal one next to it on accident and didn’t know. I got through a third of it before throwing up in the sink and realizing the garlic was in this piece. I’ve taken ranitidine all my life for reflux but now it was a correlation with esophageal cancer so I can’t take that anymore. Does anyone else have memories of their throats on fire? Anyways that’s my story</t>
        </is>
      </c>
      <c r="D6562" t="n">
        <v>1</v>
      </c>
      <c r="E6562" t="n">
        <v>5</v>
      </c>
      <c r="F6562">
        <f>HYPERLINK("https://www.reddit.com/r/GERD/comments/g5fd5n/gerd_life_story/")</f>
        <v/>
      </c>
      <c r="G6562" t="inlineStr">
        <is>
          <t>2020-04-21 06:38:01</t>
        </is>
      </c>
      <c r="H6562" t="inlineStr"/>
    </row>
    <row r="6563">
      <c r="A6563" t="inlineStr">
        <is>
          <t>g5fw4h</t>
        </is>
      </c>
      <c r="B6563" t="inlineStr">
        <is>
          <t>Strange neck pains</t>
        </is>
      </c>
      <c r="C6563" t="inlineStr">
        <is>
          <t>I just posted my gerd story and now I want to know if anyone else has gotten this pain. I’ll occasionally feel a pulsating pain on the right side of my neck. It’s always the same small spot but it’s intense and the pulsating triggers my anxiety and I put pressure on it then it fades away after a while. Does anyone else have this?</t>
        </is>
      </c>
      <c r="D6563" t="n">
        <v>1</v>
      </c>
      <c r="E6563" t="n">
        <v>3</v>
      </c>
      <c r="F6563">
        <f>HYPERLINK("https://www.reddit.com/r/GERD/comments/g5fw4h/strange_neck_pains/")</f>
        <v/>
      </c>
      <c r="G6563" t="inlineStr">
        <is>
          <t>2020-04-21 07:10:01</t>
        </is>
      </c>
      <c r="H6563" t="inlineStr"/>
    </row>
    <row r="6564">
      <c r="A6564" t="inlineStr">
        <is>
          <t>g5gamg</t>
        </is>
      </c>
      <c r="B6564" t="inlineStr">
        <is>
          <t>Pain in armpit?</t>
        </is>
      </c>
      <c r="C6564" t="inlineStr">
        <is>
          <t>Hey, y'all,
I (22/M, smoker and occasionally i drink) have a question about a really weird, troubling symptom.
In the past...2 or 3 weeks I've noticed this pain (2/10 or 3/10) in my right armpit. The pain is just nagging, but it definitely flares up when I breathe in deeply, quickly.
Anyone else have this, or know what it's about?</t>
        </is>
      </c>
      <c r="D6564" t="n">
        <v>1</v>
      </c>
      <c r="E6564" t="n">
        <v>2</v>
      </c>
      <c r="F6564">
        <f>HYPERLINK("https://www.reddit.com/r/GERD/comments/g5gamg/pain_in_armpit/")</f>
        <v/>
      </c>
      <c r="G6564" t="inlineStr">
        <is>
          <t>2020-04-21 07:33:29</t>
        </is>
      </c>
      <c r="H6564" t="inlineStr"/>
    </row>
    <row r="6565">
      <c r="A6565" t="inlineStr">
        <is>
          <t>g5jgx2</t>
        </is>
      </c>
      <c r="B6565" t="inlineStr">
        <is>
          <t>GERD symptoms from drinking after a meal?</t>
        </is>
      </c>
      <c r="C6565" t="inlineStr">
        <is>
          <t>I notice that I am way more likely to receive GERD symptoms if I drink during or after a meal meal. I pretty much just drink water too so it's nothing bad like having a fizzy drink.
Does anybody else notice this?</t>
        </is>
      </c>
      <c r="D6565" t="n">
        <v>1</v>
      </c>
      <c r="E6565" t="n">
        <v>3</v>
      </c>
      <c r="F6565">
        <f>HYPERLINK("https://www.reddit.com/r/GERD/comments/g5jgx2/gerd_symptoms_from_drinking_after_a_meal/")</f>
        <v/>
      </c>
      <c r="G6565" t="inlineStr">
        <is>
          <t>2020-04-21 10:24:35</t>
        </is>
      </c>
      <c r="H6565" t="inlineStr"/>
    </row>
    <row r="6566">
      <c r="A6566" t="inlineStr">
        <is>
          <t>g5jp7x</t>
        </is>
      </c>
      <c r="B6566" t="inlineStr">
        <is>
          <t>Mouth ulcers/swelling?</t>
        </is>
      </c>
      <c r="C6566" t="inlineStr">
        <is>
          <t>From time to time when eating I will get what feels like mouth ulcers/blisters or just swelling in the sides of the cheek/gums. This was pretty persistent when I first started experiencing LPR symptoms a few months ago but now has declined from happening a few times a day to maybe once a week. I notice this swelling is only in areas wherever food particles get stuck in my mouth (usually in the corners) usually happens after I finish eating. It usually goes away within 30 minutes or less. 
At first I thought the swelling might be a food allergic response, but I highly doubt it since it does not seem to happen with specific foods. Even drinking water sometimes or using toothpaste will cause the swelling, so I think it is just sensitive mouth (have switched to brushing teeth using a baking soda mix, and it doesn't happen as much after that). Anyone else get this?</t>
        </is>
      </c>
      <c r="D6566" t="n">
        <v>1</v>
      </c>
      <c r="E6566" t="n">
        <v>4</v>
      </c>
      <c r="F6566">
        <f>HYPERLINK("https://www.reddit.com/r/GERD/comments/g5jp7x/mouth_ulcersswelling/")</f>
        <v/>
      </c>
      <c r="G6566" t="inlineStr">
        <is>
          <t>2020-04-21 10:36:58</t>
        </is>
      </c>
      <c r="H6566" t="inlineStr"/>
    </row>
    <row r="6567">
      <c r="A6567" t="inlineStr">
        <is>
          <t>g5jug2</t>
        </is>
      </c>
      <c r="B6567" t="inlineStr">
        <is>
          <t>For those of you that get gerd from grains(wheat, rice, oats) do you also get gerd from nuts and seeds(hemp seeds)?</t>
        </is>
      </c>
      <c r="C6567" t="inlineStr">
        <is>
          <t>It is becoming clearer to me that grains and I aren't best friends at the moment, so I am going to cut them all out as I feel I don't have enough stomach acid so they are giving me gerd. But has anyone has issues with nuts and seeds? Such as hemp seeds?</t>
        </is>
      </c>
      <c r="D6567" t="n">
        <v>1</v>
      </c>
      <c r="E6567" t="n">
        <v>5</v>
      </c>
      <c r="F6567">
        <f>HYPERLINK("https://www.reddit.com/r/GERD/comments/g5jug2/for_those_of_you_that_get_gerd_from_grainswheat/")</f>
        <v/>
      </c>
      <c r="G6567" t="inlineStr">
        <is>
          <t>2020-04-21 10:44:37</t>
        </is>
      </c>
      <c r="H6567" t="inlineStr"/>
    </row>
    <row r="6568">
      <c r="A6568" t="inlineStr">
        <is>
          <t>g5k2md</t>
        </is>
      </c>
      <c r="B6568" t="inlineStr">
        <is>
          <t>Is anyone here seeking natural health direction regarding gerd?</t>
        </is>
      </c>
      <c r="C6568" t="inlineStr">
        <is>
          <t>If so, have you made any progress? What kinds of ideas have you found beneficiail, I lost faith in western medicine long ago.</t>
        </is>
      </c>
      <c r="D6568" t="n">
        <v>1</v>
      </c>
      <c r="E6568" t="n">
        <v>43</v>
      </c>
      <c r="F6568">
        <f>HYPERLINK("https://www.reddit.com/r/GERD/comments/g5k2md/is_anyone_here_seeking_natural_health_direction/")</f>
        <v/>
      </c>
      <c r="G6568" t="inlineStr">
        <is>
          <t>2020-04-21 10:56:48</t>
        </is>
      </c>
      <c r="H6568" t="inlineStr"/>
    </row>
    <row r="6569">
      <c r="A6569" t="inlineStr">
        <is>
          <t>g5muzy</t>
        </is>
      </c>
      <c r="B6569" t="inlineStr">
        <is>
          <t>How did you finally get the OK for a fundoplication?</t>
        </is>
      </c>
      <c r="C6569" t="inlineStr">
        <is>
          <t>So I’ve been throw all the normal treatment courses (PPIs, h2s, antihistamines, nasal sprays, restricted diets, antidepressants, elevated sleeping, etc) however I still will wake up with a burning mouth/throat and a fatigued and weakened voice. Some weeks are good, others are hell.
I’ve had my endo with some reflux noted, but that was it. Maybe some esophagitis from the reflux, but PPIs were my only prescribed treatment from that.
How do you convince someone that a surgery may be the best option? Ideally I don’t want to have a surgery if I don’t need it, but I mean if nothing else is working, I will consider it</t>
        </is>
      </c>
      <c r="D6569" t="n">
        <v>2</v>
      </c>
      <c r="E6569" t="n">
        <v>24</v>
      </c>
      <c r="F6569">
        <f>HYPERLINK("https://www.reddit.com/r/GERD/comments/g5muzy/how_did_you_finally_get_the_ok_for_a/")</f>
        <v/>
      </c>
      <c r="G6569" t="inlineStr">
        <is>
          <t>2020-04-21 13:21:50</t>
        </is>
      </c>
      <c r="H6569" t="inlineStr"/>
    </row>
    <row r="6570">
      <c r="A6570" t="inlineStr">
        <is>
          <t>g5q29b</t>
        </is>
      </c>
      <c r="B6570" t="inlineStr">
        <is>
          <t>Do ppis make anyone else feel sickly?</t>
        </is>
      </c>
      <c r="C6570" t="inlineStr">
        <is>
          <t>I got a case of mild gastritis (doesn’t feel mild) on top of my gerd so they upped my protonix to 40 mg and I feel all sorts of gross. 
Lethargy, hot flashes, the craps, you name it.</t>
        </is>
      </c>
      <c r="D6570" t="n">
        <v>1</v>
      </c>
      <c r="E6570" t="n">
        <v>13</v>
      </c>
      <c r="F6570">
        <f>HYPERLINK("https://www.reddit.com/r/GERD/comments/g5q29b/do_ppis_make_anyone_else_feel_sickly/")</f>
        <v/>
      </c>
      <c r="G6570" t="inlineStr">
        <is>
          <t>2020-04-21 16:18:54</t>
        </is>
      </c>
      <c r="H6570" t="inlineStr"/>
    </row>
    <row r="6571">
      <c r="A6571" t="inlineStr">
        <is>
          <t>g5tna3</t>
        </is>
      </c>
      <c r="B6571" t="inlineStr">
        <is>
          <t>Does overchewing and fighting the urge to swallow actually strengthen swallowing/digestion?</t>
        </is>
      </c>
      <c r="C6571" t="inlineStr">
        <is>
          <t>My GERD is not to the point of failure.  It has affected me for 10 years silently.  These days now I will get acid reflux from a day of coffee, fatty foods, food allergens, foods that can trigger GERD.  If I didn’t catch it in time I would follow the same path as my mom.  Two years ago I was drinking one allergen, milk, and while eating rice on two seperate occasions I got the worst kind of choking feeling.  You could breathe, but at the same time it felt as though you couldn’t.  Scary.
One thing I’ve noticed, when I finally have a hold of my gut, it feels hungry, it wants a good food.  Say I have a flaky, savory meat, I let my mouth find good form, especially the tongue too, and immediately what happens is almost like a painful muscle tensing.
My body desperately wants me to swallow, I chew for 15 extra seconds, by the time I swallow it’s like a workout.  It’s almost a relief to finally swallow.  I’ve recently started doing it more and more, with foods that aren’t damaging to teeth, but my stomach can’t wait for me to swallow, and it’s helped tremendously with good form and mouth/gut/everything inbetween connection. 
As of right now I have no gag reflex, but I think with enough chewing and normal exercises, decided to stop using gum as it doesn’t represent natural chewing and swallowing, I think I can nip my bad form in the bud.  But the actual GERD issue is separate, I have that figured out now, but I do think it’s all one big issue together.</t>
        </is>
      </c>
      <c r="D6571" t="n">
        <v>1</v>
      </c>
      <c r="E6571" t="n">
        <v>1</v>
      </c>
      <c r="F6571">
        <f>HYPERLINK("https://www.reddit.com/r/GERD/comments/g5tna3/does_overchewing_and_fighting_the_urge_to_swallow/")</f>
        <v/>
      </c>
      <c r="G6571" t="inlineStr">
        <is>
          <t>2020-04-21 20:16:23</t>
        </is>
      </c>
      <c r="H6571" t="inlineStr"/>
    </row>
    <row r="6572">
      <c r="A6572" t="inlineStr">
        <is>
          <t>g5u3js</t>
        </is>
      </c>
      <c r="B6572" t="inlineStr">
        <is>
          <t>This sucks</t>
        </is>
      </c>
      <c r="C6572" t="inlineStr">
        <is>
          <t>Really struggling with this right now. Liquid feeling in my throat along with chest pains and pressure (and back pressure) really making it feel like it’s hard to breathe. Every once in a while (handful of times a day maybe) I get an ok burp and have a few moments of almost normal. But that’s about it. My chronic cough is getting worse and my lungs feel like they are burning often, especially on deep breath. I’m on Nexium, Pepcid, and I’m really careful with my diet. Water and chamomile tea are my only drinks and avoiding foods that are known to cause reflux issues. But nothing seems to make it better right now.</t>
        </is>
      </c>
      <c r="D6572" t="n">
        <v>1</v>
      </c>
      <c r="E6572" t="n">
        <v>0</v>
      </c>
      <c r="F6572">
        <f>HYPERLINK("https://www.reddit.com/r/GERD/comments/g5u3js/this_sucks/")</f>
        <v/>
      </c>
      <c r="G6572" t="inlineStr">
        <is>
          <t>2020-04-21 20:48:43</t>
        </is>
      </c>
      <c r="H6572" t="inlineStr"/>
    </row>
    <row r="6573">
      <c r="A6573" t="inlineStr">
        <is>
          <t>g5u7gl</t>
        </is>
      </c>
      <c r="B6573" t="inlineStr">
        <is>
          <t>I just need some peace of mind at this point</t>
        </is>
      </c>
      <c r="C6573" t="inlineStr">
        <is>
          <t>**Briefing:** Yo, I need to tell someone this that I hope feels the same and will give me some honest mental rest. I google my symptoms constantly hoping I'd find someone else's story talking about what I feel but of course Google just wants to tell me I'm gonna die lol and leads me to paths I already know about but not reflecting too much on the specific pains. Maybe this could be helpful to someone else that is in the dark about the pains and stuff they feel that a internet search can't lead them too. Seeing as being original is really rare I doubt I'm the only one.
**History:** I'm 26 and I have already been told I have GERD I've had it for YEARS now roughly got tested 5 years ago, even took some stomach medication for awhile. My family has a bad history of stomach related issues so I've been keeping a close eye on it and checking with my doctor doing the scope stuff to make sure everything is good on both the in-door and back-door and everything looks clear. Mine started because I had apparently contracted Helicobacter pylori or H. pylori for short. Contracted it from bad water they suspected but I had apparently had it for over 2 years and I just assumed it was anxiety and a gluten allergy. I was also recovering form a drug over dose due to a mix up at a freecare pharmacy, ya get what you pay for lol.
**Habits:** This tends to be an important one lol so I'll go ahead and get it out the way. I don't smoke or drink, never have and don't plan on doing it. I rarely drink soda, like maybe once every month and normally only on special occasions and when I do it is normally 1 can or a medium sized cup. The carbonation and sugar kills me... I don't drink coffee or any energy drinks, I have a fear of having a heart attack after the overdose now and try to keep my odds as low as I can. I sometimes will drink tea, but again I normally just stick to water as my drink of choice. I do tend to fall off the wagon on food though, eating junk microwave food or fast food for a few days at a time which REALLY flare it up, but honestly it's the only option I have when I do it.
I will also eat sitters baby food, not adding seasoning, when my stomach has been through hell to give it some kind of break. I don't eat chips or sugary snacks, every time I do it causes my stomach to flare up no matter what I eat so I just avoid it. Where with a burger won't instantly set it off and I could go a few days eating greasy fatty food without too much of an upset, but it does have it's tipping point.
**Standard stuff I feel:** I'll start off with what the most common things I could find or was told by my doctor. The burning in my throat almost to the point where I want to rip it out, or to the point where I make myself throat up just for some relief. Upper and lower abdominal cramping. Extreme bouts of gas, like burping for hours sometimes, though it's pretty rare for it to be really bad coming out the other end for me, it's normally always really bad cases of burping. Think the first few episodes of Rick from Rick and Morty where every other word is a hard burp. Also diarrhea, unneeded but it's there.
**Things I don't read too much about that keep my anxiety levels high:** Chest pains, NOW my doctor said it's normal, trapped gas causing pressure pushing out on the chest and such and I've had multiple EKGs and that one where you wear the wires on you for 24 hours and everything came up clean! Plus I'm not dead yet and I did that at the start of all this crap, so it has to be gas, but damn does it mess with my anxiety to this day. But the pain will be so bad sometimes that my muscles feel tender to the touch. Mostly located under my shoulder blades, between my ribs, my chest muscles, right under my sternum, random parts of my stomach, and sometimes on my lower back. I'll run my hand over it or press a bit firmly and it is a sharp or bruised pain. The pain normally goes away after a day or two but it sucks. Sometimes during the attacks the pain will even cause the muscles to start twitching, but during the attack when I pass gas or burp the pain will stop for a moment.  
**In Summery:** Anyone get these bad pains around their ribs and back where the muscles hurt? Is there any kind of food guide I can follow to help with this?! I just want some help with it and to know I'm not alone on this pain.</t>
        </is>
      </c>
      <c r="D6573" t="n">
        <v>1</v>
      </c>
      <c r="E6573" t="n">
        <v>18</v>
      </c>
      <c r="F6573">
        <f>HYPERLINK("https://www.reddit.com/r/GERD/comments/g5u7gl/i_just_need_some_peace_of_mind_at_this_point/")</f>
        <v/>
      </c>
      <c r="G6573" t="inlineStr">
        <is>
          <t>2020-04-21 20:56:47</t>
        </is>
      </c>
      <c r="H6573" t="inlineStr"/>
    </row>
    <row r="6574">
      <c r="A6574" t="inlineStr">
        <is>
          <t>g5udmd</t>
        </is>
      </c>
      <c r="B6574" t="inlineStr">
        <is>
          <t>Stress and gastritis</t>
        </is>
      </c>
      <c r="C6574" t="inlineStr">
        <is>
          <t>Hey guys, so I've been dealing with a probably gastritis  (not confirmed since I haven't been able to get checked with a GI since quarantine started in my county in February, yet I do am on nexium for about 43 days as indicated by ER attention ) a lot of stress and little sleep (probably from 1am/3am to 8am) because of college work this week.
This ended up triggering a flare up today: náusea, heatburn, gases, loose stools, etc.
I just want to know how do you guys deal with stress from work or classes? It's been hard for me and I do would love to get some suggestions on that matter</t>
        </is>
      </c>
      <c r="D6574" t="n">
        <v>1</v>
      </c>
      <c r="E6574" t="n">
        <v>2</v>
      </c>
      <c r="F6574">
        <f>HYPERLINK("https://www.reddit.com/r/GERD/comments/g5udmd/stress_and_gastritis/")</f>
        <v/>
      </c>
      <c r="G6574" t="inlineStr">
        <is>
          <t>2020-04-21 21:09:19</t>
        </is>
      </c>
      <c r="H6574" t="inlineStr"/>
    </row>
    <row r="6575">
      <c r="A6575" t="inlineStr">
        <is>
          <t>g5vsd9</t>
        </is>
      </c>
      <c r="B6575" t="inlineStr">
        <is>
          <t>Culinary blogs and books for GERD</t>
        </is>
      </c>
      <c r="C6575" t="inlineStr">
        <is>
          <t>Hey Guys,
I'm struggling to keep my Gerd diet, mostly because I'm not very good at cooking, I don't really have much experience so I'm always out of ideas what to do and how to mix stuff. In my country I found only one book with some light recipes but it's mostly for people with digestive problems due to chemotherapy etc.
So I wanted to ask if you can recommend any culinary blogs, programs or books made by people with GERD :)</t>
        </is>
      </c>
      <c r="D6575" t="n">
        <v>1</v>
      </c>
      <c r="E6575" t="n">
        <v>2</v>
      </c>
      <c r="F6575">
        <f>HYPERLINK("https://www.reddit.com/r/GERD/comments/g5vsd9/culinary_blogs_and_books_for_gerd/")</f>
        <v/>
      </c>
      <c r="G6575" t="inlineStr">
        <is>
          <t>2020-04-21 23:04:47</t>
        </is>
      </c>
      <c r="H6575" t="inlineStr"/>
    </row>
    <row r="6576">
      <c r="A6576" t="inlineStr">
        <is>
          <t>g5vwsa</t>
        </is>
      </c>
      <c r="B6576" t="inlineStr">
        <is>
          <t>LPR slowly progression to GERD now?(question for Heartburn sufferes)</t>
        </is>
      </c>
      <c r="C6576" t="inlineStr">
        <is>
          <t>I started having a sore throat, later I developed a bad acid taste in mouth, now I'm getting slightly strange pain in my esophagus neck and  collarbones, it feels like slight burning/scratchy sensation , when I lay up is more noticeable , is this GERD rather than LPR?  Or it was gerd all the time? I mean lpr sufferes don't have heartburn right? But I'm now having this strange symptom , on endoscopy 2 months ago my esophagus looks completely clean,not even a small hernia  but I'm know experiencing this strange symptoms, almost the slighty burning feels irradiated to my back, I'm done and looking out for surgery, stretts could help me??</t>
        </is>
      </c>
      <c r="D6576" t="n">
        <v>1</v>
      </c>
      <c r="E6576" t="n">
        <v>4</v>
      </c>
      <c r="F6576">
        <f>HYPERLINK("https://www.reddit.com/r/GERD/comments/g5vwsa/lpr_slowly_progression_to_gerd_nowquestion_for/")</f>
        <v/>
      </c>
      <c r="G6576" t="inlineStr">
        <is>
          <t>2020-04-21 23:15:37</t>
        </is>
      </c>
      <c r="H6576" t="inlineStr"/>
    </row>
    <row r="6577">
      <c r="A6577" t="inlineStr">
        <is>
          <t>g5w803</t>
        </is>
      </c>
      <c r="B6577" t="inlineStr">
        <is>
          <t>Silent reflux getting worse on PPI</t>
        </is>
      </c>
      <c r="C6577" t="inlineStr">
        <is>
          <t>I started taking nexium today first time and getting weird gurgling noises and look in my throat to see more reflux then i usually would! anyone else have this happen</t>
        </is>
      </c>
      <c r="D6577" t="n">
        <v>1</v>
      </c>
      <c r="E6577" t="n">
        <v>8</v>
      </c>
      <c r="F6577">
        <f>HYPERLINK("https://www.reddit.com/r/GERD/comments/g5w803/silent_reflux_getting_worse_on_ppi/")</f>
        <v/>
      </c>
      <c r="G6577" t="inlineStr">
        <is>
          <t>2020-04-21 23:42:23</t>
        </is>
      </c>
      <c r="H6577" t="inlineStr"/>
    </row>
    <row r="6578">
      <c r="A6578" t="inlineStr">
        <is>
          <t>g5xztf</t>
        </is>
      </c>
      <c r="B6578" t="inlineStr">
        <is>
          <t>Reflux 9 hours after last meal</t>
        </is>
      </c>
      <c r="C6578" t="inlineStr">
        <is>
          <t>One of my GERD symptoms is waking up in the middle of the night with an uncomfortable feeling moving up and down my esophagus. Gas. Feels like a ball moving up and down, slowly, for hours. Usually begins many hours after eating. I can usually link this with poor eating habits. Happens only a handful of times per year. Sometimes can be mild and last a couple hours. Sometimes painful and burning and lasts five hours or more. 
In this instance, I ran out of junk food a couple weeks ago ha ha, I thought I was eating well. Why would I be experiencing this tonight, nine hours after my last meal? I haven’t had this experience in months. My last meal was frozen Indian food (not spicy, rice, chickpeas, cheese). First frozen meal in a week. 
Regardless of this specific instance, why does this happen so many hours after my last meal?
I really wish I was sleeping right now lol!</t>
        </is>
      </c>
      <c r="D6578" t="n">
        <v>1</v>
      </c>
      <c r="E6578" t="n">
        <v>2</v>
      </c>
      <c r="F6578">
        <f>HYPERLINK("https://www.reddit.com/r/GERD/comments/g5xztf/reflux_9_hours_after_last_meal/")</f>
        <v/>
      </c>
      <c r="G6578" t="inlineStr">
        <is>
          <t>2020-04-22 02:22:27</t>
        </is>
      </c>
      <c r="H6578" t="inlineStr"/>
    </row>
    <row r="6579">
      <c r="A6579" t="inlineStr">
        <is>
          <t>g5zm4w</t>
        </is>
      </c>
      <c r="B6579" t="inlineStr">
        <is>
          <t>Hiatal hernia and pregnancy</t>
        </is>
      </c>
      <c r="C6579" t="inlineStr">
        <is>
          <t>Has anyone ever gone through pregnancy with a preexisting hiatal hernia? How was it for you?</t>
        </is>
      </c>
      <c r="D6579" t="n">
        <v>1</v>
      </c>
      <c r="E6579" t="n">
        <v>1</v>
      </c>
      <c r="F6579">
        <f>HYPERLINK("https://www.reddit.com/r/GERD/comments/g5zm4w/hiatal_hernia_and_pregnancy/")</f>
        <v/>
      </c>
      <c r="G6579" t="inlineStr">
        <is>
          <t>2020-04-22 04:41:30</t>
        </is>
      </c>
      <c r="H6579" t="inlineStr"/>
    </row>
    <row r="6580">
      <c r="A6580" t="inlineStr">
        <is>
          <t>g62h2e</t>
        </is>
      </c>
      <c r="B6580" t="inlineStr">
        <is>
          <t>Serious Symptoms &amp;amp; What Is Helping Me</t>
        </is>
      </c>
      <c r="C6580" t="inlineStr">
        <is>
          <t>Hi. I realize that, somehow, since the onset of COVID, many people worldwide seem to be suffering from GERD. I'm not sure if this is due to elevated stress levels, or if there's simply something wrong with the air (that's a pun, btw). However, in over 10 years I have not had symptoms like I've had in the last 2 weeks. On two occasions, I thought I was going to die (suffocation) from acidic damage to my esophageal sphincter affecting my ability to breathe normally.
&amp;amp;#x200B;
Allow me to elaborate a bit.
&amp;amp;#x200B;
10 years ago I was rushed to the hospital because every breath I took would be heavy wheezing, where more than 50% of the breath wouldn't enter my lungs (I think it was going into my stomach due to the esophageal sphincter not closing properly). At the hospital, they immediately tended to me due to this being a respiratory problem. However, they released me the same day...I felt better after being pumped with some IV fluids (I believe IV Pepcid if I'm not mistaken). I started to understand my condition a bit better and over the years I had learned to avoid certain triggers.
&amp;amp;#x200B;
Then, Hurricane Maria came and I had to eat whatever was available...I was not able to continue a healthy diet (literal survival mode with canned meats and whatever food we could scrounge up because supermarkets were -empty- due to no shipments coming in...no trucks driving...anyway that's all in the past). My mistake was, after supermarkets and everything began functioning normally, I didn't go back to a healthy diet. I just kept eating whatever...for years...
&amp;amp;#x200B;
Fast forward to the present and I'm once again suffering something that feels like it's taking me back to the symptoms I had 10 years ago. Lump in back of throat, dry/feathery sensation that makes it difficult to swallow and feels like it is impacting breathing, and more. This morning I woke up and almost felt like going to the hospital, but with the current COVID crisis, that's not really a simple process anymore.
&amp;amp;#x200B;
So, what have I been doing for immediate relief?
&amp;amp;#x200B;
I'm sharing this topic because
1. I would like to help others who are suffering the same thing, and
2. maybe others who are suffering the same thing are using different means of helping themselves can also share what helps them the most, so that we can all have these options available to us.
&amp;amp;#x200B;
When I say immediate relief, I mean, "HELP I don't want to die" relief. Right now, there's only like 2 things that are providing that for me, and they are quite...unorthodox is the word? **Green Apples** and **Lettuce.**
&amp;amp;#x200B;
As soon as I start feeling severe symptoms of esophageal sphincter damage from acid reflux (lump in back of throat, difficulty swallowing, etc.) one of the only things actually providing some immediate relief for me are Green Apples and Lettuce. I don't know why, maybe they help alkalize the stomach faster than medication (since it's said that veggies and fruits don't make it to the intestines, that they dissolve right in stomach acids, correct me if I'm wrong). Even compared to liquid Gaviscon Extra Strength, fresh lettuce or a green apple have much stronger effects on me.
&amp;amp;#x200B;
I'm honestly extremely appreciative that this works. I need to do my best to keep my stomach alkaline in order to allow my esophagus (and voice box) to heal from the acid reflux. Diet is a huge part of that, but more importantly, alkaline diet (in my experience).
&amp;amp;#x200B;
So, I have mentioned what helps me. Is there anything that you are doing differently, that provides immediate relief for your GERD / LPR? Feel free to share, as I'd love to have all the ammo I could get at this time, in order to combat this dis-ease without having to enter a COVID hotzone (i.e. hospitals).
&amp;amp;#x200B;
Edit to Add some more medical info: I'm already on PPI (Prilosec) 2 times a day, and still get these severe symptoms, that's actually what led me to resort to trying out food products to see if some things would actually provide the immediate relief. Whenever I get real bad, I also take an H2 Blocker (Pepcid), and I've been on Carafate. These medications, I've only been taking them for 8 days now, since the first event of severe symptoms appeared. Despite the medications, the only things providing the immediate relief are the abovementioned alkaline fruits/veggies (they even work better than Gaviscon Extra Strength which had stopped working for me altogether about 3 days ago).</t>
        </is>
      </c>
      <c r="D6580" t="n">
        <v>2</v>
      </c>
      <c r="E6580" t="n">
        <v>5</v>
      </c>
      <c r="F6580">
        <f>HYPERLINK("https://www.reddit.com/r/GERD/comments/g62h2e/serious_symptoms_what_is_helping_me/")</f>
        <v/>
      </c>
      <c r="G6580" t="inlineStr">
        <is>
          <t>2020-04-22 07:51:17</t>
        </is>
      </c>
      <c r="H6580" t="inlineStr"/>
    </row>
    <row r="6581">
      <c r="A6581" t="inlineStr">
        <is>
          <t>g63bcm</t>
        </is>
      </c>
      <c r="B6581" t="inlineStr">
        <is>
          <t>A virus combined with stress destroyed my vagus nerve leading to GERD and LPR?</t>
        </is>
      </c>
      <c r="C6581" t="inlineStr">
        <is>
          <t>I catched a cold in october, I was in a very stressful time in my life, since then the sore throat didn't left, later I developed new symptoms like belching and bloating, and now I have acid taste upon waking up, regurgitation and sometimes subtle burn in my esophagus, my worst symptom is the sore throat, never had stomach issues before that stupid and damn cold, dont know if was that or stress ..</t>
        </is>
      </c>
      <c r="D6581" t="n">
        <v>1</v>
      </c>
      <c r="E6581" t="n">
        <v>6</v>
      </c>
      <c r="F6581">
        <f>HYPERLINK("https://www.reddit.com/r/GERD/comments/g63bcm/a_virus_combined_with_stress_destroyed_my_vagus/")</f>
        <v/>
      </c>
      <c r="G6581" t="inlineStr">
        <is>
          <t>2020-04-22 08:36:08</t>
        </is>
      </c>
      <c r="H6581" t="inlineStr"/>
    </row>
    <row r="6582">
      <c r="A6582" t="inlineStr">
        <is>
          <t>g64hpn</t>
        </is>
      </c>
      <c r="B6582" t="inlineStr">
        <is>
          <t>Hey everyone, feeling pretty low and looking for some advice.</t>
        </is>
      </c>
      <c r="C6582" t="inlineStr">
        <is>
          <t>I’ll try to condense this as much as possible, but i really just need some advice or to know if anyone’s experienced this before. 
I’ve been having some pretty bad stomach issues lately. Gastritis, gerd, bloating, nausea, etc. I also have chronic vestibular migraines that sometimes make my shoulders/neck sore so i’m trying to figure out what condition this symptom belongs to. 
I had a CT scan about a month ago that found a 3mm cyst on my pancreas. I’m scheduled tentatively for a endoscopic ultrasound. I don’t know when it’ll be exactly though, because of the pandemic. 
For the past 2 weeks my chest has been pretty sore. It seems to migrate, but it’s mainly right under my left collar bone. It’s a sore/achy/burning sensation. It doesn’t get worse with exertion. I feel it less when i’m standing and walking around and more when i’m sitting or laying down. 
The only thing i take is 40mg omeprazole. My doctor is trying to put me on something else but my pharmacy can’t seem to get ahold of it. 
I’m having a hard time. My anxiety is through the roof. It’s all i can focus on. Has anyone else experienced gerd pain right under collarbone?</t>
        </is>
      </c>
      <c r="D6582" t="n">
        <v>1</v>
      </c>
      <c r="E6582" t="n">
        <v>5</v>
      </c>
      <c r="F6582">
        <f>HYPERLINK("https://www.reddit.com/r/GERD/comments/g64hpn/hey_everyone_feeling_pretty_low_and_looking_for/")</f>
        <v/>
      </c>
      <c r="G6582" t="inlineStr">
        <is>
          <t>2020-04-22 09:40:41</t>
        </is>
      </c>
      <c r="H6582" t="inlineStr"/>
    </row>
    <row r="6583">
      <c r="A6583" t="inlineStr">
        <is>
          <t>g64jwo</t>
        </is>
      </c>
      <c r="B6583" t="inlineStr">
        <is>
          <t>What fats can I eat to stay healthy?</t>
        </is>
      </c>
      <c r="C6583" t="inlineStr">
        <is>
          <t>I recently joined the GERD community due to getting hit very hard with it the past few weeks.
I’m working on fixing my diet, but have noticed that most a the foods we CAN eat are carbs and proteins. The only one I seem to find that contains healthy fat is almonds.
What do you eat to have a healthy amount of polyunsaturated and monounsaturated fat in your diet? 
Thank you and I hope we all get passed or improve our situations.</t>
        </is>
      </c>
      <c r="D6583" t="n">
        <v>1</v>
      </c>
      <c r="E6583" t="n">
        <v>10</v>
      </c>
      <c r="F6583">
        <f>HYPERLINK("https://www.reddit.com/r/GERD/comments/g64jwo/what_fats_can_i_eat_to_stay_healthy/")</f>
        <v/>
      </c>
      <c r="G6583" t="inlineStr">
        <is>
          <t>2020-04-22 09:43:56</t>
        </is>
      </c>
      <c r="H6583" t="inlineStr"/>
    </row>
    <row r="6584">
      <c r="A6584" t="inlineStr">
        <is>
          <t>g65gyj</t>
        </is>
      </c>
      <c r="B6584" t="inlineStr">
        <is>
          <t>Not sure what this is. Please help clarify.</t>
        </is>
      </c>
      <c r="C6584" t="inlineStr">
        <is>
          <t>Hi Everyone,
So my journey started about a month and a half ago. Right when all this virus stuff started coming up. Very stressed out in the beginning and started developing symptoms such as tight throat, sore throat and chest tightness/pain. Of course, freaked myself out as symptoms were something similar to the virus. Cleared it with my allergist that it wasn’t respiratory related so I made the call to my primary. Went in for a EKG and all the basic tests, blood pressure, etc. Determined that it’s not heart related and they said it’s most likely a mix of stress and heartburn.
At this point they pointed me to Prilosec. So I picked some up and took it for 2 weeks (20mg a day). My symptoms seemed to be a bit better? I could function a bit more. Once I got off of it, the symptoms started getting worse again. Made another call and they suggested to double  the dosage and continue using Prilosec until all symptoms are gone. Then to take it for an additional month and stop. GI doc said the same. That was last Thursday. Tomorrow will be one week since doubling my dosage and I feel my symptoms haven’t changed. Not so much a sore throat but tightness in the throat, chest tightness/pain. Burping more often and it does relieve some chest symptoms but it always comes back. Some back pain. 
Typically this is how my day goes:
Plenty of sleep, wake up around 7am and take Prilosec then I wait about 1 hour before eating. During this time I still have some chest tightness but nothing crazy. I eat breakfast (two eggs, English muffin, one small sausage) and then pour myself a small cup of coffee (which I’m slowly cutting to see if that is the culprit). 
Right after breakfast, I feel fine. It’s not until 10:30-12:00 I start getting some chest tightness. It almost seems to be when I’m getting hungry. Sometimes after I eat lunch I feel a bit better. Sometimes the same. 
Same thing kinda happens before dinner when I’m hungry. Chest gets tighter and some tightness of the throat. Again, burping helps when it comes and I definitely have been burping more so it seems like gas it’s trapped in my chest?
I generally go to sleep 2-3 hours after eating so my stomach is pretty empty and I never experience anything different when I lay down. 
I did however wake up one night with intense pain my chest one night. Almost thought I was having a heart attack but it went away after 15 minutes or so. I experienced this at the very start of the second round of Prilosec. 
So I’m just confused I guess. I don’t exhibit a lot of the symptoms that others do or what you see is typical with heartburn. No noticeable burning in the chest (but sometimes it may feel itchy?), stomach feels fine, stool is a bit loose but not crazily different, not black or anything. no regurgitation except burping. 
Tried tums, mylanta, gas x and of course been on Prilosec for almost a week. Nothing seems to be working. Maybe I need to wait longer on the Prilosec?
Anyone have similar issues and know a way to cope?</t>
        </is>
      </c>
      <c r="D6584" t="n">
        <v>3</v>
      </c>
      <c r="E6584" t="n">
        <v>15</v>
      </c>
      <c r="F6584">
        <f>HYPERLINK("https://www.reddit.com/r/GERD/comments/g65gyj/not_sure_what_this_is_please_help_clarify/")</f>
        <v/>
      </c>
      <c r="G6584" t="inlineStr">
        <is>
          <t>2020-04-22 10:33:22</t>
        </is>
      </c>
      <c r="H6584" t="inlineStr"/>
    </row>
    <row r="6585">
      <c r="A6585" t="inlineStr">
        <is>
          <t>g65iv2</t>
        </is>
      </c>
      <c r="B6585" t="inlineStr">
        <is>
          <t>Pain on right side of chest when breathing</t>
        </is>
      </c>
      <c r="C6585" t="inlineStr">
        <is>
          <t>Hello all!
I'm wondering if you guys can help me.
I (22M, smoker) have been experiencing a symptom for almost two months that is just about to make me go fucking apeshit.
Many times when I breathe out deeply, I experience this pulling, almost like zinging pain toward the right/center-right side of my chest. It's never gotten worse, it's just.... there.
And I don't know what gives. Doctors have told me maybe it's costochondritis, but like idek if I believe that. 
Anyone else know what the hell I'm talking about?</t>
        </is>
      </c>
      <c r="D6585" t="n">
        <v>1</v>
      </c>
      <c r="E6585" t="n">
        <v>3</v>
      </c>
      <c r="F6585">
        <f>HYPERLINK("https://www.reddit.com/r/GERD/comments/g65iv2/pain_on_right_side_of_chest_when_breathing/")</f>
        <v/>
      </c>
      <c r="G6585" t="inlineStr">
        <is>
          <t>2020-04-22 10:36:07</t>
        </is>
      </c>
      <c r="H6585" t="inlineStr"/>
    </row>
    <row r="6586">
      <c r="A6586" t="inlineStr">
        <is>
          <t>g683ld</t>
        </is>
      </c>
      <c r="B6586" t="inlineStr">
        <is>
          <t>Am I alone</t>
        </is>
      </c>
      <c r="C6586" t="inlineStr">
        <is>
          <t>Does anyone else get
Chest pain
Back pain
Shoulder /Arm pain
Breathlessness
Persistent cough
????</t>
        </is>
      </c>
      <c r="D6586" t="n">
        <v>1</v>
      </c>
      <c r="E6586" t="n">
        <v>5</v>
      </c>
      <c r="F6586">
        <f>HYPERLINK("https://www.reddit.com/r/GERD/comments/g683ld/am_i_alone/")</f>
        <v/>
      </c>
      <c r="G6586" t="inlineStr">
        <is>
          <t>2020-04-22 12:54:17</t>
        </is>
      </c>
      <c r="H6586" t="inlineStr"/>
    </row>
    <row r="6587">
      <c r="A6587" t="inlineStr">
        <is>
          <t>g68e2k</t>
        </is>
      </c>
      <c r="B6587" t="inlineStr">
        <is>
          <t>After 5 years I finally found something that helps within a few seconds and really lasts. I can enjoy food and coffee again.</t>
        </is>
      </c>
      <c r="C6587" t="inlineStr">
        <is>
          <t>Hi guys
I'm suffering since 5 years of GERD and after trying so many things I found something that really helps immediately when having heartburn. I carry this medicine all the time with me. It's called Bullrichsalz and it is a natural German product. It's based on baking soda. Look it up, I you can get it on amazon. Sometime I have to take two at once. Keep that in mind if you try it and you think you it helps just a bit but doesn't relief your heartburn fully. I don't use any ppi's anymore. I can even drink coffee (even tough I try to drink it as less as possible and try to avoid triggering heartburn). You take the pill orally and let it dissolve on your tongue. After a few seconds it let's you burp once or twice. And that's it. Immediate relief and it lasts for the rest of the day. You could trigger heartburn if you eat or drink something you shouldn't after a few hours but just take another Bullrichsalz and you're done. This thing isn't a cure for GERD but it helps a lot. I can enjoy food again. I don't have to suffer for hours anymore. I hope it'll change your life to the better too. Don't give up my fellow sufferer.</t>
        </is>
      </c>
      <c r="D6587" t="n">
        <v>2</v>
      </c>
      <c r="E6587" t="n">
        <v>30</v>
      </c>
      <c r="F6587">
        <f>HYPERLINK("https://www.reddit.com/r/GERD/comments/g68e2k/after_5_years_i_finally_found_something_that/")</f>
        <v/>
      </c>
      <c r="G6587" t="inlineStr">
        <is>
          <t>2020-04-22 13:10:04</t>
        </is>
      </c>
      <c r="H6587" t="inlineStr"/>
    </row>
    <row r="6588">
      <c r="A6588" t="inlineStr">
        <is>
          <t>g69k4f</t>
        </is>
      </c>
      <c r="B6588" t="inlineStr">
        <is>
          <t>How To Use Baking Soda For Heartburn Relief With Recipes</t>
        </is>
      </c>
      <c r="C6588" t="inlineStr">
        <is>
          <t>[https://howtotreatheartburn.com/baking-soda-heartburn/](https://howtotreatheartburn.com/baking-soda-heartburn/)</t>
        </is>
      </c>
      <c r="D6588" t="n">
        <v>0</v>
      </c>
      <c r="E6588" t="n">
        <v>6</v>
      </c>
      <c r="F6588">
        <f>HYPERLINK("https://www.reddit.com/r/GERD/comments/g69k4f/how_to_use_baking_soda_for_heartburn_relief_with/")</f>
        <v/>
      </c>
      <c r="G6588" t="inlineStr">
        <is>
          <t>2020-04-22 14:13:03</t>
        </is>
      </c>
      <c r="H6588" t="inlineStr"/>
    </row>
    <row r="6589">
      <c r="A6589" t="inlineStr">
        <is>
          <t>g6a0c0</t>
        </is>
      </c>
      <c r="B6589" t="inlineStr">
        <is>
          <t>Breakfast Ideas Help</t>
        </is>
      </c>
      <c r="C6589" t="inlineStr">
        <is>
          <t>With all the dietary changes I have to make I’m confused what to eat for breakfast...I quit coffee... went to black tea and should quit that too... I’m not sure if oatmeal is healthy as it’s grains... fruit seems acidic... I don’t eat most meat and so no sausages etc.. what breakfast has been safe you guys? And also I don’t eat eggs, and no dairy as it might be a trigger as well.</t>
        </is>
      </c>
      <c r="D6589" t="n">
        <v>2</v>
      </c>
      <c r="E6589" t="n">
        <v>12</v>
      </c>
      <c r="F6589">
        <f>HYPERLINK("https://www.reddit.com/r/GERD/comments/g6a0c0/breakfast_ideas_help/")</f>
        <v/>
      </c>
      <c r="G6589" t="inlineStr">
        <is>
          <t>2020-04-22 14:37:57</t>
        </is>
      </c>
      <c r="H6589" t="inlineStr"/>
    </row>
    <row r="6590">
      <c r="A6590" t="inlineStr">
        <is>
          <t>g6aout</t>
        </is>
      </c>
      <c r="B6590" t="inlineStr">
        <is>
          <t>Natural route vitamins for silent reflux</t>
        </is>
      </c>
      <c r="C6590" t="inlineStr">
        <is>
          <t>vitamin B-6
vitamin B-12
vitamin B-9, or folic acid
L-tryptophan
methionine
betaine
melatonin
Has anyone tried any of these or a combination just curious because nexium doesn’t seem likes it’s working and there was 1 study done in 2006 in this</t>
        </is>
      </c>
      <c r="D6590" t="n">
        <v>1</v>
      </c>
      <c r="E6590" t="n">
        <v>0</v>
      </c>
      <c r="F6590">
        <f>HYPERLINK("https://www.reddit.com/r/GERD/comments/g6aout/natural_route_vitamins_for_silent_reflux/")</f>
        <v/>
      </c>
      <c r="G6590" t="inlineStr">
        <is>
          <t>2020-04-22 15:15:54</t>
        </is>
      </c>
      <c r="H6590" t="inlineStr"/>
    </row>
    <row r="6591">
      <c r="A6591" t="inlineStr">
        <is>
          <t>g6aztg</t>
        </is>
      </c>
      <c r="B6591" t="inlineStr">
        <is>
          <t>White foamyish mucus reflux</t>
        </is>
      </c>
      <c r="C6591" t="inlineStr">
        <is>
          <t>Does anyone get that type of reflux in throat but have no sore throat no cough no heartburn only symptom being ear poping every time u swallow?</t>
        </is>
      </c>
      <c r="D6591" t="n">
        <v>1</v>
      </c>
      <c r="E6591" t="n">
        <v>1</v>
      </c>
      <c r="F6591">
        <f>HYPERLINK("https://www.reddit.com/r/GERD/comments/g6aztg/white_foamyish_mucus_reflux/")</f>
        <v/>
      </c>
      <c r="G6591" t="inlineStr">
        <is>
          <t>2020-04-22 15:33:40</t>
        </is>
      </c>
      <c r="H6591" t="inlineStr"/>
    </row>
    <row r="6592">
      <c r="A6592" t="inlineStr">
        <is>
          <t>g6cd04</t>
        </is>
      </c>
      <c r="B6592" t="inlineStr">
        <is>
          <t>PPIs are no more affective than placebos for GERD/Silenr reflux</t>
        </is>
      </c>
      <c r="C6592" t="inlineStr">
        <is>
          <t>https://www.ncbi.nlm.nih.gov/pmc/articles/PMC2503658/
I’ve been having a reflux for around 7 months no cough or sore throat or heartburn it’s just always there  i have a cobblestone throat with red bumbs but that’s it and my ears will pop everytime i swallow so does anyone match these symptoms and on my last post about vitamin B-6.
vitamin B-12.
vitamin B-9, or folic acid.
L-tryptophan.
methionine.
betaine.
melatonin.
 has anyone tried any combination of these</t>
        </is>
      </c>
      <c r="D6592" t="n">
        <v>1</v>
      </c>
      <c r="E6592" t="n">
        <v>3</v>
      </c>
      <c r="F6592">
        <f>HYPERLINK("https://www.reddit.com/r/GERD/comments/g6cd04/ppis_are_no_more_affective_than_placebos_for/")</f>
        <v/>
      </c>
      <c r="G6592" t="inlineStr">
        <is>
          <t>2020-04-22 16:55:45</t>
        </is>
      </c>
      <c r="H6592" t="inlineStr"/>
    </row>
    <row r="6593">
      <c r="A6593" t="inlineStr">
        <is>
          <t>g6dmkq</t>
        </is>
      </c>
      <c r="B6593" t="inlineStr">
        <is>
          <t>Sick of gerd</t>
        </is>
      </c>
      <c r="C6593" t="inlineStr">
        <is>
          <t>I’m really sick of gerd whenever I say i’m getting better the symptoms come back worse like can’t they just find I cure for it already</t>
        </is>
      </c>
      <c r="D6593" t="n">
        <v>1</v>
      </c>
      <c r="E6593" t="n">
        <v>3</v>
      </c>
      <c r="F6593">
        <f>HYPERLINK("https://www.reddit.com/r/GERD/comments/g6dmkq/sick_of_gerd/")</f>
        <v/>
      </c>
      <c r="G6593" t="inlineStr">
        <is>
          <t>2020-04-22 18:18:27</t>
        </is>
      </c>
      <c r="H6593" t="inlineStr"/>
    </row>
    <row r="6594">
      <c r="A6594" t="inlineStr">
        <is>
          <t>g6dpco</t>
        </is>
      </c>
      <c r="B6594" t="inlineStr">
        <is>
          <t>Painful burning (esophagus, and upper abdomen)</t>
        </is>
      </c>
      <c r="C6594" t="inlineStr">
        <is>
          <t>I’m back again...  Keeping it short, this is over a one month period about a week on each med:  
  (pain was 5/10 at start, ie, distracting but not debilitating)
- I had bad reflux, GI prescribed carafate, I was allergic. Didnt help much anyways.  
- Next was protonix (I’d already tried omeprazole) Worked for reflux but made anxiety/ restlessness/ shortness of breath AWFUL.  
- Got off protonix, rebound reflux was bad. Went on famotidine, didn’t work much and similar anxiety.  
I’m off everything now, and the acid is WORSE than when i started so-called treatment.  
- I’ve tried lily of the desert supplement on amazon, I don’t eat reflux causing food, have no significant food allergies.  
My **BURNING** questions (Yes its a pun)  
1. How can i stop the burning? Gaviscon is what i’m trying now, doesn’t seem conclusive so far. It has sodium alginate. Liquid.  
2. How can i at least lower the pain? 8/10 all day long is making me lose all my productivity and light-hearted self.  
3. Any other thoughts? I’m in  a LOT of pain, the GI doc AND the regular doc don’t know what or why, I’m on a waiting list for an endoscopy because of covid I cant get one, and i need help.  
THANKS for reading, please be gentle as I am in a very sensitive state, this is as short a post i could make.</t>
        </is>
      </c>
      <c r="D6594" t="n">
        <v>1</v>
      </c>
      <c r="E6594" t="n">
        <v>15</v>
      </c>
      <c r="F6594">
        <f>HYPERLINK("https://www.reddit.com/r/GERD/comments/g6dpco/painful_burning_esophagus_and_upper_abdomen/")</f>
        <v/>
      </c>
      <c r="G6594" t="inlineStr">
        <is>
          <t>2020-04-22 18:23:25</t>
        </is>
      </c>
      <c r="H6594" t="inlineStr"/>
    </row>
    <row r="6595">
      <c r="A6595" t="inlineStr">
        <is>
          <t>g6fah1</t>
        </is>
      </c>
      <c r="B6595" t="inlineStr">
        <is>
          <t>Does drinking water on an empty stomach cause cramping pain on upper right abdomen?</t>
        </is>
      </c>
      <c r="C6595" t="inlineStr">
        <is>
          <t>I'm male, early 30s with bmi of 22. I'm not sure if this has something to do with drinking too much water or drinking water on an empty stomach. Last week I had an upper GI test. Results said I had mild gerd and gastritis, slight sliding hiatal hernia. When I got home I drank water as advised by the tech to flush out the barium. A few minutes later, I had this dull pain on my upper right abdomen. This lasted for 3 days and putting warm compress helped a lot.
Today, I felt the same pain again. I drank 1/3rd of 8oz bottle of water because of the warm weather and then slowly I felt the pain on my abdomen increasing. I only ate a few table spoons of rice and vegetables for lunch today. Been on a strict diet of rice, fish, fruits and veggies since January when this started. I'm worried this might be a gallbladder issue but I won't be meeting my GI doctor until next month. I thought of asking you guys if you've dealt with something similar since I got diagnosed with mild gerd. Thank you!</t>
        </is>
      </c>
      <c r="D6595" t="n">
        <v>1</v>
      </c>
      <c r="E6595" t="n">
        <v>5</v>
      </c>
      <c r="F6595">
        <f>HYPERLINK("https://www.reddit.com/r/GERD/comments/g6fah1/does_drinking_water_on_an_empty_stomach_cause/")</f>
        <v/>
      </c>
      <c r="G6595" t="inlineStr">
        <is>
          <t>2020-04-22 20:15:53</t>
        </is>
      </c>
      <c r="H6595" t="inlineStr"/>
    </row>
    <row r="6596">
      <c r="A6596" t="inlineStr">
        <is>
          <t>g6faji</t>
        </is>
      </c>
      <c r="B6596" t="inlineStr">
        <is>
          <t>What can cause GERD to appear?</t>
        </is>
      </c>
      <c r="C6596" t="inlineStr">
        <is>
          <t>I understand how GERD works and how the symptoms are caused, but how does GERD come about? Like can it be lifestyle induced, genetic, or both? What sort of lifestyle would cause it? Could an eating disorder cause it?</t>
        </is>
      </c>
      <c r="D6596" t="n">
        <v>1</v>
      </c>
      <c r="E6596" t="n">
        <v>8</v>
      </c>
      <c r="F6596">
        <f>HYPERLINK("https://www.reddit.com/r/GERD/comments/g6faji/what_can_cause_gerd_to_appear/")</f>
        <v/>
      </c>
      <c r="G6596" t="inlineStr">
        <is>
          <t>2020-04-22 20:16:02</t>
        </is>
      </c>
      <c r="H6596" t="inlineStr"/>
    </row>
    <row r="6597">
      <c r="A6597" t="inlineStr">
        <is>
          <t>g6fozc</t>
        </is>
      </c>
      <c r="B6597" t="inlineStr">
        <is>
          <t>How should I raise my bed to alleviate nighttime GERD symptoms?</t>
        </is>
      </c>
      <c r="C6597" t="inlineStr">
        <is>
          <t>I have really bad GERD symptoms at night; bloating, gas, and burning above my stomach. My GI suggested raising the head of my bed a few inches with books or something similar. My predicament is that I sleep in a queen bed with my partner and I’m unsure how to raise my side of the bed without impacting his. I’ve thought about getting a wedge pillow but was told by my GI that it doesn’t help. 
My current situation is sitting up in bed with 2 pillows and numerous stuffed animals only to wake up in the middle of the night completely slumped over and having bad neck pain. 
Any advice is welcome and appreciated!</t>
        </is>
      </c>
      <c r="D6597" t="n">
        <v>1</v>
      </c>
      <c r="E6597" t="n">
        <v>16</v>
      </c>
      <c r="F6597">
        <f>HYPERLINK("https://www.reddit.com/r/GERD/comments/g6fozc/how_should_i_raise_my_bed_to_alleviate_nighttime/")</f>
        <v/>
      </c>
      <c r="G6597" t="inlineStr">
        <is>
          <t>2020-04-22 20:45:18</t>
        </is>
      </c>
      <c r="H6597" t="inlineStr"/>
    </row>
    <row r="6598">
      <c r="A6598" t="inlineStr">
        <is>
          <t>g6g1bx</t>
        </is>
      </c>
      <c r="B6598" t="inlineStr">
        <is>
          <t>No heartburn but GERD symptoms are ruining my life</t>
        </is>
      </c>
      <c r="C6598" t="inlineStr">
        <is>
          <t>Hey everyone, I've been at a loss with what to do with my GERD symptoms for almost a year now. I'm a 25 year old male. Last August 2019 I complained to my doctor about post nasal drip symptoms that have plagued me all my life. I thought they had increased in response to some spicy food I had eaten a few days before. They gave me some omeprazole which I had taken before, and I tried that. Not too long after taking it my symptoms got worse - I developed intense waterbrash symptoms and burping, which are still present today. Basically I hypersalivate, and constantly need to spit or swallow. Over time, the problem got worse, and I started to burp a lot, and sometimes regurgitate food. The salivation seemed to be linked both to when I was hungry (which seemed to be more often) and after eating, sometimes a bit after. The salivation would be less intense after burping a lot, so burping seems to help. What's curious is that despite all these symptoms, I don't have intense heartburn symptoms or pain like most people with GERD. This remains the case today.
I've tried so many ppis - omeprazole, dexilant, nexium, pantoprazole. I've tried Pepcid, Ranitidine, Gaviscon. I've tried betaine hcl and apple cider vinegar. Some of the these seemed to have slightly helped, nothing significantly. The salivation, regurgitation/burping, and increased hunger symptoms have all remained. Sometimes I also feel really warm. I've had an endo done, they only found a slightly inflamed stomach. I did a barium swallow and they found a small hiatal hernia. Trying to see if we can get a ph test done, but with Covid, that might take a bit. 
I'm wondering if anyone has had an experience similar to mine, where your main symptoms were hypersalivation + regurgitation/burping with no or little amounts of heartburn, and if so, how you've helped your symptoms. I'm at a loss here, and I'm not really sure what to do or how to improve my life, which these symptoms have really limited the quality of. Thanks.</t>
        </is>
      </c>
      <c r="D6598" t="n">
        <v>1</v>
      </c>
      <c r="E6598" t="n">
        <v>3</v>
      </c>
      <c r="F6598">
        <f>HYPERLINK("https://www.reddit.com/r/GERD/comments/g6g1bx/no_heartburn_but_gerd_symptoms_are_ruining_my_life/")</f>
        <v/>
      </c>
      <c r="G6598" t="inlineStr">
        <is>
          <t>2020-04-22 21:11:05</t>
        </is>
      </c>
      <c r="H6598" t="inlineStr"/>
    </row>
    <row r="6599">
      <c r="A6599" t="inlineStr">
        <is>
          <t>g6hdnj</t>
        </is>
      </c>
      <c r="B6599" t="inlineStr">
        <is>
          <t>Strange sensartion in the chest ,is this gerd ?</t>
        </is>
      </c>
      <c r="C6599" t="inlineStr">
        <is>
          <t>I feel my chest like is numb , lt  go all up to my throat  area, it feels like strange burning/pinching sensation, I  feel my esophagus gurgling, but the strange burning sensation feels weird, I been dealing with lpr for 6 months now, but I never experienced this, it feels like is developing in pure GERD now, the question is, is this symptom of gerd or it can be something else? Never experienced any heartburn in my life but this feel strange , is like a seldom burning in the chest area like a constan tingle , this could be possible gerd ?</t>
        </is>
      </c>
      <c r="D6599" t="n">
        <v>1</v>
      </c>
      <c r="E6599" t="n">
        <v>1</v>
      </c>
      <c r="F6599">
        <f>HYPERLINK("https://www.reddit.com/r/GERD/comments/g6hdnj/strange_sensartion_in_the_chest_is_this_gerd/")</f>
        <v/>
      </c>
      <c r="G6599" t="inlineStr">
        <is>
          <t>2020-04-22 23:02:29</t>
        </is>
      </c>
      <c r="H6599" t="inlineStr"/>
    </row>
    <row r="6600">
      <c r="A6600" t="inlineStr">
        <is>
          <t>g6j50n</t>
        </is>
      </c>
      <c r="B6600" t="inlineStr">
        <is>
          <t>New to GERD + accompanying anxiety (kinda ranty)</t>
        </is>
      </c>
      <c r="C6600" t="inlineStr">
        <is>
          <t>Hey all! So this might be long and I apologize but I’ve been wanting to ask some questions, get opinions from those also w GERD, and blow off a bit of steam!
MEDICATION: So I’ve had GERD since last December. The first thing I was given was 20mg of Omeprazole everyday. Things got relatively better as I slowly started doing more research and figuring what I can and can’t eat. Though it helped, omeprazole seems like a temporary solution and it’s long term effects really worried me, so last month I spoke to a Gastroenterologist and was prescribed 40mg of Famitidine (2x a day) seemingly with not much regard. I’m worried again about the long term effects of taking 80mg of famitidine daily (I believe most take 20mg). I’ve looked through this sub and not many people seemingly take it in such high dosage. Has anyone else done this and if so what was your experience? As of now it’s effectiveness (even in 80mg / day) is probably less than omeprazole (20mg / day). It’s hit or miss with me, and right now (for the past 2 days) I’m having a flare up that this famitidine isn’t assuaging one bit. 
ANXIETY/LIFESTYLE: GERD certainly isn’t the worst thing one can have but it’s frustrating. I’m 23 and am 130 pounds, and it seems like there isn’t any reason I should have this yet I do. So much sucks. I’ve already cut out so many foods and drinks from my life. I don’t even exercise because simply 5 min of me being on my skateboard (trying tricks which involves jumping) results I’m heart / stomach burn. If i eat too much, I get heartburn, but if I don’t eat much, then when I get hungry in 3 hours my acid starts to act up then too. I’ve even bought a proper head support cushion from Amazon and it hasn’t helped all that much. I feel bad for having to “make” those around me cater to what I can / can’t eat when we go out / do take out and my family seems to be annoyed by it to. It’s discouraging waking up because some mornings I feel some heartburn / stomach burn immediately. I feel like I’ve changed so much of my lifestyle and have yielded very little positive results for what I’ve given up. 
I was supposed to meet with this gastroenterologist and have an endoscopy (I think it’s called) but this COVID19 thing happened. Currently I have a bad flare up but am not sure what’s the cause, because sometimes it just happens when I’m hungry. 
TL;DR : How have you guys dealt with anxiety that comes with either GERD or the medications you take for it? Can anyone enlighten me on long term effects of Famitidine, or their experience taking 80mg of it each day?</t>
        </is>
      </c>
      <c r="D6600" t="n">
        <v>1</v>
      </c>
      <c r="E6600" t="n">
        <v>0</v>
      </c>
      <c r="F6600">
        <f>HYPERLINK("https://www.reddit.com/r/GERD/comments/g6j50n/new_to_gerd_accompanying_anxiety_kinda_ranty/")</f>
        <v/>
      </c>
      <c r="G6600" t="inlineStr">
        <is>
          <t>2020-04-23 01:43:51</t>
        </is>
      </c>
      <c r="H6600" t="inlineStr"/>
    </row>
    <row r="6601">
      <c r="A6601" t="inlineStr">
        <is>
          <t>g6juj6</t>
        </is>
      </c>
      <c r="B6601" t="inlineStr">
        <is>
          <t>PPIs and associated long term risks such as heart disease, kidney disease and stomach cancer -- thoughts?</t>
        </is>
      </c>
      <c r="C6601" t="inlineStr">
        <is>
          <t>Hi all, I guess I wanted to start a discussion about the long term risks of PPIs and peoples thoughts on the risk vs benefit of these drugs. I know this has been discussed before, but I was hoping to get a wide vsriety of thoughts in one location.
For context, I am 25 and have been on PPIs since January or February of 2019 -- so about a year and a half. Now, I know this is not long term use yet, but I have tried to ween off the medication on two or three occasions, but to no avail. Indigestion symptoms always come back. So, this leads me to believe that I am kind of stuck with this medication for the long haul, as I suspect my doctors would not be keen on a nissen fundo as my condition is not terribly severe when medicated.
I have read thst long term PPI use is linked to heart disease, stomach cancer, kidney disease as well as a host of deficiencies. So I am left wondering if I have to weigh up my chance of developing BE and/or esophageal cancer with possibly developing these other things. I intend on discussing this with my doctor, but I would like to wait until COVID has settled down.
So, with that, what are peoples thoughts? Does anyone have any inside information? Has anyone been on long term PPIs with no problems? And long term users WITH side effects?
Thanks in advance for any responses.</t>
        </is>
      </c>
      <c r="D6601" t="n">
        <v>1</v>
      </c>
      <c r="E6601" t="n">
        <v>28</v>
      </c>
      <c r="F6601">
        <f>HYPERLINK("https://www.reddit.com/r/GERD/comments/g6juj6/ppis_and_associated_long_term_risks_such_as_heart/")</f>
        <v/>
      </c>
      <c r="G6601" t="inlineStr">
        <is>
          <t>2020-04-23 02:49:13</t>
        </is>
      </c>
      <c r="H6601" t="inlineStr"/>
    </row>
    <row r="6602">
      <c r="A6602" t="inlineStr">
        <is>
          <t>g6k044</t>
        </is>
      </c>
      <c r="B6602" t="inlineStr">
        <is>
          <t>The insomnia from ppis is killing me.</t>
        </is>
      </c>
      <c r="C6602" t="inlineStr">
        <is>
          <t>At first I just thought I had a lot of new energy but now I’m waking after one our of sleep :|
Is there any way to combat this or do you have to suffer through it or just stop the ppis?</t>
        </is>
      </c>
      <c r="D6602" t="n">
        <v>1</v>
      </c>
      <c r="E6602" t="n">
        <v>6</v>
      </c>
      <c r="F6602">
        <f>HYPERLINK("https://www.reddit.com/r/GERD/comments/g6k044/the_insomnia_from_ppis_is_killing_me/")</f>
        <v/>
      </c>
      <c r="G6602" t="inlineStr">
        <is>
          <t>2020-04-23 03:03:33</t>
        </is>
      </c>
      <c r="H6602" t="inlineStr"/>
    </row>
    <row r="6603">
      <c r="A6603" t="inlineStr">
        <is>
          <t>g6l17p</t>
        </is>
      </c>
      <c r="B6603" t="inlineStr">
        <is>
          <t>Here is a technique that some have found helpful</t>
        </is>
      </c>
      <c r="C6603" t="inlineStr">
        <is>
          <t>Check it out as inspired.
https://m.youtube.com/watch?v=USgkSEy7rT8&amp;amp;list=WL&amp;amp;index=5&amp;amp;t=0s</t>
        </is>
      </c>
      <c r="D6603" t="n">
        <v>1</v>
      </c>
      <c r="E6603" t="n">
        <v>4</v>
      </c>
      <c r="F6603">
        <f>HYPERLINK("https://www.reddit.com/r/GERD/comments/g6l17p/here_is_a_technique_that_some_have_found_helpful/")</f>
        <v/>
      </c>
      <c r="G6603" t="inlineStr">
        <is>
          <t>2020-04-23 04:32:47</t>
        </is>
      </c>
      <c r="H6603" t="inlineStr"/>
    </row>
    <row r="6604">
      <c r="A6604" t="inlineStr">
        <is>
          <t>g6lpws</t>
        </is>
      </c>
      <c r="B6604" t="inlineStr">
        <is>
          <t>Needle in my arm</t>
        </is>
      </c>
      <c r="C6604" t="inlineStr">
        <is>
          <t>Getting my first ever endo in 20 minutes. They stuck the damn needle in my arm 35 minutes early. Nervous about what they're going to find (is everyone like that?). Trying to stay calm. Hope everyone is having a good morning.</t>
        </is>
      </c>
      <c r="D6604" t="n">
        <v>1</v>
      </c>
      <c r="E6604" t="n">
        <v>8</v>
      </c>
      <c r="F6604">
        <f>HYPERLINK("https://www.reddit.com/r/GERD/comments/g6lpws/needle_in_my_arm/")</f>
        <v/>
      </c>
      <c r="G6604" t="inlineStr">
        <is>
          <t>2020-04-23 05:26:38</t>
        </is>
      </c>
      <c r="H6604" t="inlineStr"/>
    </row>
    <row r="6605">
      <c r="A6605" t="inlineStr">
        <is>
          <t>g6mto4</t>
        </is>
      </c>
      <c r="B6605" t="inlineStr">
        <is>
          <t>Is there any negative consequences of taking h2 blockers long term?</t>
        </is>
      </c>
      <c r="C6605" t="inlineStr">
        <is>
          <t>I know it's not a good idea to take PPis long term, is there anything like that with h2 blockers?</t>
        </is>
      </c>
      <c r="D6605" t="n">
        <v>1</v>
      </c>
      <c r="E6605" t="n">
        <v>4</v>
      </c>
      <c r="F6605">
        <f>HYPERLINK("https://www.reddit.com/r/GERD/comments/g6mto4/is_there_any_negative_consequences_of_taking_h2/")</f>
        <v/>
      </c>
      <c r="G6605" t="inlineStr">
        <is>
          <t>2020-04-23 06:40:43</t>
        </is>
      </c>
      <c r="H6605" t="inlineStr"/>
    </row>
    <row r="6606">
      <c r="A6606" t="inlineStr">
        <is>
          <t>g6n2um</t>
        </is>
      </c>
      <c r="B6606" t="inlineStr">
        <is>
          <t>Weird taste in mouth, possibly GERD</t>
        </is>
      </c>
      <c r="C6606" t="inlineStr">
        <is>
          <t>So I recently just started getting this weird taste in my mouth, it feels like it comes from my throat to my mouth and tastes like bile. It comes and goes. The weird part is that I can’t really physically taste it, it’s really subtle but it’s definitely there. I also don’t get the burning sensation like heartburn usually gives me, so I don’t think it’s that, and I haven’t had any spicy meals lately. I’m 22 years old if that matters. I also take vitamin D and fish oil every day. Can this possibly be GERD?</t>
        </is>
      </c>
      <c r="D6606" t="n">
        <v>1</v>
      </c>
      <c r="E6606" t="n">
        <v>0</v>
      </c>
      <c r="F6606">
        <f>HYPERLINK("https://www.reddit.com/r/GERD/comments/g6n2um/weird_taste_in_mouth_possibly_gerd/")</f>
        <v/>
      </c>
      <c r="G6606" t="inlineStr">
        <is>
          <t>2020-04-23 06:56:21</t>
        </is>
      </c>
      <c r="H6606" t="inlineStr"/>
    </row>
    <row r="6607">
      <c r="A6607" t="inlineStr">
        <is>
          <t>g6n5um</t>
        </is>
      </c>
      <c r="B6607" t="inlineStr">
        <is>
          <t>Feeling hopeless (gerd, gastritis, now esophagitis)</t>
        </is>
      </c>
      <c r="C6607" t="inlineStr">
        <is>
          <t>I've had general GI issues for almost eight years now. For most of the time, it's just been gastritis and dyspepsia. Now, it's also esophagitis and some IBS symptoms. 
I have tried EVERYTHING, have gone to three different GIs, and still, have zero answers as to what is causing my issues. When I say I've tried everything, I really do mean everything: antibiotics for a one time detection of H.pylori, skin allergy testing that came up negative for everything, cutting things out of my diet, several endoscopies/colonoscopies, and almost every variation of omeprazole. 
A few months ago, I started dexilant for my esophagitis. However, a month and a half in, I was beginning to have diarrhea weekly, and was even gassier and in more pain from gastritis than before. Since stopping dexilant, those symptoms have mostly gone away, but now my acid reflux is back with a vengeance. I'm afraid to take dexilant again, and have some time before I can see my GI again. And, I DO sleep with a wedge pillow and have been for a few months now. It barely helps, and for the past couple of weeks I've been waking up with a sore, acid-y throat. I also don't go to bed until about four-five hours after I eat dinner. Still, I feel the acid when I'm about to go to bed, and constantly feel like I have to burp, especially at night.
Does anyone have any advice for hanging in there? Or anything that's really worked for them--especially for acid reflux, which has really, really been worrying me. 
Also, has anyone ever had a good GI--or specialist, functional, any other kind of doctor--that really tries to get at the root of the issue? Given my experience, I have lost almost all hope at easing my issues with medicine/GI techniques.</t>
        </is>
      </c>
      <c r="D6607" t="n">
        <v>1</v>
      </c>
      <c r="E6607" t="n">
        <v>6</v>
      </c>
      <c r="F6607">
        <f>HYPERLINK("https://www.reddit.com/r/GERD/comments/g6n5um/feeling_hopeless_gerd_gastritis_now_esophagitis/")</f>
        <v/>
      </c>
      <c r="G6607" t="inlineStr">
        <is>
          <t>2020-04-23 07:01:26</t>
        </is>
      </c>
      <c r="H6607" t="inlineStr"/>
    </row>
    <row r="6608">
      <c r="A6608" t="inlineStr">
        <is>
          <t>g6otue</t>
        </is>
      </c>
      <c r="B6608" t="inlineStr">
        <is>
          <t>Can this possibly be GERD?</t>
        </is>
      </c>
      <c r="C6608" t="inlineStr">
        <is>
          <t>So I recently just started getting this weird taste in my mouth, it feels like it comes from my throat to my mouth and tastes like bile. It comes and goes. The weird part is that I can’t really physically taste it, it’s really subtle but it’s definitely there. I also don’t get the burning sensation like heartburn usually gives me, so I don’t think it’s that, and I haven’t had any greasy spicy meals lately, but my diet isn’t the best. I’m 22 years old if that matters. I also take vitamin D and fish oil every day. What could this possibly be?</t>
        </is>
      </c>
      <c r="D6608" t="n">
        <v>1</v>
      </c>
      <c r="E6608" t="n">
        <v>1</v>
      </c>
      <c r="F6608">
        <f>HYPERLINK("https://www.reddit.com/r/GERD/comments/g6otue/can_this_possibly_be_gerd/")</f>
        <v/>
      </c>
      <c r="G6608" t="inlineStr">
        <is>
          <t>2020-04-23 08:35:59</t>
        </is>
      </c>
      <c r="H6608" t="inlineStr"/>
    </row>
    <row r="6609">
      <c r="A6609" t="inlineStr">
        <is>
          <t>g6phd3</t>
        </is>
      </c>
      <c r="B6609" t="inlineStr">
        <is>
          <t>Is famotidine safe to take?</t>
        </is>
      </c>
      <c r="C6609" t="inlineStr">
        <is>
          <t>I got prescribed this by my doctor since I’ve been having a lot of heartburn and sometimes feel a lump in my throat after I eat that makes it hard to breathe. I was just wondering is it safe to take? What are you guys experience with it? Any side effects?</t>
        </is>
      </c>
      <c r="D6609" t="n">
        <v>1</v>
      </c>
      <c r="E6609" t="n">
        <v>8</v>
      </c>
      <c r="F6609">
        <f>HYPERLINK("https://www.reddit.com/r/GERD/comments/g6phd3/is_famotidine_safe_to_take/")</f>
        <v/>
      </c>
      <c r="G6609" t="inlineStr">
        <is>
          <t>2020-04-23 09:11:42</t>
        </is>
      </c>
      <c r="H6609" t="inlineStr"/>
    </row>
    <row r="6610">
      <c r="A6610" t="inlineStr">
        <is>
          <t>g6pize</t>
        </is>
      </c>
      <c r="B6610" t="inlineStr">
        <is>
          <t>GERD symptoms or PPI side effects</t>
        </is>
      </c>
      <c r="C6610" t="inlineStr">
        <is>
          <t>Hi everyone I’m hoping someone can help me out cause I’m very new to all of this. I’ve had mild symptoms of GERD for a couple months now but I had no idea what it was and didn’t take it seriously.
Then about 3 weeks ago it got really bad I was having mainly silent reflux and stomach pain and not heartburn but it was so bad that I threw up a couple of times. It was constant and I tried everything gravol and gaviscon etc and they helped a little but it was still quite bad. Eventually I called my doctor and he diagnosed me with GERD over the phone because I can’t see him due to COVID-19 and he prescribed 20 mg of Mylan pantoprazole, which I’ve been taking for 2 weeks now. 
So here’s my problem since I started taking it things have gotten better but I have a lot of new issues that I didn’t have before and idk if these are just some symptoms of GERD that I’m still having or side effects of the PPI or what’s going on.
Other information: I am 22 years old, I have made almost all the recommended diet changes and lifestyle changes such as giving up smoking, coffee and alcohol.
List of symptoms before PPI:
Nausea 
Vomiting
Stomach pain
Sore throat 
Acid taste in mouth
Lump in throat feeling
Symptoms after taking PPI:
Chest pain like a sharp one in chest or ribs
Back pain
Fatigue
Dehydration especially when waking up
Lower abdominal pain and bloating
Stuffed nose
Headaches
Dizziness
So really any information about what’s going on here would be super helpful to a GERD newbie</t>
        </is>
      </c>
      <c r="D6610" t="n">
        <v>1</v>
      </c>
      <c r="E6610" t="n">
        <v>1</v>
      </c>
      <c r="F6610">
        <f>HYPERLINK("https://www.reddit.com/r/GERD/comments/g6pize/gerd_symptoms_or_ppi_side_effects/")</f>
        <v/>
      </c>
      <c r="G6610" t="inlineStr">
        <is>
          <t>2020-04-23 09:14:11</t>
        </is>
      </c>
      <c r="H6610" t="inlineStr"/>
    </row>
    <row r="6611">
      <c r="A6611" t="inlineStr">
        <is>
          <t>g6qgvo</t>
        </is>
      </c>
      <c r="B6611" t="inlineStr">
        <is>
          <t>TVP mince with barley malt and yeast extracts?</t>
        </is>
      </c>
      <c r="C6611" t="inlineStr">
        <is>
          <t>My husband has recently been diagnosed with GERD after an endoscopy and I am trying to find ways to cook for him that remain interesting while still in the “healing phase”. I wonder whether TVP mince with the ingredients being: Defatted soy flour, barley malt extract and yeast extract are OK for him to consume for his GERD. 
Thanks all!</t>
        </is>
      </c>
      <c r="D6611" t="n">
        <v>1</v>
      </c>
      <c r="E6611" t="n">
        <v>0</v>
      </c>
      <c r="F6611">
        <f>HYPERLINK("https://www.reddit.com/r/GERD/comments/g6qgvo/tvp_mince_with_barley_malt_and_yeast_extracts/")</f>
        <v/>
      </c>
      <c r="G6611" t="inlineStr">
        <is>
          <t>2020-04-23 10:06:02</t>
        </is>
      </c>
      <c r="H6611" t="inlineStr"/>
    </row>
    <row r="6612">
      <c r="A6612" t="inlineStr">
        <is>
          <t>g6r5vl</t>
        </is>
      </c>
      <c r="B6612" t="inlineStr">
        <is>
          <t>GERD and Covid19?</t>
        </is>
      </c>
      <c r="C6612" t="inlineStr">
        <is>
          <t>Has anyone here gone through coronavirus? I'm interested in knowing how GERD behaved, affected it and was affected by it.
(By the way, I think a pinned post for people to tell their stories would be nice.)</t>
        </is>
      </c>
      <c r="D6612" t="n">
        <v>1</v>
      </c>
      <c r="E6612" t="n">
        <v>16</v>
      </c>
      <c r="F6612">
        <f>HYPERLINK("https://www.reddit.com/r/GERD/comments/g6r5vl/gerd_and_covid19/")</f>
        <v/>
      </c>
      <c r="G6612" t="inlineStr">
        <is>
          <t>2020-04-23 10:43:29</t>
        </is>
      </c>
      <c r="H6612" t="inlineStr"/>
    </row>
    <row r="6613">
      <c r="A6613" t="inlineStr">
        <is>
          <t>g6s13o</t>
        </is>
      </c>
      <c r="B6613" t="inlineStr">
        <is>
          <t>Scheduled for an EGD</t>
        </is>
      </c>
      <c r="C6613" t="inlineStr">
        <is>
          <t>The past few weeks I have gone from really uncomfortable GERD symptoms to something even worse. I have pretty bad stabbing chest pains and tightness. The pains happen all over my chest, shoulder blades, back, sometimes down into the stomach but usually only on the right side. Chronic cough, sore throat, and a stuck feelings in throat and chest are regular, and it really feels like it is hard to breathe. Recently I started feeling sick after eating every time (even toast or something small) and it is hard to swallow, really hurting all the way down. I also feel fatigued and no appetite most of the time.  
Tuesday night it got so bad with the breathing feeling I just went to the ER. I had chest pains and tightness but I am getting used to those, but the breathing got to me. It felt so hard to breath and my lungs felt like they were burning in deep breaths. Ekg, blood work, chest X-ray, and ultrasounds of my kidney, liver, pancreases, gallbladder all came back negative for any issues. 
Yesterday my PCP ordered a consult with a gastroenterologist and an EDG. I’m assuming something is going on in my esophagus/upper stomach but not sure what. Maybe some damage from GERD? A blockage? I’m a little nervous for what they are going to find or if it will be something they can even do anything about, but I am at least hoping we get some answers. It is so bad, I am seriously considering going to an all liquid/smoothie type diet for a couple of weeks while I wait for some answers. The pain and nauseous just get so much worse after eating. Not sure the liquid diet will help the nauseous, but it may help the pain. 
Really hope I can get some answers, because this sucks, and it is also triggering panic attacks which make everything 10x worse.</t>
        </is>
      </c>
      <c r="D6613" t="n">
        <v>1</v>
      </c>
      <c r="E6613" t="n">
        <v>2</v>
      </c>
      <c r="F6613">
        <f>HYPERLINK("https://www.reddit.com/r/GERD/comments/g6s13o/scheduled_for_an_egd/")</f>
        <v/>
      </c>
      <c r="G6613" t="inlineStr">
        <is>
          <t>2020-04-23 11:30:35</t>
        </is>
      </c>
      <c r="H6613" t="inlineStr"/>
    </row>
    <row r="6614">
      <c r="A6614" t="inlineStr">
        <is>
          <t>g6t2yw</t>
        </is>
      </c>
      <c r="B6614" t="inlineStr">
        <is>
          <t>Feeling anxious &amp;amp; hopeless.. I have to get this off my chest.</t>
        </is>
      </c>
      <c r="C6614" t="inlineStr">
        <is>
          <t>I don’t want to sound dramatic but this COVID-19 anxiety is ruining my life. 
I was diagnosed with GERD only a month ago and still can’t tell if my symptoms are GERD or COVID-19. I was at the hospital yesterday due to a ruptured cyst on my right ovary. Being at the hospital and experiencing the symptoms I am scares me, I’m still new to all this GERD &amp;amp; ruptured cyst stuff. 
Whenever I eat anything I get nose congestion (it always goes away but scares me), my throat is always sore at some point during the day because of the GERD, my back and neck are sore, I get headaches, chills (I’m thinking because of cyst). It all goes away but when it’s there I hyperventilate just thinking I may have COVID-19.
I don’t know how much more of this I can take, I feel so anxious all the time, I live alone during this pandemic and am miles away from home. Is there any advice to handling all this stress? I’m beating myself up all the time over this.</t>
        </is>
      </c>
      <c r="D6614" t="n">
        <v>1</v>
      </c>
      <c r="E6614" t="n">
        <v>37</v>
      </c>
      <c r="F6614">
        <f>HYPERLINK("https://www.reddit.com/r/GERD/comments/g6t2yw/feeling_anxious_hopeless_i_have_to_get_this_off/")</f>
        <v/>
      </c>
      <c r="G6614" t="inlineStr">
        <is>
          <t>2020-04-23 12:26:06</t>
        </is>
      </c>
      <c r="H6614" t="inlineStr"/>
    </row>
    <row r="6615">
      <c r="A6615" t="inlineStr">
        <is>
          <t>g6tjwp</t>
        </is>
      </c>
      <c r="B6615" t="inlineStr">
        <is>
          <t>Tired</t>
        </is>
      </c>
      <c r="C6615" t="inlineStr">
        <is>
          <t>I guess this is a kind of vent post.
So I've been sick since February with symptoms that indicate gastritis or GERD, but since hospitals aren't attending special cases as mine ( GI cases) and just emergencies,kids and pregnant women, I haven't been able to get a diagnosis or exams. Doctors just sent me to take nexium for a week repetitive times and my last visit to ER on the 9th of April I was sent to take 30 days of nexium and 30 days of laxatives. (since February till today I've taken 48 pills of nexium, not concecutive sometimes, and ocaccionaly levosulpiride for the nausea but haven't taken this last one in about 2 weeks) 
I've been dealing with a lot of stress due to online college classes and works. 
Days ago I was starting to finally feel better (no nausea, just some gases and usually the reflux) and 2 days ago I started to feel ill again (having nausea again, Reflux, heatburn, gases, Fatigue, and I feel as if I had burned my tongue and throat ) even taking the medication and a bland diet... I'm so tired of this, right now I'm just wondering what triggered my symptoms again, since I haven't changed nothing... Idk if my symptoms are occurring due to the medication or stress... 
What do you guys do to give you hope when you are feeling as if there is no way out of this? :/</t>
        </is>
      </c>
      <c r="D6615" t="n">
        <v>1</v>
      </c>
      <c r="E6615" t="n">
        <v>3</v>
      </c>
      <c r="F6615">
        <f>HYPERLINK("https://www.reddit.com/r/GERD/comments/g6tjwp/tired/")</f>
        <v/>
      </c>
      <c r="G6615" t="inlineStr">
        <is>
          <t>2020-04-23 12:51:38</t>
        </is>
      </c>
      <c r="H6615" t="inlineStr"/>
    </row>
    <row r="6616">
      <c r="A6616" t="inlineStr">
        <is>
          <t>g6ufsg</t>
        </is>
      </c>
      <c r="B6616" t="inlineStr">
        <is>
          <t>Zantac Recall</t>
        </is>
      </c>
      <c r="C6616" t="inlineStr">
        <is>
          <t xml:space="preserve"> If you've taken Zantac for heartburn, you may have been exposed to harmful amounts of a cancer-causing chemical known as NDMA.  
Learn more, here: www.ZantacLawNY.com</t>
        </is>
      </c>
      <c r="D6616" t="n">
        <v>1</v>
      </c>
      <c r="E6616" t="n">
        <v>1</v>
      </c>
      <c r="F6616">
        <f>HYPERLINK("https://www.reddit.com/r/GERD/comments/g6ufsg/zantac_recall/")</f>
        <v/>
      </c>
      <c r="G6616" t="inlineStr">
        <is>
          <t>2020-04-23 13:38:42</t>
        </is>
      </c>
      <c r="H6616" t="inlineStr"/>
    </row>
    <row r="6617">
      <c r="A6617" t="inlineStr">
        <is>
          <t>g6up1v</t>
        </is>
      </c>
      <c r="B6617" t="inlineStr">
        <is>
          <t>Something I was thinking of recently</t>
        </is>
      </c>
      <c r="C6617" t="inlineStr">
        <is>
          <t>So my gerd tends to get bad after I eat and it’s getting really intense rn, it feels like I’m getting a lot of sharp pains in my chest area near where my heart is and I don’t like that feeling. I’m always thinking about a gerd surgery but idk if it’ll help with my situation, can someone help me out with this? If anyone has gotten a surgery like this for gerd did it help?</t>
        </is>
      </c>
      <c r="D6617" t="n">
        <v>1</v>
      </c>
      <c r="E6617" t="n">
        <v>3</v>
      </c>
      <c r="F6617">
        <f>HYPERLINK("https://www.reddit.com/r/GERD/comments/g6up1v/something_i_was_thinking_of_recently/")</f>
        <v/>
      </c>
      <c r="G6617" t="inlineStr">
        <is>
          <t>2020-04-23 13:52:41</t>
        </is>
      </c>
      <c r="H6617" t="inlineStr"/>
    </row>
    <row r="6618">
      <c r="A6618" t="inlineStr">
        <is>
          <t>g6uzjb</t>
        </is>
      </c>
      <c r="B6618" t="inlineStr">
        <is>
          <t>Diagnosed with GERD but thinking LPR?</t>
        </is>
      </c>
      <c r="C6618" t="inlineStr">
        <is>
          <t>I’m female/ 19yo 
I was at the hospital so many times for a lot of throat pains and tightness near my sternum area. It took nearly two months before they even suggested GERD 
they DID NOT give me an endoscopy or any testing just gave me medications to see if they’d help. The medications have stopped a handful of my symptoms; which I’m relieved about but there’s other symptoms that just seem to be amplified. 
When I eat my throat becomes so sore it feels like glass/fire I can barely even swallow water, I get nose congestion but it goes away right after the attack has gone, I’m not sure if anybody gets headaches but I do, neck/back pains, and sometimes trouble breathing. These symptoms have been here for nearly four weeks and will switch off and on. One day yogurt will be soothing and I’ll be fine eating it then the next yogurt is a trigger. 
Does this sound anyway related LPR? I don’t want a diagnoses I’m just trying to find a way to be one step ahead of my doctor and have an idea so I can be treated properly.</t>
        </is>
      </c>
      <c r="D6618" t="n">
        <v>1</v>
      </c>
      <c r="E6618" t="n">
        <v>4</v>
      </c>
      <c r="F6618">
        <f>HYPERLINK("https://www.reddit.com/r/GERD/comments/g6uzjb/diagnosed_with_gerd_but_thinking_lpr/")</f>
        <v/>
      </c>
      <c r="G6618" t="inlineStr">
        <is>
          <t>2020-04-23 14:08:29</t>
        </is>
      </c>
      <c r="H6618" t="inlineStr"/>
    </row>
    <row r="6619">
      <c r="A6619" t="inlineStr">
        <is>
          <t>g6v18o</t>
        </is>
      </c>
      <c r="B6619" t="inlineStr">
        <is>
          <t>Gerd or anxiety tightness of chest</t>
        </is>
      </c>
      <c r="C6619" t="inlineStr">
        <is>
          <t>Who else get that feeling? It feels like I am getting the tightest hug ever.... Feels kind of suffocating. This happens like every other day for about an hour or so.  Is this gerd or anxiety?</t>
        </is>
      </c>
      <c r="D6619" t="n">
        <v>1</v>
      </c>
      <c r="E6619" t="n">
        <v>1</v>
      </c>
      <c r="F6619">
        <f>HYPERLINK("https://www.reddit.com/r/GERD/comments/g6v18o/gerd_or_anxiety_tightness_of_chest/")</f>
        <v/>
      </c>
      <c r="G6619" t="inlineStr">
        <is>
          <t>2020-04-23 14:11:00</t>
        </is>
      </c>
      <c r="H6619" t="inlineStr"/>
    </row>
    <row r="6620">
      <c r="A6620" t="inlineStr">
        <is>
          <t>g6vo01</t>
        </is>
      </c>
      <c r="B6620" t="inlineStr">
        <is>
          <t>What Kind of meals do you guys eat?</t>
        </is>
      </c>
      <c r="C6620" t="inlineStr">
        <is>
          <t>I was just wondering because I think I could use some recommendations from y’all</t>
        </is>
      </c>
      <c r="D6620" t="n">
        <v>1</v>
      </c>
      <c r="E6620" t="n">
        <v>0</v>
      </c>
      <c r="F6620">
        <f>HYPERLINK("https://www.reddit.com/r/GERD/comments/g6vo01/what_kind_of_meals_do_you_guys_eat/")</f>
        <v/>
      </c>
      <c r="G6620" t="inlineStr">
        <is>
          <t>2020-04-23 14:45:54</t>
        </is>
      </c>
      <c r="H6620" t="inlineStr"/>
    </row>
    <row r="6621">
      <c r="A6621" t="inlineStr">
        <is>
          <t>g6vrjc</t>
        </is>
      </c>
      <c r="B6621" t="inlineStr">
        <is>
          <t>Arm pain</t>
        </is>
      </c>
      <c r="C6621" t="inlineStr">
        <is>
          <t>So i havent been offically diagnosed with gerd and getting a doctors appointment at this time ks a bit diffivult but i have all the symptoms, and was wondering if anyone else gets left shoulder pain radiating to their bicep its like a dull ache but not really painful, it sometimes goes to my forearm (but im putting tbe forearm mostly to being on my computer all the time) so i was just wondering if anyone else experiences this?</t>
        </is>
      </c>
      <c r="D6621" t="n">
        <v>1</v>
      </c>
      <c r="E6621" t="n">
        <v>4</v>
      </c>
      <c r="F6621">
        <f>HYPERLINK("https://www.reddit.com/r/GERD/comments/g6vrjc/arm_pain/")</f>
        <v/>
      </c>
      <c r="G6621" t="inlineStr">
        <is>
          <t>2020-04-23 14:51:23</t>
        </is>
      </c>
      <c r="H6621" t="inlineStr"/>
    </row>
    <row r="6622">
      <c r="A6622" t="inlineStr">
        <is>
          <t>g6y2cx</t>
        </is>
      </c>
      <c r="B6622" t="inlineStr">
        <is>
          <t>Is it normal to feel like hell all the time?</t>
        </is>
      </c>
      <c r="C6622" t="inlineStr">
        <is>
          <t>A few months ago I started noticing shortness of breath. Fast forward to last week, I saw an ENT who put me on omeprazole for acid reflux after taking a quick look at my throat. I also have been super healthy with my diet (eliminating processed and acidic foods) and do everything else suggested for GERD sufferers. 
And literally all day everyday, I feel this shortness of breath and lack of energy. I recently started burping more since starting the omeprazole, and think maybe it isn’t helping? Not entirely sure, but I wanted to see if you guys have been here before too. I’ve only been on omeprazole for about a week and was told it won’t start working until the 4 week mark. I want to jump for an endoscopy but since I was told to wait 4 weeks, I’m not sure how my doctor will handle that request. But I’m really at the end of my wits here. I can barely get a few words out without being slightly out of breath. And exercise is a total no-go for me. Please help :)</t>
        </is>
      </c>
      <c r="D6622" t="n">
        <v>1</v>
      </c>
      <c r="E6622" t="n">
        <v>7</v>
      </c>
      <c r="F6622">
        <f>HYPERLINK("https://www.reddit.com/r/GERD/comments/g6y2cx/is_it_normal_to_feel_like_hell_all_the_time/")</f>
        <v/>
      </c>
      <c r="G6622" t="inlineStr">
        <is>
          <t>2020-04-23 17:05:23</t>
        </is>
      </c>
      <c r="H6622" t="inlineStr"/>
    </row>
    <row r="6623">
      <c r="A6623" t="inlineStr">
        <is>
          <t>g6yf4r</t>
        </is>
      </c>
      <c r="B6623" t="inlineStr">
        <is>
          <t>Can anyone help</t>
        </is>
      </c>
      <c r="C6623" t="inlineStr">
        <is>
          <t>Wtf is wrong wit me is it gastric reflux? I been having heart burn for 3 days straight at first my throat jse to also swoll up and get inflammation now it doesnt do that i feel acid in my throat right now and im fukin scared</t>
        </is>
      </c>
      <c r="D6623" t="n">
        <v>1</v>
      </c>
      <c r="E6623" t="n">
        <v>4</v>
      </c>
      <c r="F6623">
        <f>HYPERLINK("https://www.reddit.com/r/GERD/comments/g6yf4r/can_anyone_help/")</f>
        <v/>
      </c>
      <c r="G6623" t="inlineStr">
        <is>
          <t>2020-04-23 17:27:37</t>
        </is>
      </c>
      <c r="H6623" t="inlineStr"/>
    </row>
    <row r="6624">
      <c r="A6624" t="inlineStr">
        <is>
          <t>g6yshe</t>
        </is>
      </c>
      <c r="B6624" t="inlineStr">
        <is>
          <t>smaller portions and ferquent meals</t>
        </is>
      </c>
      <c r="C6624" t="inlineStr">
        <is>
          <t>i have been suffering from GERD for last two months with pain and terrible stomach burns. 
A few things that have helped,  i have been eating very tiny portions, and frequent meals. Moreover bland food mostly just with salt helping me to recover.   I have cut down wheat and switched to rice as it faster digesting comparatively to wheat
Sadly the day i eat a little more above my portion i notice i get pain next day in the morning. 
Sometimes I feel sad how long will i have to live like this or eat bland and small portions all my life. Earlier I would do Intermittent Fasting. I really wish getting back to it some point of time in life.</t>
        </is>
      </c>
      <c r="D6624" t="n">
        <v>1</v>
      </c>
      <c r="E6624" t="n">
        <v>1</v>
      </c>
      <c r="F6624">
        <f>HYPERLINK("https://www.reddit.com/r/GERD/comments/g6yshe/smaller_portions_and_ferquent_meals/")</f>
        <v/>
      </c>
      <c r="G6624" t="inlineStr">
        <is>
          <t>2020-04-23 17:50:53</t>
        </is>
      </c>
      <c r="H6624" t="inlineStr"/>
    </row>
    <row r="6625">
      <c r="A6625" t="inlineStr">
        <is>
          <t>g6yx6l</t>
        </is>
      </c>
      <c r="B6625" t="inlineStr">
        <is>
          <t>A tip to my fellow gulpers!</t>
        </is>
      </c>
      <c r="C6625" t="inlineStr">
        <is>
          <t>Thought to share a new habbit I embraced. As a food shovel, I tend to eat very quickly. Clearly, I need to SLOW DOWN. 
One new rule I make, and it seems obvious, is no new bites from my fork or spoon while there is food in my mouth. 
This simple trick has been a great first step for me.</t>
        </is>
      </c>
      <c r="D6625" t="n">
        <v>1</v>
      </c>
      <c r="E6625" t="n">
        <v>13</v>
      </c>
      <c r="F6625">
        <f>HYPERLINK("https://www.reddit.com/r/GERD/comments/g6yx6l/a_tip_to_my_fellow_gulpers/")</f>
        <v/>
      </c>
      <c r="G6625" t="inlineStr">
        <is>
          <t>2020-04-23 17:59:10</t>
        </is>
      </c>
      <c r="H6625" t="inlineStr"/>
    </row>
    <row r="6626">
      <c r="A6626" t="inlineStr">
        <is>
          <t>g6z3nz</t>
        </is>
      </c>
      <c r="B6626" t="inlineStr">
        <is>
          <t>Wedge pillows</t>
        </is>
      </c>
      <c r="C6626" t="inlineStr">
        <is>
          <t>Can someone please help me with the sizes for wedge pillows? Is this one okay? 
https://www.ebay.co.uk/itm/Large-Acid-Reflux-Flex-Support-Bed-Wedge-Pillow-with-Luxury-Quilted-Cover/112715906665
Its 20" x 19" x 9" (51cm x 50cm x 23cm)</t>
        </is>
      </c>
      <c r="D6626" t="n">
        <v>1</v>
      </c>
      <c r="E6626" t="n">
        <v>7</v>
      </c>
      <c r="F6626">
        <f>HYPERLINK("https://www.reddit.com/r/GERD/comments/g6z3nz/wedge_pillows/")</f>
        <v/>
      </c>
      <c r="G6626" t="inlineStr">
        <is>
          <t>2020-04-23 18:10:55</t>
        </is>
      </c>
      <c r="H6626" t="inlineStr"/>
    </row>
    <row r="6627">
      <c r="A6627" t="inlineStr">
        <is>
          <t>g6zl56</t>
        </is>
      </c>
      <c r="B6627" t="inlineStr">
        <is>
          <t>Apple Cider Vinger</t>
        </is>
      </c>
      <c r="C6627" t="inlineStr">
        <is>
          <t>Has any one tried Apple Cider Vinger for GERD. and has it helped you? 
Can you please share how are u to have this before a meal... and does any gap needs to be kept here?</t>
        </is>
      </c>
      <c r="D6627" t="n">
        <v>1</v>
      </c>
      <c r="E6627" t="n">
        <v>3</v>
      </c>
      <c r="F6627">
        <f>HYPERLINK("https://www.reddit.com/r/GERD/comments/g6zl56/apple_cider_vinger/")</f>
        <v/>
      </c>
      <c r="G6627" t="inlineStr">
        <is>
          <t>2020-04-23 18:43:33</t>
        </is>
      </c>
      <c r="H6627" t="inlineStr"/>
    </row>
    <row r="6628">
      <c r="A6628" t="inlineStr">
        <is>
          <t>g70ish</t>
        </is>
      </c>
      <c r="B6628" t="inlineStr">
        <is>
          <t>Can this ever get better?</t>
        </is>
      </c>
      <c r="C6628" t="inlineStr">
        <is>
          <t>So I've been dealing with GERD symptoms for 2 years and at the suggestion of my neurologist, I'll finally be seeing a gastroenterologist for formal diagnosis. For whatever reason, in this past week, my symptoms have reached their worst point. I have a horrible taste in my mouth, constant burping and feeling acid in my throat, and slight shortness of breath. I guess this is somewhat of a vent but between MS, and psoriasis, I just can't mentally handle one more chronic condition that will never go away. I just want to have a day without acid ruining everything. Tums aren't doing shit. I took a round of Nexium back in February and it didn't do shit (not if I allowed it to be effective because I guess I wasn't taking before eating). 
Because of quarantine I'll have to speak to a doctor over the phone. Can they diagnose over the phone? Does anything ever make the symptoms actually go away long term? I'm so sick of this.</t>
        </is>
      </c>
      <c r="D6628" t="n">
        <v>1</v>
      </c>
      <c r="E6628" t="n">
        <v>4</v>
      </c>
      <c r="F6628">
        <f>HYPERLINK("https://www.reddit.com/r/GERD/comments/g70ish/can_this_ever_get_better/")</f>
        <v/>
      </c>
      <c r="G6628" t="inlineStr">
        <is>
          <t>2020-04-23 19:48:25</t>
        </is>
      </c>
      <c r="H6628" t="inlineStr"/>
    </row>
    <row r="6629">
      <c r="A6629" t="inlineStr">
        <is>
          <t>g71uk8</t>
        </is>
      </c>
      <c r="B6629" t="inlineStr">
        <is>
          <t>Anyone have a silent reflux w few symptoms</t>
        </is>
      </c>
      <c r="C6629" t="inlineStr">
        <is>
          <t>This is my experience w silent reflux
 -I went to a music festival and smoked 1 cigarette for first time and had drank a lot and also ate a bunch i wake up next morning with acidic taste and every time i’d swallow there’s a pop other than that i have no symptoms ever since then around 7 months ago constantly get this reflux no matter what time of day ppi or not i’ve tried i’m thinking the only way to stop is surgery i’ve tried diets and other things nexium hasn’t done anything has anyone</t>
        </is>
      </c>
      <c r="D6629" t="n">
        <v>1</v>
      </c>
      <c r="E6629" t="n">
        <v>1</v>
      </c>
      <c r="F6629">
        <f>HYPERLINK("https://www.reddit.com/r/GERD/comments/g71uk8/anyone_have_a_silent_reflux_w_few_symptoms/")</f>
        <v/>
      </c>
      <c r="G6629" t="inlineStr">
        <is>
          <t>2020-04-23 21:24:20</t>
        </is>
      </c>
      <c r="H6629" t="inlineStr"/>
    </row>
    <row r="6630">
      <c r="A6630" t="inlineStr">
        <is>
          <t>g72n8p</t>
        </is>
      </c>
      <c r="B6630" t="inlineStr">
        <is>
          <t>Pretty sure I have GERD</t>
        </is>
      </c>
      <c r="C6630" t="inlineStr">
        <is>
          <t>Tw: vomiting?
Hello everyone,
I am a 23 year old female. I had heartburn occasionally in my teens. In recent weeks my anxiety has been sky high and it looks like it triggered GERD. I have been gagging while drinking my morning coffee. I just threw up a little bit ago because of all the acid making me nauseous (all I did was stick my tongue out and it all came out. Gross, sorry). Prior to this I took 6 tums, drank a baking soda and water mix and the only thing that helped me was throwing up. The most recent thing that has happened to me is feeling like food is stuck at the base of my throat when swallowing. Is this a classic GERD symptom? Should I be concerned? I smoked for almost 10 years and was an "occasional" bulimic for 5 years (maybe threw up 10 times a year). Not sure if the smoking plus the bulimia is what caused the GERD but both of my parents have acid reflux. Does Prilosec help?</t>
        </is>
      </c>
      <c r="D6630" t="n">
        <v>1</v>
      </c>
      <c r="E6630" t="n">
        <v>0</v>
      </c>
      <c r="F6630">
        <f>HYPERLINK("https://www.reddit.com/r/GERD/comments/g72n8p/pretty_sure_i_have_gerd/")</f>
        <v/>
      </c>
      <c r="G6630" t="inlineStr">
        <is>
          <t>2020-04-23 22:28:05</t>
        </is>
      </c>
      <c r="H6630" t="inlineStr"/>
    </row>
    <row r="6631">
      <c r="A6631" t="inlineStr">
        <is>
          <t>g730lg</t>
        </is>
      </c>
      <c r="B6631" t="inlineStr">
        <is>
          <t>25 y/o male experiencing GERD symptoms</t>
        </is>
      </c>
      <c r="C6631" t="inlineStr">
        <is>
          <t>Hello, 
I haven’t eaten anything in the last 3 hours and never experienced GERD but all of a sudden I started to feel as though there was a lump in my throat along with small burping and stomach growling. My brother and father get bad acid reflux but I’ve never gotten it. I have been going through some tough times recently which is probably causing stress and anxiety. I heard this can cause these kind of problems. Can anyone give me some advice/ reasoning for this?</t>
        </is>
      </c>
      <c r="D6631" t="n">
        <v>1</v>
      </c>
      <c r="E6631" t="n">
        <v>3</v>
      </c>
      <c r="F6631">
        <f>HYPERLINK("https://www.reddit.com/r/GERD/comments/g730lg/25_yo_male_experiencing_gerd_symptoms/")</f>
        <v/>
      </c>
      <c r="G6631" t="inlineStr">
        <is>
          <t>2020-04-23 23:00:04</t>
        </is>
      </c>
      <c r="H6631" t="inlineStr"/>
    </row>
    <row r="6632">
      <c r="A6632" t="inlineStr">
        <is>
          <t>g732g6</t>
        </is>
      </c>
      <c r="B6632" t="inlineStr">
        <is>
          <t>Upper left chest pain that radiates to my back?</t>
        </is>
      </c>
      <c r="C6632" t="inlineStr">
        <is>
          <t>Is this a common thing to experience when it comes to GERD? 
&amp;amp;#x200B;
Before you assume its my heart, I've already been to the ER for other reasons and have been told my heart is perfectly normal.</t>
        </is>
      </c>
      <c r="D6632" t="n">
        <v>1</v>
      </c>
      <c r="E6632" t="n">
        <v>1</v>
      </c>
      <c r="F6632">
        <f>HYPERLINK("https://www.reddit.com/r/GERD/comments/g732g6/upper_left_chest_pain_that_radiates_to_my_back/")</f>
        <v/>
      </c>
      <c r="G6632" t="inlineStr">
        <is>
          <t>2020-04-23 23:04:24</t>
        </is>
      </c>
      <c r="H6632" t="inlineStr"/>
    </row>
    <row r="6633">
      <c r="A6633" t="inlineStr">
        <is>
          <t>g73ftj</t>
        </is>
      </c>
      <c r="B6633" t="inlineStr">
        <is>
          <t>Who else gets these indigestion-like symptoms? (IBS?)</t>
        </is>
      </c>
      <c r="C6633" t="inlineStr">
        <is>
          <t>I was diagnosed with GERD about 7 years ago. I was 21 at the time. An endoscopy indicated esophaghitis. Then 3 years later, the gastro congratulated me because the second endoscopy showed healing. 
Great. But I still felt like crap. And to this day I've been battling the typical symptoms of GERD. With PPI on and off, in periods. 
Anyway, the latest is stomach pain. I identify it with indigestion. Theres some bloating, nausea at times, and pain in the upper belly. I started taking PPIs again, along with carafate, but the pain persist. 
I've noticed it's worse when my stomach is empty. If I eat something light, the pain lessens significantly. But if I eat something hard or heavy, I might get more pain.  So, I went to a doctor (not a gastro) and he said that it seems like Irritable Bowel Syndrome to him. 
However, I dont think I have IBS symptoms. I do get some weird painless contractions on my intestines sometimes but I have normal bowel movement. I also go regularly and dont typically feel pain in the lower belly. 
Yet, he said that it could be IBS. What gives? 
Has anybody else here been through something like this? My stomach still hurts and it worries me a bit.</t>
        </is>
      </c>
      <c r="D6633" t="n">
        <v>1</v>
      </c>
      <c r="E6633" t="n">
        <v>3</v>
      </c>
      <c r="F6633">
        <f>HYPERLINK("https://www.reddit.com/r/GERD/comments/g73ftj/who_else_gets_these_indigestionlike_symptoms_ibs/")</f>
        <v/>
      </c>
      <c r="G6633" t="inlineStr">
        <is>
          <t>2020-04-23 23:35:56</t>
        </is>
      </c>
      <c r="H6633" t="inlineStr"/>
    </row>
    <row r="6634">
      <c r="A6634" t="inlineStr">
        <is>
          <t>g74b9t</t>
        </is>
      </c>
      <c r="B6634" t="inlineStr">
        <is>
          <t>Anxiety and GERD during these times. Here is what I have been doing.</t>
        </is>
      </c>
      <c r="C6634" t="inlineStr">
        <is>
          <t>Hi! I saw a post earlier about how anxiety is triggering a lot of problems related with GERD and the stomach in general, and what can you do to bare it. 
I thought I could share what I answered because maybe can help some of you :). 
---
5 weeks ago I was diagnosed too with GERD. I have this crazy heartburn which doesn't go away no matter what. 
But at some point I came to realize that IT IS MOSTLY ANXIETY. We are living crazy times. Im working very hard to trying to calm down and telling myself that I'm not dying of this. 
Here is what I have been doing for the last week and I have improved a lot. 
1. Breathing excercises: 
Our breathing tells a lot to our body, even if our mind feels calm. By the way we breathe we can be telling our body we are tired or even scared.
We have to tell our body that we are Ok. 
Try following breathing excercises (I do one that is 5 inhales and exhales per minute) for twenty minutes at least two times a day. I do them in the morning and in the evening. If you want, write to me and I can send you the audio I follow :). If very soothing and relaxing. 
2. Follow the diet and meds, be patient:
This has been a struggle for me really. 
It is important to understand that this kind of illnesses and treatments are very very long. If you don't see them working in a couple of weeks or you have worst days than others it's ok, you have to follow through and learn to be patient. 
I have been having nervous breakdowns every two weeks because the treatment is not working, but I have all my confidence put in the fact that in two weeks I'll be better than ever, and if not, it's ok, it's a process of at least 3 months. I will have to pull through. Even though the food is terrible and I would kill for a chocolate cookie haha. 
*Follow your process: 
I decided to create in Excel a daily chart for my syntoms, where I put the hours of the day (morning, noon, afternoon, evening, night), the level of heartburn for each of the hours and the things I have eaten during the day. So I can clearly see my improvements or what kinds of food triggers me the most. I used to not know if the past weeks were better or not, it is very confusing to mentally keep track of all of it, and that can lead also to anxiety, so having a chart can really help to see that you are in fact, moving forward. 
3. Don't focus just on the syntoms but in the cause too: 
So we know we are living very difficult times. It's ok and completely normal to be anxious. I live alone, but hey, at least I have plenty of food, I can work from home, etc. Don't get me wrong, it's ok to be grateful, but it is not ok to skip the scary parts too. Try thinking and identifying which are the things that make you anxious: In my case, I am living in Italy, and things have been very tough around here. I am not Italian, so I am alone in a country where people are dying by hundreds a day. That is pretty scary, even if I don't think I will get coronavirus and die. Recognize and embrace all of those scary things and work from there. I promise you this takes off a huge weight from your shoulders. 
4. Get a little extra help:
I know it may sound super easy to say yeah I'm anxious I discovered it so I can stop now. But in real life is very very hard. Most of my stress these last few days comes from "how do I stop feeling this way in order to make my body heal". If you are like me and you don't seem to easily find that peace of mind, I suggest you to contact your psychiatrist to tell her/him about your situation. Maybe they can recommend a medicine that will help you relax during those panic attacks or anxiety episodes. 
What is important here is not to follow a long-term treatment with anxiolitocs but to just give yourself some feel good moments that will allow you to think "it's ok, I will get though, I won't die from this". 
Of course sometimes there are not medicines or doctors available, such as my case. I haven't been able to go to the doctor and my psychiatrist is from my country so her prescriptions are invalid here :(.
So, in the meantime I have tried something interesting which have been giving me results: 
CBD oil (I am taking 10%). I decided to try medical cannabis to treat those mean anxiety attacks and it has been working. I decided to go with oil because of GERD, so you just take 2 or 3 drops and that is it. Your body relaxes and so your mind can rest too. 
It is important to mention that I made sure is pure CBD, because THC can trigger your mind and your anxiety too. 
--- --- 
These are the things I have been trying, and I have to say that of course still scares me the fact that I may not get completely better, but I am more confident and ever, and I have really seen an improvement (because of the chart). 
I hope this can help you, I know this is a very hard process, specially when your body seems not to be on your side. As it wasn't hard enough haha. Try finding your own balance, maybe my suggestions can help you. 
Be strong and be safe. If you want to talk, please contact me, I know I could use it too.</t>
        </is>
      </c>
      <c r="D6634" t="n">
        <v>1</v>
      </c>
      <c r="E6634" t="n">
        <v>3</v>
      </c>
      <c r="F6634">
        <f>HYPERLINK("https://www.reddit.com/r/GERD/comments/g74b9t/anxiety_and_gerd_during_these_times_here_is_what/")</f>
        <v/>
      </c>
      <c r="G6634" t="inlineStr">
        <is>
          <t>2020-04-24 00:49:49</t>
        </is>
      </c>
      <c r="H6634" t="inlineStr"/>
    </row>
    <row r="6635">
      <c r="A6635" t="inlineStr">
        <is>
          <t>g79588</t>
        </is>
      </c>
      <c r="B6635" t="inlineStr">
        <is>
          <t>Burning/Hot All Over Body</t>
        </is>
      </c>
      <c r="C6635" t="inlineStr">
        <is>
          <t>I was diagnosed with gastritis about 2 months ago after being admitted to the hospital for not being able to swallow and being extremely malnourished. I had an endoscopy, they found it and diagnosed me. I was on an off an on liquid diet for a bit. I’m taking PPIs but it doesn’t seem to be doing much, it’s like it’s always inflamed no matter what I cut out of my diet and how much i avoid what i’m supposed to. I’m still young, so this is very scary to me. I’m also a hypochondriac, so that makes it worse. I don’t just feel inflamed in my stomach, it’s like a hot burning feeling all over my body. Is this normal? Does anybody else feel hot all over their body too? Any tips to cool down flare ups and heat?</t>
        </is>
      </c>
      <c r="D6635" t="n">
        <v>1</v>
      </c>
      <c r="E6635" t="n">
        <v>8</v>
      </c>
      <c r="F6635">
        <f>HYPERLINK("https://www.reddit.com/r/GERD/comments/g79588/burninghot_all_over_body/")</f>
        <v/>
      </c>
      <c r="G6635" t="inlineStr">
        <is>
          <t>2020-04-24 07:17:13</t>
        </is>
      </c>
      <c r="H6635" t="inlineStr"/>
    </row>
    <row r="6636">
      <c r="A6636" t="inlineStr">
        <is>
          <t>g79f94</t>
        </is>
      </c>
      <c r="B6636" t="inlineStr">
        <is>
          <t>Yoga &amp;amp; GERD</t>
        </is>
      </c>
      <c r="C6636" t="inlineStr">
        <is>
          <t>Has anybody tried yoga? And does it help with GERD at all? I was told by a couple doctors that yoga would be perfect but would like to see if yoga has actually helped anybody. Please comment below ☺️</t>
        </is>
      </c>
      <c r="D6636" t="n">
        <v>1</v>
      </c>
      <c r="E6636" t="n">
        <v>3</v>
      </c>
      <c r="F6636">
        <f>HYPERLINK("https://www.reddit.com/r/GERD/comments/g79f94/yoga_gerd/")</f>
        <v/>
      </c>
      <c r="G6636" t="inlineStr">
        <is>
          <t>2020-04-24 07:33:48</t>
        </is>
      </c>
      <c r="H6636" t="inlineStr"/>
    </row>
    <row r="6637">
      <c r="A6637" t="inlineStr">
        <is>
          <t>g79hoi</t>
        </is>
      </c>
      <c r="B6637" t="inlineStr">
        <is>
          <t>Pressure on both sides??</t>
        </is>
      </c>
      <c r="C6637" t="inlineStr">
        <is>
          <t>Have any of you had an uncomfortable pressure just under your ribs on both sides from GERD? I had full blood tests and ultrasound and nothing showed that it could be any kind of organ infection/etc. If so what helps?</t>
        </is>
      </c>
      <c r="D6637" t="n">
        <v>1</v>
      </c>
      <c r="E6637" t="n">
        <v>3</v>
      </c>
      <c r="F6637">
        <f>HYPERLINK("https://www.reddit.com/r/GERD/comments/g79hoi/pressure_on_both_sides/")</f>
        <v/>
      </c>
      <c r="G6637" t="inlineStr">
        <is>
          <t>2020-04-24 07:37:46</t>
        </is>
      </c>
      <c r="H6637" t="inlineStr"/>
    </row>
    <row r="6638">
      <c r="A6638" t="inlineStr">
        <is>
          <t>g7b5s9</t>
        </is>
      </c>
      <c r="B6638" t="inlineStr">
        <is>
          <t>GERD Ranitidine 300mg Omeprazole 20mg Pantoprazole 40</t>
        </is>
      </c>
      <c r="C6638" t="inlineStr">
        <is>
          <t>I had GERD since 13 but never knew it was GERD. I just ignored it pretty much my whole life until recently. I’m 40 years old. I had still going sensations in the heart area, tingling arms when waking up, acidic substance-like liquid filling my throat in the morning. Fluttering breath once in a while, breathing problems, anxiety from certain foods, weird tension like headaches where it would feel like a whole on the top left of my head, maybe sinus related not sure. Anywho 6 months ago doctors had me on a Ranitidine 300mg worked marvelously. Took one at night. He wanted me to take Prilosec 40mg and then Ranitidine 300mg. I didn’t wake the Prilosec 40mg because I thought it was too many medicine. I didn’t accept the docs advice and just took ranitidine 300mg for 3 months. Worked great, I ate anything I wanted, strenuous exercise regularly, however if I go overboard on the exercise I get something that seems like angina. Anywho 6 months on rainiditne I was feeing good. I can even lay down immediately after eating and taking a ranitidine. Soon enough the ranitidine got recalled so I stopped taking any medication. Consistent exercise seemed to have healed it. Then occasionally I’d have an episode where I can feel the acid in my heart. But it was bearable. Fast forward to today, cov-id and unable to exercise i was not exercising for 4 weeks and then I got a panic attack. Also my stomach would feel cold every 3-4 days and I would shiver like crazy when that was the case. Then I would take a tums and the shivers would go away. Anywho went to the urgent care and they prescribed omeprazole 20mg. It took 4 days for it to start working and then after 3 days later it stopped working well and I started to feel the old symptoms. Went back to the urgent care and got 40mg of Pantoprazole. Seems to be working but not super duper good. Just well enough to get by. I need advice on what to do next because eventually this Pantoprazole 40mg will poop out too.</t>
        </is>
      </c>
      <c r="D6638" t="n">
        <v>1</v>
      </c>
      <c r="E6638" t="n">
        <v>9</v>
      </c>
      <c r="F6638">
        <f>HYPERLINK("https://www.reddit.com/r/GERD/comments/g7b5s9/gerd_ranitidine_300mg_omeprazole_20mg/")</f>
        <v/>
      </c>
      <c r="G6638" t="inlineStr">
        <is>
          <t>2020-04-24 09:12:09</t>
        </is>
      </c>
      <c r="H6638" t="inlineStr"/>
    </row>
    <row r="6639">
      <c r="A6639" t="inlineStr">
        <is>
          <t>g7cn9o</t>
        </is>
      </c>
      <c r="B6639" t="inlineStr">
        <is>
          <t>Can someone please help?</t>
        </is>
      </c>
      <c r="C6639" t="inlineStr">
        <is>
          <t>Literally everything I eat feels irritating to me, I’m planning on baking salmon later and want to know the best way to make it to lower the possibly having side effects from it. 
It would be so appreciated!! ☺️</t>
        </is>
      </c>
      <c r="D6639" t="n">
        <v>1</v>
      </c>
      <c r="E6639" t="n">
        <v>25</v>
      </c>
      <c r="F6639">
        <f>HYPERLINK("https://www.reddit.com/r/GERD/comments/g7cn9o/can_someone_please_help/")</f>
        <v/>
      </c>
      <c r="G6639" t="inlineStr">
        <is>
          <t>2020-04-24 10:32:34</t>
        </is>
      </c>
      <c r="H6639" t="inlineStr"/>
    </row>
    <row r="6640">
      <c r="A6640" t="inlineStr">
        <is>
          <t>g7efuf</t>
        </is>
      </c>
      <c r="B6640" t="inlineStr">
        <is>
          <t>Can heartburn be in the form of only chest pain?</t>
        </is>
      </c>
      <c r="C6640" t="inlineStr">
        <is>
          <t>I get these pains that last maybe 2-5 seconds just left of my right pectoral. they occur throughout the day without any of the normal symptoms i normal associate with heartburn. My dr said its probably acid reflux and gave me famotidine which i feels help but doesnt get rid of it all together. I tried omeprazole and after a couple days the pain was gone (i did the 14 day treatment) but after about 1-2 months its back again. 
Does anyone else have only chest pains on the right side? Abd how often can i take omeprazole? i believe the packaging says to take it every 4 months.
&amp;amp;#x200B;
Thank you</t>
        </is>
      </c>
      <c r="D6640" t="n">
        <v>1</v>
      </c>
      <c r="E6640" t="n">
        <v>17</v>
      </c>
      <c r="F6640">
        <f>HYPERLINK("https://www.reddit.com/r/GERD/comments/g7efuf/can_heartburn_be_in_the_form_of_only_chest_pain/")</f>
        <v/>
      </c>
      <c r="G6640" t="inlineStr">
        <is>
          <t>2020-04-24 12:06:13</t>
        </is>
      </c>
      <c r="H6640" t="inlineStr"/>
    </row>
    <row r="6641">
      <c r="A6641" t="inlineStr">
        <is>
          <t>g7f8xv</t>
        </is>
      </c>
      <c r="B6641" t="inlineStr">
        <is>
          <t>trouble swallowing food?</t>
        </is>
      </c>
      <c r="C6641" t="inlineStr">
        <is>
          <t>I’ve had GERD and LPR for a long time but last summer is when it started getting really bad. then it would subside then it would come back. 
it funnily enough seems to get worse with every break up i have (in this case 2) my first break up in april 2019 it got really bad i was losing weight had sore throats etc but now at this break up a year later it’s getting to the point where i get confused and think i’m virally sick my throat hurts so often. at this point my entire esophagus burns like a feeling i haven’t felt before, coughing occasionally but the burning actually is in my nose and pharynx and ears like it has been before but much worse. now i’m even having a hard time swallowing, food and mucus seem to stick to and get stuck in my throat. 
i had a strep like (we don’t know if it was actually strep but i had massive white pockets on my tonsils that were turning dark, had all the strep symptoms) illness on and off for weeks and i’m finally taking a z-pac for it so maybe that’s adding to it but my throat hurting makes me so miserable and anxious because i just feel like i’m sick.</t>
        </is>
      </c>
      <c r="D6641" t="n">
        <v>1</v>
      </c>
      <c r="E6641" t="n">
        <v>2</v>
      </c>
      <c r="F6641">
        <f>HYPERLINK("https://www.reddit.com/r/GERD/comments/g7f8xv/trouble_swallowing_food/")</f>
        <v/>
      </c>
      <c r="G6641" t="inlineStr">
        <is>
          <t>2020-04-24 12:49:58</t>
        </is>
      </c>
      <c r="H6641" t="inlineStr"/>
    </row>
    <row r="6642">
      <c r="A6642" t="inlineStr">
        <is>
          <t>g7fk3v</t>
        </is>
      </c>
      <c r="B6642" t="inlineStr">
        <is>
          <t>Why do some people have GERD and others dont, even though they are eating the same foods?</t>
        </is>
      </c>
      <c r="C6642" t="inlineStr">
        <is>
          <t>Can someone please explain to me this... How can you almost get two identical people (they are eating the same, same weight, activity level) and one has GERD and other doesn't? To me it's ridicilous how everyone is suggesting diet changes to treat GERD. Sure it may work, but shouldn't we all be looking at what causes GERD? And not to treat symptoms? GERD is a very weird disease, and I think a lot of people in medical field dont give it enough attention, they all just saying the same basic things like you should eat this, avoid this, do this, lose weight. But how the hell anyone in their right minds could eat carrots and other healthy shit just to treat symptoms? GERD is a chronic  disease and once you don't pay any attention to what you eat GERD will come back, so that means eating "healthy" and just hating your life until the day you die.</t>
        </is>
      </c>
      <c r="D6642" t="n">
        <v>1</v>
      </c>
      <c r="E6642" t="n">
        <v>7</v>
      </c>
      <c r="F6642">
        <f>HYPERLINK("https://www.reddit.com/r/GERD/comments/g7fk3v/why_do_some_people_have_gerd_and_others_dont_even/")</f>
        <v/>
      </c>
      <c r="G6642" t="inlineStr">
        <is>
          <t>2020-04-24 13:06:57</t>
        </is>
      </c>
      <c r="H6642" t="inlineStr"/>
    </row>
    <row r="6643">
      <c r="A6643" t="inlineStr">
        <is>
          <t>g7gawb</t>
        </is>
      </c>
      <c r="B6643" t="inlineStr">
        <is>
          <t>Where can I purchase gaviscon advance in Canada/north America?</t>
        </is>
      </c>
      <c r="C6643" t="inlineStr">
        <is>
          <t>As the title says. Trying to find a place online to purchase gaviscon advance and ship it to Canada.
I saw a bunch of ebay postings from Malaysia? Are those legit and safe?</t>
        </is>
      </c>
      <c r="D6643" t="n">
        <v>1</v>
      </c>
      <c r="E6643" t="n">
        <v>8</v>
      </c>
      <c r="F6643">
        <f>HYPERLINK("https://www.reddit.com/r/GERD/comments/g7gawb/where_can_i_purchase_gaviscon_advance_in/")</f>
        <v/>
      </c>
      <c r="G6643" t="inlineStr">
        <is>
          <t>2020-04-24 13:47:51</t>
        </is>
      </c>
      <c r="H6643" t="inlineStr"/>
    </row>
    <row r="6644">
      <c r="A6644" t="inlineStr">
        <is>
          <t>g7ghss</t>
        </is>
      </c>
      <c r="B6644" t="inlineStr">
        <is>
          <t>To those who took Zantac daily for years</t>
        </is>
      </c>
      <c r="C6644" t="inlineStr">
        <is>
          <t>What are we supposed to do?  With the recall being so recent and no real information on the risk of getting cancer, are we just supposed to wait it out?  I'm pretty scared about this whole situation.  What are my chances of getting cancer if I took it daily for 2 years?  When will we know more about the side effects of this drug or will we ever even find out?</t>
        </is>
      </c>
      <c r="D6644" t="n">
        <v>1</v>
      </c>
      <c r="E6644" t="n">
        <v>7</v>
      </c>
      <c r="F6644">
        <f>HYPERLINK("https://www.reddit.com/r/GERD/comments/g7ghss/to_those_who_took_zantac_daily_for_years/")</f>
        <v/>
      </c>
      <c r="G6644" t="inlineStr">
        <is>
          <t>2020-04-24 13:58:25</t>
        </is>
      </c>
      <c r="H6644" t="inlineStr"/>
    </row>
    <row r="6645">
      <c r="A6645" t="inlineStr">
        <is>
          <t>g7gxj4</t>
        </is>
      </c>
      <c r="B6645" t="inlineStr">
        <is>
          <t>80 mg Prilosec a day for 4 months</t>
        </is>
      </c>
      <c r="C6645" t="inlineStr">
        <is>
          <t>Had GERD out of nowhere late last December.   Went to the ER because I had no idea what was going on.  I am now on 40 mg Prilosec in the morning and 40 mg before bed.   Still have heartburn almost everyday.  
Have a over the phone appointment with Gastro next Tuesday.  
Really starting to freak out.   28 male overall healthy.  Don’t drink and just quit dipping 3 weeks ago.  Hopefully something eases up soon</t>
        </is>
      </c>
      <c r="D6645" t="n">
        <v>1</v>
      </c>
      <c r="E6645" t="n">
        <v>15</v>
      </c>
      <c r="F6645">
        <f>HYPERLINK("https://www.reddit.com/r/GERD/comments/g7gxj4/80_mg_prilosec_a_day_for_4_months/")</f>
        <v/>
      </c>
      <c r="G6645" t="inlineStr">
        <is>
          <t>2020-04-24 14:22:32</t>
        </is>
      </c>
      <c r="H6645" t="inlineStr"/>
    </row>
    <row r="6646">
      <c r="A6646" t="inlineStr">
        <is>
          <t>g7i38m</t>
        </is>
      </c>
      <c r="B6646" t="inlineStr">
        <is>
          <t>Gerd/LPR attacks are skyrocketing these days</t>
        </is>
      </c>
      <c r="C6646" t="inlineStr">
        <is>
          <t>I know that is very well known that gerd/lpr  increase/or get triggered by anxiety, do you think is a good think to use antianxiety medicines to somehow control or reverse in the beggining states this thing?</t>
        </is>
      </c>
      <c r="D6646" t="n">
        <v>1</v>
      </c>
      <c r="E6646" t="n">
        <v>4</v>
      </c>
      <c r="F6646">
        <f>HYPERLINK("https://www.reddit.com/r/GERD/comments/g7i38m/gerdlpr_attacks_are_skyrocketing_these_days/")</f>
        <v/>
      </c>
      <c r="G6646" t="inlineStr">
        <is>
          <t>2020-04-24 15:29:00</t>
        </is>
      </c>
      <c r="H6646" t="inlineStr"/>
    </row>
    <row r="6647">
      <c r="A6647" t="inlineStr">
        <is>
          <t>g7j9t9</t>
        </is>
      </c>
      <c r="B6647" t="inlineStr">
        <is>
          <t>Barium swallow?</t>
        </is>
      </c>
      <c r="C6647" t="inlineStr">
        <is>
          <t>I’ve been having trouble swallowing and my doctor wants to do either an endoscopy or a barium swallow. She’s pushing for the barium swallow right now since it’s less invasive, but I’m terrified. I have a really hard time with certain textures/tastes, so I’m worried I’ll have a really hard time drinking it or start gagging or something. I’m also worried that it will make me feel sick (I have a phobia of throwing up). Honestly, I would prefer to skip straight to the endoscopy haha. But, for anyone who has had to do a barium swallow: how was it? did the barium solution make you feel sick? What does it taste like?</t>
        </is>
      </c>
      <c r="D6647" t="n">
        <v>1</v>
      </c>
      <c r="E6647" t="n">
        <v>9</v>
      </c>
      <c r="F6647">
        <f>HYPERLINK("https://www.reddit.com/r/GERD/comments/g7j9t9/barium_swallow/")</f>
        <v/>
      </c>
      <c r="G6647" t="inlineStr">
        <is>
          <t>2020-04-24 16:40:15</t>
        </is>
      </c>
      <c r="H6647" t="inlineStr"/>
    </row>
    <row r="6648">
      <c r="A6648" t="inlineStr">
        <is>
          <t>g7jmr2</t>
        </is>
      </c>
      <c r="B6648" t="inlineStr">
        <is>
          <t>Very unsure</t>
        </is>
      </c>
      <c r="C6648" t="inlineStr">
        <is>
          <t>I’m a 21F and I’m really beside myself whether this is GERD or not? Although I have eliminated all other possibilities of health conditions. I’ve been scoped both ends, laparoscopy, multiple blood tests, CT scans, ultrasounds, ECGs, X-rays as I’ve been desperate for an answer to why I feel the way I do EVERY SINGLE DAY. 
Last February 2019, I would occasionally wake up very off and nauseous in the mornings... I had this feeling in my throat like thick mucous and it made me not want to eat. I lost a few kg over the course of a month. It gradually became more often I would wake up and feel sick or start to feel sick throughout the day. I would notice that I was short of breath... this was concerning especially with the weight loss. I know the weight loss corresponded with my lack of appetite due to the lump feeling in my throat. By April 2019, it was every single day and has been that way all the way to this day. However I will admit I have no changes to my diet and I do eat quite unhealthy due to such a busy lifestyle but that has always been the case since I’ve been a young girl. 
I’m reading all these entries on here and definitely feel as if my symptoms correlate with GERD however I’m hardly seeing any feelings of nausea or things like dry retching when there is a lot of mucous/acid in the throat. I also hypersalivate which makes me feel ill. My breath smells so disgusting all the time it makes me so insecure with my partner. I can barely brush my teeth without feeling like I have a stomach bug and wanting to vomit. I never vomit but only excess mucous comes up. The burning in my chest or back sometimes is the least of my worries... it comes and goes depending what I eat but if that were to be my only symptom I would be laughing. Nausea is impossible to enjoy a quality of life with. 
Since being in isolation I have no excuse not to start trying to follow the lifestyle changes recommended I also picked up a PPI which I will start on too. 
I’m just looking for some reassurance? As I’m scared my symptoms are so debilitating and life changing it’s something more serious... I feel as if GERD is a pretty common disease but I feel like I’m the only person I know that has felt the way I do when I explain my symptoms or some people brush it off like “oh I get heartburn sometimes too it will pass” as I sit there with my throat feeling like it’s clogged up and short of breath :(</t>
        </is>
      </c>
      <c r="D6648" t="n">
        <v>1</v>
      </c>
      <c r="E6648" t="n">
        <v>3</v>
      </c>
      <c r="F6648">
        <f>HYPERLINK("https://www.reddit.com/r/GERD/comments/g7jmr2/very_unsure/")</f>
        <v/>
      </c>
      <c r="G6648" t="inlineStr">
        <is>
          <t>2020-04-24 17:02:48</t>
        </is>
      </c>
      <c r="H6648" t="inlineStr"/>
    </row>
    <row r="6649">
      <c r="A6649" t="inlineStr">
        <is>
          <t>g7jzqt</t>
        </is>
      </c>
      <c r="B6649" t="inlineStr">
        <is>
          <t>Does my body not respond well to Aloe Vera juice?</t>
        </is>
      </c>
      <c r="C6649" t="inlineStr">
        <is>
          <t>I took Aloe Vera juice (the George's brand) and maybe 10-15 minutes later I felt nauseous and burped a little more than I wanted to. I took it because people recommended it for GERD, but... I don't know. Is it one of those things you get used to over time, or did my body just reject it?</t>
        </is>
      </c>
      <c r="D6649" t="n">
        <v>1</v>
      </c>
      <c r="E6649" t="n">
        <v>10</v>
      </c>
      <c r="F6649">
        <f>HYPERLINK("https://www.reddit.com/r/GERD/comments/g7jzqt/does_my_body_not_respond_well_to_aloe_vera_juice/")</f>
        <v/>
      </c>
      <c r="G6649" t="inlineStr">
        <is>
          <t>2020-04-24 17:26:20</t>
        </is>
      </c>
      <c r="H6649" t="inlineStr"/>
    </row>
    <row r="6650">
      <c r="A6650" t="inlineStr">
        <is>
          <t>g7k0la</t>
        </is>
      </c>
      <c r="B6650" t="inlineStr">
        <is>
          <t>My Experience with D Limonene</t>
        </is>
      </c>
      <c r="C6650" t="inlineStr">
        <is>
          <t>I tried D Limonene about a week ago and I took it for around a week. Literally all it did was make me burp orange flavored burps. It seemed to make my condition a little worse. I have grade c inflammation in my esophagus and a hiatal hernia. I pretty much tried everything nothing works</t>
        </is>
      </c>
      <c r="D6650" t="n">
        <v>1</v>
      </c>
      <c r="E6650" t="n">
        <v>3</v>
      </c>
      <c r="F6650">
        <f>HYPERLINK("https://www.reddit.com/r/GERD/comments/g7k0la/my_experience_with_d_limonene/")</f>
        <v/>
      </c>
      <c r="G6650" t="inlineStr">
        <is>
          <t>2020-04-24 17:27:57</t>
        </is>
      </c>
      <c r="H6650" t="inlineStr"/>
    </row>
    <row r="6651">
      <c r="A6651" t="inlineStr">
        <is>
          <t>g7kmhw</t>
        </is>
      </c>
      <c r="B6651" t="inlineStr">
        <is>
          <t>Anyone problems with Flaxseed milk?</t>
        </is>
      </c>
      <c r="C6651" t="inlineStr">
        <is>
          <t>I have a smoothie with ground flaxseed in the morning about 1 tbsp of it. Would I have a problem if I also drank Flaxseed milk? Like too much ala oil or all that jazz? I don't want to hurt myself if someone already knows or experienced this I would appreciate the comment.</t>
        </is>
      </c>
      <c r="D6651" t="n">
        <v>1</v>
      </c>
      <c r="E6651" t="n">
        <v>0</v>
      </c>
      <c r="F6651">
        <f>HYPERLINK("https://www.reddit.com/r/GERD/comments/g7kmhw/anyone_problems_with_flaxseed_milk/")</f>
        <v/>
      </c>
      <c r="G6651" t="inlineStr">
        <is>
          <t>2020-04-24 18:07:33</t>
        </is>
      </c>
      <c r="H6651" t="inlineStr"/>
    </row>
    <row r="6652">
      <c r="A6652" t="inlineStr">
        <is>
          <t>g7ksb1</t>
        </is>
      </c>
      <c r="B6652" t="inlineStr">
        <is>
          <t>Chest pains or Cough?</t>
        </is>
      </c>
      <c r="C6652" t="inlineStr">
        <is>
          <t>Not sure what is worse, the random stabbing chest, stomach and back pains all over the place place or the frequent chronic cough which makes the pain worse?
Or maybe it’s the right chest and back which messes with breathing? Or the nausea? Or the sore throat?
Really hard to choose my favorite symptom.</t>
        </is>
      </c>
      <c r="D6652" t="n">
        <v>1</v>
      </c>
      <c r="E6652" t="n">
        <v>1</v>
      </c>
      <c r="F6652">
        <f>HYPERLINK("https://www.reddit.com/r/GERD/comments/g7ksb1/chest_pains_or_cough/")</f>
        <v/>
      </c>
      <c r="G6652" t="inlineStr">
        <is>
          <t>2020-04-24 18:18:26</t>
        </is>
      </c>
      <c r="H6652" t="inlineStr"/>
    </row>
    <row r="6653">
      <c r="A6653" t="inlineStr">
        <is>
          <t>g7lfne</t>
        </is>
      </c>
      <c r="B6653" t="inlineStr">
        <is>
          <t>Anyone on protonix have urinary issues . ? If so message me</t>
        </is>
      </c>
      <c r="C6653" t="inlineStr">
        <is>
          <t>I need to know . Because everything I go off it never fails.. snapchat domchloe2020 &amp;amp; kik thisbitchtho1994</t>
        </is>
      </c>
      <c r="D6653" t="n">
        <v>1</v>
      </c>
      <c r="E6653" t="n">
        <v>0</v>
      </c>
      <c r="F6653">
        <f>HYPERLINK("https://www.reddit.com/r/GERD/comments/g7lfne/anyone_on_protonix_have_urinary_issues_if_so/")</f>
        <v/>
      </c>
      <c r="G6653" t="inlineStr">
        <is>
          <t>2020-04-24 19:02:12</t>
        </is>
      </c>
      <c r="H6653" t="inlineStr"/>
    </row>
    <row r="6654">
      <c r="A6654" t="inlineStr">
        <is>
          <t>g7mr3g</t>
        </is>
      </c>
      <c r="B6654" t="inlineStr">
        <is>
          <t>NSAID Gastritis</t>
        </is>
      </c>
      <c r="C6654" t="inlineStr">
        <is>
          <t>Has anyone healed from NSAID caused gastritis? What did you use to heal PPI or and diet and maybe supplements?</t>
        </is>
      </c>
      <c r="D6654" t="n">
        <v>1</v>
      </c>
      <c r="E6654" t="n">
        <v>5</v>
      </c>
      <c r="F6654">
        <f>HYPERLINK("https://www.reddit.com/r/GERD/comments/g7mr3g/nsaid_gastritis/")</f>
        <v/>
      </c>
      <c r="G6654" t="inlineStr">
        <is>
          <t>2020-04-24 20:35:43</t>
        </is>
      </c>
      <c r="H6654" t="inlineStr"/>
    </row>
    <row r="6655">
      <c r="A6655" t="inlineStr">
        <is>
          <t>g7oi6f</t>
        </is>
      </c>
      <c r="B6655" t="inlineStr">
        <is>
          <t>Cant eat :(</t>
        </is>
      </c>
      <c r="C6655" t="inlineStr">
        <is>
          <t>I'm trying to stomach some soup and crackers, all I've eaten in 2 days is crackers eggs and rice, today however all I've had until now (1am) is like 5 crackers. I'm trying to get some actually nutrition but everything makes me nauseous :( this stuff is causing me so many issues, including breathing issues that landed me in the ER due to dr. Reccomendation. Luckily my lungs looked fine btw.
Not necessarily asking for advice, though I wont turn it down, I just needed to vent.</t>
        </is>
      </c>
      <c r="D6655" t="n">
        <v>1</v>
      </c>
      <c r="E6655" t="n">
        <v>3</v>
      </c>
      <c r="F6655">
        <f>HYPERLINK("https://www.reddit.com/r/GERD/comments/g7oi6f/cant_eat/")</f>
        <v/>
      </c>
      <c r="G6655" t="inlineStr">
        <is>
          <t>2020-04-24 22:55:58</t>
        </is>
      </c>
      <c r="H6655" t="inlineStr"/>
    </row>
    <row r="6656">
      <c r="A6656" t="inlineStr">
        <is>
          <t>g7ookq</t>
        </is>
      </c>
      <c r="B6656" t="inlineStr">
        <is>
          <t>Gerd suddenly causing sharp pains in my upper left chest and upper left back?</t>
        </is>
      </c>
      <c r="C6656" t="inlineStr">
        <is>
          <t>Does this sound normal?
I just drank some milk. Was laying down and started feeling sharp pains every few seconds and they felt like they were coming from my heart. I am 27 F, should I be concered something else is happening or has anyone else experienced this kind of sharp, intense pain. I just got up and walked around. My heart was beating petty fast but i think it may have been my anxiety.</t>
        </is>
      </c>
      <c r="D6656" t="n">
        <v>1</v>
      </c>
      <c r="E6656" t="n">
        <v>3</v>
      </c>
      <c r="F6656">
        <f>HYPERLINK("https://www.reddit.com/r/GERD/comments/g7ookq/gerd_suddenly_causing_sharp_pains_in_my_upper/")</f>
        <v/>
      </c>
      <c r="G6656" t="inlineStr">
        <is>
          <t>2020-04-24 23:11:27</t>
        </is>
      </c>
      <c r="H6656" t="inlineStr"/>
    </row>
    <row r="6657">
      <c r="A6657" t="inlineStr">
        <is>
          <t>g7owh0</t>
        </is>
      </c>
      <c r="B6657" t="inlineStr">
        <is>
          <t>Gerd is worse</t>
        </is>
      </c>
      <c r="C6657" t="inlineStr">
        <is>
          <t>Ok so this night i barely could sleep. I feel my chest burning so much and i hear bubbling in my stomach everytime but this time i started to sweat a lot on chest and back and neck.. I was so scared but i dont think i have corona cuz i dont have fever niether coughs..
So what sign is sweating night, could be infection hbpylori or something else? Help me please im afraid to not get worse 😣</t>
        </is>
      </c>
      <c r="D6657" t="n">
        <v>1</v>
      </c>
      <c r="E6657" t="n">
        <v>2</v>
      </c>
      <c r="F6657">
        <f>HYPERLINK("https://www.reddit.com/r/GERD/comments/g7owh0/gerd_is_worse/")</f>
        <v/>
      </c>
      <c r="G6657" t="inlineStr">
        <is>
          <t>2020-04-24 23:31:35</t>
        </is>
      </c>
      <c r="H6657" t="inlineStr"/>
    </row>
    <row r="6658">
      <c r="A6658" t="inlineStr">
        <is>
          <t>g7qk2l</t>
        </is>
      </c>
      <c r="B6658" t="inlineStr">
        <is>
          <t>Alternatives medicines to Ranitidine now theres been a recall.</t>
        </is>
      </c>
      <c r="C6658" t="inlineStr">
        <is>
          <t>Hi all, 
Glad to find this subreddit. 
Ive been experiencing symptoms of GERD and Silent Reflux for the last 14 months, i've been on 40mg of Pantoprazole in the AM and 300mg of Ranitidine in the evening for just over 12 months.
Now that my GP has advised against using Ranitidine until there is more clarity around its recent risk scare they have advised to use Cimetidine (not suitable for me due to increasing Oestrogen and i have a history of Testicular Cancer as a result of over exposure to Oestrogen) or ALTERNATIVELY i can take another 20-40mg of Pantoprazole in the evening as well as the morning. 
Thing is ive always had symptoms of some time even whilst on the meds, so the idea of messing with my dosages has me a bit cautious. What i would really like to do is split my morning dose to 20mg in the AM and then the other 20mg in the PM but i dont know if i will suffer badly with rebound effects from dropping my dose so quickly. 
What are peoples experiences and opinions on this? 
thanks!</t>
        </is>
      </c>
      <c r="D6658" t="n">
        <v>1</v>
      </c>
      <c r="E6658" t="n">
        <v>5</v>
      </c>
      <c r="F6658">
        <f>HYPERLINK("https://www.reddit.com/r/GERD/comments/g7qk2l/alternatives_medicines_to_ranitidine_now_theres/")</f>
        <v/>
      </c>
      <c r="G6658" t="inlineStr">
        <is>
          <t>2020-04-25 02:07:12</t>
        </is>
      </c>
      <c r="H6658" t="inlineStr"/>
    </row>
    <row r="6659">
      <c r="A6659" t="inlineStr">
        <is>
          <t>g7rklj</t>
        </is>
      </c>
      <c r="B6659" t="inlineStr">
        <is>
          <t>LPR finally improving!</t>
        </is>
      </c>
      <c r="C6659" t="inlineStr">
        <is>
          <t>Like many of you my reflux really flared up at the beginning of this whole crisis. I was diagnosed about 2 years ago by two ENTs with LPR after two nasal endoscopes and a barium video swallow test. It hasn’t been this bad in years! Red raw throat, constant throat clearing, hot throat, coughing up mucus at times, itchy throat, etc. The only thing making it better was not eating or drinking at all! I’m already on Lansoprazole and have been on just about every GERD medication at some point. 
What is helping now is sleeping with my head propped up/ sleeping almost upright, only eating bread with butter or pure honey, baked potatoes, rice cakes, and muffins, and drinking Evian water, but the big change has been having Gaviscon Advance, it has sodium alginate in it which studies have shown is the most effective thing for LPR (I read a few studies!). I have it before I go to bed, in the morning and after eating. Reducing stress has probably helped a lot too, I was quite anxious to begin with but I’m feeling pretty good most of the time now. I had days where my LPR was so bad I’d get anxious about the symptoms and desperately search the internet for advice or guidance, so I wanted to post this incase it could help anyone else struggling. I can’t wait until I can eat chocolate again!</t>
        </is>
      </c>
      <c r="D6659" t="n">
        <v>1</v>
      </c>
      <c r="E6659" t="n">
        <v>17</v>
      </c>
      <c r="F6659">
        <f>HYPERLINK("https://www.reddit.com/r/GERD/comments/g7rklj/lpr_finally_improving/")</f>
        <v/>
      </c>
      <c r="G6659" t="inlineStr">
        <is>
          <t>2020-04-25 03:46:23</t>
        </is>
      </c>
      <c r="H6659" t="inlineStr"/>
    </row>
    <row r="6660">
      <c r="A6660" t="inlineStr">
        <is>
          <t>g7s58b</t>
        </is>
      </c>
      <c r="B6660" t="inlineStr">
        <is>
          <t>I have been suffering from heartburn for 2 days and now my throat feels cold and minty?!?!</t>
        </is>
      </c>
      <c r="C6660" t="inlineStr">
        <is>
          <t>I am soo confused please help, also I am fasting!!!</t>
        </is>
      </c>
      <c r="D6660" t="n">
        <v>1</v>
      </c>
      <c r="E6660" t="n">
        <v>1</v>
      </c>
      <c r="F6660">
        <f>HYPERLINK("https://www.reddit.com/r/GERD/comments/g7s58b/i_have_been_suffering_from_heartburn_for_2_days/")</f>
        <v/>
      </c>
      <c r="G6660" t="inlineStr">
        <is>
          <t>2020-04-25 04:40:01</t>
        </is>
      </c>
      <c r="H6660" t="inlineStr"/>
    </row>
    <row r="6661">
      <c r="A6661" t="inlineStr">
        <is>
          <t>g7s8rh</t>
        </is>
      </c>
      <c r="B6661" t="inlineStr">
        <is>
          <t>I have problems with stomach acid and was wondering if anyone had tips and what kind of stuff I should take to help it</t>
        </is>
      </c>
      <c r="C6661" t="inlineStr">
        <is>
          <t>I'm 14 and don't want to go look it up out of fear of misinformation</t>
        </is>
      </c>
      <c r="D6661" t="n">
        <v>1</v>
      </c>
      <c r="E6661" t="n">
        <v>14</v>
      </c>
      <c r="F6661">
        <f>HYPERLINK("https://www.reddit.com/r/GERD/comments/g7s8rh/i_have_problems_with_stomach_acid_and_was/")</f>
        <v/>
      </c>
      <c r="G6661" t="inlineStr">
        <is>
          <t>2020-04-25 04:48:55</t>
        </is>
      </c>
      <c r="H6661" t="inlineStr"/>
    </row>
    <row r="6662">
      <c r="A6662" t="inlineStr">
        <is>
          <t>g7u4dg</t>
        </is>
      </c>
      <c r="B6662" t="inlineStr">
        <is>
          <t>Difficulty breathing--any suggestions?</t>
        </is>
      </c>
      <c r="C6662" t="inlineStr">
        <is>
          <t>I have suffered from this feeling that I cannot breathe for many years...it comes on suddenly and lasts about a week. It constantly feels like I cannot get a deep enough breath in throughout the whole day--it is not when I'm exercising or doing anything. It's a constant feeling all day. I had it really bad last night and I barely slept. Does anyone else get this and if so, what do you do to get the symptoms to stop?</t>
        </is>
      </c>
      <c r="D6662" t="n">
        <v>1</v>
      </c>
      <c r="E6662" t="n">
        <v>10</v>
      </c>
      <c r="F6662">
        <f>HYPERLINK("https://www.reddit.com/r/GERD/comments/g7u4dg/difficulty_breathingany_suggestions/")</f>
        <v/>
      </c>
      <c r="G6662" t="inlineStr">
        <is>
          <t>2020-04-25 07:11:05</t>
        </is>
      </c>
      <c r="H6662" t="inlineStr"/>
    </row>
    <row r="6663">
      <c r="A6663" t="inlineStr">
        <is>
          <t>g7u5og</t>
        </is>
      </c>
      <c r="B6663" t="inlineStr">
        <is>
          <t>GERD with chest discomfort?</t>
        </is>
      </c>
      <c r="C6663" t="inlineStr">
        <is>
          <t>Hello everyone, I’ve been concerned with having chest discomfort with acid reflux. Let me explain better, I can feel acid in my throat and also a chest discomfort kinda like a pressure with heart palpations. Is this normal with GERD? I was put on Prilosec but got off them after a week after feeling some weird side effects and then started taking PEPCID ac at night when I feel acid before I fall asleep.</t>
        </is>
      </c>
      <c r="D6663" t="n">
        <v>1</v>
      </c>
      <c r="E6663" t="n">
        <v>9</v>
      </c>
      <c r="F6663">
        <f>HYPERLINK("https://www.reddit.com/r/GERD/comments/g7u5og/gerd_with_chest_discomfort/")</f>
        <v/>
      </c>
      <c r="G6663" t="inlineStr">
        <is>
          <t>2020-04-25 07:13:25</t>
        </is>
      </c>
      <c r="H6663" t="inlineStr"/>
    </row>
    <row r="6664">
      <c r="A6664" t="inlineStr">
        <is>
          <t>g7ub98</t>
        </is>
      </c>
      <c r="B6664" t="inlineStr">
        <is>
          <t>Sucralfate (carafate) giving me panic attacks?</t>
        </is>
      </c>
      <c r="C6664" t="inlineStr">
        <is>
          <t>Does anyone else experience this?
I stopped using it because anxiety is my whole issue in the first place</t>
        </is>
      </c>
      <c r="D6664" t="n">
        <v>1</v>
      </c>
      <c r="E6664" t="n">
        <v>15</v>
      </c>
      <c r="F6664">
        <f>HYPERLINK("https://www.reddit.com/r/GERD/comments/g7ub98/sucralfate_carafate_giving_me_panic_attacks/")</f>
        <v/>
      </c>
      <c r="G6664" t="inlineStr">
        <is>
          <t>2020-04-25 07:23:55</t>
        </is>
      </c>
      <c r="H6664" t="inlineStr"/>
    </row>
    <row r="6665">
      <c r="A6665" t="inlineStr">
        <is>
          <t>g7vony</t>
        </is>
      </c>
      <c r="B6665" t="inlineStr">
        <is>
          <t>Chicory root "coffee"</t>
        </is>
      </c>
      <c r="C6665" t="inlineStr">
        <is>
          <t>I really miss coffee and I wanted a replacement. Ordered some 100% pure ground chicory root. Brewed it per instructions and it came out really well. I suggest it if you are missing coffee.</t>
        </is>
      </c>
      <c r="D6665" t="n">
        <v>1</v>
      </c>
      <c r="E6665" t="n">
        <v>4</v>
      </c>
      <c r="F6665">
        <f>HYPERLINK("https://www.reddit.com/r/GERD/comments/g7vony/chicory_root_coffee/")</f>
        <v/>
      </c>
      <c r="G6665" t="inlineStr">
        <is>
          <t>2020-04-25 08:50:32</t>
        </is>
      </c>
      <c r="H6665" t="inlineStr"/>
    </row>
    <row r="6666">
      <c r="A6666" t="inlineStr">
        <is>
          <t>g7xf4i</t>
        </is>
      </c>
      <c r="B6666" t="inlineStr">
        <is>
          <t>Prozac &amp;amp; Heartburn</t>
        </is>
      </c>
      <c r="C6666" t="inlineStr">
        <is>
          <t>Recently I was switched to a different manufacturer of Prozac tablets. I have trouble swallowing pills and so it partially dissolved in my mouth before I could swallow. It tasted horrible and burned slightly. I want to stop taking Prozac because I believe this dissolving issue might cause me more harm. But I started taking Prozac because it got rid of my heartburn by desensitizing my esophagus. What should I do?</t>
        </is>
      </c>
      <c r="D6666" t="n">
        <v>1</v>
      </c>
      <c r="E6666" t="n">
        <v>1</v>
      </c>
      <c r="F6666">
        <f>HYPERLINK("https://www.reddit.com/r/GERD/comments/g7xf4i/prozac_heartburn/")</f>
        <v/>
      </c>
      <c r="G6666" t="inlineStr">
        <is>
          <t>2020-04-25 10:26:33</t>
        </is>
      </c>
      <c r="H6666" t="inlineStr"/>
    </row>
    <row r="6667">
      <c r="A6667" t="inlineStr">
        <is>
          <t>g7z9zy</t>
        </is>
      </c>
      <c r="B6667" t="inlineStr">
        <is>
          <t>Best diet plan for Acid Reflux?</t>
        </is>
      </c>
      <c r="C6667" t="inlineStr">
        <is>
          <t>Having suffered with acid reflux for multiple years, and having on-and-off again started elimination diets (and stopped because I have no willpower), I am looking once again to swap my diet and try to see what affects me the most.
What is your favourite diet plan to follow? Low-fodmap, Paleo, etc - how has it worked for you?</t>
        </is>
      </c>
      <c r="D6667" t="n">
        <v>2</v>
      </c>
      <c r="E6667" t="n">
        <v>2</v>
      </c>
      <c r="F6667">
        <f>HYPERLINK("https://www.reddit.com/r/GERD/comments/g7z9zy/best_diet_plan_for_acid_reflux/")</f>
        <v/>
      </c>
      <c r="G6667" t="inlineStr">
        <is>
          <t>2020-04-25 12:07:04</t>
        </is>
      </c>
      <c r="H6667" t="inlineStr"/>
    </row>
    <row r="6668">
      <c r="A6668" t="inlineStr">
        <is>
          <t>g7zkiz</t>
        </is>
      </c>
      <c r="B6668" t="inlineStr">
        <is>
          <t>Can I eat this?</t>
        </is>
      </c>
      <c r="C6668" t="inlineStr">
        <is>
          <t>Can I eat cow heel? Someone made a stew with it and I want to no if I can eat it</t>
        </is>
      </c>
      <c r="D6668" t="n">
        <v>1</v>
      </c>
      <c r="E6668" t="n">
        <v>0</v>
      </c>
      <c r="F6668">
        <f>HYPERLINK("https://www.reddit.com/r/GERD/comments/g7zkiz/can_i_eat_this/")</f>
        <v/>
      </c>
      <c r="G6668" t="inlineStr">
        <is>
          <t>2020-04-25 12:22:39</t>
        </is>
      </c>
      <c r="H6668" t="inlineStr"/>
    </row>
    <row r="6669">
      <c r="A6669" t="inlineStr">
        <is>
          <t>g81hmr</t>
        </is>
      </c>
      <c r="B6669" t="inlineStr">
        <is>
          <t>Esophagectomy or continue endoscopy?</t>
        </is>
      </c>
      <c r="C6669" t="inlineStr">
        <is>
          <t>Esophagectomy or continue endoscopy?
ETA: I also posted in r/cancer. I’m sort of between two places with this. 
Hi, I was diagnosed with Barrett’s with high grade dysplasia after an endoscopy in January - I didn’t have traditional GERD symptoms but it was getting more difficult to swallow food so I got checked out. 
During my second endoscopy in early March I had a mucosal resection and a nodule that was removed was cancerous in the center. 
I had a PET/CT scan on the slim chance there was more cancer. None was found, although I still have Barrett’s and some areas of high grade dysplasia. 
My next endoscopy was supposed to be in early May but has been postponed because of COVID-19. I’m on a PPI for another two weeks. It has helped with the swallowing. 
Has anyone gone the route of having endoscopic surgery every few months only to eventually need an esophagectomy? 
I’m wondering if I should just go ahead and get my esophagus removed as I’m seeing the downside of getting endoscopic surgery every few months now that I can’t get one. 
Frankly, I’m freaking out and thinking that being this anxious from endoscopy to endoscopy forever is maybe just as crappy as having an esophagectomy?
Hearing other people’s experiences would help. Thanks for reading!</t>
        </is>
      </c>
      <c r="D6669" t="n">
        <v>2</v>
      </c>
      <c r="E6669" t="n">
        <v>0</v>
      </c>
      <c r="F6669">
        <f>HYPERLINK("https://www.reddit.com/r/GERD/comments/g81hmr/esophagectomy_or_continue_endoscopy/")</f>
        <v/>
      </c>
      <c r="G6669" t="inlineStr">
        <is>
          <t>2020-04-25 14:14:04</t>
        </is>
      </c>
      <c r="H6669" t="inlineStr"/>
    </row>
    <row r="6670">
      <c r="A6670" t="inlineStr">
        <is>
          <t>g82ke3</t>
        </is>
      </c>
      <c r="B6670" t="inlineStr">
        <is>
          <t>Hi all. Want to share my story and see if you anyone can relate or even off advice.</t>
        </is>
      </c>
      <c r="C6670" t="inlineStr">
        <is>
          <t>To preface: I tested positive for COVID-19. 
Me: 27/M overweight. No preexisting health conditions.
The beginning of this: I had 3 weeks of flu like symptoms that subsided. Mixed in I got the worst acid reflux. Ok I won’t call it the worst because I haven’t had heartburn. Took 2 weeks of omeprazole. By the 7th day my reflux calmed down then on the 8th day I was bloated like a MFer. It was constant. Figured it was just from my sickness but once I finished the 2 week course the reflux came back the next day, this freaked me out cause I didn’t know it was supposed to but I also noticed I was less bloated which was nice. But the reflux was triggering anxiety and anxiety probably triggering the reflux. (Fun circus you guys got going over here!) So I started on the omeprazole again, and 24 hours later, boom wicked bloating. I called my doctor who I’ve been keeping in touch with and he told me to keep taking the 20mg a day and also precribed me a 2 week course of Carafate. The bloating is horrible and it sucks cause I’m slowly trying to incorporate exercise in my daily routine now and just makes life uncomfortable.
Also; included in the reflux symptoms are signs of LPR. Never got too bad but in between the time I took omeprazole I noticed the tickle in the throat feeling and also got cheek and ear pressure for about an hour before I put myself back on the Prilosec. 
My question to you all is:
Does a sickness make your reflux worse? Getting diagnosed with COVID made me an anxious mess as I was quarantining alone so I’m sure it’s playing a part in it. I’m slowly managing my stress and anxiety better and wanted advice in trying to deal with symptoms like these. Personally I want to come off the Prilosec because I’d rather fight the reflux than medicate with this.
TL;DR: Got sick, acid reflux came out of nowhere. Want to know if lifestyle changes are better than medicating with PPI’s.</t>
        </is>
      </c>
      <c r="D6670" t="n">
        <v>1</v>
      </c>
      <c r="E6670" t="n">
        <v>0</v>
      </c>
      <c r="F6670">
        <f>HYPERLINK("https://www.reddit.com/r/GERD/comments/g82ke3/hi_all_want_to_share_my_story_and_see_if_you/")</f>
        <v/>
      </c>
      <c r="G6670" t="inlineStr">
        <is>
          <t>2020-04-25 15:18:12</t>
        </is>
      </c>
      <c r="H6670" t="inlineStr"/>
    </row>
    <row r="6671">
      <c r="A6671" t="inlineStr">
        <is>
          <t>g82vvj</t>
        </is>
      </c>
      <c r="B6671" t="inlineStr">
        <is>
          <t>It seems impossible to stop the PPI</t>
        </is>
      </c>
      <c r="C6671" t="inlineStr">
        <is>
          <t>Since earlier this year, I was have indigestion and heartburn symptoms. I often had stomach pain in mid-left abdominal region. My throat seemed to always be sore from the acid too.
I've been taking Protonix 20mg daily for at least 2 months and it's helped. However, I have overwhelming fatigue and I'm trying to fix that. I was wondering if Protonix could be the cause. Yesterday I didn't take the Protonix to see what would happen. At the end of the day yesterday, I was having stomach pain and a discomfort in the middle-left abdominal region that kept me awake. I tried an antacid and it wasn't enough, so I took another dose of Protonix.
I'm concerned about the Gerd symptoms, and concerned that perhaps I have an undiagnosed ulcer that may not be done healing, but I'm concerned about the long term side effects of taking PPIs. What is the right thing to do?</t>
        </is>
      </c>
      <c r="D6671" t="n">
        <v>1</v>
      </c>
      <c r="E6671" t="n">
        <v>8</v>
      </c>
      <c r="F6671">
        <f>HYPERLINK("https://www.reddit.com/r/GERD/comments/g82vvj/it_seems_impossible_to_stop_the_ppi/")</f>
        <v/>
      </c>
      <c r="G6671" t="inlineStr">
        <is>
          <t>2020-04-25 15:37:53</t>
        </is>
      </c>
      <c r="H6671" t="inlineStr"/>
    </row>
    <row r="6672">
      <c r="A6672" t="inlineStr">
        <is>
          <t>g8357b</t>
        </is>
      </c>
      <c r="B6672" t="inlineStr">
        <is>
          <t>Abdominal Pain from Gerd? And stomach bloating</t>
        </is>
      </c>
      <c r="C6672" t="inlineStr">
        <is>
          <t>Hey, I was diagnosed with GERD about a year ago after getting an upper endoscopy. They said I had inflammation in my esophagus. But what started me getting tests was that I suddenly had abdominal pain/aching. I don’t think it counts as heartburn. I don’t remember what times of day I would get it, but after being given omeprazole it went away. If I don’t take it then it comes back. 
Even after getting the GERD diagnosis and medication, I went through many tests to rule out possible problems. I‘ve gotten multiple sonograms, the aforementioned upper endoscopy, this test that measured how my gallbladder emptied, and probably more I just can’t remember. Except for the upper endoscopy everything came back normal. 
Has anyone else had this? Could it be some other disease I don’t know about causing the pain? 
Also, my stomach has always been visibly slightly bigger/dissented compared to people my size/weight. Clothes feel too tight and I have to size up pants that otherwise fit the rest of my body unless they sit under my stomach. 
I hate how it makes me look, and I gained weight a year and a half ago so its worse now. but having lower weight didn’t make it smaller in comparison to my body.</t>
        </is>
      </c>
      <c r="D6672" t="n">
        <v>1</v>
      </c>
      <c r="E6672" t="n">
        <v>0</v>
      </c>
      <c r="F6672">
        <f>HYPERLINK("https://www.reddit.com/r/GERD/comments/g8357b/abdominal_pain_from_gerd_and_stomach_bloating/")</f>
        <v/>
      </c>
      <c r="G6672" t="inlineStr">
        <is>
          <t>2020-04-25 15:53:59</t>
        </is>
      </c>
      <c r="H6672" t="inlineStr"/>
    </row>
    <row r="6673">
      <c r="A6673" t="inlineStr">
        <is>
          <t>g83s5x</t>
        </is>
      </c>
      <c r="B6673" t="inlineStr">
        <is>
          <t>Panic disorder, medical MJ and GERD.</t>
        </is>
      </c>
      <c r="C6673" t="inlineStr">
        <is>
          <t>Short and sweet. I have a panic disorder, I smoke weed to help with that. I'm in the middle of a really bad gastritis/LPR episode right now that has me short of breath 24/7 due to asthma (I already went to the er for that my lungs are a okay)
The question: smoking doesnt actually really affect my shortness of breath but will it actually prolong everything?
My flare up was caused by a mix of drinking and severe panic. I'm worried the panic is just going to make everything worse and like I'm stuck between choosing anxiety or weed right now. Fyi I havent been smoking save for a few hits.</t>
        </is>
      </c>
      <c r="D6673" t="n">
        <v>1</v>
      </c>
      <c r="E6673" t="n">
        <v>0</v>
      </c>
      <c r="F6673">
        <f>HYPERLINK("https://www.reddit.com/r/GERD/comments/g83s5x/panic_disorder_medical_mj_and_gerd/")</f>
        <v/>
      </c>
      <c r="G6673" t="inlineStr">
        <is>
          <t>2020-04-25 16:33:38</t>
        </is>
      </c>
      <c r="H6673" t="inlineStr"/>
    </row>
    <row r="6674">
      <c r="A6674" t="inlineStr">
        <is>
          <t>g83zoy</t>
        </is>
      </c>
      <c r="B6674" t="inlineStr">
        <is>
          <t>GERD</t>
        </is>
      </c>
      <c r="C6674" t="inlineStr">
        <is>
          <t>5 years ago I had chest tightness, nausea, burning throat, pain all over my body etc... I could barely drink water and also couldn’t eat anything and what seemed to be food allergies/intolerances was really underlying issues that weren’t addressed, now I can eat spicy foods, have chocolate, drink alcohol or coffee without a problem and so on, I’m extremely grateful that I was able to overcome my symptoms and live my life again! To anyone going through this, theirs definitely light at the end of the tunnel!</t>
        </is>
      </c>
      <c r="D6674" t="n">
        <v>1</v>
      </c>
      <c r="E6674" t="n">
        <v>0</v>
      </c>
      <c r="F6674">
        <f>HYPERLINK("https://www.reddit.com/r/GERD/comments/g83zoy/gerd/")</f>
        <v/>
      </c>
      <c r="G6674" t="inlineStr">
        <is>
          <t>2020-04-25 16:46:24</t>
        </is>
      </c>
      <c r="H6674" t="inlineStr"/>
    </row>
    <row r="6675">
      <c r="A6675" t="inlineStr">
        <is>
          <t>g843ke</t>
        </is>
      </c>
      <c r="B6675" t="inlineStr">
        <is>
          <t>Symptoms</t>
        </is>
      </c>
      <c r="C6675" t="inlineStr">
        <is>
          <t>What symptoms are bothering you the most?</t>
        </is>
      </c>
      <c r="D6675" t="n">
        <v>1</v>
      </c>
      <c r="E6675" t="n">
        <v>1</v>
      </c>
      <c r="F6675">
        <f>HYPERLINK("https://www.reddit.com/r/GERD/comments/g843ke/symptoms/")</f>
        <v/>
      </c>
      <c r="G6675" t="inlineStr">
        <is>
          <t>2020-04-25 16:53:01</t>
        </is>
      </c>
      <c r="H6675" t="inlineStr"/>
    </row>
    <row r="6676">
      <c r="A6676" t="inlineStr">
        <is>
          <t>g84fbn</t>
        </is>
      </c>
      <c r="B6676" t="inlineStr">
        <is>
          <t>Those who have IEM, (Inefective esophageal movement) what are your symptoms?</t>
        </is>
      </c>
      <c r="C6676" t="inlineStr">
        <is>
          <t>Dysphagia, heartburn? Trouble swallowing?</t>
        </is>
      </c>
      <c r="D6676" t="n">
        <v>1</v>
      </c>
      <c r="E6676" t="n">
        <v>4</v>
      </c>
      <c r="F6676">
        <f>HYPERLINK("https://www.reddit.com/r/GERD/comments/g84fbn/those_who_have_iem_inefective_esophageal_movement/")</f>
        <v/>
      </c>
      <c r="G6676" t="inlineStr">
        <is>
          <t>2020-04-25 17:14:01</t>
        </is>
      </c>
      <c r="H6676" t="inlineStr"/>
    </row>
    <row r="6677">
      <c r="A6677" t="inlineStr">
        <is>
          <t>g84wcc</t>
        </is>
      </c>
      <c r="B6677" t="inlineStr">
        <is>
          <t>Feeling upset and hopeless</t>
        </is>
      </c>
      <c r="C6677" t="inlineStr">
        <is>
          <t>Hi, I’m a 20 year old female. I’m feeling so distressed about my acid reflux. I really need a realistic plan. I’ve had acid reflix since I was literally in the womb and I simply don’t know what to do anymore. I’m worried about getting an ulcer or BE.
I know what you’re supposed to do: no coffee, alcohol, exciting foods. The issue is, I literally LIVE for coffee, I’m a very social person, and I enjoy having cocktails on the weekends. To be honest, I’m not going to give those things up. I already only drink one cup a day and a few cocktails on the weekends so its not like I’m “over doing” it.
I saw an ENT for chronic sinus issues and was diagnosed with LPR and he noted my throat was slightly irritated. He recommended that I do a 14 day course of Omeprazole and then switch to Zantac. I did that and while on Omeprazole I was totally fine. However, since being on Zantac (which was then recalled so I switched to Pepcid max strength) I have a MAJOR burping issue. I’m talking disgusting burps I can’t suppress after I eat or drink basically anything. I also get acid in my mouth at night if I over eat or drink alcohol. I also feel constantly bloated. I know that I can stop over eating and avoiding some foods, but its so hard, especially at my age.
Should I go back to Omeprazole? I’m nervous because of what I have heard about Alzheimers and brittle bones. I would obviously want to see a GI but because of COVID I don’t see that happening any time soon.
Any realistic advice is GREATLY appreciated. I want to maintain my lifestyle and enjoy food, but I hate these symptoms.</t>
        </is>
      </c>
      <c r="D6677" t="n">
        <v>1</v>
      </c>
      <c r="E6677" t="n">
        <v>26</v>
      </c>
      <c r="F6677">
        <f>HYPERLINK("https://www.reddit.com/r/GERD/comments/g84wcc/feeling_upset_and_hopeless/")</f>
        <v/>
      </c>
      <c r="G6677" t="inlineStr">
        <is>
          <t>2020-04-25 17:44:22</t>
        </is>
      </c>
      <c r="H6677" t="inlineStr"/>
    </row>
    <row r="6678">
      <c r="A6678" t="inlineStr">
        <is>
          <t>g852xh</t>
        </is>
      </c>
      <c r="B6678" t="inlineStr">
        <is>
          <t>Does anyone have a silent reflux with no symptoms except poping ears</t>
        </is>
      </c>
      <c r="C6678" t="inlineStr">
        <is>
          <t>I’ve tried nexium and gaviscon advance but nothing is stopping it it’s a constant reflux</t>
        </is>
      </c>
      <c r="D6678" t="n">
        <v>1</v>
      </c>
      <c r="E6678" t="n">
        <v>2</v>
      </c>
      <c r="F6678">
        <f>HYPERLINK("https://www.reddit.com/r/GERD/comments/g852xh/does_anyone_have_a_silent_reflux_with_no_symptoms/")</f>
        <v/>
      </c>
      <c r="G6678" t="inlineStr">
        <is>
          <t>2020-04-25 17:56:55</t>
        </is>
      </c>
      <c r="H6678" t="inlineStr"/>
    </row>
    <row r="6679">
      <c r="A6679" t="inlineStr">
        <is>
          <t>g85jg3</t>
        </is>
      </c>
      <c r="B6679" t="inlineStr">
        <is>
          <t>Perpetual, and Nonstop GERD</t>
        </is>
      </c>
      <c r="C6679" t="inlineStr">
        <is>
          <t>I’ve read that there have been an increase in new posts/questions here since the initiation of the quarantine efforts. I’ve read through many of them to seek information for my own issue, but after reading most of them I’ve still got questions. I just want to see how closely my reflux relates to the others in this community. 
My situation: since the beginning of the quarantine I’ve been drinking almost every night (~2 beers, give or take one on some nights). However, on one particular evening I drank ~7oz of Jack Daniels over ice while doing a video chat with a friend. I lied down for bed around 3am and began experiencing some heartburn, but was able to fall asleep. However, I soon woke around 6:30am with heartburn - this occurred on 4/18, exactly one week ago. My symptoms were nonstop and persisted until noonish on Monday, 4/20. During that time, no amount of Tums or my usual ace-up-the-sleeve, baking soda would stop the reflux - I also did not drink any alcohol during this time. 
However, the symptoms broke some time on Monday, 4/20. So I went on with my day, had two beers later that night, and what do you know? The next day (4/21) my reflux bears it’s black-tooth-grin yet again around 3pm after I ate some white beans and rice. This time it meant business. Now I knew something was off, and completely cut out all alcohol. 
I struggled through the night and I took to the internet the next morning (4/22). I was persuaded into picking up some Gaviscon (US version). About 30 minutes after I took the Gaviscon my symptoms got even worse. So I’m thinking to myself “What the hell? Why is it worse? Is this the rebound effect I’ve heard about? Have I taken too much? Too little? WHAT THE HELL DO I NEED TO DO?!” 
I gave any and all treatments a break for the rest of the day. I just continued to drink plenty of water and stay the hell away from anything that might piss off this demon I’ve invited in. 
The next day (4/23), my symptoms had not changed and still persisted. Later in the afternoon I remembered Rolaids working really well in the past, on the rare occasion that I had a run-in with reflux. Couldn’t find Rolaids, so I picked up Pepcid tablets (they have similar active ingredients to Rolaids). Aaaaaaaand nothing, now I’m starting to really feel defeated. That night I pretty much broke down from the frustration and anxiety this was causing me on top of everything surrounding Covid-19. 
Friday (4/24), yet another day of this persisting. This day it was my mission to find ACTUAL Rolaids. I wound up finding them that night and ate three of them. An hour later, nothing. I eat another. Nothing. Two hours later I break down for the second time during this mess and did so for about an hour straight. Almost magically, though, it was gone. GONE. I couldn’t believe it. I finally got a minute of relief. An hour without any lump in my throat. A night of uninterrupted, coughless sleep. No symptoms to speak of.
Today (4/24), I woke without any symptoms. I couldn’t believe it. “What had I done?” I thought to myself. Maybe an emotional breakdown is the cure - a high price to pay for a cure, yeah, sure, but worth it nonetheless. I was so hesitant to eat this morning. I’ve been so damn hungry and just wanted to fry up the entire pack of bacon and breakfast sausage I have in the fridge, but I settled for buttered toast and maple and brown sugar oatmeal. As soon as I threw the bread into the toaster, guess who shows up? That’s right. It’s back. Almost instantly, I ripped the microwave from the counter and teleported it into the living room - its rightful place, deemed by my fit of rage. So, I’m one microwave down and my reflux has come back to continue to taunt me. The symptoms weren’t bad yet, but I knew where this was headed. I ate my breakfast and tried my best to explain to the cats and dog that they’d done nothing wrong. I know sugary and fatty crap tends to relax the LES more but I’d had enough - this was, at this point, an expensive breakfast that I was going to enjoy. And yeah, the reflux came back as strong as it has been since the Gaviscon (4/22). 
I’ve researched the biochemical pathways that are involved with GERD and LES relaxation, as well as how the symptoms present. I’m a premedical student, but not a gastroenterologist - I need some vicarious clarity from you guys. From my symptoms, and from what I’ve read it sounds like I have LPR (silent reflux). 
1. The only time in my life that I’ve ever had ANY chest pain/heartburn was the night I drank the whiskey, the night this all started. Since then, nothing from that area of the esophagus. 
2. My only sensation is the lump-in-throat everyone seems to talk about (I feel it right in the suprasternal notch area and a little bit above that area). This link sensation is usually accompanied by a slight, generalized bit of pressure in the throat. 
3. This sensation has been non-stop since 4/22, until last night. When I say non-stop, I mean there hasn’t been a minute since 4/22 that I have not had this sensation. And if there is a break, it’s usually very late at night when my stomach is VERY empty as I’m lying down for sleep.
So, here I am. Seeking your collective help, to share your experiences, and possibly save another kitchen appliance from the waste bin. 
Thank you to any and all who read this and offer their two cents. 
The main thing I want to know is: is it normal for some of the other users here to experience the lump-in-the-throat sensation for almost four days straight?
What you’ll probably want to know:
1. Male/5’9/155lbs
2. Non-smoker 
3. 1-2 drinks 2-4 times a week pre-quarantine, 1-2 drinks almost every night post-quarantine
4. I have OCD/anxiety/depression, but was not an issue until the perpetual reflux started
5. I have adjusted my diet (mostly roasted veggies, some rice, chicken, using only salt to season, almond milk and water). I’ve cut down drastically on the volume of food and have avoided the usual diet suspects. I’m really not eating much at all.</t>
        </is>
      </c>
      <c r="D6679" t="n">
        <v>1</v>
      </c>
      <c r="E6679" t="n">
        <v>4</v>
      </c>
      <c r="F6679">
        <f>HYPERLINK("https://www.reddit.com/r/GERD/comments/g85jg3/perpetual_and_nonstop_gerd/")</f>
        <v/>
      </c>
      <c r="G6679" t="inlineStr">
        <is>
          <t>2020-04-25 18:27:40</t>
        </is>
      </c>
      <c r="H6679" t="inlineStr"/>
    </row>
    <row r="6680">
      <c r="A6680" t="inlineStr">
        <is>
          <t>g8958y</t>
        </is>
      </c>
      <c r="B6680" t="inlineStr">
        <is>
          <t>Complete Natural Products Acid Reflux Complete: have you tried it?</t>
        </is>
      </c>
      <c r="C6680" t="inlineStr">
        <is>
          <t>Apparently almost everyone really enjoys the product for instant relief. I'm sketched out because it contains garlic and lemon. WTF?
Has anyone tried it? How does it make you feel? Are you satisfied with the product?</t>
        </is>
      </c>
      <c r="D6680" t="n">
        <v>1</v>
      </c>
      <c r="E6680" t="n">
        <v>1</v>
      </c>
      <c r="F6680">
        <f>HYPERLINK("https://www.reddit.com/r/GERD/comments/g8958y/complete_natural_products_acid_reflux_complete/")</f>
        <v/>
      </c>
      <c r="G6680" t="inlineStr">
        <is>
          <t>2020-04-25 22:53:12</t>
        </is>
      </c>
      <c r="H6680" t="inlineStr"/>
    </row>
    <row r="6681">
      <c r="A6681" t="inlineStr">
        <is>
          <t>g8afdp</t>
        </is>
      </c>
      <c r="B6681" t="inlineStr">
        <is>
          <t>Looking for advice for gerd symptoms, Low carb diet, Hcl and digestive enzymes</t>
        </is>
      </c>
      <c r="C6681" t="inlineStr">
        <is>
          <t>Hello everyone 
I am here looking for advice on how to deal with my gaestrophageal reflux, gerd and with it’s symptoms. I’ve written here information of my current situation with the dissorder as well as information of my current habits such as how I eat.
Note: My mother language is not english so sorry for any mispelling here.
I was diagnosed with gerd last autumn and I went trough endoscopy examination. What was found was weakened Les, lower esophageal spinchter. The doctor prescripted me to take Ppi’s proton pump inhibitors for twice a day about 40mg a day.
However I felt that doctor couldn’t explain me the underlying causes of gerd. I became curious and started to question, what causes acid reflux in first place?
I found out that gerd is usually caused by microbes in our gut,  witch cause too much fermentation, not by acid that is created by the stomach. I studied Dr Norm Robillard’s book heartburn cured as well as Marks Daily apple blog post on this topic.
It was confusing to see this new theory, wich made sense, microbes are causing fermentation and pushing against LES, causing acid reflux to occur. Along with common theory wich tells that gerd is caused by stomach acid, wich is been created too much.
After studying of this new theory, I went on low carb diet. I followed Dr Norm’s advice on how to cut down carbs on my diet. I also started to use probiotics twice a day, wich I’m still doing today.
I also stopped taking Ppi’s because they didn’t help much at all. They also caused bloating.
I cutted down my carb intake from 90 carbs per day, to 30 grams of carbs per day. I did this for two weeks and saw no results, there was still much acid reflux created in my stomach causing me symptoms from dry cough to sleep difficulties.
Next week I went from 30 carbs per  day to 20 carbs a day. I have been on 20 carbs per day for 3 weeks now and have not seen results at all after for doing so. There was and there is still much acid created after meals in my stomach causing also dry cough and sleep difficulties.
I tried using HCL twice a day, before meals for 3 weeks to try to make my digestion better. And it didn’t help at all, it actually made my symptoms go worse, there was even more stomach acid created. I feel that HCL also made my digestion more stressfull.
Now I am currenlty using digestive enzymes before every meal 4 times a day and sadly, I have not seen this to help me at all. I have been taking these enzymes now for a week and they have only made my gerd symptoms go worse.
Due to gerd I suffer from stomach pains under my lungs along with pain on my middle stomach. There is also some pain occuring under my belly, over my gut daily. I have been told by doctor that these pains are something not to worry about.
There’s also some slime occuring in my throat especially in late evenings, I have tought that this is something to do with the reflux. Slime doesn’t come out of my nose it just goes down on my throat.
I also have noticed that gerd can occur far after meals, even on empty stomach. This can happen in the middle of the night when I am in bed and start feeling pain in my chest.  
I also have symptoms of rheumathoid arthritis, including joint pains, but have not been diagnosed by it due to low symptoms.
So yes, there has been lot of symptoms of gerd.
**I also want to open up information of my current diet, so if any of you folks see I’m doing something I shouldn’t do with my diet in relation to gerd.**
I eat on low carb and I am trying to gain weight, for trying to gain normal weight.(Im 23 years old male and I weight about 54 kg)  
My Daily intake for calories is 2192,5, for fat 203,5 grams, for carbs 20 grams and for protein 71 grams.
I eat 4 times a day and for a meal my calorie intake is 548,12, for fat 50,87grams, for carbs 5 grams and for protein 17,75 grams.
I use these ingredeients to mainly construct my meals:
Vegetables: Broccoli, caurlifower, cucumber, spinach 
Meats: Eggs, chicken
Fats: Olive oil, coconut oil, and ocasionally sesame oil
Other: Pumpkins seeds
I know here’s lot of text, I’m very glad if you read what I wrote. **Here is some questions:**
**What should I be doing with my gerd?**
**I have cutted much carbs, should I consider next going to ketogenic diet to see if that helps?**
**What should be considered as macronutrion intake for someone like me suffering from gerd?**
**- In other words, what should be the relation of fat, carbs, proteins in one’s diet?**
**Also what should be daily intake of calories in relation to gerd?**
**How much water should I consume daily in relation to gerd?**
**Does drinking water have any impact on gerd?**
**Am I doing something wrong with my treatment of gerd, along with diet and other things?**  
**Is there something I should know about dealing with gerd?**
Regards
Tom</t>
        </is>
      </c>
      <c r="D6681" t="n">
        <v>1</v>
      </c>
      <c r="E6681" t="n">
        <v>0</v>
      </c>
      <c r="F6681">
        <f>HYPERLINK("https://www.reddit.com/r/GERD/comments/g8afdp/looking_for_advice_for_gerd_symptoms_low_carb/")</f>
        <v/>
      </c>
      <c r="G6681" t="inlineStr">
        <is>
          <t>2020-04-26 00:46:10</t>
        </is>
      </c>
      <c r="H6681" t="inlineStr"/>
    </row>
    <row r="6682">
      <c r="A6682" t="inlineStr">
        <is>
          <t>g8asmk</t>
        </is>
      </c>
      <c r="B6682" t="inlineStr">
        <is>
          <t>Looking for and advice for my difficult gerd symptoms</t>
        </is>
      </c>
      <c r="C6682" t="inlineStr">
        <is>
          <t>Hello everyone 
I am here looking for advice on how to deal with my gaestrophageal reflux, gerd and with it’s symptoms. I’ve written here information of my current situation with the dissorder as well as information of my current habits such as how I eat.
Note: My mother language is not english so sorry for any mispelling here.
I was diagnosed with gerd last autumn and I went trough endoscopy examination. What was found was weakened Les, lower esophageal spinchter. The doctor prescripted me to take Ppi’s proton pump inhibitors for twice a day about 40mg a day.
However I felt that doctor couldn’t explain me the underlying causes of gerd. I became curious and started to question, what causes acid reflux in first place?
I found out that gerd is usually caused by microbes in our gut,  witch cause too much fermentation, not by acid that is created by the stomach. I studied Dr Norm Robillard’s book heartburn cured as well as Marks Daily apple blog post on this topic.
It was confusing to see this new theory, wich made sense, microbes are causing fermentation and pushing against LES, causing acid reflux to occur. Along with common theory wich tells that gerd is caused by stomach acid, wich is been created too much.
After studying of this new theory, I went on low carb diet. I followed Dr Norm’s advice on how to cut down carbs on my diet. I also started to use probiotics twice a day, wich I’m still doing today.
I also stopped taking Ppi’s because they didn’t help much at all. They also caused bloating.
I cutted down my carb intake from 90 carbs per day, to 30 grams of carbs per day. I did this for two weeks and saw no results, there was still much acid reflux created in my stomach causing me symptoms from dry cough to sleep difficulties.
Next week I went from 30 carbs per  day to 20 carbs a day. I have been on 20 carbs per day for 3 weeks now and have not seen results at all after for doing so. There was and there is still much acid created after meals in my stomach causing also dry cough and sleep difficulties.
I tried using HCL twice a day, before meals for 3 weeks to try to make my digestion better. And it didn’t help at all, it actually made my symptoms go worse, there was even more stomach acid created. I feel that HCL also made my digestion more stressfull.
Now I am currenlty using digestive enzymes before every meal 4 times a day and sadly, I have not seen this to help me at all. I have been taking these enzymes now for a week and they have only made my gerd symptoms go worse.
Due to gerd I suffer from stomach pains under my lungs along with pain on my middle stomach. There is also some pain occuring under my belly, over my gut daily. I have been told by doctor that these pains are something not to worry about.
There’s also some slime occuring in my throat especially in late evenings, I have tought that this is something to do with the reflux. Slime doesn’t come out of my nose it just goes down on my throat.
I also have noticed that gerd can occur far after meals, even on empty stomach. This can happen in the middle of the night when I am in bed and start feeling pain in my chest.  
I also have symptoms of rheumathoid arthritis, including joint pains, but have not been diagnosed by it due to low symptoms.
So yes, there has been lot of symptoms of gerd.
**I also want to open up information of my current diet, so if any of you folks see I’m doing something I shouldn’t do with my diet in relation to gerd.**
I eat on low carb and I am trying to gain weight, for trying to gain normal weight.(Im 23 years old male and I weight about 54 kg)  
My Daily intake for calories is 2192,5, for fat 203,5 grams, for carbs 20 grams and for protein 71 grams.
I eat 4 times a day and for a meal my calorie intake is 548,12, for fat 50,87grams, for carbs 5 grams and for protein 17,75 grams.
I use these ingredeients to mainly construct my meals:
Vegetables: Broccoli, caurlifower, cucumber, spinach
Meats: Eggs, chicken
Fats: Olive oil, coconut oil, and ocasionally sesame oil
Other: Pumpkins seeds
**I know here’s lot of text, I’m very glad if you read what I wrote. Here is some questions:**
**What should I be doing with my gerd?**  
**I have cutted much carbs, should I consider next going to ketogenic diet to see if that helps?**
**What should be considered as macronutrion intake for someone like me suffering from gerd?**
**- In other words, what should be the relation of fat, carbs, proteins in one’s diet?**
**Also what should be daily intake of calories in relation to gerd?**
**How much water should I consume daily in relation to gerd?**
**Does drinking water have any impact on gerd?**
**Am I doing something wrong with my treatment of gerd, along with diet and other things?**  
**Is there something I should know about dealing with gerd?**
Regards
Tom</t>
        </is>
      </c>
      <c r="D6682" t="n">
        <v>1</v>
      </c>
      <c r="E6682" t="n">
        <v>4</v>
      </c>
      <c r="F6682">
        <f>HYPERLINK("https://www.reddit.com/r/GERD/comments/g8asmk/looking_for_and_advice_for_my_difficult_gerd/")</f>
        <v/>
      </c>
      <c r="G6682" t="inlineStr">
        <is>
          <t>2020-04-26 01:21:00</t>
        </is>
      </c>
      <c r="H6682" t="inlineStr"/>
    </row>
    <row r="6683">
      <c r="A6683" t="inlineStr">
        <is>
          <t>g8c3p1</t>
        </is>
      </c>
      <c r="B6683" t="inlineStr">
        <is>
          <t>Is there a link with trapped gas/stress/anxiety?</t>
        </is>
      </c>
      <c r="C6683" t="inlineStr">
        <is>
          <t>I’ve noticed my burping and feeling of bloating plus sensations come much more prevalent when I feel anxious or stressed. I try and meditate but the gas and sensations is stopping me from concentrating. My dad is filled with a feeling of gas that only some days feels like nothing</t>
        </is>
      </c>
      <c r="D6683" t="n">
        <v>1</v>
      </c>
      <c r="E6683" t="n">
        <v>12</v>
      </c>
      <c r="F6683">
        <f>HYPERLINK("https://www.reddit.com/r/GERD/comments/g8c3p1/is_there_a_link_with_trapped_gasstressanxiety/")</f>
        <v/>
      </c>
      <c r="G6683" t="inlineStr">
        <is>
          <t>2020-04-26 03:26:27</t>
        </is>
      </c>
      <c r="H6683" t="inlineStr"/>
    </row>
    <row r="6684">
      <c r="A6684" t="inlineStr">
        <is>
          <t>g8dhyh</t>
        </is>
      </c>
      <c r="B6684" t="inlineStr">
        <is>
          <t>My bed is tilted, I have a wedge pillow PLUS two regular pillows. Still waking up feeling the throat burning. Any advice?</t>
        </is>
      </c>
      <c r="C6684" t="inlineStr">
        <is>
          <t>Thanks!</t>
        </is>
      </c>
      <c r="D6684" t="n">
        <v>1</v>
      </c>
      <c r="E6684" t="n">
        <v>4</v>
      </c>
      <c r="F6684">
        <f>HYPERLINK("https://www.reddit.com/r/GERD/comments/g8dhyh/my_bed_is_tilted_i_have_a_wedge_pillow_plus_two/")</f>
        <v/>
      </c>
      <c r="G6684" t="inlineStr">
        <is>
          <t>2020-04-26 05:27:11</t>
        </is>
      </c>
      <c r="H6684" t="inlineStr"/>
    </row>
    <row r="6685">
      <c r="A6685" t="inlineStr">
        <is>
          <t>g8e6jj</t>
        </is>
      </c>
      <c r="B6685" t="inlineStr">
        <is>
          <t>Do PPI make anyone weak and tired?</t>
        </is>
      </c>
      <c r="C6685" t="inlineStr">
        <is>
          <t>Been taking them about two months. First was on Protonix, was having allergic reaction. Then switched to Prilosec. I may have other medical problems that make me tired, but I didn't start feeling extremely weak and exhausted until I started taking PPI beginning of March. I thought maybe I had covid or something. But maybe it's the PPI. I didn't take it yesterday, the weakness a little better, but of course the acid is back. Been taking TUMs and Mylenta.</t>
        </is>
      </c>
      <c r="D6685" t="n">
        <v>1</v>
      </c>
      <c r="E6685" t="n">
        <v>0</v>
      </c>
      <c r="F6685">
        <f>HYPERLINK("https://www.reddit.com/r/GERD/comments/g8e6jj/do_ppi_make_anyone_weak_and_tired/")</f>
        <v/>
      </c>
      <c r="G6685" t="inlineStr">
        <is>
          <t>2020-04-26 06:16:33</t>
        </is>
      </c>
      <c r="H6685" t="inlineStr"/>
    </row>
    <row r="6686">
      <c r="A6686" t="inlineStr">
        <is>
          <t>g8enrw</t>
        </is>
      </c>
      <c r="B6686" t="inlineStr">
        <is>
          <t>Im so annoyed at myself right now.</t>
        </is>
      </c>
      <c r="C6686" t="inlineStr">
        <is>
          <t>Ive been struggling with GERD and LPR non stop since feb now but ive been eating clean, avoiding triggers and overall improving.
Yesterday was the first time i felt “normal” again since feb so my stupid ass decided to smoke, lie down and eat a whole bag of chocolate in bed before going sleep.
I woke up feeling like DEATH. Right back to square one. Im nauseous. My throat burns. My mouth tastes like metallic acid. I feel tired and weak. No appetite. Heart burn and chest tightness.
I actually hate myself. Why did i do this to myself.</t>
        </is>
      </c>
      <c r="D6686" t="n">
        <v>1</v>
      </c>
      <c r="E6686" t="n">
        <v>9</v>
      </c>
      <c r="F6686">
        <f>HYPERLINK("https://www.reddit.com/r/GERD/comments/g8enrw/im_so_annoyed_at_myself_right_now/")</f>
        <v/>
      </c>
      <c r="G6686" t="inlineStr">
        <is>
          <t>2020-04-26 06:51:53</t>
        </is>
      </c>
      <c r="H6686" t="inlineStr"/>
    </row>
    <row r="6687">
      <c r="A6687" t="inlineStr">
        <is>
          <t>g8gs3j</t>
        </is>
      </c>
      <c r="B6687" t="inlineStr">
        <is>
          <t>Vaping and GERD</t>
        </is>
      </c>
      <c r="C6687" t="inlineStr">
        <is>
          <t>I was diagnosed with acid reflux 10 years ago, and over the last few months I’ve been eating tons of spicy foods, drinking soda almost everyday, and just tolerating the reflux.
I was diagnosed with GERD recently after day of heavy drinking resulted in gnarly stomach issues. 
I’ve been vaping THC cartridges for about two years and never noticed any effects on my reflux or even my asthma really—Only when I ate spicy food and especially when I ate pizza, which was often. I also hadn’t been smoking as much as I used to, so I think GERD was primarily result of all the food I was eating. Now I’m having asthma issues along with gerd symptoms, and I’m not sure if the breathing issues are primarily because of gerd in and of itself, or because I still vape? I know smoking is bad for GERD, but how about vaping? Does anyone have experience with this or currently vape despite having GERD?</t>
        </is>
      </c>
      <c r="D6687" t="n">
        <v>1</v>
      </c>
      <c r="E6687" t="n">
        <v>5</v>
      </c>
      <c r="F6687">
        <f>HYPERLINK("https://www.reddit.com/r/GERD/comments/g8gs3j/vaping_and_gerd/")</f>
        <v/>
      </c>
      <c r="G6687" t="inlineStr">
        <is>
          <t>2020-04-26 08:59:46</t>
        </is>
      </c>
      <c r="H6687" t="inlineStr"/>
    </row>
    <row r="6688">
      <c r="A6688" t="inlineStr">
        <is>
          <t>g8guex</t>
        </is>
      </c>
      <c r="B6688" t="inlineStr">
        <is>
          <t>Linx Surgery Feedback</t>
        </is>
      </c>
      <c r="C6688" t="inlineStr">
        <is>
          <t>Hey everyone i was diagnosed with Gerd  and i've been taking ppi's for like 6 months now. Currently i feel fine on ppi's can get through most of my days and do all of my jobs without any problem. However i read online about the long term effects and how medicines don't cure the actual problem which is the les(lower esophageal sphincter and also i don't have a hiatal hernia). Surgeries fix the Les as far as i know. So i was thinking is surgery a good option? I've read online about all the surgical and endoscopic procedures and linx is honestly the one that makes the  most sense to me. Please share your valuable experiences of how the recovery was like and what all short term and long term effects you experienced. Also were you able to wean off your daily ppi use? Thank you!</t>
        </is>
      </c>
      <c r="D6688" t="n">
        <v>1</v>
      </c>
      <c r="E6688" t="n">
        <v>11</v>
      </c>
      <c r="F6688">
        <f>HYPERLINK("https://www.reddit.com/r/GERD/comments/g8guex/linx_surgery_feedback/")</f>
        <v/>
      </c>
      <c r="G6688" t="inlineStr">
        <is>
          <t>2020-04-26 09:03:07</t>
        </is>
      </c>
      <c r="H6688" t="inlineStr"/>
    </row>
    <row r="6689">
      <c r="A6689" t="inlineStr">
        <is>
          <t>g8hh6s</t>
        </is>
      </c>
      <c r="B6689" t="inlineStr">
        <is>
          <t>Light at the end of the tunnel</t>
        </is>
      </c>
      <c r="C6689" t="inlineStr">
        <is>
          <t>5 years ago I had chest tightness, nausea, burning throat, pain all over my body etc... I could barely drink water and also couldn’t eat anything and what seemed to be food allergies/intolerances was really underlying issues that weren’t addressed, now I can eat spicy foods, have chocolate, drink alcohol or coffee without a problem and so on, I’m extremely grateful that I was able to overcome my symptoms and live my life again! To anyone going through this, theirs definitely light at the end of the tunnel!</t>
        </is>
      </c>
      <c r="D6689" t="n">
        <v>1</v>
      </c>
      <c r="E6689" t="n">
        <v>10</v>
      </c>
      <c r="F6689">
        <f>HYPERLINK("https://www.reddit.com/r/GERD/comments/g8hh6s/light_at_the_end_of_the_tunnel/")</f>
        <v/>
      </c>
      <c r="G6689" t="inlineStr">
        <is>
          <t>2020-04-26 09:37:30</t>
        </is>
      </c>
      <c r="H6689" t="inlineStr"/>
    </row>
    <row r="6690">
      <c r="A6690" t="inlineStr">
        <is>
          <t>g8jb93</t>
        </is>
      </c>
      <c r="B6690" t="inlineStr">
        <is>
          <t>Help with throat tightness/lump in throat symptom?</t>
        </is>
      </c>
      <c r="C6690" t="inlineStr">
        <is>
          <t>Hi everyone, this symptom of mine has been seriously bothering me past couple of days. The classic lump after eating that persists all day/feeling like I can't get a satisfying breath through it. 
Gaviscon at night seems to relieve, I'm taking Omeprazole twice daily at the moment - doesn't seem to be doing much. Does anyone have any quick fixes or ways that can help break up the feeling in your throat?</t>
        </is>
      </c>
      <c r="D6690" t="n">
        <v>1</v>
      </c>
      <c r="E6690" t="n">
        <v>9</v>
      </c>
      <c r="F6690">
        <f>HYPERLINK("https://www.reddit.com/r/GERD/comments/g8jb93/help_with_throat_tightnesslump_in_throat_symptom/")</f>
        <v/>
      </c>
      <c r="G6690" t="inlineStr">
        <is>
          <t>2020-04-26 11:16:06</t>
        </is>
      </c>
      <c r="H6690" t="inlineStr"/>
    </row>
    <row r="6691">
      <c r="A6691" t="inlineStr">
        <is>
          <t>g8jhcy</t>
        </is>
      </c>
      <c r="B6691" t="inlineStr">
        <is>
          <t>Sinus Congestion at Night?</t>
        </is>
      </c>
      <c r="C6691" t="inlineStr">
        <is>
          <t>As long as I can remember now I have severe sinus congestion that mainly occurs when I lie down to sleep. Doctors have attributed it to allergies and I’ve treated my sinus with just about every treatment even surgery. However I am starting to suspect I have a mild case of GERD. 
 Do you guys also have sinus congestion that mainly occurs when you lie down?</t>
        </is>
      </c>
      <c r="D6691" t="n">
        <v>1</v>
      </c>
      <c r="E6691" t="n">
        <v>18</v>
      </c>
      <c r="F6691">
        <f>HYPERLINK("https://www.reddit.com/r/GERD/comments/g8jhcy/sinus_congestion_at_night/")</f>
        <v/>
      </c>
      <c r="G6691" t="inlineStr">
        <is>
          <t>2020-04-26 11:24:58</t>
        </is>
      </c>
      <c r="H6691" t="inlineStr"/>
    </row>
    <row r="6692">
      <c r="A6692" t="inlineStr">
        <is>
          <t>g8k8cf</t>
        </is>
      </c>
      <c r="B6692" t="inlineStr">
        <is>
          <t>Not sure if heartburn relief is from neuromodulator (Prozac) or Prilosec .</t>
        </is>
      </c>
      <c r="C6692" t="inlineStr">
        <is>
          <t>I’d like to stop one, but idk which one is curing my heartburn. Which should I try first? Been on both for months and only symptom left is regurgitation. Prozac has some bad side effects but if heartburn will come back if I get off I’d rather stay on</t>
        </is>
      </c>
      <c r="D6692" t="n">
        <v>1</v>
      </c>
      <c r="E6692" t="n">
        <v>1</v>
      </c>
      <c r="F6692">
        <f>HYPERLINK("https://www.reddit.com/r/GERD/comments/g8k8cf/not_sure_if_heartburn_relief_is_from/")</f>
        <v/>
      </c>
      <c r="G6692" t="inlineStr">
        <is>
          <t>2020-04-26 12:03:45</t>
        </is>
      </c>
      <c r="H6692" t="inlineStr"/>
    </row>
    <row r="6693">
      <c r="A6693" t="inlineStr">
        <is>
          <t>g8kga0</t>
        </is>
      </c>
      <c r="B6693" t="inlineStr">
        <is>
          <t>Please help w advice - back pain.</t>
        </is>
      </c>
      <c r="C6693" t="inlineStr">
        <is>
          <t>Rolling around in bed crying right now. My diaphragm hurts, mid back hurts, and all I had all day that was spicy was 4 chips -- I counted. 4 tomato flavoured chips. 
Diaphragm pain, flatulence and a pain bottom right of my abdomen. But the worst is the pain in the middle of the back. Water just seems to make it worse. How do you relieve trapped gas in your back?</t>
        </is>
      </c>
      <c r="D6693" t="n">
        <v>1</v>
      </c>
      <c r="E6693" t="n">
        <v>2</v>
      </c>
      <c r="F6693">
        <f>HYPERLINK("https://www.reddit.com/r/GERD/comments/g8kga0/please_help_w_advice_back_pain/")</f>
        <v/>
      </c>
      <c r="G6693" t="inlineStr">
        <is>
          <t>2020-04-26 12:15:08</t>
        </is>
      </c>
      <c r="H6693" t="inlineStr"/>
    </row>
    <row r="6694">
      <c r="A6694" t="inlineStr">
        <is>
          <t>g8mw63</t>
        </is>
      </c>
      <c r="B6694" t="inlineStr">
        <is>
          <t>anyone else with recurring one sided sore throats?</t>
        </is>
      </c>
      <c r="C6694" t="inlineStr">
        <is>
          <t>preface: i’m 17F. i don’t smoke, drink, or do drugs. i have already eliminated all foods i’m allergic to in my diet (gluten, dairy, eggs, beans), but i do still eat acidic and high fodmap foods. i don’t drink caffeine. i’m not medicated for gerd or lpr because i’ve only been successful with ranitidine and it’s been recalled. 
i have had 4 sore throats in the past roughly 2 months one after another and i have no idea if it’s GERD&amp;amp;LPR or not. i will get white spots so i always thought it was strep, but i’ve been quarantining in my house isolated with no public exposure and i also just took a round of antibiotics and then a sore throat appeared again right after. they mostly occur on my right side- my more sensitive tonsil, but once it has occurred on the left. also i either have no fever or a low grade ranging 99.3-99.6. 
the pain occurs in my under-chin area and all around my upper neck on whichever side my throat is hurting, not the actual back of my throat like the sore throat a cold or the flu will give me. it’s always on one side and there’s always ear pain and aching tooth/facial pain that comes with it. it’s like that whole side of my face just feels inflamed. i’ve experienced things like this before but NEVER at this frequency. coincidentally i am under much more stress and it seems the sore throats like to occur after days i’m under more stress than usual. people say it’s stress and my LPR has definitely gotten extremely worse as well as my GERD but the one sided pain freaks me out because i don’t sleep on one side consistently and all that medical pages will tell you is you can only have one sided throat pain with reflux if you are positioned to one side. 
usually if it’s my right tonsil, it’s easier and hurts less to swallow food/drink and hurts more to swallow spit/nothing. left it’s usually the opposite. the pain persists whether i swallow or not, it throws all the time. tylenol helps (i don’t take nsaids) 
i have no idea what this is and it’s breaking me mentally to a point that’s kind of unbearable as dramatic as that sounds. i’ve tried everything to figure out what it is and i’ve seen my doctor twice and still nothing. 
anyone else suffering with something similar?</t>
        </is>
      </c>
      <c r="D6694" t="n">
        <v>1</v>
      </c>
      <c r="E6694" t="n">
        <v>44</v>
      </c>
      <c r="F6694">
        <f>HYPERLINK("https://www.reddit.com/r/GERD/comments/g8mw63/anyone_else_with_recurring_one_sided_sore_throats/")</f>
        <v/>
      </c>
      <c r="G6694" t="inlineStr">
        <is>
          <t>2020-04-26 14:29:09</t>
        </is>
      </c>
      <c r="H6694" t="inlineStr"/>
    </row>
    <row r="6695">
      <c r="A6695" t="inlineStr">
        <is>
          <t>g8o3he</t>
        </is>
      </c>
      <c r="B6695" t="inlineStr">
        <is>
          <t>Home remedies until dr appt</t>
        </is>
      </c>
      <c r="C6695" t="inlineStr">
        <is>
          <t>Hi friends!
I have been dealing with a lot of (self-diagnosed) GERD/Gastritis symptoms since early January. I had not gone to a doctor due to my severe fear of doctors- but I have recently been seeing a surge of my symptoms since the beginning of quarantine (a lot more alcohol, snacking, etc.) 
Due to said quarantine, I can’t necessarily see a doctor to diagnose and medicate. I wanted to reach out and ask if y’all have any advice on things I can do until I can set up a doctors appointment. I know diet is a big one, and cutting out alcohol has relived some symptoms.
Thank you in advance!</t>
        </is>
      </c>
      <c r="D6695" t="n">
        <v>1</v>
      </c>
      <c r="E6695" t="n">
        <v>3</v>
      </c>
      <c r="F6695">
        <f>HYPERLINK("https://www.reddit.com/r/GERD/comments/g8o3he/home_remedies_until_dr_appt/")</f>
        <v/>
      </c>
      <c r="G6695" t="inlineStr">
        <is>
          <t>2020-04-26 15:36:18</t>
        </is>
      </c>
      <c r="H6695" t="inlineStr"/>
    </row>
    <row r="6696">
      <c r="A6696" t="inlineStr">
        <is>
          <t>g8pxol</t>
        </is>
      </c>
      <c r="B6696" t="inlineStr">
        <is>
          <t>I was diagnosed with post viral vagal neuropathy, LSN today .(LPR)</t>
        </is>
      </c>
      <c r="C6696" t="inlineStr">
        <is>
          <t>So yes , I can pinpoint the exact same.day all this issues started,after a bad viral cold,  finally after a SELSAP i was diagnosed with post viral vagal neuropathy, laryngeal sensory neuropathy, the missdiagnose from doctors and the inecfesary extreme dose of  ppis,antibiotics and NSAIDS  made me getting actually reflux, so I still.experienced bad rebound and gastric problems after 1 month without ppis  , I was prescribed gabapentin and another drug I don't remeber well, according to my studies all things are good but I still experiencing belchijg and bloating , thimgs I didn't have before the ppis, so please aware if you can pinpoint the exact date that your (LPR ) started, check other factors, not so many doctors know about this, now I need to control the chronic sore throat pain , and my reflux and gastrtitis and hopefully make them away, good luck and stay safe ¡</t>
        </is>
      </c>
      <c r="D6696" t="n">
        <v>1</v>
      </c>
      <c r="E6696" t="n">
        <v>14</v>
      </c>
      <c r="F6696">
        <f>HYPERLINK("https://www.reddit.com/r/GERD/comments/g8pxol/i_was_diagnosed_with_post_viral_vagal_neuropathy/")</f>
        <v/>
      </c>
      <c r="G6696" t="inlineStr">
        <is>
          <t>2020-04-26 17:22:44</t>
        </is>
      </c>
      <c r="H6696" t="inlineStr"/>
    </row>
    <row r="6697">
      <c r="A6697" t="inlineStr">
        <is>
          <t>g8pyto</t>
        </is>
      </c>
      <c r="B6697" t="inlineStr">
        <is>
          <t>Possibly GERD?</t>
        </is>
      </c>
      <c r="C6697" t="inlineStr">
        <is>
          <t>Hello, I recently started having symptoms similair to GERD. But, my symptoms are u usually get full quickly, when I lay down I can just feel liquid going up my throat and it just feels weird. My throat is sore and has been for a few days. I don't have any other medical conditions and this came randomly. And I'm 31. There is NO pain anywhere this is just very uncomfortable and annoying. (id go to a Dr but uh yeah that's kind of expensive with no insurance). What completely did me on which was 5d ago was over eating pizza. I've been demolished since then :/ anybody else feel this??</t>
        </is>
      </c>
      <c r="D6697" t="n">
        <v>1</v>
      </c>
      <c r="E6697" t="n">
        <v>12</v>
      </c>
      <c r="F6697">
        <f>HYPERLINK("https://www.reddit.com/r/GERD/comments/g8pyto/possibly_gerd/")</f>
        <v/>
      </c>
      <c r="G6697" t="inlineStr">
        <is>
          <t>2020-04-26 17:24:36</t>
        </is>
      </c>
      <c r="H6697" t="inlineStr"/>
    </row>
    <row r="6698">
      <c r="A6698" t="inlineStr">
        <is>
          <t>g8q50v</t>
        </is>
      </c>
      <c r="B6698" t="inlineStr">
        <is>
          <t>PPI rebound after stoping Omeprazole use and now using it again.</t>
        </is>
      </c>
      <c r="C6698" t="inlineStr">
        <is>
          <t>I've been taking 80 mg of Omeprazole for years. Been to ENT for not GERD related issues and ENT asked me to stop using Omeprazole and use other PPI and to lower my dosage. So I did that, after a few weeks I was experiencing heartburn, I very rarely experienced it when I was on omeprazole, so that was new to me. I tried to tough it out but after a few months of constant throat burning and other symptoms that I didn't experience before, I decided that I will use Omeprazole again. So now its been around 4 months since I came back on omeprazole and I still am experiencing a rebound (heartburn after eating, sore throat, coughing and all of that other good stuff). When is it going to get better? Will it get better? I read that PPI rebound should last max 3 months. My symptoms were very bad 2/3 months ago, it got slighty better, but still nowhere near the level I was when I was using Omeprazole before all this.</t>
        </is>
      </c>
      <c r="D6698" t="n">
        <v>1</v>
      </c>
      <c r="E6698" t="n">
        <v>21</v>
      </c>
      <c r="F6698">
        <f>HYPERLINK("https://www.reddit.com/r/GERD/comments/g8q50v/ppi_rebound_after_stoping_omeprazole_use_and_now/")</f>
        <v/>
      </c>
      <c r="G6698" t="inlineStr">
        <is>
          <t>2020-04-26 17:35:11</t>
        </is>
      </c>
      <c r="H6698" t="inlineStr"/>
    </row>
    <row r="6699">
      <c r="A6699" t="inlineStr">
        <is>
          <t>g8reul</t>
        </is>
      </c>
      <c r="B6699" t="inlineStr">
        <is>
          <t>Symptoms after Heartburn</t>
        </is>
      </c>
      <c r="C6699" t="inlineStr">
        <is>
          <t>Hello all,
Recently I changed my diet to a more healthy one ( pasta, broccoli, boiled chicken, rice, etc.) and it made a significant improvement to my health to the point that the heartburn symptoms that I was having before stopped. Now that I started feeling better, shortly after, I started having a sore throat ( for about 3 weeks), when the sore throat symptoms were gone( without changing anything to my diet), I began having difficulty swallowing food, thinking I was going to choke(huge anxiety), this symptom drove me crazy even though I was following my healthy diet religiously.
To get to the point, my question is ;  Has anyone experienced difficulty swallowing(anxiety) shortly after changing your diet or stopping your heartburn symptoms ?
&amp;amp;#x200B;
Thanks!</t>
        </is>
      </c>
      <c r="D6699" t="n">
        <v>1</v>
      </c>
      <c r="E6699" t="n">
        <v>3</v>
      </c>
      <c r="F6699">
        <f>HYPERLINK("https://www.reddit.com/r/GERD/comments/g8reul/symptoms_after_heartburn/")</f>
        <v/>
      </c>
      <c r="G6699" t="inlineStr">
        <is>
          <t>2020-04-26 18:58:08</t>
        </is>
      </c>
      <c r="H6699" t="inlineStr"/>
    </row>
    <row r="6700">
      <c r="A6700" t="inlineStr">
        <is>
          <t>g8rj17</t>
        </is>
      </c>
      <c r="B6700" t="inlineStr">
        <is>
          <t>Has anyone had luck with calcium citrate powder stopping their heartburn symptoms?</t>
        </is>
      </c>
      <c r="C6700" t="inlineStr">
        <is>
          <t>Has anyone had luck with calcium citrate powder stopping their heartburn symptoms?  If so, what was the length of time it took to see results?  Thanks.</t>
        </is>
      </c>
      <c r="D6700" t="n">
        <v>1</v>
      </c>
      <c r="E6700" t="n">
        <v>0</v>
      </c>
      <c r="F6700">
        <f>HYPERLINK("https://www.reddit.com/r/GERD/comments/g8rj17/has_anyone_had_luck_with_calcium_citrate_powder/")</f>
        <v/>
      </c>
      <c r="G6700" t="inlineStr">
        <is>
          <t>2020-04-26 19:05:28</t>
        </is>
      </c>
      <c r="H6700" t="inlineStr"/>
    </row>
    <row r="6701">
      <c r="A6701" t="inlineStr">
        <is>
          <t>g8roue</t>
        </is>
      </c>
      <c r="B6701" t="inlineStr">
        <is>
          <t>Has anyone found success with H2 Blocker + Gaviscon UK combo?</t>
        </is>
      </c>
      <c r="C6701" t="inlineStr">
        <is>
          <t>I have been on PPIs for a year and a half now. First I was on Pariet for abour a year and have switched to Nexium 40s as the Pariet stopped working and I developed gastritis. 
I have not been able to find long term success with low PPI dosage yet. I have tried a couple of times to ween down onto a low dose 3-7 times a week, but this usually stops being effective after a few weeks. 
I am also very aware of long term PPI use and while I don't feel in the risk zone yet, I would like to look into alternatives. I would say I get overall quite mild symptoms (occasional heartburn, but prettt constant indigestion when I am off medocation). And with low PPI dosage not being effective, I am not super optimistic about H2 Blockers.
So all this rambling to ask: has anyone with persistent and moderate symptoms found long term relief with a daily H2 Blocker like famotidine, in combo with Gaviscon UK?
Thanks 
A hopeful GERD-sufferer</t>
        </is>
      </c>
      <c r="D6701" t="n">
        <v>1</v>
      </c>
      <c r="E6701" t="n">
        <v>2</v>
      </c>
      <c r="F6701">
        <f>HYPERLINK("https://www.reddit.com/r/GERD/comments/g8roue/has_anyone_found_success_with_h2_blocker_gaviscon/")</f>
        <v/>
      </c>
      <c r="G6701" t="inlineStr">
        <is>
          <t>2020-04-26 19:16:09</t>
        </is>
      </c>
      <c r="H6701" t="inlineStr"/>
    </row>
    <row r="6702">
      <c r="A6702" t="inlineStr">
        <is>
          <t>g8scjh</t>
        </is>
      </c>
      <c r="B6702" t="inlineStr">
        <is>
          <t>Getting rid of lump in the throat and shortness of breath</t>
        </is>
      </c>
      <c r="C6702" t="inlineStr">
        <is>
          <t>Hey guys, 
Long time Gastritis/LPR sufferer here. I see from time to time people struggling with symptoms like a lump in the throat and shortness of breath. I am sharing with y’all what helped me the most. I apologize if this has been posted already.
Note: It took me about a week to get a relief. But you have to do it daily. 
[Pesin Deactivating Spray ](https://youtu.be/2H_VvFO3Fp8)</t>
        </is>
      </c>
      <c r="D6702" t="n">
        <v>1</v>
      </c>
      <c r="E6702" t="n">
        <v>8</v>
      </c>
      <c r="F6702">
        <f>HYPERLINK("https://www.reddit.com/r/GERD/comments/g8scjh/getting_rid_of_lump_in_the_throat_and_shortness/")</f>
        <v/>
      </c>
      <c r="G6702" t="inlineStr">
        <is>
          <t>2020-04-26 20:00:53</t>
        </is>
      </c>
      <c r="H6702" t="inlineStr"/>
    </row>
    <row r="6703">
      <c r="A6703" t="inlineStr">
        <is>
          <t>g8secl</t>
        </is>
      </c>
      <c r="B6703" t="inlineStr">
        <is>
          <t>A minuscule bit of hard liquor tends to HELP my symptoms...anyone else?</t>
        </is>
      </c>
      <c r="C6703" t="inlineStr">
        <is>
          <t>Disclaimer: this is NOT meant to be taken as medical advice or even as a recommendation (i.e. try at home at your own risk)! I was diagnosed w/GERD as a young kid, and whenever it was making me nauseous back then, my mom would give me a sugar cube soaked in kirsch (cherry liquor), which was a remedy passed down by her mother (a Swiss native). It has ALWAYS worked like a charm for me, *much* better than Tums—the kirsch just seems to melt my heartburn and nausea away as soon as it hits my throat (as an adult I no longer take it with a sugar cube—just a straight 1/4 of a shot, sipped slowly). Does anyone else have experience with this, or any insights into why this might be the case? 
PS, I'm well aware that it could just be a powerful placebo for me! But I'm wondering if there might be any other explanations out there.</t>
        </is>
      </c>
      <c r="D6703" t="n">
        <v>1</v>
      </c>
      <c r="E6703" t="n">
        <v>4</v>
      </c>
      <c r="F6703">
        <f>HYPERLINK("https://www.reddit.com/r/GERD/comments/g8secl/a_minuscule_bit_of_hard_liquor_tends_to_help_my/")</f>
        <v/>
      </c>
      <c r="G6703" t="inlineStr">
        <is>
          <t>2020-04-26 20:04:03</t>
        </is>
      </c>
      <c r="H6703" t="inlineStr"/>
    </row>
    <row r="6704">
      <c r="A6704" t="inlineStr">
        <is>
          <t>g8sgij</t>
        </is>
      </c>
      <c r="B6704" t="inlineStr">
        <is>
          <t>GERD related wheezing?</t>
        </is>
      </c>
      <c r="C6704" t="inlineStr">
        <is>
          <t>Does anyone else wheeze when they exhale due to GERD/Acid reflux? I’ve noticed this for a while,  though other than the whistle sound when I breathe with my mouth open it doesn’t seem to bother me significantly. 
I’m an overweight 36 year old male, I’ve had lung capacity tests and the doctors say that comes out normal, not sure if reflux could be the cause (I’ve been on meds / have had GERD problems for years).
Thanks for reading!</t>
        </is>
      </c>
      <c r="D6704" t="n">
        <v>1</v>
      </c>
      <c r="E6704" t="n">
        <v>4</v>
      </c>
      <c r="F6704">
        <f>HYPERLINK("https://www.reddit.com/r/GERD/comments/g8sgij/gerd_related_wheezing/")</f>
        <v/>
      </c>
      <c r="G6704" t="inlineStr">
        <is>
          <t>2020-04-26 20:08:03</t>
        </is>
      </c>
      <c r="H6704" t="inlineStr"/>
    </row>
    <row r="6705">
      <c r="A6705" t="inlineStr">
        <is>
          <t>g8tb7v</t>
        </is>
      </c>
      <c r="B6705" t="inlineStr">
        <is>
          <t>Have I left it too late?</t>
        </is>
      </c>
      <c r="C6705" t="inlineStr">
        <is>
          <t>Hi everyone, 20F here
Basically January 2019 I woke up one day nauseous and eating was difficult due to reflux and I lost weight. I was in denial for so long that what I was experiencing was GERD because the symptoms were so debilitating I couldn't believe it was just reflux... I chased many specialists, pretty much have had every blood test, scan, scope and check up possible. To no surprise my symptoms never subsided because I did not make any lifestyle changes or medicate... and I was not eating healthy AT ALL. I'm at the point where I'm accepting what I am going through is GERD and want nothing more but to heal. I'm just wondering... a year and 3 months on, is it possible to heal or has there been too much damage over the course of time? How long did you guys suffer before seeing any difference? 
My symptoms are constant lump in throat (acidic mucous), nausea in the mornings (sometimes dry heaving but never vomit), pain and discomfort under my ribs and sometimes in the back, shortness of breath, bad breath, not wanting to eat because of feeling ill but then binge eating because I am hungry. 
I can't believe some of you guys have lived like this for years and years... I can barely get myself out of bed everyday... Love to you all x</t>
        </is>
      </c>
      <c r="D6705" t="n">
        <v>1</v>
      </c>
      <c r="E6705" t="n">
        <v>5</v>
      </c>
      <c r="F6705">
        <f>HYPERLINK("https://www.reddit.com/r/GERD/comments/g8tb7v/have_i_left_it_too_late/")</f>
        <v/>
      </c>
      <c r="G6705" t="inlineStr">
        <is>
          <t>2020-04-26 21:06:06</t>
        </is>
      </c>
      <c r="H6705" t="inlineStr"/>
    </row>
    <row r="6706">
      <c r="A6706" t="inlineStr">
        <is>
          <t>g8tqh0</t>
        </is>
      </c>
      <c r="B6706" t="inlineStr">
        <is>
          <t>Has anyone else with LPR like symptoms tried diaphragm breathing exercises? It seems to have helped me</t>
        </is>
      </c>
      <c r="C6706" t="inlineStr">
        <is>
          <t>I'm really not sure if its coincidence or not 
But I used to have a constant sore throat, hoarseness, slight burning sensation in my upper throat
I'd had an endoscopy done and doc said I had a weak LES
I researched it myself and stumbled upon research that showed that diaphragm breathing exercises could strengthen the LES
I've been doing them every night before bed, just 15 deep diaphragm breaths, holding it in and letting out slowly
It's been roughly 3 months now that I've been doing them and my symptoms are definitely better, I still get sore throat and burning sometimes depending on what I eat or how much I eat, but overall I'd say my symptoms went down like %80 or something 
I definitely recommend trying it, cant hurt and it might actually help</t>
        </is>
      </c>
      <c r="D6706" t="n">
        <v>1</v>
      </c>
      <c r="E6706" t="n">
        <v>20</v>
      </c>
      <c r="F6706">
        <f>HYPERLINK("https://www.reddit.com/r/GERD/comments/g8tqh0/has_anyone_else_with_lpr_like_symptoms_tried/")</f>
        <v/>
      </c>
      <c r="G6706" t="inlineStr">
        <is>
          <t>2020-04-26 21:36:29</t>
        </is>
      </c>
      <c r="H6706" t="inlineStr"/>
    </row>
    <row r="6707">
      <c r="A6707" t="inlineStr">
        <is>
          <t>g8uued</t>
        </is>
      </c>
      <c r="B6707" t="inlineStr">
        <is>
          <t>Silent reflux and anxiety</t>
        </is>
      </c>
      <c r="C6707" t="inlineStr">
        <is>
          <t>I was diagnosed with silent reflux almost a year ago after a visit to an ENT. I had the good ol’ camera down the throat. Fun times. 
I’m curious though. My anxiety has come out full fledge during this pandemic. I’ve been stuck at home for 51 days minus small trips to the store.  Has anyone noticed their reflux being worse with anxiety? I literally thought I was having a heart attack earlier because of how bad my throat and chest hurt.</t>
        </is>
      </c>
      <c r="D6707" t="n">
        <v>1</v>
      </c>
      <c r="E6707" t="n">
        <v>8</v>
      </c>
      <c r="F6707">
        <f>HYPERLINK("https://www.reddit.com/r/GERD/comments/g8uued/silent_reflux_and_anxiety/")</f>
        <v/>
      </c>
      <c r="G6707" t="inlineStr">
        <is>
          <t>2020-04-26 23:00:26</t>
        </is>
      </c>
      <c r="H6707" t="inlineStr"/>
    </row>
    <row r="6708">
      <c r="A6708" t="inlineStr">
        <is>
          <t>g8x2n6</t>
        </is>
      </c>
      <c r="B6708" t="inlineStr">
        <is>
          <t>Dicetel for GERD? and cannabis Qs</t>
        </is>
      </c>
      <c r="C6708" t="inlineStr">
        <is>
          <t>Tl;dr  - Have struggled w chest pain on&amp;amp;off for years and was prescribed dicetel to stop esophageal spasms. Wondering if anyone else is on this medication? 
I have chest pain that comes in what I call attacks, and can last 1 minute or hours to days... the pain is so intense that it can bring me to tears and leave me unable to eat, hard to breathe... literally just clutching my chest and sobbing while I wait for it to pass. 
I had an upper endoscopy in sept. of last year to diagnose my problems. 
So the doctor very briefly (as I am waking up from the aenesthesia and am still loopy) told me he thinks I have esophageal spasms and some damage to my LES. He showed me a photo of my tubez and it was definitely inflamed but not alarmingly so. He gave me a prescription for dicetel and told me to take it during flare ups ("like ativan, but for chest pain attacks instead of anxiety attacks, got it?"). And that was all.  I had finally gotten into a gastro doctor and he rushed through my diagnosis... frustrating. And I look em up online to find these are always prescribed for IBS and cant find any info about Dicetel for GERD symptoms and if they work. 
 So I started using these instead of Pepcid and PPIs when my symptoms flare up. Im on no daily prescriptions anymore. Ive used them a handful of times and get mixed results. Mostly relief though, sometimes they dont do anything but make my stomach gurgle... 
Except for tonight. I ate dinner late and so I took a dicetel with my sandwich in case it came back to haunt me while I tried to sleep. Oh my god was that a mistake. Apparently you arent supposed to take these before bed. I am having the worst abdominal cramps and diarrhea. I am so angry that I didnt check side effects etc before just popping one before bed. Its like what I ate is being pushed through me by a leafblower. Lol thats brutal but its true.
So my question is: Is anyone here on Dicetel or been on it? For GERD or IBS? How often do your symptoms come and do you have "flare ups" like I described? I could go months without pain and suddenly for 2 weeks I have this incredible on&amp;amp;off pain. 
Also, does anyone have gerd AND asthma and found their asthma symptoms and gerd symptoms flare up at the same time? 
Anyone find relief for either by smoking cannabis? Im almost convinced at this point that smoking cannabis helps my esophageal spasms. It seems to dry out my saliva and bile makers so everything goes down and stays down. Plus kills the pain in my chest and anxiety I get when Im having mid grade flare ups.
Sorry this has been an unorganized novel of a post, Im up at 5am by myself and am wondering many things lol</t>
        </is>
      </c>
      <c r="D6708" t="n">
        <v>1</v>
      </c>
      <c r="E6708" t="n">
        <v>0</v>
      </c>
      <c r="F6708">
        <f>HYPERLINK("https://www.reddit.com/r/GERD/comments/g8x2n6/dicetel_for_gerd_and_cannabis_qs/")</f>
        <v/>
      </c>
      <c r="G6708" t="inlineStr">
        <is>
          <t>2020-04-27 01:52:13</t>
        </is>
      </c>
      <c r="H6708" t="inlineStr"/>
    </row>
    <row r="6709">
      <c r="A6709" t="inlineStr">
        <is>
          <t>g8xmib</t>
        </is>
      </c>
      <c r="B6709" t="inlineStr">
        <is>
          <t>Can anyone help me?</t>
        </is>
      </c>
      <c r="C6709" t="inlineStr">
        <is>
          <t>The whole day, I have 400 grams of steamed chicken breasts with a pinch of salt and 200 ml of skimmed milk with 5 to 6 tsp of coffee powder.
I have a habit of regurgitating food as I suffer from that eating disorder. Will constant regurgitation cause weight loss?
Also, I have a fear regarding weight gain that if I regurgitate and there is a food item kept nearby, I will consume the calories of that item while swallowing my regurgitating food.</t>
        </is>
      </c>
      <c r="D6709" t="n">
        <v>1</v>
      </c>
      <c r="E6709" t="n">
        <v>0</v>
      </c>
      <c r="F6709">
        <f>HYPERLINK("https://www.reddit.com/r/GERD/comments/g8xmib/can_anyone_help_me/")</f>
        <v/>
      </c>
      <c r="G6709" t="inlineStr">
        <is>
          <t>2020-04-27 02:36:14</t>
        </is>
      </c>
      <c r="H6709" t="inlineStr"/>
    </row>
    <row r="6710">
      <c r="A6710" t="inlineStr">
        <is>
          <t>g8yea7</t>
        </is>
      </c>
      <c r="B6710" t="inlineStr">
        <is>
          <t>How do I know if I have Gerd ?</t>
        </is>
      </c>
      <c r="C6710" t="inlineStr">
        <is>
          <t>I had heartburn for two days, today the heartburn is gone but I am left with a sore throat, i rarely get heartburn and have been experiencing this for 3 days</t>
        </is>
      </c>
      <c r="D6710" t="n">
        <v>1</v>
      </c>
      <c r="E6710" t="n">
        <v>8</v>
      </c>
      <c r="F6710">
        <f>HYPERLINK("https://www.reddit.com/r/GERD/comments/g8yea7/how_do_i_know_if_i_have_gerd/")</f>
        <v/>
      </c>
      <c r="G6710" t="inlineStr">
        <is>
          <t>2020-04-27 03:39:30</t>
        </is>
      </c>
      <c r="H6710" t="inlineStr"/>
    </row>
    <row r="6711">
      <c r="A6711" t="inlineStr">
        <is>
          <t>g90gxn</t>
        </is>
      </c>
      <c r="B6711" t="inlineStr">
        <is>
          <t>If you are serious about improve GERD - LOG EVERYTHING YOU EAT</t>
        </is>
      </c>
      <c r="C6711" t="inlineStr">
        <is>
          <t>Seriously, log everything. Go download MyFitnessPal and buy a food scale.
MyfitnessPal + food scale + journal is how I'm getting a grip on GERD. I can refer to my journal when I have GERD and look at the foods I ate.
Aim for a 1 gram of protein per goal bodyweight.  You'll be eating fish and chicken like crazy but that's how athletes do it.</t>
        </is>
      </c>
      <c r="D6711" t="n">
        <v>1</v>
      </c>
      <c r="E6711" t="n">
        <v>14</v>
      </c>
      <c r="F6711">
        <f>HYPERLINK("https://www.reddit.com/r/GERD/comments/g90gxn/if_you_are_serious_about_improve_gerd_log/")</f>
        <v/>
      </c>
      <c r="G6711" t="inlineStr">
        <is>
          <t>2020-04-27 06:14:58</t>
        </is>
      </c>
      <c r="H6711" t="inlineStr"/>
    </row>
    <row r="6712">
      <c r="A6712" t="inlineStr">
        <is>
          <t>g90xvc</t>
        </is>
      </c>
      <c r="B6712" t="inlineStr">
        <is>
          <t>I thought asparagus was going to be safe.</t>
        </is>
      </c>
      <c r="C6712" t="inlineStr">
        <is>
          <t>After having my GERD under control for the past few days I thought oh! Asparagus sounds good and it’s a safe food. Plot twist. It was not. 
The acid is rushing into my throat. Whyyyyy &amp;gt;:(</t>
        </is>
      </c>
      <c r="D6712" t="n">
        <v>1</v>
      </c>
      <c r="E6712" t="n">
        <v>13</v>
      </c>
      <c r="F6712">
        <f>HYPERLINK("https://www.reddit.com/r/GERD/comments/g90xvc/i_thought_asparagus_was_going_to_be_safe/")</f>
        <v/>
      </c>
      <c r="G6712" t="inlineStr">
        <is>
          <t>2020-04-27 06:44:28</t>
        </is>
      </c>
      <c r="H6712" t="inlineStr"/>
    </row>
    <row r="6713">
      <c r="A6713" t="inlineStr">
        <is>
          <t>g91qwx</t>
        </is>
      </c>
      <c r="B6713" t="inlineStr">
        <is>
          <t>[23M]Tongue scarring/irritation due to GERD?</t>
        </is>
      </c>
      <c r="C6713" t="inlineStr">
        <is>
          <t>I had Dysbiosis and some undiagnosed gastro problem this month, which resulted in my weight dropping from 67 to 60.9. I do have diagnosed GERD, which at the moment was only affecting me via burping.
My doc prescribed me some modern proton-pump inhibitor, stimulator of gastrointestinal motility, panzinorm(sorry, no idea how to translate it’s working mechanism in English), hepatoprotector and probiotic.
What bothers me is my tongue. When the 2nd gastro problem came, I started to feel like my tongue and mouth is burning, taste wise it was soar/acidic and bitterly. The tip of tongue is extremely irritated. Also my teeth became very sensitive.
Now with the meds, the teeth stopped hurting, the taste isn’t that bad, but it still prevails.
My tongue feels better, but I don’t feel like it’s recovering on its own. 
[pictures of tongue](https://imgur.com/a/njG1xZE) 
Do you know what it is? I need at least the explanation. The doc didn’t really say something about it, he just said “it can’t fix itself in a week”</t>
        </is>
      </c>
      <c r="D6713" t="n">
        <v>1</v>
      </c>
      <c r="E6713" t="n">
        <v>0</v>
      </c>
      <c r="F6713">
        <f>HYPERLINK("https://www.reddit.com/r/GERD/comments/g91qwx/23mtongue_scarringirritation_due_to_gerd/")</f>
        <v/>
      </c>
      <c r="G6713" t="inlineStr">
        <is>
          <t>2020-04-27 07:31:06</t>
        </is>
      </c>
      <c r="H6713" t="inlineStr"/>
    </row>
    <row r="6714">
      <c r="A6714" t="inlineStr">
        <is>
          <t>g91v52</t>
        </is>
      </c>
      <c r="B6714" t="inlineStr">
        <is>
          <t>Famotidine being trialed as a COVID Treatment</t>
        </is>
      </c>
      <c r="C6714" t="inlineStr">
        <is>
          <t>Interesting. I will post the link at the end of this text, but basically some models have predicted that famotidine can bind to an enzyme on the COVID virus and force it to become inactive/stop replicating. 
I wonder how this will impact famotidine supplies, especially as people panic buy. 
[CNN Link](https://www.cnn.com/2020/04/27/health/famotidine-coronavirus-northwell-trial/index.html)</t>
        </is>
      </c>
      <c r="D6714" t="n">
        <v>3</v>
      </c>
      <c r="E6714" t="n">
        <v>26</v>
      </c>
      <c r="F6714">
        <f>HYPERLINK("https://www.reddit.com/r/GERD/comments/g91v52/famotidine_being_trialed_as_a_covid_treatment/")</f>
        <v/>
      </c>
      <c r="G6714" t="inlineStr">
        <is>
          <t>2020-04-27 07:37:27</t>
        </is>
      </c>
      <c r="H6714" t="inlineStr"/>
    </row>
    <row r="6715">
      <c r="A6715" t="inlineStr">
        <is>
          <t>g92vp4</t>
        </is>
      </c>
      <c r="B6715" t="inlineStr">
        <is>
          <t>Recently kinda diagnosed with GERD and need help with diet plan?</t>
        </is>
      </c>
      <c r="C6715" t="inlineStr">
        <is>
          <t>Hello friends - for the past 2 months I’ve been having GERD symptoms. It started at the beginning of March with a small cold that wouldn’t go away to shortness of breath and a TON of burping. Some other symptoms I’ve had is: constantly being thirsty?? Like drinking tons of water but still needing more. Constipation, really bad shortness of breath/ tightness in chest, lots of bloating, and feeling full when I know I’m hungry. 
I wanted to make this post to ask what everyone does for meal plans? My doctor told me to avoid carbs but when I’ve tried looking up what I couldn’t eat, it seemed like it listed everything???? I’m already bad at coming up w meals to eat and now this whole GERD thing is throwing me in a loop (if that’s how the saying goes? Lol) 
I wanted to add that I know my stress probably triggered this since I’ve been so stressed about covid - and now not being able to breathe??? Doesn’t help trying to calm down lol so anyone w tips with breathing exercises? Or meditation type of stuff.  
I’ve only been in contact with my doctor through messaging and she guessed it was GERD and gave me an inhaler to use when I need it and omeprazole and told me to avoid carbs. I think omeprazole helped with the burping and brought down the severity of the shortness of breath but I’m also still dealing with bloating and constipation. 
I’ve been going into meals hoping it wouldn’t make things worse. Literally everything has carbs except like - water. Like can I have oatmeal?? Cream of wheat??? Fruit???? Yogurt????? 
Thanks for any help you give me. Idk if it helps but I’m 23/F</t>
        </is>
      </c>
      <c r="D6715" t="n">
        <v>1</v>
      </c>
      <c r="E6715" t="n">
        <v>3</v>
      </c>
      <c r="F6715">
        <f>HYPERLINK("https://www.reddit.com/r/GERD/comments/g92vp4/recently_kinda_diagnosed_with_gerd_and_need_help/")</f>
        <v/>
      </c>
      <c r="G6715" t="inlineStr">
        <is>
          <t>2020-04-27 08:31:30</t>
        </is>
      </c>
      <c r="H6715" t="inlineStr"/>
    </row>
    <row r="6716">
      <c r="A6716" t="inlineStr">
        <is>
          <t>g9332h</t>
        </is>
      </c>
      <c r="B6716" t="inlineStr">
        <is>
          <t>Has anyone else had arm pain after eating?</t>
        </is>
      </c>
      <c r="C6716" t="inlineStr">
        <is>
          <t>My symptoms have become much worse in the last month and one of these symptoms is arm pain/discomfort soon after eating. Has anyone else experienced this?</t>
        </is>
      </c>
      <c r="D6716" t="n">
        <v>2</v>
      </c>
      <c r="E6716" t="n">
        <v>8</v>
      </c>
      <c r="F6716">
        <f>HYPERLINK("https://www.reddit.com/r/GERD/comments/g9332h/has_anyone_else_had_arm_pain_after_eating/")</f>
        <v/>
      </c>
      <c r="G6716" t="inlineStr">
        <is>
          <t>2020-04-27 08:42:18</t>
        </is>
      </c>
      <c r="H6716" t="inlineStr"/>
    </row>
    <row r="6717">
      <c r="A6717" t="inlineStr">
        <is>
          <t>g93gpx</t>
        </is>
      </c>
      <c r="B6717" t="inlineStr">
        <is>
          <t>Does this sound like GERD symptoms?</t>
        </is>
      </c>
      <c r="C6717" t="inlineStr">
        <is>
          <t>Difficulty burping, feels like gas is stuck in my chest. Sharp sudden poking pain/sensation in middle where my asparagus is that happens then goes away. Dizziness / anxiety. Happened after eating 4day old pizza with sausage on it and drinking water after.</t>
        </is>
      </c>
      <c r="D6717" t="n">
        <v>2</v>
      </c>
      <c r="E6717" t="n">
        <v>4</v>
      </c>
      <c r="F6717">
        <f>HYPERLINK("https://www.reddit.com/r/GERD/comments/g93gpx/does_this_sound_like_gerd_symptoms/")</f>
        <v/>
      </c>
      <c r="G6717" t="inlineStr">
        <is>
          <t>2020-04-27 09:01:43</t>
        </is>
      </c>
      <c r="H6717" t="inlineStr"/>
    </row>
    <row r="6718">
      <c r="A6718" t="inlineStr">
        <is>
          <t>g943l8</t>
        </is>
      </c>
      <c r="B6718" t="inlineStr">
        <is>
          <t>um, why can't i buy pepcid anywhere?</t>
        </is>
      </c>
      <c r="C6718" t="inlineStr">
        <is>
          <t>I need this medication to sleep at night, it's literally the only thing that helps my gerd. I only got a few left and it's litearlly out of stock everywhere, even for generic versions? WTf. I googled it and looks like people are hoarding it cos of the pandemic? Man F this world so much. I'm literally having a panic attack right now.</t>
        </is>
      </c>
      <c r="D6718" t="n">
        <v>2</v>
      </c>
      <c r="E6718" t="n">
        <v>14</v>
      </c>
      <c r="F6718">
        <f>HYPERLINK("https://www.reddit.com/r/GERD/comments/g943l8/um_why_cant_i_buy_pepcid_anywhere/")</f>
        <v/>
      </c>
      <c r="G6718" t="inlineStr">
        <is>
          <t>2020-04-27 09:33:44</t>
        </is>
      </c>
      <c r="H6718" t="inlineStr"/>
    </row>
    <row r="6719">
      <c r="A6719" t="inlineStr">
        <is>
          <t>g94fnq</t>
        </is>
      </c>
      <c r="B6719" t="inlineStr">
        <is>
          <t>Do you guys think pepcid stocks will come back after things calm down?</t>
        </is>
      </c>
      <c r="C6719" t="inlineStr">
        <is>
          <t>I'm seriously freaking out right now</t>
        </is>
      </c>
      <c r="D6719" t="n">
        <v>1</v>
      </c>
      <c r="E6719" t="n">
        <v>3</v>
      </c>
      <c r="F6719">
        <f>HYPERLINK("https://www.reddit.com/r/GERD/comments/g94fnq/do_you_guys_think_pepcid_stocks_will_come_back/")</f>
        <v/>
      </c>
      <c r="G6719" t="inlineStr">
        <is>
          <t>2020-04-27 09:50:57</t>
        </is>
      </c>
      <c r="H6719" t="inlineStr"/>
    </row>
    <row r="6720">
      <c r="A6720" t="inlineStr">
        <is>
          <t>g95de7</t>
        </is>
      </c>
      <c r="B6720" t="inlineStr">
        <is>
          <t>Famotidine</t>
        </is>
      </c>
      <c r="C6720" t="inlineStr">
        <is>
          <t>https://www.sciencemag.org/news/2020/04/new-york-clinical-trial-quietly-tests-heartburn-remedy-against-coronavirus
This is starting to blow up in the news. Better go grab some now before our stupid public goes and depletes shelves of it.</t>
        </is>
      </c>
      <c r="D6720" t="n">
        <v>1</v>
      </c>
      <c r="E6720" t="n">
        <v>3</v>
      </c>
      <c r="F6720">
        <f>HYPERLINK("https://www.reddit.com/r/GERD/comments/g95de7/famotidine/")</f>
        <v/>
      </c>
      <c r="G6720" t="inlineStr">
        <is>
          <t>2020-04-27 10:37:49</t>
        </is>
      </c>
      <c r="H6720" t="inlineStr"/>
    </row>
    <row r="6721">
      <c r="A6721" t="inlineStr">
        <is>
          <t>g96upt</t>
        </is>
      </c>
      <c r="B6721" t="inlineStr">
        <is>
          <t>Chest pains and chesty cough</t>
        </is>
      </c>
      <c r="C6721" t="inlineStr">
        <is>
          <t>Finally got round to speaking to a doctor today after a week of chest pain and having really bad heartburn, I didn’t think anything of it at first but then the chest pain would intensify and it would come in different places everyday! My anxiety tells me this can’t be just acid reflux, due to lockdown we aren’t allowed to attend the doctors, so the doctor prescribed me some Lansoprazole today over the phone, which I will take for the next few weeks, having read this sub it seems like a lot of you share the same pain and mindset about this, It has definitely given me some form of relief and that I’m not going crazy thinking I might be having heart problems or covid-19, however I just wanted any advice anyone has as this really new to me and I’ve never really experienced gerd before</t>
        </is>
      </c>
      <c r="D6721" t="n">
        <v>1</v>
      </c>
      <c r="E6721" t="n">
        <v>3</v>
      </c>
      <c r="F6721">
        <f>HYPERLINK("https://www.reddit.com/r/GERD/comments/g96upt/chest_pains_and_chesty_cough/")</f>
        <v/>
      </c>
      <c r="G6721" t="inlineStr">
        <is>
          <t>2020-04-27 11:53:08</t>
        </is>
      </c>
      <c r="H6721" t="inlineStr"/>
    </row>
    <row r="6722">
      <c r="A6722" t="inlineStr">
        <is>
          <t>g96ypz</t>
        </is>
      </c>
      <c r="B6722" t="inlineStr">
        <is>
          <t>Hey. I am a software developer. I am suffering from gerd problem. I want to build an app for people like us. Please suggest your ideas.</t>
        </is>
      </c>
      <c r="C6722" t="inlineStr">
        <is>
          <t>I am planning to add food items which are okay, good to eat, avoid etc. 
An app fully focused on GERD.</t>
        </is>
      </c>
      <c r="D6722" t="n">
        <v>1</v>
      </c>
      <c r="E6722" t="n">
        <v>23</v>
      </c>
      <c r="F6722">
        <f>HYPERLINK("https://www.reddit.com/r/GERD/comments/g96ypz/hey_i_am_a_software_developer_i_am_suffering_from/")</f>
        <v/>
      </c>
      <c r="G6722" t="inlineStr">
        <is>
          <t>2020-04-27 11:58:56</t>
        </is>
      </c>
      <c r="H6722" t="inlineStr"/>
    </row>
    <row r="6723">
      <c r="A6723" t="inlineStr">
        <is>
          <t>g9886z</t>
        </is>
      </c>
      <c r="B6723" t="inlineStr">
        <is>
          <t>Battling GERD in youth</t>
        </is>
      </c>
      <c r="C6723" t="inlineStr">
        <is>
          <t>I am 26 years old. I had no prior history of digestive problems. In my opinion, the only reason my symptoms appeared was due to a small dose of propranolol (20mg per day) for a few months. I have been diagnosed with ADHD and was prescribed ritalin. For a year I was taking it without any problems whatsoever. Almost around a year after I started Ritalin, I committed the foolish act of taking a double dose when shifting from long acting to short acting (double of what the Doctor prescribed). This caused palpitations and anxiety and then, foolishly I consulted my doctor who prescribed me to take propranolol. This was the start of this hellish year. Only after a few days I took propranolol a disgusting layer of fat enveloped my belly. My belly started **bloating,** I felt like a pregnant women, even though a week before I had a ripped six pack. Each time I had ritalin, all symptoms of GERD started to surface.   
The weird thing is that belly and chest was the only body part that had fat accumulated over it. My arms, legs and face were still lean like before, or there might had been an unnoticeable change although nothing in comparison to my belly.  
I took propranolol for 3 months and got rid of it in hopes that my symptoms might end. Alas, they did not, so I went to the gastroenterologist in hopes I could fix GERD. He prescribed me pantoprazole, Itopride and advanced gaviscon. Again, pantoprazole  alongside itopride were extremely horrible, although bloating and reflux symptoms subsided, they were replaced by muscle aches, weakness, nausea and anxiety. At the end of 2 months, I have decided that I will battle by undergoing a weight loss program instead of all these terrible medications.  
The thing is I am 100% confident that propranolol was the root cause of these symptoms. I've told my gastroenterologist repeatedly the aforementioned, but he denies it. Even though he may be a doctor and I am not, there is no way of denying the fact that I never had a single serious episode of acid reflux before propranolol. And now due to propranolol, this was a daily problem that I had put myself into, multiple times a day.  
Today is my second day of my tapered dose of Pantoprazole. And I am feeling symptoms like anxiety, lack of appetite, symptoms that I have experienced never before. But I am determined to get rid of these.  
After I get rid of the withdrawal symptoms, I will ensure to get back my lean waist by whatever means possible. I will fast, I will exercise, I will diet to achieve a toned six pack. I will strengthen my diaphragm by breathing into a balloon (to avoid LES relaxations), undergo inspiratory training, cardiovascular training, strength training, whatever it takes. But I will never resort to PPI/itopride again.</t>
        </is>
      </c>
      <c r="D6723" t="n">
        <v>1</v>
      </c>
      <c r="E6723" t="n">
        <v>9</v>
      </c>
      <c r="F6723">
        <f>HYPERLINK("https://www.reddit.com/r/GERD/comments/g9886z/battling_gerd_in_youth/")</f>
        <v/>
      </c>
      <c r="G6723" t="inlineStr">
        <is>
          <t>2020-04-27 13:04:09</t>
        </is>
      </c>
      <c r="H6723" t="inlineStr"/>
    </row>
    <row r="6724">
      <c r="A6724" t="inlineStr">
        <is>
          <t>g99ilx</t>
        </is>
      </c>
      <c r="B6724" t="inlineStr">
        <is>
          <t>Anyone had success weaning from 40 to 20 mg of pantoprazole?</t>
        </is>
      </c>
      <c r="C6724" t="inlineStr">
        <is>
          <t>Been on 40 mg of pantoprazole for about 5 months and feeling pretty good. My doctor wants to try weaning down to 20 to see how I feel. Anyone had success?</t>
        </is>
      </c>
      <c r="D6724" t="n">
        <v>1</v>
      </c>
      <c r="E6724" t="n">
        <v>1</v>
      </c>
      <c r="F6724">
        <f>HYPERLINK("https://www.reddit.com/r/GERD/comments/g99ilx/anyone_had_success_weaning_from_40_to_20_mg_of/")</f>
        <v/>
      </c>
      <c r="G6724" t="inlineStr">
        <is>
          <t>2020-04-27 14:10:01</t>
        </is>
      </c>
      <c r="H6724" t="inlineStr"/>
    </row>
    <row r="6725">
      <c r="A6725" t="inlineStr">
        <is>
          <t>g99isk</t>
        </is>
      </c>
      <c r="B6725" t="inlineStr">
        <is>
          <t>30 yo male with constant acid reflux in back of my throat and mouth</t>
        </is>
      </c>
      <c r="C6725" t="inlineStr">
        <is>
          <t>Ok so here it goes, hopefully this isn’t to wordy...
So about 6 weeks ago now (roughly) near the start of the pandemic I was having some very severe anxiety. I’ll be honest the covid scared the shut out of me and I was afraid at first to go to the store and was eating absolute garbage if anything because I didn’t have much food in hand and was just anxious all of the time. We’ve had to postpone our wedding, bachelor’s/bachelorette party, wedding shower, etc. Also started a new job, moved to a new place, death in the family, and to top it all off friend drama. Lol, so things have been chaotic to say the least. I’m telling you all of this because I lost some weight during this ordeal and really freaked me out. I wasn’t eating that much or very well, pizza rolls etc. I’m fairly fit but for the past couple of years I’ve hovered around 200 lbs (6’1). 
I started working out pretty hard like I did in the in my early twenties, trying to work through the anxiety,stress, and depression. Thinking that would help I went from around 193-196 range down to 182-187 range. Did I mention that I am a hypochondriac with pretty severe anxiety.
So from there I sought medical help. I got put on an antidepressant and protonix to help with GERD. It didn’t  seem to do anything all to help with acid reflux. I reached out to a GI doc and he said he wants to scope when he can open back up and that the protonix can take up to a month to work. K cool...
There was a solid week there were I felt much better then I started to try and drink a beer maybe have a something other than chicken and veggies and then I had a family member pass and BAM. It got worse again. The acid reflux is constant and the weight loss scares the crap out of (albeit some what intentional or due to stress possibly). Of course I googled my symptoms and the C word popped up flagging some of the symptoms that I have.
I’m really sacred which isn’t making any of this easier. I guess I’m looking for someone to tell me it’s going be ok, when I’m scared it’s not.
I do have a follow up with my GI doctor this week.</t>
        </is>
      </c>
      <c r="D6725" t="n">
        <v>1</v>
      </c>
      <c r="E6725" t="n">
        <v>7</v>
      </c>
      <c r="F6725">
        <f>HYPERLINK("https://www.reddit.com/r/GERD/comments/g99isk/30_yo_male_with_constant_acid_reflux_in_back_of/")</f>
        <v/>
      </c>
      <c r="G6725" t="inlineStr">
        <is>
          <t>2020-04-27 14:10:14</t>
        </is>
      </c>
      <c r="H6725" t="inlineStr"/>
    </row>
    <row r="6726">
      <c r="A6726" t="inlineStr">
        <is>
          <t>g9br4i</t>
        </is>
      </c>
      <c r="B6726" t="inlineStr">
        <is>
          <t>How long a ppi rebound last if you dont have gerd before?</t>
        </is>
      </c>
      <c r="C6726" t="inlineStr">
        <is>
          <t>I have another condition missdiagnosed since the beggining, and now I have regurgitation , belching , indigestion and bloating thanks to a 80  mg nexium(my issues started  in the second month of it)  , stoped it cold turkey one month ago and still experiencing bad symptoms, should I go back on them or wait and maybe is not permament , any advice? Edit : I was on them for 3 months</t>
        </is>
      </c>
      <c r="D6726" t="n">
        <v>2</v>
      </c>
      <c r="E6726" t="n">
        <v>16</v>
      </c>
      <c r="F6726">
        <f>HYPERLINK("https://www.reddit.com/r/GERD/comments/g9br4i/how_long_a_ppi_rebound_last_if_you_dont_have_gerd/")</f>
        <v/>
      </c>
      <c r="G6726" t="inlineStr">
        <is>
          <t>2020-04-27 16:15:00</t>
        </is>
      </c>
      <c r="H6726" t="inlineStr"/>
    </row>
    <row r="6727">
      <c r="A6727" t="inlineStr">
        <is>
          <t>g9cb3v</t>
        </is>
      </c>
      <c r="B6727" t="inlineStr">
        <is>
          <t>Does anyone get a weird fluttering in their chest with indigestion?</t>
        </is>
      </c>
      <c r="C6727" t="inlineStr">
        <is>
          <t>I don’t get this all the time but when I eat something that really doesn’t agree, I get a weird fluttering feeling in my chest that feels slightly different than a heart palpitation and feel a little faint for a second like I could just fall asleep. It’s like that feeling I get when I’m falling asleep but jolt awake randomly. Normally, when that happens, I end up having a bad acid reflux episode or diarrhea soon after, and then end up with a weird hollow feeling in my chest once that episode ends. I’ve tried to explain this to my doctor and he kinda looked at me like I had 3 heads. Is that totally out of the normal? It’s not every food but it happens randomly to me sometimes (usually tomato or something if I have too much of it). I’ve tossed back and forth whether I’m literally exhausted sometimes, have a heart problem, or it has to do with my GERD.</t>
        </is>
      </c>
      <c r="D6727" t="n">
        <v>1</v>
      </c>
      <c r="E6727" t="n">
        <v>13</v>
      </c>
      <c r="F6727">
        <f>HYPERLINK("https://www.reddit.com/r/GERD/comments/g9cb3v/does_anyone_get_a_weird_fluttering_in_their_chest/")</f>
        <v/>
      </c>
      <c r="G6727" t="inlineStr">
        <is>
          <t>2020-04-27 16:48:04</t>
        </is>
      </c>
      <c r="H6727" t="inlineStr"/>
    </row>
    <row r="6728">
      <c r="A6728" t="inlineStr">
        <is>
          <t>g9cctw</t>
        </is>
      </c>
      <c r="B6728" t="inlineStr">
        <is>
          <t>Why don't we scope for Barrett's multiple times?</t>
        </is>
      </c>
      <c r="C6728" t="inlineStr">
        <is>
          <t>Hi all!
The gastroenterologist I see performed an endoscopy on me only two months after I began to experience chronic reflux and found no Barrett's tissue.  That was six months ago, but I've heard doctors say that once you get checked for Barrett's once there's no need to do it again.  Why is that?  Doesn't it take years to develop, and thus wouldn't I need to get scoped again in a couple of years?
Thanks! -Gwaine</t>
        </is>
      </c>
      <c r="D6728" t="n">
        <v>1</v>
      </c>
      <c r="E6728" t="n">
        <v>2</v>
      </c>
      <c r="F6728">
        <f>HYPERLINK("https://www.reddit.com/r/GERD/comments/g9cctw/why_dont_we_scope_for_barretts_multiple_times/")</f>
        <v/>
      </c>
      <c r="G6728" t="inlineStr">
        <is>
          <t>2020-04-27 16:50:55</t>
        </is>
      </c>
      <c r="H6728" t="inlineStr"/>
    </row>
    <row r="6729">
      <c r="A6729" t="inlineStr">
        <is>
          <t>g9evtd</t>
        </is>
      </c>
      <c r="B6729" t="inlineStr">
        <is>
          <t>Damn chocolate</t>
        </is>
      </c>
      <c r="C6729" t="inlineStr">
        <is>
          <t>So I had actually stopped eating chocolate. But under lockdown I decided to treat myself to some chocolate miniatures. And now my throat is irritated and I have a cough. 
I was doing so good, I didn't even miss it. UGH.</t>
        </is>
      </c>
      <c r="D6729" t="n">
        <v>1</v>
      </c>
      <c r="E6729" t="n">
        <v>2</v>
      </c>
      <c r="F6729">
        <f>HYPERLINK("https://www.reddit.com/r/GERD/comments/g9evtd/damn_chocolate/")</f>
        <v/>
      </c>
      <c r="G6729" t="inlineStr">
        <is>
          <t>2020-04-27 19:31:44</t>
        </is>
      </c>
      <c r="H6729" t="inlineStr"/>
    </row>
    <row r="6730">
      <c r="A6730" t="inlineStr">
        <is>
          <t>g9gwsw</t>
        </is>
      </c>
      <c r="B6730" t="inlineStr">
        <is>
          <t>Does anyone else wake up constantly at night with a feeling of being choked?</t>
        </is>
      </c>
      <c r="C6730" t="inlineStr">
        <is>
          <t>My GERD has been getting worse recently and i now wake up 10+ times a night with a feeling of being choked. My heart races, i feel panicky and i keep burping up gas all night. I can’t fall asleep and everytime i do i wake up not even 5 minutes later because i stopped breathing or my throat closed off. I also have asthma which makes it pretty scary. 
I got some new symptoms too including:
- throat feels like its on fire and hurts really bad
- awful smelling breath 
- i’m constantly bloated and my chest and stomach feel like they are both full of gas and feel really heavy
- sore neck
I retain a lot of water due to allergies. I recently water fasted for 2 days and i lost an insane amount of bloat and felt so light. 
I got a wedge pillow which isn’t helping much. The only thing thats helping a bit is sleeping in a chair but i wake up frequently still. 
Any advice please? I just want some sleep i’m constantly tired and sore.</t>
        </is>
      </c>
      <c r="D6730" t="n">
        <v>1</v>
      </c>
      <c r="E6730" t="n">
        <v>15</v>
      </c>
      <c r="F6730">
        <f>HYPERLINK("https://www.reddit.com/r/GERD/comments/g9gwsw/does_anyone_else_wake_up_constantly_at_night_with/")</f>
        <v/>
      </c>
      <c r="G6730" t="inlineStr">
        <is>
          <t>2020-04-27 21:57:19</t>
        </is>
      </c>
      <c r="H6730" t="inlineStr"/>
    </row>
    <row r="6731">
      <c r="A6731" t="inlineStr">
        <is>
          <t>g9h3by</t>
        </is>
      </c>
      <c r="B6731" t="inlineStr">
        <is>
          <t>shortness of breath/ chest pressure</t>
        </is>
      </c>
      <c r="C6731" t="inlineStr">
        <is>
          <t>hello. i am 26 years old, was diagnosed with gerd back in october. immediately i was put on pantoprozole 40 mg. seems to be helping, but i’m worried about long term effects of long term use. i definitely still have break through symptoms like shortness of breath and the feeling of weight or pressure of my chest. anyone have any suggestions ? i’m starting to think i could need surgery. this is a really miserable way to live. i have tried changing my diet and i’m already pretty fit. thank you!</t>
        </is>
      </c>
      <c r="D6731" t="n">
        <v>1</v>
      </c>
      <c r="E6731" t="n">
        <v>20</v>
      </c>
      <c r="F6731">
        <f>HYPERLINK("https://www.reddit.com/r/GERD/comments/g9h3by/shortness_of_breath_chest_pressure/")</f>
        <v/>
      </c>
      <c r="G6731" t="inlineStr">
        <is>
          <t>2020-04-27 22:11:49</t>
        </is>
      </c>
      <c r="H6731" t="inlineStr"/>
    </row>
    <row r="6732">
      <c r="A6732" t="inlineStr">
        <is>
          <t>g9him8</t>
        </is>
      </c>
      <c r="B6732" t="inlineStr">
        <is>
          <t>Kimchi for GERD</t>
        </is>
      </c>
      <c r="C6732" t="inlineStr">
        <is>
          <t>So I’ve been looking through google and it says that kimchi is okay for GERD. It’s actually GOOD for GERD. I was wondering, why it’s good for us? As far as I know, they are fermented in onion and also is a bit spicy. Am I right? Please enlighten me. Thank you!</t>
        </is>
      </c>
      <c r="D6732" t="n">
        <v>1</v>
      </c>
      <c r="E6732" t="n">
        <v>9</v>
      </c>
      <c r="F6732">
        <f>HYPERLINK("https://www.reddit.com/r/GERD/comments/g9him8/kimchi_for_gerd/")</f>
        <v/>
      </c>
      <c r="G6732" t="inlineStr">
        <is>
          <t>2020-04-27 22:47:09</t>
        </is>
      </c>
      <c r="H6732" t="inlineStr"/>
    </row>
    <row r="6733">
      <c r="A6733" t="inlineStr">
        <is>
          <t>g9irzt</t>
        </is>
      </c>
      <c r="B6733" t="inlineStr">
        <is>
          <t>Back in the saddle after a few years. Help</t>
        </is>
      </c>
      <c r="C6733" t="inlineStr">
        <is>
          <t>I just started taking lexapro and protonix after recovering from covid 19. Due to chest pains and crazy anxiety while being sick and after recovery. My anxiety seems to be under control but I am having the worst time with chest pains and stomach pains. I believe I have an ulcer along with gerd which is why my stomach hurts so badly. Any advice on how to help the ppi work better or anything?  I'm on day 5 of taking it.</t>
        </is>
      </c>
      <c r="D6733" t="n">
        <v>1</v>
      </c>
      <c r="E6733" t="n">
        <v>2</v>
      </c>
      <c r="F6733">
        <f>HYPERLINK("https://www.reddit.com/r/GERD/comments/g9irzt/back_in_the_saddle_after_a_few_years_help/")</f>
        <v/>
      </c>
      <c r="G6733" t="inlineStr">
        <is>
          <t>2020-04-28 00:34:38</t>
        </is>
      </c>
      <c r="H6733" t="inlineStr"/>
    </row>
    <row r="6734">
      <c r="A6734" t="inlineStr">
        <is>
          <t>g9l0j1</t>
        </is>
      </c>
      <c r="B6734" t="inlineStr">
        <is>
          <t>Reviewed a sleeping wedge for acid reflux if it might help anyone</t>
        </is>
      </c>
      <c r="C6734" t="inlineStr">
        <is>
          <t>Seen a few posts on here lately about struggling to sleep and waking in the night, which has always been the worst time for me too. I bought a sleeping wedge a couple of weeks ago and wrote about my experience with it if anyone is interested.
 [https://therefluxer.co.uk/2020/04/28/review-orthologics-bed-wedge-for-acid-reflux/](https://therefluxer.co.uk/2020/04/28/review-orthologics-bed-wedge-for-acid-reflux/) 
TLDR version: Not amazingly comfortable, but definitely helped with reflux symptoms.</t>
        </is>
      </c>
      <c r="D6734" t="n">
        <v>1</v>
      </c>
      <c r="E6734" t="n">
        <v>0</v>
      </c>
      <c r="F6734">
        <f>HYPERLINK("https://www.reddit.com/r/GERD/comments/g9l0j1/reviewed_a_sleeping_wedge_for_acid_reflux_if_it/")</f>
        <v/>
      </c>
      <c r="G6734" t="inlineStr">
        <is>
          <t>2020-04-28 03:45:46</t>
        </is>
      </c>
      <c r="H6734" t="inlineStr"/>
    </row>
    <row r="6735">
      <c r="A6735" t="inlineStr">
        <is>
          <t>g9l1jo</t>
        </is>
      </c>
      <c r="B6735" t="inlineStr">
        <is>
          <t>Reviewed an acid reflux sleeping wedge if it might help anyone else</t>
        </is>
      </c>
      <c r="C6735" t="inlineStr">
        <is>
          <t>Seen a few posts on here lately about struggling to sleep and waking in the night, which has always been the worst time for me too. I bought a sleeping wedge a couple of weeks ago and wrote about my experience with it if anyone is interested.
 [https://therefluxer.co.uk/2020/04/28/review-orthologics-bed-wedge-for-acid-reflux/](https://therefluxer.co.uk/2020/04/28/review-orthologics-bed-wedge-for-acid-reflux/) 
TLDR version: Not amazingly comfortable, but definitely helped with reflux symptoms.</t>
        </is>
      </c>
      <c r="D6735" t="n">
        <v>1</v>
      </c>
      <c r="E6735" t="n">
        <v>8</v>
      </c>
      <c r="F6735">
        <f>HYPERLINK("https://www.reddit.com/r/GERD/comments/g9l1jo/reviewed_an_acid_reflux_sleeping_wedge_if_it/")</f>
        <v/>
      </c>
      <c r="G6735" t="inlineStr">
        <is>
          <t>2020-04-28 03:48:12</t>
        </is>
      </c>
      <c r="H6735" t="inlineStr"/>
    </row>
    <row r="6736">
      <c r="A6736" t="inlineStr">
        <is>
          <t>g9lysm</t>
        </is>
      </c>
      <c r="B6736" t="inlineStr">
        <is>
          <t>Rebounding from stopping PPI/nexium, should I use again?</t>
        </is>
      </c>
      <c r="C6736" t="inlineStr">
        <is>
          <t>I stopped taking 20mg nexium 2 weeks ago but still experiencing symptoms and was getting bad recently.
So I've gone back to it again, been taking nexium for 2 days now, but do you think I should stick with it for a 2 weeks, then ween off it by taking it every other day? 
Maybe take Gaviscon (which I think is H2 blocker) after meals and before bed if I'm not doing nexium? 
(I'm also trying that reflux detox diet with vegies/banana/chicken/fishes/water etc.)</t>
        </is>
      </c>
      <c r="D6736" t="n">
        <v>1</v>
      </c>
      <c r="E6736" t="n">
        <v>7</v>
      </c>
      <c r="F6736">
        <f>HYPERLINK("https://www.reddit.com/r/GERD/comments/g9lysm/rebounding_from_stopping_ppinexium_should_i_use/")</f>
        <v/>
      </c>
      <c r="G6736" t="inlineStr">
        <is>
          <t>2020-04-28 05:04:50</t>
        </is>
      </c>
      <c r="H6736" t="inlineStr"/>
    </row>
    <row r="6737">
      <c r="A6737" t="inlineStr">
        <is>
          <t>g9m7bo</t>
        </is>
      </c>
      <c r="B6737" t="inlineStr">
        <is>
          <t>Cyclizine or other anti-sickness treatments</t>
        </is>
      </c>
      <c r="C6737" t="inlineStr">
        <is>
          <t>Afternoon all,
I’ve been taking ranitidine but as that’s now odd the menu I’ve been prescribed Cyclizine (I think still waiting for it). Has anyone else tried this as a treatment for reflux, especially at night? 
Thanks</t>
        </is>
      </c>
      <c r="D6737" t="n">
        <v>1</v>
      </c>
      <c r="E6737" t="n">
        <v>0</v>
      </c>
      <c r="F6737">
        <f>HYPERLINK("https://www.reddit.com/r/GERD/comments/g9m7bo/cyclizine_or_other_antisickness_treatments/")</f>
        <v/>
      </c>
      <c r="G6737" t="inlineStr">
        <is>
          <t>2020-04-28 05:23:14</t>
        </is>
      </c>
      <c r="H6737" t="inlineStr"/>
    </row>
    <row r="6738">
      <c r="A6738" t="inlineStr">
        <is>
          <t>g9m8zp</t>
        </is>
      </c>
      <c r="B6738" t="inlineStr">
        <is>
          <t>So what exactly is wrong with lifetime PPI use?</t>
        </is>
      </c>
      <c r="C6738" t="inlineStr">
        <is>
          <t>I have been taking Protonix 20 mg on and off for 10 years now. I have been to endoscopy twice, both doctors said it is GERD and then offered (surprise!) no solution except higher cure with Protonix for 3 weeks and then "when you need it". But here is the thing. I got off Protonix and of course got horrible rebound. That went away in a week but symptoms of GERD didn't. Now I eat only the leanest food possible, no coffee, no alcohol, no sweets, only bread, rice, cooked vegetables, lean meat and fish. I have my symptoms under control, but I still feel this small small burining pain after almost every meal that tells me that If I have one simple beer in the evening, it is going to be hell to pay. I am completely wrecked without coffee. My social life is no existent. I can't really exercise because I have no energy. My life was so much better when I was on PPI. I just needed to take care of not over indulging and I had almost no symptoms. To tell you the truth, I don't give a fuck if it will destroy my liver when I am 70 or whatever it is going to do long term. I simply don't want to live the life I am living now. I can't BEND, for fuck sake. What I want to ask you - is anyone here simply done? These drugs exist, people take all kinds of medicine all the time, all their life. Why is PPI suddenly so bad? Is there hard proof that it kills you before you loose your will to live? Because if the answer is no, then I am going back on it and never looking back.</t>
        </is>
      </c>
      <c r="D6738" t="n">
        <v>1</v>
      </c>
      <c r="E6738" t="n">
        <v>19</v>
      </c>
      <c r="F6738">
        <f>HYPERLINK("https://www.reddit.com/r/GERD/comments/g9m8zp/so_what_exactly_is_wrong_with_lifetime_ppi_use/")</f>
        <v/>
      </c>
      <c r="G6738" t="inlineStr">
        <is>
          <t>2020-04-28 05:26:38</t>
        </is>
      </c>
      <c r="H6738" t="inlineStr"/>
    </row>
    <row r="6739">
      <c r="A6739" t="inlineStr">
        <is>
          <t>g9nioo</t>
        </is>
      </c>
      <c r="B6739" t="inlineStr">
        <is>
          <t>Trouble breathing - normal symptom?</t>
        </is>
      </c>
      <c r="C6739" t="inlineStr">
        <is>
          <t>I was diagnosed w H Pylori and GERD back in February and finished my round of antibiotics. Before the treatment one of the prominent symptoms I had was difficulty breathing, especially when my stomach is hungry and when I lie down to sleep (worst in the morning). 
I was wondering if this is a normal symptom or is it something else?
I asked my doctor when I got it tested and he seemed a bit puzzled by it?
I feel like my H Pylori hasn’t gone away as I’m starting to have trouble breathing again, and my stomach has been acting up lately...
I was just wondering if anyone else also has trouble breathing/shortness of breath? or is this something unrelated? :(</t>
        </is>
      </c>
      <c r="D6739" t="n">
        <v>1</v>
      </c>
      <c r="E6739" t="n">
        <v>1</v>
      </c>
      <c r="F6739">
        <f>HYPERLINK("https://www.reddit.com/r/GERD/comments/g9nioo/trouble_breathing_normal_symptom/")</f>
        <v/>
      </c>
      <c r="G6739" t="inlineStr">
        <is>
          <t>2020-04-28 06:49:20</t>
        </is>
      </c>
      <c r="H6739" t="inlineStr"/>
    </row>
    <row r="6740">
      <c r="A6740" t="inlineStr">
        <is>
          <t>g9od8z</t>
        </is>
      </c>
      <c r="B6740" t="inlineStr">
        <is>
          <t>Anyone in here diagnosed with post viral vagal neuropathy or Laryngesl sensory neuropathy?</t>
        </is>
      </c>
      <c r="C6740" t="inlineStr">
        <is>
          <t>I was diagnosed with the same and wanna know if I can ask you some questions ? It will be trully appreciested it</t>
        </is>
      </c>
      <c r="D6740" t="n">
        <v>1</v>
      </c>
      <c r="E6740" t="n">
        <v>0</v>
      </c>
      <c r="F6740">
        <f>HYPERLINK("https://www.reddit.com/r/GERD/comments/g9od8z/anyone_in_here_diagnosed_with_post_viral_vagal/")</f>
        <v/>
      </c>
      <c r="G6740" t="inlineStr">
        <is>
          <t>2020-04-28 07:38:26</t>
        </is>
      </c>
      <c r="H6740" t="inlineStr"/>
    </row>
    <row r="6741">
      <c r="A6741" t="inlineStr">
        <is>
          <t>g9pytr</t>
        </is>
      </c>
      <c r="B6741" t="inlineStr">
        <is>
          <t>Reflux symptoms, three weeks into Omeprazole. Need some adivce.</t>
        </is>
      </c>
      <c r="C6741" t="inlineStr">
        <is>
          <t>EDIT: Also to be clear I have NOT been diagnosed with acid reflux/GERD, the walk in clinic doctor just gave me a prescription because I mentioned it when I went in for a COVID test (which was negative).
I was given Omeprazole by a walk in clinic (30 pills, one refill, with no instructions on who long I should take it). For the first two weeks I took it wrong (was eating too soon after taking), but for the past week I've been taking it correctly. Also over the last week I've eliminated everything out of my diet that all the sites say are reflux triggers.
But...I'm still feeling some symptoms. I'm still burping like crazy, still have this full feeling in my throat, a lot of the times it feels like I have to burp but I can't, still sometimes have a VERY mild shortness of breath where I feel like I have to really breathe in deep, and to an extent a lower than normal appetite. I've also noticed it a littler hard to make bowel movements. I'm eating less and eating a lot more fiber, so that could be it?
I'm not really in pain, but I just feel uncomfortable at all times. Maybe only one day in the past month have I actually felt like my normal self again.
Should i just keep taking the medicine and keep up the diet and that's it? I definitely feel little better than a week ago. The last few night have been much easier to get to sleep than some nights the past few weeks.
I've been struggling with this since April 3rd and I'm just so frustrated by the whole situation.</t>
        </is>
      </c>
      <c r="D6741" t="n">
        <v>1</v>
      </c>
      <c r="E6741" t="n">
        <v>15</v>
      </c>
      <c r="F6741">
        <f>HYPERLINK("https://www.reddit.com/r/GERD/comments/g9pytr/reflux_symptoms_three_weeks_into_omeprazole_need/")</f>
        <v/>
      </c>
      <c r="G6741" t="inlineStr">
        <is>
          <t>2020-04-28 09:06:24</t>
        </is>
      </c>
      <c r="H6741" t="inlineStr"/>
    </row>
    <row r="6742">
      <c r="A6742" t="inlineStr">
        <is>
          <t>g9qrqr</t>
        </is>
      </c>
      <c r="B6742" t="inlineStr">
        <is>
          <t>Anyone else get weird knee pain when sleeping in an incline?</t>
        </is>
      </c>
      <c r="C6742" t="inlineStr">
        <is>
          <t>I've tried doing a regular wedge and even a huge wedge that goes under the mattress to lift the head of the bed and no matter how I do it I get really weird knee pain in my left leg...no idea why. Anyone else experience this?
Wondering if maybe with the way my body is, sleeping at an angle like that is making some nerve get pinched or something. So really I end up sleeping worse at an incline than I do flat.</t>
        </is>
      </c>
      <c r="D6742" t="n">
        <v>0</v>
      </c>
      <c r="E6742" t="n">
        <v>1</v>
      </c>
      <c r="F6742">
        <f>HYPERLINK("https://www.reddit.com/r/GERD/comments/g9qrqr/anyone_else_get_weird_knee_pain_when_sleeping_in/")</f>
        <v/>
      </c>
      <c r="G6742" t="inlineStr">
        <is>
          <t>2020-04-28 09:48:58</t>
        </is>
      </c>
      <c r="H6742" t="inlineStr"/>
    </row>
    <row r="6743">
      <c r="A6743" t="inlineStr">
        <is>
          <t>g9r8or</t>
        </is>
      </c>
      <c r="B6743" t="inlineStr">
        <is>
          <t>Has anyone tried excercises for hiatal hernia?</t>
        </is>
      </c>
      <c r="C6743" t="inlineStr">
        <is>
          <t>I have been watching some youtube videos about excercises for reflux.
And I have tried some, but this is my first time trying
https://youtu.be/fQolD0svTNM</t>
        </is>
      </c>
      <c r="D6743" t="n">
        <v>1</v>
      </c>
      <c r="E6743" t="n">
        <v>15</v>
      </c>
      <c r="F6743">
        <f>HYPERLINK("https://www.reddit.com/r/GERD/comments/g9r8or/has_anyone_tried_excercises_for_hiatal_hernia/")</f>
        <v/>
      </c>
      <c r="G6743" t="inlineStr">
        <is>
          <t>2020-04-28 10:14:00</t>
        </is>
      </c>
      <c r="H6743" t="inlineStr"/>
    </row>
    <row r="6744">
      <c r="A6744" t="inlineStr">
        <is>
          <t>g9t5fh</t>
        </is>
      </c>
      <c r="B6744" t="inlineStr">
        <is>
          <t>Mylanta diarrhea (from magnesium hydroxide)</t>
        </is>
      </c>
      <c r="C6744" t="inlineStr">
        <is>
          <t>Any way to make this go away without stopping mylanta?  
I *would* stop mylanta but my heartburn would be debilitatingly painful, so yeah, i prefer burning diarrhea to that. 
Any tips to prevent this or make it less BESIDES lowering mylanta dosage (which is not an option)? I only take 3-4 servings a day and it says you can take 6.</t>
        </is>
      </c>
      <c r="D6744" t="n">
        <v>1</v>
      </c>
      <c r="E6744" t="n">
        <v>7</v>
      </c>
      <c r="F6744">
        <f>HYPERLINK("https://www.reddit.com/r/GERD/comments/g9t5fh/mylanta_diarrhea_from_magnesium_hydroxide/")</f>
        <v/>
      </c>
      <c r="G6744" t="inlineStr">
        <is>
          <t>2020-04-28 11:56:41</t>
        </is>
      </c>
      <c r="H6744" t="inlineStr"/>
    </row>
    <row r="6745">
      <c r="A6745" t="inlineStr">
        <is>
          <t>g9tb8f</t>
        </is>
      </c>
      <c r="B6745" t="inlineStr">
        <is>
          <t>Tylenol irritating my ulcer</t>
        </is>
      </c>
      <c r="C6745" t="inlineStr">
        <is>
          <t>Now I know that it is medication like Aspirin and NSAID that cause symptoms of the lining of the stomach. But what if you already have an ulcer. I noticed that after taking tylenol 2day my ulcer started to flair up. I've been taking tylenol for 4 days due to being exposed to Covid 19. My dad tested positive then i started to have symptoms. I first though my ulcer was aggravated due to the virus, since viruses tend to aggregate the symptoms of whatever illnesses you may have. But I notice my Ulcer hurt and the reflux tend to get worse right after the Tylenol dosage. Does anyone else experience this with Tylenol? Thanks</t>
        </is>
      </c>
      <c r="D6745" t="n">
        <v>1</v>
      </c>
      <c r="E6745" t="n">
        <v>15</v>
      </c>
      <c r="F6745">
        <f>HYPERLINK("https://www.reddit.com/r/GERD/comments/g9tb8f/tylenol_irritating_my_ulcer/")</f>
        <v/>
      </c>
      <c r="G6745" t="inlineStr">
        <is>
          <t>2020-04-28 12:05:05</t>
        </is>
      </c>
      <c r="H6745" t="inlineStr"/>
    </row>
    <row r="6746">
      <c r="A6746" t="inlineStr">
        <is>
          <t>g9tm3y</t>
        </is>
      </c>
      <c r="B6746" t="inlineStr">
        <is>
          <t>Acid flair and I need help!</t>
        </is>
      </c>
      <c r="C6746" t="inlineStr">
        <is>
          <t>Hi all I am new here! I am having a huge flair up! I have just been put on Pantoprozole 40 mg once a day in the AM on an empty stomach. This is a change from my omazaprole 20 Mmg 2x a day. They are old testing me for h. pylori. I had hoped to have the test results back by now but I do not it has been about a week.  I have always had heartburn and acid reflux but now it has moved to Gerd.  When I lay down at night I am woken up with acid in my throat and it is causing me to vomit. As of now, the new meds are not helping much. I am at a loss as to what to do. I do not see a GI that maybe my next step. My general doctor told me to eat a bland diet but did not really tell me the best foods to help with acid. I have been eating rice, and that has been helping a lot. Dairy is horrible for me, and what caused the night time vomiting. I can eat some plain chicken breasts as well. What are some other foods, and would you all recommend seeing a GI? Thank you!</t>
        </is>
      </c>
      <c r="D6746" t="n">
        <v>1</v>
      </c>
      <c r="E6746" t="n">
        <v>3</v>
      </c>
      <c r="F6746">
        <f>HYPERLINK("https://www.reddit.com/r/GERD/comments/g9tm3y/acid_flair_and_i_need_help/")</f>
        <v/>
      </c>
      <c r="G6746" t="inlineStr">
        <is>
          <t>2020-04-28 12:21:05</t>
        </is>
      </c>
      <c r="H6746" t="inlineStr"/>
    </row>
    <row r="6747">
      <c r="A6747" t="inlineStr">
        <is>
          <t>g9u9nb</t>
        </is>
      </c>
      <c r="B6747" t="inlineStr">
        <is>
          <t>25F Confusion around if I have GERD or not - need advice on diet, meds and self help tips</t>
        </is>
      </c>
      <c r="C6747" t="inlineStr">
        <is>
          <t>My first symptom was breathlessness which I had in February. I noticed I was burping a lot more than normal but I sort of ignored it. Sometimes the sense of breathlessness and panic would go if I could make myself burp. I suffer from PTSD and so I wondered if this was to do with anxiety even though I felt mentally fine.
The symptoms got worse, mainly the breathlessness - ive been to A&amp;amp;E who looked at my nose and throat and suggested GERD and post nasal drip (my nose has been bloody and swollen since Feb too - I’ve been on antibiotics (both cream and oral) as well as antihistamines with no avail) 
I went to my GP and they said I wouldn’t be able to see an ENT specialist for my nose and stomach problems due to COVID 19, and it’ll be 4 months maybe until I can see someone. They offered me an anti sickness pill, prochlorpromazine, as I have been vomiting a few times a day since last Wednesday. Overall I think I must’ve had 500 calories since then. I was also given Omeprazole. 
Additionally, I may have mild asthma after giving in a peak flow test (it was inconclusive) but I also cannot get a spirometry test to check, due to COVID. I think these symptoms of GERD got worse after trying ventolin. I’m still unsure about what meds I should or shouldn’t be taking for asthma, if I even have it (just venting) 
My symptoms are (apart from my nose as idk if that’s related!) - breathlessness which is worse after eating or moving, chest pain, stomach pain, gas, vomiting, dry heaving (sounds like a very strange burp), the feeling of food stuck in my throat or coming back up my throat, dizziness, and lots of saliva (often tastes sweet). I can also only pee once a day but I’m forcing down Dioralyte. 
I’m confused about what meds to take, what foods to eat and avoid, whether I should wait until I can see an ENT and be certain that this is what I have... any tips or advice would be greatly appreciate as I’ve been feeling very anxious and depressed with the strange symptoms I’ve been getting.</t>
        </is>
      </c>
      <c r="D6747" t="n">
        <v>1</v>
      </c>
      <c r="E6747" t="n">
        <v>8</v>
      </c>
      <c r="F6747">
        <f>HYPERLINK("https://www.reddit.com/r/GERD/comments/g9u9nb/25f_confusion_around_if_i_have_gerd_or_not_need/")</f>
        <v/>
      </c>
      <c r="G6747" t="inlineStr">
        <is>
          <t>2020-04-28 12:55:23</t>
        </is>
      </c>
      <c r="H6747" t="inlineStr"/>
    </row>
    <row r="6748">
      <c r="A6748" t="inlineStr">
        <is>
          <t>g9whnr</t>
        </is>
      </c>
      <c r="B6748" t="inlineStr">
        <is>
          <t>Fizzing noise/sensation at the back of my neck</t>
        </is>
      </c>
      <c r="C6748" t="inlineStr">
        <is>
          <t>Hi, I’ve been dealing with a lot of weird symptoms throughout my body recently, but for the past few days I’ve been getting this fizzing sensation in the back of my neck. It usually happens when I am sitting still. Im just wondering if anyone else gets this and what helps it go away. I’m almost positive this is related to acid reflux.</t>
        </is>
      </c>
      <c r="D6748" t="n">
        <v>1</v>
      </c>
      <c r="E6748" t="n">
        <v>1</v>
      </c>
      <c r="F6748">
        <f>HYPERLINK("https://www.reddit.com/r/GERD/comments/g9whnr/fizzing_noisesensation_at_the_back_of_my_neck/")</f>
        <v/>
      </c>
      <c r="G6748" t="inlineStr">
        <is>
          <t>2020-04-28 14:51:51</t>
        </is>
      </c>
      <c r="H6748" t="inlineStr"/>
    </row>
    <row r="6749">
      <c r="A6749" t="inlineStr">
        <is>
          <t>g9wsib</t>
        </is>
      </c>
      <c r="B6749" t="inlineStr">
        <is>
          <t>Please I really need some help to manage my symptoms</t>
        </is>
      </c>
      <c r="C6749" t="inlineStr">
        <is>
          <t xml:space="preserve"> 
I've been have lots of stomach issues for couple years now. Which doctors still can't seem to pinpoint. I have been to 3 different doctor in past 8 years. No help.
**Symptoms:**
* Bloating not much anymore
* Stomach Cramps. \*Sometimes dull pain on left side of stomach. \*Few times chest pain. (Not sure why, maybe it's because of small hiatal hernia they found) I realized on days my stomach is bad, I can't get sleep or just keep waking up at night. 
* The biggest issue I have now is I have lots of reflux, chest pain and burning in the back of the chest for the better part of 2019-2020. I didnt have much of this before that. But now its alot more. Omeprazole doesnt seem to help.
I ended up in ER like 2 months ago with this burning pain on backside of chest and sharp pain between ribs. Worst feeling I ever felt. They gave me famotidine and mylanta, felt better after a while but now its back like 24/7 not that intense but i feel like it can get worse at any second
**Procedures:** \*Endoscopy - last time was 3 months ago, had three times. Two years apart for each. \*Colonoscopy
**Medications:** \*Omeprazole ( Gastritis found during recent endoscopy and small hernia)  Not helping much anymore
Now the doctor gave me to take for a month - 2 weeks done not seeing much progress
Carafate (Sucralfate) 1 MG 
Pantoprazole  
History:
Omeprazole
Esomeprazole
Famotidine
Mylanta
I haven't done much change in diet. Sometime my symptoms clear up for like a day or two and come back after another week.
I'm not sure what the issue is. I have all blood tests and stool samples done but are were good. But currently I'm have the burning feeling in chest and bloating stomach feeling again.
I just need some help from anyone at this point, the doctors arent really helping. Some please help, how to manage this and help me in some diet somehow how.</t>
        </is>
      </c>
      <c r="D6749" t="n">
        <v>1</v>
      </c>
      <c r="E6749" t="n">
        <v>17</v>
      </c>
      <c r="F6749">
        <f>HYPERLINK("https://www.reddit.com/r/GERD/comments/g9wsib/please_i_really_need_some_help_to_manage_my/")</f>
        <v/>
      </c>
      <c r="G6749" t="inlineStr">
        <is>
          <t>2020-04-28 15:08:08</t>
        </is>
      </c>
      <c r="H6749" t="inlineStr"/>
    </row>
    <row r="6750">
      <c r="A6750" t="inlineStr">
        <is>
          <t>g9xcak</t>
        </is>
      </c>
      <c r="B6750" t="inlineStr">
        <is>
          <t>Can gerd cause dyspnia?</t>
        </is>
      </c>
      <c r="C6750" t="inlineStr">
        <is>
          <t>For the past 2/3 months I can't really take a deep breath and I i keep having the feeling that i need to do it, went to the doctor aboutmy lungs are good and he said probably anxiety, the thing is since this syptom started iam just chilling at home not anxious at all.. Also like a month ago i had burning feeling in my throat and felt it become stronger when I used to Burp . Found some pills that's my sister has for acid reflux and I am fine after that except this constant need to take a deep breath, so my question is did anyone had also this syptom?</t>
        </is>
      </c>
      <c r="D6750" t="n">
        <v>1</v>
      </c>
      <c r="E6750" t="n">
        <v>13</v>
      </c>
      <c r="F6750">
        <f>HYPERLINK("https://www.reddit.com/r/GERD/comments/g9xcak/can_gerd_cause_dyspnia/")</f>
        <v/>
      </c>
      <c r="G6750" t="inlineStr">
        <is>
          <t>2020-04-28 15:38:28</t>
        </is>
      </c>
      <c r="H6750" t="inlineStr"/>
    </row>
    <row r="6751">
      <c r="A6751" t="inlineStr">
        <is>
          <t>g9z0ku</t>
        </is>
      </c>
      <c r="B6751" t="inlineStr">
        <is>
          <t>Is GERD/acid reflux an autoimmune disorder?</t>
        </is>
      </c>
      <c r="C6751" t="inlineStr">
        <is>
          <t>I’ve heard mixed reviews. Just wondering  what y’all think</t>
        </is>
      </c>
      <c r="D6751" t="n">
        <v>1</v>
      </c>
      <c r="E6751" t="n">
        <v>4</v>
      </c>
      <c r="F6751">
        <f>HYPERLINK("https://www.reddit.com/r/GERD/comments/g9z0ku/is_gerdacid_reflux_an_autoimmune_disorder/")</f>
        <v/>
      </c>
      <c r="G6751" t="inlineStr">
        <is>
          <t>2020-04-28 17:14:36</t>
        </is>
      </c>
      <c r="H6751" t="inlineStr"/>
    </row>
    <row r="6752">
      <c r="A6752" t="inlineStr">
        <is>
          <t>g9z2he</t>
        </is>
      </c>
      <c r="B6752" t="inlineStr">
        <is>
          <t>Aching in throat?</t>
        </is>
      </c>
      <c r="C6752" t="inlineStr">
        <is>
          <t>Hi all, I've been diagnosed with LPR for about 3 months or so, have been on 40mg protonix once in the morning with zyrtec daily to control allergy sx. I occasionally have flares, but since yesterday I've had the worse flare yet. I started the morning normally, but by the time I got to work my entire throat ached from my jaw to my collarbones. It wasn't like the typical sore throat--more like the cartilage in my throat ached. I've had this before, but never as severe. The symptoms are gone today, but my chest feels very tight from my LPR today. Anybody else experience this sort of throat aching before?
I'll admit I haven't been eating well lately. I work in a hospital, and with all the covid we have constant food donations from the local restaurant so I've been eating a lot of pizza and hoagies (I know, I did it to myself). I guess I'm just feeling stressed lately with the increasing cases on the east coast, and looking for some moral support to know that my LPR/GERD sx are normal!</t>
        </is>
      </c>
      <c r="D6752" t="n">
        <v>1</v>
      </c>
      <c r="E6752" t="n">
        <v>2</v>
      </c>
      <c r="F6752">
        <f>HYPERLINK("https://www.reddit.com/r/GERD/comments/g9z2he/aching_in_throat/")</f>
        <v/>
      </c>
      <c r="G6752" t="inlineStr">
        <is>
          <t>2020-04-28 17:17:53</t>
        </is>
      </c>
      <c r="H6752" t="inlineStr"/>
    </row>
    <row r="6753">
      <c r="A6753" t="inlineStr">
        <is>
          <t>g9zvwc</t>
        </is>
      </c>
      <c r="B6753" t="inlineStr">
        <is>
          <t>First time victim here. My symptoms have persisted for 5 days. Please help.</t>
        </is>
      </c>
      <c r="C6753" t="inlineStr">
        <is>
          <t>I’m a skinny, active, 22 year-old dude with a bad diet and I’m currently dealing with the worst bout of heartburn and indigestion I’ve ever had. I’ve struggled with binge eating in the past (though I’ve since made decent improvements) but this is the first time I’ve ever experienced anything like this. 
Background: 5 days ago I made baked jerk chicken wings and yellow rice for dinner. I had smoked some weed prior, and I was admittedly eating pretty fast, as I normally do. I was nearly done with my plate when I started feeling an intense gripping in the center of my chest. The pain was EXTREME and because I was high I was legitimately worried I was having a heart attack. Being high didn’t help either because I was even more paranoid. My symptoms got a bit better later that night and I was able to get some sleep.
I figured it was an anomaly and the next morning I tried eating my leftovers again. Bad idea. I couldn’t get past the first few bites before the feeling came back. The feeling is like a fist is clutching my heart and there’s a hot rod of metal near the bottom of my esophagus. I didn’t eat much the rest of that day but I did smoke again and my symptoms flared up again so badly I again thought I was having a heart attack. I’ve since decided to curb the weed and my chicken until further notice. 
Fast forward three days. I’ve only been eating very tame stuff: Cheerios with no milk and bland turkey sandwiches. The pain is nowhere near as severe as it’s been but I’m still getting dull feelings of the same chest tightness whenever I eat ANYTHING. I got some ginger ale and Pepto Bismol tablets that I’ve since taken the past two days but nothing has helped much.  
It’s worth mentioning that all last week I’d been regularly eating a pan of Oreo brownies I’d made (I’ve read chocolate and grease are two huge contributors).
I think the worst of the pain is behind me, but I don’t want to keep going throughout the day barely eating. I’ve already lost 6 pounds (I have a relatively high metabolism that’s offset by all the sweets I eat). I’ve been burping a lot and I went #2 the first time today and it was very dark green and semi-solid. I’m black and there’s a history of high blood pressure in my family so this has definitely been an enormous wake up call for me. I’m going to change my diet dramatically, though I’d like to keep smoking weed regularly (never smoked cigarettes). I’m looking for any help with diagnosis, and advice on whether or not it’s time to go to the ER. 
Any help you all can offer is greatly appreciated.</t>
        </is>
      </c>
      <c r="D6753" t="n">
        <v>1</v>
      </c>
      <c r="E6753" t="n">
        <v>18</v>
      </c>
      <c r="F6753">
        <f>HYPERLINK("https://www.reddit.com/r/GERD/comments/g9zvwc/first_time_victim_here_my_symptoms_have_persisted/")</f>
        <v/>
      </c>
      <c r="G6753" t="inlineStr">
        <is>
          <t>2020-04-28 18:08:50</t>
        </is>
      </c>
      <c r="H6753" t="inlineStr"/>
    </row>
    <row r="6754">
      <c r="A6754" t="inlineStr">
        <is>
          <t>ga0a60</t>
        </is>
      </c>
      <c r="B6754" t="inlineStr">
        <is>
          <t>DO you need to eat first thing in the morning.</t>
        </is>
      </c>
      <c r="C6754" t="inlineStr">
        <is>
          <t>I have switched to light dinner,3-4 hrs before bed and I feel good in the morning. However, do I need to eat as soon as I wake up. I am not a breakfast person and prefer to eat after a 3-4 hrs after waking up. Would that trigger acid reflux?</t>
        </is>
      </c>
      <c r="D6754" t="n">
        <v>1</v>
      </c>
      <c r="E6754" t="n">
        <v>5</v>
      </c>
      <c r="F6754">
        <f>HYPERLINK("https://www.reddit.com/r/GERD/comments/ga0a60/do_you_need_to_eat_first_thing_in_the_morning/")</f>
        <v/>
      </c>
      <c r="G6754" t="inlineStr">
        <is>
          <t>2020-04-28 18:34:34</t>
        </is>
      </c>
      <c r="H6754" t="inlineStr"/>
    </row>
    <row r="6755">
      <c r="A6755" t="inlineStr">
        <is>
          <t>ga0git</t>
        </is>
      </c>
      <c r="B6755" t="inlineStr">
        <is>
          <t>Just me????</t>
        </is>
      </c>
      <c r="C6755" t="inlineStr">
        <is>
          <t>Does GERD ruin anyone else’s life or just me? I’m not sure how everyone on this forum does it everyday... I’m assuming I’m at the more severe end of the spectrum because my symptoms never subside!!! But the nausea caused from the throat tightness and water brash is life changing... I miss my old life</t>
        </is>
      </c>
      <c r="D6755" t="n">
        <v>1</v>
      </c>
      <c r="E6755" t="n">
        <v>37</v>
      </c>
      <c r="F6755">
        <f>HYPERLINK("https://www.reddit.com/r/GERD/comments/ga0git/just_me/")</f>
        <v/>
      </c>
      <c r="G6755" t="inlineStr">
        <is>
          <t>2020-04-28 18:45:51</t>
        </is>
      </c>
      <c r="H6755" t="inlineStr"/>
    </row>
    <row r="6756">
      <c r="A6756" t="inlineStr">
        <is>
          <t>ga1h4m</t>
        </is>
      </c>
      <c r="B6756" t="inlineStr">
        <is>
          <t>Constantly feeling like I need to burp</t>
        </is>
      </c>
      <c r="C6756" t="inlineStr">
        <is>
          <t>Hi guys, 
I never been diagnosed with GERD. Instead I have been told that my anxiety was causing this issue. 
Yes, I have anxiety. Maybe my anxiety is causing GERD for me ... When anxious, I can feel my stomach tensing up like crazy. Anyway, I am sure, I have GERD whatever is causing it. All symptoms are correlating - 
I need advice 
The symptom I have a hard time to cope with is this constant feeling that I need to burp. 
It creates a kinda of pressure in my throat and upper chest. Makes me really aware of my breathing. 
The heartburns are obviously very uncomfortable.
Concerning acid, it rarely goes all the way back up. 
My belly gets bloated and it feels like everything is upset down there. My stomach gets hard, kinda like a big bubble.
I have this point in my upper chest that hurts. And I know just where to press on my stomach to trigger it.
My voice is sore in the morning and my teeth kinda hurt.
So now, I don't know what to eat. I'm starving but everytime I eat, damn it happens again.
What should I avoid ? Should I get on a special diet ?
Should I fast for a while ? 
What should I reduce on a daily basis ?
What are the no-nos ?
Anything to actually ease the condition ? 
What are you doing to cope ? And what helps ?</t>
        </is>
      </c>
      <c r="D6756" t="n">
        <v>1</v>
      </c>
      <c r="E6756" t="n">
        <v>5</v>
      </c>
      <c r="F6756">
        <f>HYPERLINK("https://www.reddit.com/r/GERD/comments/ga1h4m/constantly_feeling_like_i_need_to_burp/")</f>
        <v/>
      </c>
      <c r="G6756" t="inlineStr">
        <is>
          <t>2020-04-28 19:54:06</t>
        </is>
      </c>
      <c r="H6756" t="inlineStr"/>
    </row>
    <row r="6757">
      <c r="A6757" t="inlineStr">
        <is>
          <t>ga1vxj</t>
        </is>
      </c>
      <c r="B6757" t="inlineStr">
        <is>
          <t>White tongue from reflux</t>
        </is>
      </c>
      <c r="C6757" t="inlineStr">
        <is>
          <t>I have been having a white tongue and a lot of acid reflux lately. In the mornings especially, I’ll taste essentially throw up in my mouth and it will linger for the rest of the day. I know it’s not thrush but is plaque/food particles. For some reason after I drink almond milk I get this white tongue. It usually then leads to dry mouth that’ll taste funky/maybe a bit inflamed, and I’ll be dehydrated. Drinking water doesn’t help, only It resolves when I brush my tongue with a tooth brush but sometimes my tongue bleeds. Does anyone use a metal tongue scrapper? Any advice??</t>
        </is>
      </c>
      <c r="D6757" t="n">
        <v>1</v>
      </c>
      <c r="E6757" t="n">
        <v>5</v>
      </c>
      <c r="F6757">
        <f>HYPERLINK("https://www.reddit.com/r/GERD/comments/ga1vxj/white_tongue_from_reflux/")</f>
        <v/>
      </c>
      <c r="G6757" t="inlineStr">
        <is>
          <t>2020-04-28 20:22:35</t>
        </is>
      </c>
      <c r="H6757" t="inlineStr"/>
    </row>
    <row r="6758">
      <c r="A6758" t="inlineStr">
        <is>
          <t>ga23dg</t>
        </is>
      </c>
      <c r="B6758" t="inlineStr">
        <is>
          <t>Alcohol you can drink and Acid Reflux</t>
        </is>
      </c>
      <c r="C6758" t="inlineStr">
        <is>
          <t>It’s like this, my grandfather at his stage in life is to the point of alcohol dependency.  He doesn’t drink to the point of incoherency, but he drinks enough daily that going without creates other health issues.  However, his recent issue is worsening acid reflux which is causing him major throat irritation and the puking up of stomach acid at night or early in the morning.   He has acid reflux medication but it does not seem to o subside the problem enough.  Sadly we have given up on asking him to stop drinking, so was wondering what alcoholic drinks would be the beer option for him to reduce this acid reflux problem?  The good news is he’s a pretty open drinker so the hope is there is something out there he could drink moderately which would not bring on this other health side effect.</t>
        </is>
      </c>
      <c r="D6758" t="n">
        <v>1</v>
      </c>
      <c r="E6758" t="n">
        <v>6</v>
      </c>
      <c r="F6758">
        <f>HYPERLINK("https://www.reddit.com/r/GERD/comments/ga23dg/alcohol_you_can_drink_and_acid_reflux/")</f>
        <v/>
      </c>
      <c r="G6758" t="inlineStr">
        <is>
          <t>2020-04-28 20:37:01</t>
        </is>
      </c>
      <c r="H6758" t="inlineStr"/>
    </row>
    <row r="6759">
      <c r="A6759" t="inlineStr">
        <is>
          <t>ga2az4</t>
        </is>
      </c>
      <c r="B6759" t="inlineStr">
        <is>
          <t>Anyone have experience with probiotics?</t>
        </is>
      </c>
      <c r="C6759" t="inlineStr">
        <is>
          <t>I am so done with this pain. For five years I've been struggling. I've tried all the diets and all the pills and have not found any relief. I'm thinking of trying a 60 billion probiotic since those are suppose to ease gastrointestinal issues. Anyone have any experience?</t>
        </is>
      </c>
      <c r="D6759" t="n">
        <v>1</v>
      </c>
      <c r="E6759" t="n">
        <v>3</v>
      </c>
      <c r="F6759">
        <f>HYPERLINK("https://www.reddit.com/r/GERD/comments/ga2az4/anyone_have_experience_with_probiotics/")</f>
        <v/>
      </c>
      <c r="G6759" t="inlineStr">
        <is>
          <t>2020-04-28 20:52:34</t>
        </is>
      </c>
      <c r="H6759" t="inlineStr"/>
    </row>
    <row r="6760">
      <c r="A6760" t="inlineStr">
        <is>
          <t>ga2jsv</t>
        </is>
      </c>
      <c r="B6760" t="inlineStr">
        <is>
          <t>Gastritis/Dyspepsia?! Help!! Very ANXIOUS !!</t>
        </is>
      </c>
      <c r="C6760" t="inlineStr">
        <is>
          <t>So this is more of a rant post and looking for some reassurance to have a peace of mind.
This started back on 24th March. I had stomach burning/pain that lasted for a couple of days, lost appetite, lot of bloating, not passing gas. Just took some herbal meds I had home suspecting to be just a common stomach upset. Got no relieve.
Week 2: Called my GP he put me on 20 mg Raboprazole once a day and digestive enzymes twice a day. Took the meds for around 8 days, not much help. Developed morning nausea as well during this time which usually got relieved after bowel movements. BM's were affected during these weeks. Sometimes loose, mushy, a couple of times mushy as well.
Week 3/4: Took an online consult with a GI who put me on Omeprazole 40mg twice a day for 7 days and probiotics twice a day. This helped me. I was eating again, not much pain. Still got some stomach burning a couple of days though but nothing as bad as the first two weeks. No morning nausea as well.
Stopped the PPI cold turkey moving into 4th week. 
A couple of days went by and then the whole thing STRUCK AGAIN!!! Bloating after meals, dry belching, not much appetite. Its been more than a week now since I stopped the PPI. 
During this time I also noticed that I feel a heartbeat in my stomach and all around my head. Not sure if this is due to the stress and anxiety that I am under. I have not been doing anything this month, just lying down and googling symptoms, freaking out. I now wake up during the night as well, all stressed and tensed. Focus on the stomach on what is going on with me, heartbeat in my stomach and head feeling intensifies and I might sleep off again.
Anyone faced anything similar or I am just alone? I keep thinking that its something sinister and due to the lockdown and not being able to get a GI consult I am delaying my potential outlook. Please help!!!!</t>
        </is>
      </c>
      <c r="D6760" t="n">
        <v>1</v>
      </c>
      <c r="E6760" t="n">
        <v>0</v>
      </c>
      <c r="F6760">
        <f>HYPERLINK("https://www.reddit.com/r/GERD/comments/ga2jsv/gastritisdyspepsia_help_very_anxious/")</f>
        <v/>
      </c>
      <c r="G6760" t="inlineStr">
        <is>
          <t>2020-04-28 21:10:53</t>
        </is>
      </c>
      <c r="H6760" t="inlineStr"/>
    </row>
    <row r="6761">
      <c r="A6761" t="inlineStr">
        <is>
          <t>ga2jtz</t>
        </is>
      </c>
      <c r="B6761" t="inlineStr">
        <is>
          <t>Gastritis/Dyspepsia?! Help!! Very ANXIOUS !!</t>
        </is>
      </c>
      <c r="C6761" t="inlineStr">
        <is>
          <t>So this is more of a rant post and looking for some reassurance to have a peace of mind.
This started back on 24th March. I had stomach burning/pain that lasted for a couple of days, lost appetite, lot of bloating, not passing gas. Just took some herbal meds I had home suspecting to be just a common stomach upset. Got no relieve.
Week 2: Called my GP he put me on 20 mg Raboprazole once a day and digestive enzymes twice a day. Took the meds for around 8 days, not much help. Developed morning nausea as well during this time which usually got relieved after bowel movements. BM's were affected during these weeks. Sometimes loose, mushy, a couple of times mushy as well.
Week 3/4: Took an online consult with a GI who put me on Omeprazole 40mg twice a day for 7 days and probiotics twice a day. This helped me. I was eating again, not much pain. Still got some stomach burning a couple of days though but nothing as bad as the first two weeks. No morning nausea as well.
Stopped the PPI cold turkey moving into 4th week. 
A couple of days went by and then the whole thing STRUCK AGAIN!!! Bloating after meals, dry belching, not much appetite. Its been more than a week now since I stopped the PPI. 
During this time I also noticed that I feel a heartbeat in my stomach and all around my head. Not sure if this is due to the stress and anxiety that I am under. I have not been doing anything this month, just lying down and googling symptoms, freaking out. I now wake up during the night as well, all stressed and tensed. Focus on the stomach on what is going on with me, heartbeat in my stomach and head feeling intensifies and I might sleep off again.
Anyone faced anything similar or I am just alone? I keep thinking that its something sinister and due to the lockdown and not being able to get a GI consult I am delaying my potential outlook. Please help!!!!</t>
        </is>
      </c>
      <c r="D6761" t="n">
        <v>1</v>
      </c>
      <c r="E6761" t="n">
        <v>4</v>
      </c>
      <c r="F6761">
        <f>HYPERLINK("https://www.reddit.com/r/GERD/comments/ga2jtz/gastritisdyspepsia_help_very_anxious/")</f>
        <v/>
      </c>
      <c r="G6761" t="inlineStr">
        <is>
          <t>2020-04-28 21:10:57</t>
        </is>
      </c>
      <c r="H6761" t="inlineStr"/>
    </row>
    <row r="6762">
      <c r="A6762" t="inlineStr">
        <is>
          <t>ga2oy4</t>
        </is>
      </c>
      <c r="B6762" t="inlineStr">
        <is>
          <t>To PPI or not to PPI</t>
        </is>
      </c>
      <c r="C6762" t="inlineStr">
        <is>
          <t>Doc wanted me to do 40MG, since 20 MG of nexium didn't do much. I've got esophagitis, and sour taste in my mouth. I'm reluctant because I'm worried about doing more harm than good. What is a good amount of time to try and see if it makes an impact?  Any input would be great.</t>
        </is>
      </c>
      <c r="D6762" t="n">
        <v>1</v>
      </c>
      <c r="E6762" t="n">
        <v>5</v>
      </c>
      <c r="F6762">
        <f>HYPERLINK("https://www.reddit.com/r/GERD/comments/ga2oy4/to_ppi_or_not_to_ppi/")</f>
        <v/>
      </c>
      <c r="G6762" t="inlineStr">
        <is>
          <t>2020-04-28 21:21:41</t>
        </is>
      </c>
      <c r="H6762" t="inlineStr"/>
    </row>
    <row r="6763">
      <c r="A6763" t="inlineStr">
        <is>
          <t>ga2xgx</t>
        </is>
      </c>
      <c r="B6763" t="inlineStr">
        <is>
          <t>Dull back pain that moves?</t>
        </is>
      </c>
      <c r="C6763" t="inlineStr">
        <is>
          <t>For two days I’ve had a weird feeling in my upper back, like I pulled a muscle. I felt it most when sitting or laying on my back. Been paranoid it is a blood clot since it’s moved around my back, but just now I started burping and it felt better.
Is this a GERD thing? Not diagnosed but I also had electric zaps in my lower abdomen recently that went away with burping, and tbh have been super gassy today.</t>
        </is>
      </c>
      <c r="D6763" t="n">
        <v>1</v>
      </c>
      <c r="E6763" t="n">
        <v>0</v>
      </c>
      <c r="F6763">
        <f>HYPERLINK("https://www.reddit.com/r/GERD/comments/ga2xgx/dull_back_pain_that_moves/")</f>
        <v/>
      </c>
      <c r="G6763" t="inlineStr">
        <is>
          <t>2020-04-28 21:39:18</t>
        </is>
      </c>
      <c r="H6763" t="inlineStr"/>
    </row>
    <row r="6764">
      <c r="A6764" t="inlineStr">
        <is>
          <t>ga3nf6</t>
        </is>
      </c>
      <c r="B6764" t="inlineStr">
        <is>
          <t>globus sensation, difficulty swallowing, reflux- PPI not helping at all</t>
        </is>
      </c>
      <c r="C6764" t="inlineStr">
        <is>
          <t>hey everyone, 19F and i've been dealing with this for a while now. in the last 6 months, it's gotten much worse. regurgitation, burping a LOT after eating, and the worst symptom of all.... constantly feeling like there is a lump in my throat. and there's physically mucus there sometimes (post nasal drip or from GERD, i'm not sure. you can see the irritation in the back of my throat. took a nasal steroid spray to no avail).
i started pantoprazole one month ago, 40 mg a day, and was praying it would work - but it hasn't. :( i've done the lifestyle/diet changes with no results. 
i had an upper endoscopy last year due to my difficulty swallowing and having an underlying autoimmune condition that can cause GERD due to hardening the esophagus. 
it was clear from inflammation, so i felt kinda crazy, and the doctor didn't care much. 
i tried to just ignore it but with the symptoms getting increasingly worse, i recently saw a gastro who put me on the PPI. it's not working, so i'm scared because idk where we go from here. he said perhaps a second endoscopy because my previous doctor didn't take a biopsy, and he wants to test for something called EOE.... i just want this tight lump feeling to go away:( 
venting i guess. :(</t>
        </is>
      </c>
      <c r="D6764" t="n">
        <v>1</v>
      </c>
      <c r="E6764" t="n">
        <v>4</v>
      </c>
      <c r="F6764">
        <f>HYPERLINK("https://www.reddit.com/r/GERD/comments/ga3nf6/globus_sensation_difficulty_swallowing_reflux_ppi/")</f>
        <v/>
      </c>
      <c r="G6764" t="inlineStr">
        <is>
          <t>2020-04-28 22:35:04</t>
        </is>
      </c>
      <c r="H6764" t="inlineStr"/>
    </row>
    <row r="6765">
      <c r="A6765" t="inlineStr">
        <is>
          <t>ga48cn</t>
        </is>
      </c>
      <c r="B6765" t="inlineStr">
        <is>
          <t>Tonsil stones</t>
        </is>
      </c>
      <c r="C6765" t="inlineStr">
        <is>
          <t>Do any of you have chronic tonsil stones as a result of your acid reflux?</t>
        </is>
      </c>
      <c r="D6765" t="n">
        <v>1</v>
      </c>
      <c r="E6765" t="n">
        <v>2</v>
      </c>
      <c r="F6765">
        <f>HYPERLINK("https://www.reddit.com/r/GERD/comments/ga48cn/tonsil_stones/")</f>
        <v/>
      </c>
      <c r="G6765" t="inlineStr">
        <is>
          <t>2020-04-28 23:22:49</t>
        </is>
      </c>
      <c r="H6765" t="inlineStr"/>
    </row>
    <row r="6766">
      <c r="A6766" t="inlineStr">
        <is>
          <t>ga5ve3</t>
        </is>
      </c>
      <c r="B6766" t="inlineStr">
        <is>
          <t>Does anyone else experience these "reverse hiccups"?</t>
        </is>
      </c>
      <c r="C6766" t="inlineStr">
        <is>
          <t>When I eat I begin to experience what feels like "reverse hiccups". It's like a series of sudden involuntary contractions that push outwards in my diaphragm (short and sudden, exactly like hiccups but outwards instead of inwards) and cause discomfort in my chest. I've got to wait for them to pass before I can continue eating. Does anyone else experience this and know what it's called?</t>
        </is>
      </c>
      <c r="D6766" t="n">
        <v>1</v>
      </c>
      <c r="E6766" t="n">
        <v>3</v>
      </c>
      <c r="F6766">
        <f>HYPERLINK("https://www.reddit.com/r/GERD/comments/ga5ve3/does_anyone_else_experience_these_reverse_hiccups/")</f>
        <v/>
      </c>
      <c r="G6766" t="inlineStr">
        <is>
          <t>2020-04-29 01:48:16</t>
        </is>
      </c>
      <c r="H6766" t="inlineStr"/>
    </row>
    <row r="6767">
      <c r="A6767" t="inlineStr">
        <is>
          <t>ga6el2</t>
        </is>
      </c>
      <c r="B6767" t="inlineStr">
        <is>
          <t>Feeling frustrated, upset and defeated.</t>
        </is>
      </c>
      <c r="C6767" t="inlineStr">
        <is>
          <t>Just got off the phone to my doctor because im feeling super nauseous...my stomach feels like ive had a heavy night of drinking and its felt like this for days now. My mouth tastes acidic/metallic. I feel dizzy. I just feel awful.
All he said was “we cant do anything right now” ... then he preceded to trigger my anxiety off by hitting me with the “covid can causes reflux” THANKS.
He gave more omeprezol and some anti nausea / anti dizziness medication...
I developed GERD/LPR at the beginning of this year but wasnt diagnosed until beginning of march after a laryngoscopy but ive had ZERO relief from the symptoms ever since. 
My rational mind tells me if i had covid everyone around me also would be down with it by now too but my anxiety is like IMMINENT DEATH AWAITS.
Ive changed my diet, stopped smoking, stopped drinking, sleep upright...everything! 
Im losing weight because of this and i dont even have the weight there to actually lose. Im going crazy!! Why can they not prescribe anything to help?!</t>
        </is>
      </c>
      <c r="D6767" t="n">
        <v>1</v>
      </c>
      <c r="E6767" t="n">
        <v>2</v>
      </c>
      <c r="F6767">
        <f>HYPERLINK("https://www.reddit.com/r/GERD/comments/ga6el2/feeling_frustrated_upset_and_defeated/")</f>
        <v/>
      </c>
      <c r="G6767" t="inlineStr">
        <is>
          <t>2020-04-29 02:36:41</t>
        </is>
      </c>
      <c r="H6767" t="inlineStr"/>
    </row>
    <row r="6768">
      <c r="A6768" t="inlineStr">
        <is>
          <t>ga9heo</t>
        </is>
      </c>
      <c r="B6768" t="inlineStr">
        <is>
          <t>Is this GERD?</t>
        </is>
      </c>
      <c r="C6768" t="inlineStr">
        <is>
          <t>Hi all! I've been experiencing shortness of breath(not every time) after I eat and fullness even after eating only a small amount. I've experienced coughing in the first few days when symptoms were starting. I feel nauseated  with slight scratchy throat when I wake up in the morning even after sleeping slightly upright. There's this dull/moving/bloating/spasm/discomfort feeling in the central upper part of my abdomen I can't explain, and it's not a burning sensation nor is it a painful feeling, it's just very annoying and uncomfortable. I've not experienced heartburn just once when the symptoms were just starting. Is this GERD? Thank you for answering.</t>
        </is>
      </c>
      <c r="D6768" t="n">
        <v>1</v>
      </c>
      <c r="E6768" t="n">
        <v>1</v>
      </c>
      <c r="F6768">
        <f>HYPERLINK("https://www.reddit.com/r/GERD/comments/ga9heo/is_this_gerd/")</f>
        <v/>
      </c>
      <c r="G6768" t="inlineStr">
        <is>
          <t>2020-04-29 06:30:36</t>
        </is>
      </c>
      <c r="H6768" t="inlineStr"/>
    </row>
    <row r="6769">
      <c r="A6769" t="inlineStr">
        <is>
          <t>ga9yqr</t>
        </is>
      </c>
      <c r="B6769" t="inlineStr">
        <is>
          <t>Omeprazole and GERD</t>
        </is>
      </c>
      <c r="C6769" t="inlineStr">
        <is>
          <t>Hey guys, 1 months ago I experienced stomach problem and my doctor gave me omeprazole during 14 days. I was better during this time but now that I stopped I have no more stomach cramp but now I have GERD symptoms, and especially a lot of cough like someone is always playing with my throat (it doesn't hurt).
I just came back from the doctor and he gave me omeprazole again... But I really don't want to take it again.
So I manage to use all GERD tips and foods behavior and I would know how long this post-side effects-omperazole thing will last?
Does anyone experienced the same thing?
Thank in advance and sorry if I made English mistake.</t>
        </is>
      </c>
      <c r="D6769" t="n">
        <v>1</v>
      </c>
      <c r="E6769" t="n">
        <v>0</v>
      </c>
      <c r="F6769">
        <f>HYPERLINK("https://www.reddit.com/r/GERD/comments/ga9yqr/omeprazole_and_gerd/")</f>
        <v/>
      </c>
      <c r="G6769" t="inlineStr">
        <is>
          <t>2020-04-29 07:00:07</t>
        </is>
      </c>
      <c r="H6769" t="inlineStr"/>
    </row>
    <row r="6770">
      <c r="A6770" t="inlineStr">
        <is>
          <t>gab4x1</t>
        </is>
      </c>
      <c r="B6770" t="inlineStr">
        <is>
          <t>Been on PPIs for over 3 years and starting to worry about side effects (22 years old)</t>
        </is>
      </c>
      <c r="C6770" t="inlineStr">
        <is>
          <t>Hello everyone, this is my first time posting to r/GERD so thank you in advance for listening to my concerns. I have have acid reflux issues for as long as I can remember, probably since elementary school I can remember certain foods such as tomato sauce and other triggers causing bad reflux, which has continued in to my adult life. My mother was diagnosed with GERD many years ago with an endoscopy, which leads me to believe it is likely what I have. 
I started on PPIs over 3 years ago now due to my symptoms, which were prescribed by a general physician and not a GI doctor. She put me on ranitidine and pantoprazole at the same time, and I have since stopped the ranitidine in the last year and a half or so. The pantoprazole is at 40mg, and has been the main source of my GERD relief since starting PPIs. 
Fast-forward to present time: I recently saw a GI specialist last month before the coronavirus situation shut everything down, and he agreed I needed a scope done ASAP. That was scheduled for a couple weeks ago, but was cancelled due to not being an essential medical service. I was hoping to get some insight and some answers, but here I am feeling stuck once again. 
So, my main concern now is that I am worried that being on PPIs from such a young age and for the duration I have been on them, that I will start to have some detrimental side effects going forward. I have already noticed some of the telltale side effects of taking PPIs for an extended period, such as a decrease in my energy levels which is likely due to vitamin deficiency, feeling foggy brained, and a noticable lack of appetite/inability to eat "normal" quantities of food. I have also heard from my former doctor that dementia is also a long-term possible side effect, which has been freaking me out as cognitive decline is already genetic in my family. 
I have been thinking about trying to get off them to see what happens, but the second I tried that a couple days ago my symptoms just skyrocketed out of control so I realized that is not an option. 
For those of you on long term PPI treatment, do you feel that the side effects take a toll on you and are they worth it in your opinion?  I am just nervous and it does not help that I cannot see my GI doctor for who knows how long now until I can get a scope. 
Thank you!</t>
        </is>
      </c>
      <c r="D6770" t="n">
        <v>1</v>
      </c>
      <c r="E6770" t="n">
        <v>22</v>
      </c>
      <c r="F6770">
        <f>HYPERLINK("https://www.reddit.com/r/GERD/comments/gab4x1/been_on_ppis_for_over_3_years_and_starting_to/")</f>
        <v/>
      </c>
      <c r="G6770" t="inlineStr">
        <is>
          <t>2020-04-29 08:05:01</t>
        </is>
      </c>
      <c r="H6770" t="inlineStr"/>
    </row>
    <row r="6771">
      <c r="A6771" t="inlineStr">
        <is>
          <t>gabh22</t>
        </is>
      </c>
      <c r="B6771" t="inlineStr">
        <is>
          <t>I was feeling great yesterday, but my symptoms got bad for some reason and I don't know why</t>
        </is>
      </c>
      <c r="C6771" t="inlineStr">
        <is>
          <t>Hi. I am 22 years old. I have a documented stomach ulcer that developed when I was 18. I have been taking PPIs for 3 years. I have tested negative for h pylori. I have been having constant heartburn and acid reflux since almost a year now. I have been eating 5 small meals a day, and I have eliminated all dairy foods from my diet. I am lactose-intolerant. I have also stopped eating fast food for a while. I usually make myself cabbage-celery juice everyday, but I still get symptoms. In the morning I typically eat oatmeal, and for my second meal I usually eat a turkey and mayo sandwich. I eat slowly. 
Yesterday I was feeling great. I felt almost no acid in my stomach. My fourth meal was cold cereal with soy milk, and my fifth meal was crab meat with cream cheese. I had felt during my meal that I was eating a bit much, so I put the rest in a container. I soon felt acid reflux, so I made myself cabbage-celery juice. Usually when I drink this stuff, it makes me feel a lot better, but soon afterwards my symptoms got worse before I had the juice, so I was puzzled. This morning I woke up, took my PPI, waited 30 min, then ate oatmeal. Then I drove to my orthodontist appointment. I thought my symptoms would get better, but they got a lot worse. I wanted to throw up. I turned back, and took a couple of showers, and started chewing gum. I chew gum after every meal. It has no mint and is sugar free. Why didn't the cabbage-celery juice help?</t>
        </is>
      </c>
      <c r="D6771" t="n">
        <v>1</v>
      </c>
      <c r="E6771" t="n">
        <v>1</v>
      </c>
      <c r="F6771">
        <f>HYPERLINK("https://www.reddit.com/r/GERD/comments/gabh22/i_was_feeling_great_yesterday_but_my_symptoms_got/")</f>
        <v/>
      </c>
      <c r="G6771" t="inlineStr">
        <is>
          <t>2020-04-29 08:22:59</t>
        </is>
      </c>
      <c r="H6771" t="inlineStr"/>
    </row>
    <row r="6772">
      <c r="A6772" t="inlineStr">
        <is>
          <t>gac687</t>
        </is>
      </c>
      <c r="B6772" t="inlineStr">
        <is>
          <t>Beware u/mannysrei a scammer</t>
        </is>
      </c>
      <c r="C6772" t="inlineStr">
        <is>
          <t>See his bs since the beggining so please don't engage any conversation with this low life scum u/mannysrei</t>
        </is>
      </c>
      <c r="D6772" t="n">
        <v>2</v>
      </c>
      <c r="E6772" t="n">
        <v>5</v>
      </c>
      <c r="F6772">
        <f>HYPERLINK("https://www.reddit.com/r/GERD/comments/gac687/beware_umannysrei_a_scammer/")</f>
        <v/>
      </c>
      <c r="G6772" t="inlineStr">
        <is>
          <t>2020-04-29 09:03:20</t>
        </is>
      </c>
      <c r="H6772" t="inlineStr"/>
    </row>
    <row r="6773">
      <c r="A6773" t="inlineStr">
        <is>
          <t>gacjpi</t>
        </is>
      </c>
      <c r="B6773" t="inlineStr">
        <is>
          <t>Sharp pain in left chest, is this really heart burn?</t>
        </is>
      </c>
      <c r="C6773" t="inlineStr">
        <is>
          <t>Been suffering for this for a long time. I'm convinced this is caused by anxiety(due to bad drug choices). I was having constant panic attacks and then suffered from shingles(worst case my doctor had ever seen for someone under 30). I got over shingles and then the heart burn sypmtoms started to happen. I would get a panic attacks causing heart burn which would cause my anxiety to spike because I always convinced myself I was going to die due to what felt like angina.
I finally quit weed which I thought was giving me the panic attacks but the anxiety, panic attacks and heartburn symptoms have persisted. 
I went to the GP and they sent me straight to A&amp;amp;E since I was complaining of chest pain. They diagnosed me with a spasming esophagus and gave me omeprazole. This worked for a whole while and then stopped. 
What my main question is does heartburn ever feel like a sharp pain localised in the left pectoral region? This pain persists even after taking the heart burn medication therefore my brain always convinces me it's a heart attack.
Sorry for the rambling, I just feel like I'm living in actual hell right now..it feels so bad sometimes I wish it was a heart attack so the pain will finally end.</t>
        </is>
      </c>
      <c r="D6773" t="n">
        <v>1</v>
      </c>
      <c r="E6773" t="n">
        <v>9</v>
      </c>
      <c r="F6773">
        <f>HYPERLINK("https://www.reddit.com/r/GERD/comments/gacjpi/sharp_pain_in_left_chest_is_this_really_heart_burn/")</f>
        <v/>
      </c>
      <c r="G6773" t="inlineStr">
        <is>
          <t>2020-04-29 09:25:41</t>
        </is>
      </c>
      <c r="H6773" t="inlineStr"/>
    </row>
    <row r="6774">
      <c r="A6774" t="inlineStr">
        <is>
          <t>gacpfm</t>
        </is>
      </c>
      <c r="B6774" t="inlineStr">
        <is>
          <t>Every day is hell, what do i do?</t>
        </is>
      </c>
      <c r="C6774" t="inlineStr">
        <is>
          <t>I got GERD after a very bad news delivery from my doctor about some other stuff that turned out not to be so bad, but i sent my Into a death panic mode coz i thougt i was going to die. 
That was in februari. Ive been on omaprazol and now lansoprazol (same thing just a newer kind that's easier to take). Only eaten boiled chicken and veggies for 4 months and i still feel like i want to die every day. 
The meds Don't help, the diet Don't help, i just feel a constant nussea that has sucked any joy of living i had.
My doc has denied any surgery coz if the meds Don't help the surgery won't. 
What do i do?</t>
        </is>
      </c>
      <c r="D6774" t="n">
        <v>1</v>
      </c>
      <c r="E6774" t="n">
        <v>17</v>
      </c>
      <c r="F6774">
        <f>HYPERLINK("https://www.reddit.com/r/GERD/comments/gacpfm/every_day_is_hell_what_do_i_do/")</f>
        <v/>
      </c>
      <c r="G6774" t="inlineStr">
        <is>
          <t>2020-04-29 09:35:24</t>
        </is>
      </c>
      <c r="H6774" t="inlineStr"/>
    </row>
    <row r="6775">
      <c r="A6775" t="inlineStr">
        <is>
          <t>gae9nm</t>
        </is>
      </c>
      <c r="B6775" t="inlineStr">
        <is>
          <t>Heart Palpitations and Burping</t>
        </is>
      </c>
      <c r="C6775" t="inlineStr">
        <is>
          <t>Does anyone feel very gassy and have to burp constantly after eating but also get heart palpitations?? I have been having heart palpitations way more than usual lately and I’m not sure if it’s stress, hormonal or GERD related?</t>
        </is>
      </c>
      <c r="D6775" t="n">
        <v>1</v>
      </c>
      <c r="E6775" t="n">
        <v>16</v>
      </c>
      <c r="F6775">
        <f>HYPERLINK("https://www.reddit.com/r/GERD/comments/gae9nm/heart_palpitations_and_burping/")</f>
        <v/>
      </c>
      <c r="G6775" t="inlineStr">
        <is>
          <t>2020-04-29 11:06:27</t>
        </is>
      </c>
      <c r="H6775" t="inlineStr"/>
    </row>
    <row r="6776">
      <c r="A6776" t="inlineStr">
        <is>
          <t>gaepyc</t>
        </is>
      </c>
      <c r="B6776" t="inlineStr">
        <is>
          <t>Urgh so annoying!</t>
        </is>
      </c>
      <c r="C6776" t="inlineStr">
        <is>
          <t>Last night I had an Indian and now my GERD has been crazy today hope it goes away soon, any thing i can to help it go away naturally?</t>
        </is>
      </c>
      <c r="D6776" t="n">
        <v>1</v>
      </c>
      <c r="E6776" t="n">
        <v>1</v>
      </c>
      <c r="F6776">
        <f>HYPERLINK("https://www.reddit.com/r/GERD/comments/gaepyc/urgh_so_annoying/")</f>
        <v/>
      </c>
      <c r="G6776" t="inlineStr">
        <is>
          <t>2020-04-29 11:31:02</t>
        </is>
      </c>
      <c r="H6776" t="inlineStr"/>
    </row>
    <row r="6777">
      <c r="A6777" t="inlineStr">
        <is>
          <t>gaeq6z</t>
        </is>
      </c>
      <c r="B6777" t="inlineStr">
        <is>
          <t>Red throat</t>
        </is>
      </c>
      <c r="C6777" t="inlineStr">
        <is>
          <t>I've been on omeprazole for 2 months now and been eating a low acid diet for the last 2 weeks but my throat is still very red.  Do you folks have a constantly red throat?</t>
        </is>
      </c>
      <c r="D6777" t="n">
        <v>1</v>
      </c>
      <c r="E6777" t="n">
        <v>0</v>
      </c>
      <c r="F6777">
        <f>HYPERLINK("https://www.reddit.com/r/GERD/comments/gaeq6z/red_throat/")</f>
        <v/>
      </c>
      <c r="G6777" t="inlineStr">
        <is>
          <t>2020-04-29 11:31:23</t>
        </is>
      </c>
      <c r="H6777" t="inlineStr"/>
    </row>
    <row r="6778">
      <c r="A6778" t="inlineStr">
        <is>
          <t>gaf7jx</t>
        </is>
      </c>
      <c r="B6778" t="inlineStr">
        <is>
          <t>Question about Omeprazole and GERD</t>
        </is>
      </c>
      <c r="C6778" t="inlineStr">
        <is>
          <t>So the past few days I've been getting sharp pains on the inner left side of my chest and feeling burpish and cases of acid reflux. I've also gotten lightheaded a few times but I think thats from not eating because I didn't want to get bad acid reflux again with the chest pains. I video chatted with a doctor and she told me it sounds like GERD. she didn't prescribe me with anything but said there were a few over the counter meds I could purchase and should help. She named one I couldn't quite remember the name of but many places online said use Omeprazole. Well on the back of the box it says do not use if you have chest pains and lists other things. Is it still okay to use with the chest pains?</t>
        </is>
      </c>
      <c r="D6778" t="n">
        <v>1</v>
      </c>
      <c r="E6778" t="n">
        <v>8</v>
      </c>
      <c r="F6778">
        <f>HYPERLINK("https://www.reddit.com/r/GERD/comments/gaf7jx/question_about_omeprazole_and_gerd/")</f>
        <v/>
      </c>
      <c r="G6778" t="inlineStr">
        <is>
          <t>2020-04-29 11:55:30</t>
        </is>
      </c>
      <c r="H6778" t="inlineStr"/>
    </row>
    <row r="6779">
      <c r="A6779" t="inlineStr">
        <is>
          <t>gag7i3</t>
        </is>
      </c>
      <c r="B6779" t="inlineStr">
        <is>
          <t>I don't understand the usage of omeprazole for 14 days.</t>
        </is>
      </c>
      <c r="C6779" t="inlineStr">
        <is>
          <t>I have a an acid reflux-like issue that is sporadic and happened 3-4 times a year in the past but this year happened 4 times in February and then about once a month since then (waking up in the middle of the night with the acid coming up my throat).  A month ago my doc prescribed omeprazole but I haven't begun it yet (I'm about to pick up 60 days worth from the pharmacy though). What is the point of taking it for 14 days and then stopping? It's not like it fixes your body in that time (like a splint on a sprain or something) so what is this timeframe even for?  If I use it for 14 days and don't have an issue, then what?  I know there's rebound if I don't dose down with it but am confused of why I should even go on this.  My doc told me to take it for 30 days and never mentioned rebound or anything and he didn't really address my "it usually only happens once every month or two so how will I even know if it worked if nothing happens in that month?" concern, which was frustrating.  Seeing the horror stories of people stuck on this for years makes me not want to do it but I also don't want to ignore a reflux issue that could be in the early stages and get worse if I don't take care of it now. Thanks for your time.</t>
        </is>
      </c>
      <c r="D6779" t="n">
        <v>1</v>
      </c>
      <c r="E6779" t="n">
        <v>1</v>
      </c>
      <c r="F6779">
        <f>HYPERLINK("https://www.reddit.com/r/GERD/comments/gag7i3/i_dont_understand_the_usage_of_omeprazole_for_14/")</f>
        <v/>
      </c>
      <c r="G6779" t="inlineStr">
        <is>
          <t>2020-04-29 12:46:48</t>
        </is>
      </c>
      <c r="H6779" t="inlineStr"/>
    </row>
    <row r="6780">
      <c r="A6780" t="inlineStr">
        <is>
          <t>gagjhz</t>
        </is>
      </c>
      <c r="B6780" t="inlineStr">
        <is>
          <t>Realization of not being able to eat one of my favorite thing</t>
        </is>
      </c>
      <c r="C6780" t="inlineStr">
        <is>
          <t>Just bought a cup noodles in the store without thinking much about it was a bit to unseal it but I decided to check the ingredients to just make sure and I saw numerous different types of oil in it...
WHY GOD?WHY?</t>
        </is>
      </c>
      <c r="D6780" t="n">
        <v>1</v>
      </c>
      <c r="E6780" t="n">
        <v>13</v>
      </c>
      <c r="F6780">
        <f>HYPERLINK("https://www.reddit.com/r/GERD/comments/gagjhz/realization_of_not_being_able_to_eat_one_of_my/")</f>
        <v/>
      </c>
      <c r="G6780" t="inlineStr">
        <is>
          <t>2020-04-29 13:04:22</t>
        </is>
      </c>
      <c r="H6780" t="inlineStr"/>
    </row>
    <row r="6781">
      <c r="A6781" t="inlineStr">
        <is>
          <t>gahaax</t>
        </is>
      </c>
      <c r="B6781" t="inlineStr">
        <is>
          <t>Anxiety and Acid Reflux</t>
        </is>
      </c>
      <c r="C6781" t="inlineStr">
        <is>
          <t>Recently i've been getting bad acid reflux because of my anxiety(never had it before)It helps when I don't eat anything super acidic. However last night after eating a snack(PB&amp;amp;J) I couldn't help shake the feeling that something was caught on the bottom right side of my throat. I still feel as we speak. It only showed up when I burped during my acid reflux last night, I'm not sure how specific to get with these things but I hope that helps. Any insight as to what it could be would be awesome. :)</t>
        </is>
      </c>
      <c r="D6781" t="n">
        <v>1</v>
      </c>
      <c r="E6781" t="n">
        <v>7</v>
      </c>
      <c r="F6781">
        <f>HYPERLINK("https://www.reddit.com/r/GERD/comments/gahaax/anxiety_and_acid_reflux/")</f>
        <v/>
      </c>
      <c r="G6781" t="inlineStr">
        <is>
          <t>2020-04-29 13:43:11</t>
        </is>
      </c>
      <c r="H6781" t="inlineStr"/>
    </row>
    <row r="6782">
      <c r="A6782" t="inlineStr">
        <is>
          <t>gahsgp</t>
        </is>
      </c>
      <c r="B6782" t="inlineStr">
        <is>
          <t>Anyone else get "surprise swallows"?</t>
        </is>
      </c>
      <c r="C6782" t="inlineStr">
        <is>
          <t>It may sound weird, but that's the only way to really describe it. Sometimes, as I'm still chewing my body will suddenly be like "ok, time to swallow!" When it most certainly is not time to swallow. Food will still be in the front of my mouth (I'm still dealing with a bit of dysphagia) so it's not like a sensor is hit that triggers swallowing. And it's not even like any food is actually swallowed during these surprises. 
It's very strange, and I'm hoping I'm not the only one who experiences this?</t>
        </is>
      </c>
      <c r="D6782" t="n">
        <v>1</v>
      </c>
      <c r="E6782" t="n">
        <v>7</v>
      </c>
      <c r="F6782">
        <f>HYPERLINK("https://www.reddit.com/r/GERD/comments/gahsgp/anyone_else_get_surprise_swallows/")</f>
        <v/>
      </c>
      <c r="G6782" t="inlineStr">
        <is>
          <t>2020-04-29 14:08:52</t>
        </is>
      </c>
      <c r="H6782" t="inlineStr"/>
    </row>
    <row r="6783">
      <c r="A6783" t="inlineStr">
        <is>
          <t>gahzli</t>
        </is>
      </c>
      <c r="B6783" t="inlineStr">
        <is>
          <t>Difficulty to eat, help!</t>
        </is>
      </c>
      <c r="C6783" t="inlineStr">
        <is>
          <t>So I've been sick for 3 months now ( all symptoms show gastritis and gerd, but haven't been able to get an endo yet since quarantine) I was doing a little better, but 5 days ago I started to feel so sick after I ate, as if full of Gases, ultra sensitive stomach, Nausea and feeling as if I would threw up. It has gone a little worse since now it's getting hard for me to swallow and giving me sensitivity and nausea at least for 2h after I ate.
I went to my GI today and he sent me esomeprazol 40mg (2 a day) and some pills of Simethicone Magaldrate for 10 days till we can figure out what to do so I can get and endo. 
I'm a little scared, has anyone experienced this problem? I'm so afraid because now I am in bed almost all day feeling ill as hell.. I just want to know if anyone has experienced something like this so I can calm myself a little bit</t>
        </is>
      </c>
      <c r="D6783" t="n">
        <v>1</v>
      </c>
      <c r="E6783" t="n">
        <v>4</v>
      </c>
      <c r="F6783">
        <f>HYPERLINK("https://www.reddit.com/r/GERD/comments/gahzli/difficulty_to_eat_help/")</f>
        <v/>
      </c>
      <c r="G6783" t="inlineStr">
        <is>
          <t>2020-04-29 14:19:22</t>
        </is>
      </c>
      <c r="H6783" t="inlineStr"/>
    </row>
    <row r="6784">
      <c r="A6784" t="inlineStr">
        <is>
          <t>gakaff</t>
        </is>
      </c>
      <c r="B6784" t="inlineStr">
        <is>
          <t>Acid backwash tastes worse than usual ... spicy?</t>
        </is>
      </c>
      <c r="C6784" t="inlineStr">
        <is>
          <t>Hi, apologies if I'm not describing this well, I don't get reflux very often. But when I do, it's pretty consistently sour-tasting with some regurgitation of food at times. Today though, I'm suddenly getting reflux that is much harsher in taste, I would almost describe it as peppery. I haven't eaten anything spicy, just fruit, simple carbs/starches, a little peanut butter. It tastes *wrong*. Can anyone let me know what this might be about? Is it typical?</t>
        </is>
      </c>
      <c r="D6784" t="n">
        <v>1</v>
      </c>
      <c r="E6784" t="n">
        <v>1</v>
      </c>
      <c r="F6784">
        <f>HYPERLINK("https://www.reddit.com/r/GERD/comments/gakaff/acid_backwash_tastes_worse_than_usual_spicy/")</f>
        <v/>
      </c>
      <c r="G6784" t="inlineStr">
        <is>
          <t>2020-04-29 16:25:23</t>
        </is>
      </c>
      <c r="H6784" t="inlineStr"/>
    </row>
    <row r="6785">
      <c r="A6785" t="inlineStr">
        <is>
          <t>gakuiy</t>
        </is>
      </c>
      <c r="B6785" t="inlineStr">
        <is>
          <t>Attacks after eating ? This is driving me nuts.</t>
        </is>
      </c>
      <c r="C6785" t="inlineStr">
        <is>
          <t>High all, I started having issues about 3 months ago. I was eating a salad and having a coffee at work and had these weird wave sensations and dryness in my throat that made me panic a bit and I walked it off. 
I had few more small episodes of this and thought I was drinking way too much coffee (I was) 
Then I went out to dinner one night had a severe dryness and tight throat feeling and I throat I was going into anaphylaxis. I went to a urgent care and they gave me some steroids and Benadryl. The next day my throat was sore. I had a basic diet and went in for blood work and an allergy test. The allergy test only said mild allergies to Brazil nuts and cashews. I have been avoiding those since then.
However, I still had a few of these attacks where my throat and moth would get dry , frog in throat feeling. Made me panicky, so I went in for more testing. Doc said it could be GERD and gave me PPI and Sucralfate to heal my throat. Since then (4 week). It makes sense in a way, I was having a lot of coffee, seltzer water, chewing mint gum, eating spicy food, stressful job. 
I have had two attacks after dinner but generally better, also the attacks seem to fade faster. My throat has felt a bit better.
This is extremely frustrating as I feel it is GERD but my symptoms/worse times seem to be 20-40 minutes after eating and I just don’t know if it’s something else. I had an attack today that faded quickly, I feel better but I still have that feeling of frog in throat when I swallow, so annoying.
Do other people have symptoms mostly around meals?</t>
        </is>
      </c>
      <c r="D6785" t="n">
        <v>1</v>
      </c>
      <c r="E6785" t="n">
        <v>4</v>
      </c>
      <c r="F6785">
        <f>HYPERLINK("https://www.reddit.com/r/GERD/comments/gakuiy/attacks_after_eating_this_is_driving_me_nuts/")</f>
        <v/>
      </c>
      <c r="G6785" t="inlineStr">
        <is>
          <t>2020-04-29 16:57:47</t>
        </is>
      </c>
      <c r="H6785" t="inlineStr"/>
    </row>
    <row r="6786">
      <c r="A6786" t="inlineStr">
        <is>
          <t>galn04</t>
        </is>
      </c>
      <c r="B6786" t="inlineStr">
        <is>
          <t>Does anyone know if you can take aspirin and a PPI together?</t>
        </is>
      </c>
      <c r="C6786" t="inlineStr">
        <is>
          <t>I take 40 mg protonix daily. I also suffer from migraines which excedrin migraine works for. They thought I might have a stomach ulcer originally so I was told not to take any NSAIDs. I didn’t end up having an ulcer—I had an endoscopy that showed nothing except some mild inflammation on my stomach (probably from taking the migraine medicine routinely a few days a month). Can I still take the medicine now that I know I don’t have an ulcer or is this still contraindicated while on PPIs? 
I’m going to ask my doctor more in details next time I see her but my office isn’t open right now. Ive been trying to just get by on Tylenol for now but it doesn’t cut it.</t>
        </is>
      </c>
      <c r="D6786" t="n">
        <v>1</v>
      </c>
      <c r="E6786" t="n">
        <v>4</v>
      </c>
      <c r="F6786">
        <f>HYPERLINK("https://www.reddit.com/r/GERD/comments/galn04/does_anyone_know_if_you_can_take_aspirin_and_a/")</f>
        <v/>
      </c>
      <c r="G6786" t="inlineStr">
        <is>
          <t>2020-04-29 17:45:10</t>
        </is>
      </c>
      <c r="H6786" t="inlineStr"/>
    </row>
    <row r="6787">
      <c r="A6787" t="inlineStr">
        <is>
          <t>gamq58</t>
        </is>
      </c>
      <c r="B6787" t="inlineStr">
        <is>
          <t>Fiber supplement recommendations?</t>
        </is>
      </c>
      <c r="C6787" t="inlineStr">
        <is>
          <t xml:space="preserve"> Wondering if anyone has any advice. I'm feeling like my GERD and LPR is made worse by constipation/feeling that i have a lot of gas in my stomach that can't be released. I've been waking up every morning with a sore throat, slight chest pain, and feeling like I need to burp but I can't.
I tried metamucil and fiber gummies, but both made my bowels irritate and gave me diarrhea. I did the recommended dose for both, too.
Has anyone had that experience with fiber supplements? Are there any that have helped you? I really want to find one that is gentle enough and will work.</t>
        </is>
      </c>
      <c r="D6787" t="n">
        <v>1</v>
      </c>
      <c r="E6787" t="n">
        <v>2</v>
      </c>
      <c r="F6787">
        <f>HYPERLINK("https://www.reddit.com/r/GERD/comments/gamq58/fiber_supplement_recommendations/")</f>
        <v/>
      </c>
      <c r="G6787" t="inlineStr">
        <is>
          <t>2020-04-29 18:55:43</t>
        </is>
      </c>
      <c r="H6787" t="inlineStr"/>
    </row>
    <row r="6788">
      <c r="A6788" t="inlineStr">
        <is>
          <t>gan1r2</t>
        </is>
      </c>
      <c r="B6788" t="inlineStr">
        <is>
          <t>Can anyone share their experience if they had a Nissen fundoplication?</t>
        </is>
      </c>
      <c r="C6788" t="inlineStr">
        <is>
          <t>I am on a combo of 40mg Nexium twice a day and 20mg Pepcid twice a day. I need an endoscopy, upper GI barium study, and pH study. Then if nothing is working and everything is negative, which is most likely, I will need a Nissen fundoplication. Has anyone else had one, how did you feel after, did you have any side effects???</t>
        </is>
      </c>
      <c r="D6788" t="n">
        <v>1</v>
      </c>
      <c r="E6788" t="n">
        <v>26</v>
      </c>
      <c r="F6788">
        <f>HYPERLINK("https://www.reddit.com/r/GERD/comments/gan1r2/can_anyone_share_their_experience_if_they_had_a/")</f>
        <v/>
      </c>
      <c r="G6788" t="inlineStr">
        <is>
          <t>2020-04-29 19:17:00</t>
        </is>
      </c>
      <c r="H6788" t="inlineStr"/>
    </row>
    <row r="6789">
      <c r="A6789" t="inlineStr">
        <is>
          <t>gaonm5</t>
        </is>
      </c>
      <c r="B6789" t="inlineStr">
        <is>
          <t>LPR my story</t>
        </is>
      </c>
      <c r="C6789" t="inlineStr">
        <is>
          <t>I've been dealing with LPR for over a year. Started after Christmas of 2019, little bit of burning throat here and there when I smoked weed (being honest) - very good if you have OCD. (keep this in mind, I have been a coffee drinker and on anti anxiety meds for many many years, as well as am someone who always ate before bed). So I stopped smoking any weed (legal where I live). Anyways, stopped that, stopped casually drinking. But it still progressed. Was super stressed at work (while no longer smoking), then in May I had two really bad days of full on acid reflux, could not lie down without it burning my chest and throat (but keep in mind my overall throat health was still at a better level than now, after constant lpr). Then in the summer I was getting a sore throat (thinking it was just my post nasal drip causing it - still not knowing about my developing condition), so I would just suck on lozenges before bed. My voice was going in and out and was hoarse, and I stopped drinking as much coffee. Through this time period, my chest tension and back pain got progressively worse, more severe from April 2019 to --now. Heart palpitations, full on. Heart beating so fast and sore chest when I exercised. Wheezing, burning throat to talk, burning throat to breath. Breathing was getting worse. Okay, so it's now September 2019, I go to the doctor and he puts me on  PPI's and an inhaler. Didn't start taking the PPI's cause I read too many bad things about them. Last week of September, get my allergies tested for the first time in my life, next day, wake up with INTENSE bloating, throat burn, chest burn, fatigue, sore chest, hard to breath deeply, burns to breath, burns to talk. (did try PPI's for 3 weeks and they did nothing) So... here I am, almost 8 months later after what I think was the tipping point into hell, and my throat is getting worse. If I eat anything spicy accidentally I feel my throat is raw and it burns!!!. Goes without saying, I have not been smoking anything for months, nor drinking coffee, nor alcohol, nothing. My ears ache, my throat is sore, my chest is sore, i'm so tired.. ugh.. this is not living. I've been sucking on black licorice which is soothing, slippery elm tea, black licorice tea, marshmallow tea, chamomile tea, but admittedly not doing everything I could. sometimes I eat stuff I should not. I have no longer been eating within 3 hours before going to bed, and have raised my bed 6-8 inches. I bought Tama something's reflux protocol online but it is very very strict and I have yet to do it full fledge which I should. Broccoli is good. steamed of course. Low fat is essential as high fat, high protein causes your gut to release more acid to digest the food. My main problem is my malfunctioning LES (yes I know my lifestyle contributed, but still, hindsight 20/20 - plus I'm 35 now, this did not happen overnight). Now I just want to heal. Upping my vit D, looking into Melatonin as it is said to strengthen LES (no longer on anti-anxiety - the two don't mix), probiotics, etc. While Kombucha is great for gut health, I think that is why I'm in such rough shape right now. You see, with LPR, you cannot have anything acidic or it acitivates the pepsin. I have been loving my B12 Boosting bucha, but the carbonation is bad bad bad, and the acid is bad bad bad. So I will post in two weeks without my bucha, and trying to stick to a very high PH, low acid diet, while following all the other LPR rules and let you guys know. Please keep posting, we are in this together, nobody wants to feel like this. .nobody.</t>
        </is>
      </c>
      <c r="D6789" t="n">
        <v>1</v>
      </c>
      <c r="E6789" t="n">
        <v>6</v>
      </c>
      <c r="F6789">
        <f>HYPERLINK("https://www.reddit.com/r/GERD/comments/gaonm5/lpr_my_story/")</f>
        <v/>
      </c>
      <c r="G6789" t="inlineStr">
        <is>
          <t>2020-04-29 21:06:53</t>
        </is>
      </c>
      <c r="H6789" t="inlineStr"/>
    </row>
    <row r="6790">
      <c r="A6790" t="inlineStr">
        <is>
          <t>gaovcu</t>
        </is>
      </c>
      <c r="B6790" t="inlineStr">
        <is>
          <t>Sharp chest pain. How to remedy?</t>
        </is>
      </c>
      <c r="C6790" t="inlineStr">
        <is>
          <t>Tonight I had cabbage soup... Unfortunately it had tomato's in it.. which is why I think I'm having extreme chest pain. Any help? Already took 3 tums and it didn't do anything</t>
        </is>
      </c>
      <c r="D6790" t="n">
        <v>1</v>
      </c>
      <c r="E6790" t="n">
        <v>6</v>
      </c>
      <c r="F6790">
        <f>HYPERLINK("https://www.reddit.com/r/GERD/comments/gaovcu/sharp_chest_pain_how_to_remedy/")</f>
        <v/>
      </c>
      <c r="G6790" t="inlineStr">
        <is>
          <t>2020-04-29 21:22:27</t>
        </is>
      </c>
      <c r="H6790" t="inlineStr"/>
    </row>
    <row r="6791">
      <c r="A6791" t="inlineStr">
        <is>
          <t>gaovm2</t>
        </is>
      </c>
      <c r="B6791" t="inlineStr">
        <is>
          <t>Is Weight Loss the Key to Getting Rid of This?</t>
        </is>
      </c>
      <c r="C6791" t="inlineStr">
        <is>
          <t>For the past 3 months, I’ve had a consistent wet cough which interferes with my life, and vomit build up in my esophagus. I’ve also had violent vomiting sessions (not self-induced) a couple of hours after eating. I was diagnosed with acid reflux years ago when I had similar symptoms, and then it went away with weight loss, but here I am again, 10 years later with extra weight. For those that are heavy, will acid reflux or Gerd go away permanently with sustained weigh loss?</t>
        </is>
      </c>
      <c r="D6791" t="n">
        <v>1</v>
      </c>
      <c r="E6791" t="n">
        <v>17</v>
      </c>
      <c r="F6791">
        <f>HYPERLINK("https://www.reddit.com/r/GERD/comments/gaovm2/is_weight_loss_the_key_to_getting_rid_of_this/")</f>
        <v/>
      </c>
      <c r="G6791" t="inlineStr">
        <is>
          <t>2020-04-29 21:22:56</t>
        </is>
      </c>
      <c r="H6791" t="inlineStr"/>
    </row>
    <row r="6792">
      <c r="A6792" t="inlineStr">
        <is>
          <t>gap9d2</t>
        </is>
      </c>
      <c r="B6792" t="inlineStr">
        <is>
          <t>Pain behind sternum</t>
        </is>
      </c>
      <c r="C6792" t="inlineStr">
        <is>
          <t>Hi, i had lpr for a while then out of nowhere developed full blown gerd heartburn and all.
 What worrying me is this wierd dull aching pain behind my sternum. Does anyone else get this? Think it could be because of hernia. Trying to get a endoscopy but its pretty crazy lately with all the vrius concerns.
Thanks.</t>
        </is>
      </c>
      <c r="D6792" t="n">
        <v>1</v>
      </c>
      <c r="E6792" t="n">
        <v>4</v>
      </c>
      <c r="F6792">
        <f>HYPERLINK("https://www.reddit.com/r/GERD/comments/gap9d2/pain_behind_sternum/")</f>
        <v/>
      </c>
      <c r="G6792" t="inlineStr">
        <is>
          <t>2020-04-29 21:51:57</t>
        </is>
      </c>
      <c r="H6792" t="inlineStr"/>
    </row>
    <row r="6793">
      <c r="A6793" t="inlineStr">
        <is>
          <t>gapk3u</t>
        </is>
      </c>
      <c r="B6793" t="inlineStr">
        <is>
          <t>Odd question.</t>
        </is>
      </c>
      <c r="C6793" t="inlineStr">
        <is>
          <t>Can anyone’s indigestion and heart burn be even worst even while you’re not eating as much anymore? 
I’m incredibly stressed with what’s going on in the world and I just can’t seem to make myself eat. 
I do deal with dizziness and bouts of nausea as well bc of lack of food.</t>
        </is>
      </c>
      <c r="D6793" t="n">
        <v>1</v>
      </c>
      <c r="E6793" t="n">
        <v>14</v>
      </c>
      <c r="F6793">
        <f>HYPERLINK("https://www.reddit.com/r/GERD/comments/gapk3u/odd_question/")</f>
        <v/>
      </c>
      <c r="G6793" t="inlineStr">
        <is>
          <t>2020-04-29 22:15:32</t>
        </is>
      </c>
      <c r="H6793" t="inlineStr"/>
    </row>
    <row r="6794">
      <c r="A6794" t="inlineStr">
        <is>
          <t>gapmgd</t>
        </is>
      </c>
      <c r="B6794" t="inlineStr">
        <is>
          <t>FYI: Medicaiton Recall from my provider and FDA. Just received this letter from Kaiser Permanente today.</t>
        </is>
      </c>
      <c r="C6794" t="inlineStr">
        <is>
          <t>- https://imgur.com/pvpKV81
Corroborating FDA announcement: 
- https://www.fda.gov/drugs/drug-safety-and-availability/fda-updates-and-press-announcements-ndma-zantac-ranitidine
---
I'm really upset because I ordered my refill on the 23nd (which they should've have filled knowing this) and just got this today (6 days/12 pills later)</t>
        </is>
      </c>
      <c r="D6794" t="n">
        <v>1</v>
      </c>
      <c r="E6794" t="n">
        <v>7</v>
      </c>
      <c r="F6794">
        <f>HYPERLINK("https://www.reddit.com/r/GERD/comments/gapmgd/fyi_medicaiton_recall_from_my_provider_and_fda/")</f>
        <v/>
      </c>
      <c r="G6794" t="inlineStr">
        <is>
          <t>2020-04-29 22:20:45</t>
        </is>
      </c>
      <c r="H6794" t="inlineStr"/>
    </row>
    <row r="6795">
      <c r="A6795" t="inlineStr">
        <is>
          <t>gaq5xr</t>
        </is>
      </c>
      <c r="B6795" t="inlineStr">
        <is>
          <t>GERD/Bad Acid Reflux Diet ideas!?</t>
        </is>
      </c>
      <c r="C6795" t="inlineStr">
        <is>
          <t>I tend to gas and bloat a long with having GERD/acid reflux symptoms. It's been like this for almost over a month. Any good food ideas/recipes for my diet that don't make you gassy and are easy on the stomach? I tend to shop at Trader Joe's and Safeway so any specific recommendations would help!</t>
        </is>
      </c>
      <c r="D6795" t="n">
        <v>1</v>
      </c>
      <c r="E6795" t="n">
        <v>0</v>
      </c>
      <c r="F6795">
        <f>HYPERLINK("https://www.reddit.com/r/GERD/comments/gaq5xr/gerdbad_acid_reflux_diet_ideas/")</f>
        <v/>
      </c>
      <c r="G6795" t="inlineStr">
        <is>
          <t>2020-04-29 23:04:23</t>
        </is>
      </c>
      <c r="H6795" t="inlineStr"/>
    </row>
    <row r="6796">
      <c r="A6796" t="inlineStr">
        <is>
          <t>gaq9od</t>
        </is>
      </c>
      <c r="B6796" t="inlineStr">
        <is>
          <t>Diet Ideas!? I Shop at Trader Joe's/Safeway</t>
        </is>
      </c>
      <c r="C6796" t="inlineStr">
        <is>
          <t>I tend to gas and bloat a long with having GERD/acid reflux symptoms. It's been like this for almost over a month. Any good food ideas/recipes for my diet that don't make you gassy and are easy on the stomach? I tend to shop at Trader Joe's and Safeway so any specific recommendations would help!</t>
        </is>
      </c>
      <c r="D6796" t="n">
        <v>1</v>
      </c>
      <c r="E6796" t="n">
        <v>4</v>
      </c>
      <c r="F6796">
        <f>HYPERLINK("https://www.reddit.com/r/GERD/comments/gaq9od/diet_ideas_i_shop_at_trader_joessafeway/")</f>
        <v/>
      </c>
      <c r="G6796" t="inlineStr">
        <is>
          <t>2020-04-29 23:12:33</t>
        </is>
      </c>
      <c r="H6796" t="inlineStr"/>
    </row>
    <row r="6797">
      <c r="A6797" t="inlineStr">
        <is>
          <t>gaqcn1</t>
        </is>
      </c>
      <c r="B6797" t="inlineStr">
        <is>
          <t>Anything that will help manage symptoms during the entire night?</t>
        </is>
      </c>
      <c r="C6797" t="inlineStr">
        <is>
          <t>At the moment I'm taking nexium in the morning, and gaviscon before bed, the gaviscon works for some amount of hours at night, but when I get up half way through the night to go pee I notice the uncomfortable symptoms appear again and until I wake up in the morning. 
(I've been sleeping on a chair for almost a year, so elevation isn't the issue)
Maybe I should just take lots of gaviscon again? Or maybe a H2A or something?</t>
        </is>
      </c>
      <c r="D6797" t="n">
        <v>1</v>
      </c>
      <c r="E6797" t="n">
        <v>16</v>
      </c>
      <c r="F6797">
        <f>HYPERLINK("https://www.reddit.com/r/GERD/comments/gaqcn1/anything_that_will_help_manage_symptoms_during/")</f>
        <v/>
      </c>
      <c r="G6797" t="inlineStr">
        <is>
          <t>2020-04-29 23:19:39</t>
        </is>
      </c>
      <c r="H6797" t="inlineStr"/>
    </row>
    <row r="6798">
      <c r="A6798" t="inlineStr">
        <is>
          <t>gaqe63</t>
        </is>
      </c>
      <c r="B6798" t="inlineStr">
        <is>
          <t>Anyone in here have succes with the reflux/reza band?</t>
        </is>
      </c>
      <c r="C6798" t="inlineStr">
        <is>
          <t>I personally know someone in a forum that used it for 5 months straight for his LPR and now she is symptom free of LPR , she still have GERD too, but honestly I rather deal with gerd than LPR , and don't get me wrong both are a pain in the ass but in my opinion LPR is 100% worse</t>
        </is>
      </c>
      <c r="D6798" t="n">
        <v>1</v>
      </c>
      <c r="E6798" t="n">
        <v>11</v>
      </c>
      <c r="F6798">
        <f>HYPERLINK("https://www.reddit.com/r/GERD/comments/gaqe63/anyone_in_here_have_succes_with_the_refluxreza/")</f>
        <v/>
      </c>
      <c r="G6798" t="inlineStr">
        <is>
          <t>2020-04-29 23:23:10</t>
        </is>
      </c>
      <c r="H6798" t="inlineStr"/>
    </row>
    <row r="6799">
      <c r="A6799" t="inlineStr">
        <is>
          <t>gardwz</t>
        </is>
      </c>
      <c r="B6799" t="inlineStr">
        <is>
          <t>Chocolate and GERD</t>
        </is>
      </c>
      <c r="C6799" t="inlineStr">
        <is>
          <t>So lately I’ve been doing a lot of baking as I have so much free time which involves a lot of sugary stuff mainly chocolate or caramel and ive found lately I’m getting really bad GERD could it be from eating a lot of my bakes which involve a lot of chocolate?  I think I’ve kinda answered my own question but want an opinion as normally chocolate is not too bad for me!</t>
        </is>
      </c>
      <c r="D6799" t="n">
        <v>1</v>
      </c>
      <c r="E6799" t="n">
        <v>13</v>
      </c>
      <c r="F6799">
        <f>HYPERLINK("https://www.reddit.com/r/GERD/comments/gardwz/chocolate_and_gerd/")</f>
        <v/>
      </c>
      <c r="G6799" t="inlineStr">
        <is>
          <t>2020-04-30 00:48:51</t>
        </is>
      </c>
      <c r="H6799" t="inlineStr"/>
    </row>
    <row r="6800">
      <c r="A6800" t="inlineStr">
        <is>
          <t>gas7co</t>
        </is>
      </c>
      <c r="B6800" t="inlineStr">
        <is>
          <t>Have you tried physiotherapy or trigger point release? Give it a shot.</t>
        </is>
      </c>
      <c r="C6800" t="inlineStr">
        <is>
          <t>Before trying anything crazy or going surgery, investigate into the trigger point release in your body, both the neck, diaphragm, and pelvis region. I saw physiotherapist 2 days ago and she released my diaphragm for a different reason. Yesterday I noticed that my GERD decreased drastically.</t>
        </is>
      </c>
      <c r="D6800" t="n">
        <v>1</v>
      </c>
      <c r="E6800" t="n">
        <v>9</v>
      </c>
      <c r="F6800">
        <f>HYPERLINK("https://www.reddit.com/r/GERD/comments/gas7co/have_you_tried_physiotherapy_or_trigger_point/")</f>
        <v/>
      </c>
      <c r="G6800" t="inlineStr">
        <is>
          <t>2020-04-30 02:03:23</t>
        </is>
      </c>
      <c r="H6800" t="inlineStr"/>
    </row>
    <row r="6801">
      <c r="A6801" t="inlineStr">
        <is>
          <t>gavamb</t>
        </is>
      </c>
      <c r="B6801" t="inlineStr">
        <is>
          <t>nausea help</t>
        </is>
      </c>
      <c r="C6801" t="inlineStr">
        <is>
          <t>I've had reflux/GERD attacks a few times a year since I was young but since lockdown began and my anxiety has flared up I have had two back to back attacks. Taking 20mg omeprazole in mornings and gaviscon/anti nausea tablets at night but still having trouble dealing with the intense and lingering nausea I'm waking up with most days. Does anyone have remedies they can share? appreciated!</t>
        </is>
      </c>
      <c r="D6801" t="n">
        <v>1</v>
      </c>
      <c r="E6801" t="n">
        <v>12</v>
      </c>
      <c r="F6801">
        <f>HYPERLINK("https://www.reddit.com/r/GERD/comments/gavamb/nausea_help/")</f>
        <v/>
      </c>
      <c r="G6801" t="inlineStr">
        <is>
          <t>2020-04-30 06:05:01</t>
        </is>
      </c>
      <c r="H6801" t="inlineStr"/>
    </row>
    <row r="6802">
      <c r="A6802" t="inlineStr">
        <is>
          <t>gazi8k</t>
        </is>
      </c>
      <c r="B6802" t="inlineStr">
        <is>
          <t>Acid reflux that got 10 times worse after only a few days on PPIs and never got better</t>
        </is>
      </c>
      <c r="C6802" t="inlineStr">
        <is>
          <t>I had a slight reflux which caused me chronic cough but that was it. After taking Omeprazol for only a few days I felt heatburn for literally the first time in my life, throat and tongue ulcers, globus and after stopping medication it never got away. Please, someone help me. I feel it all the time. I could literally eat everything i wanted before taking PPIs, my life is hell. I tried Betaine which helped me but didn’t cure me, I don’t eat dairy, milk or sugar, IT WONT GO AWAY!!! I don’t know what to do! I’m only 19 years and doctors keep prescribing me PPIs. The only thing I think it could be is leaky gut. What do you guys think? Why could Omeprazol cause me such a thing? Any theories? I have reflux all the time, except when I eat. I even have it when I wake up (empty stomach).</t>
        </is>
      </c>
      <c r="D6802" t="n">
        <v>1</v>
      </c>
      <c r="E6802" t="n">
        <v>44</v>
      </c>
      <c r="F6802">
        <f>HYPERLINK("https://www.reddit.com/r/GERD/comments/gazi8k/acid_reflux_that_got_10_times_worse_after_only_a/")</f>
        <v/>
      </c>
      <c r="G6802" t="inlineStr">
        <is>
          <t>2020-04-30 09:57:03</t>
        </is>
      </c>
      <c r="H6802" t="inlineStr"/>
    </row>
    <row r="6803">
      <c r="A6803" t="inlineStr">
        <is>
          <t>gazruv</t>
        </is>
      </c>
      <c r="B6803" t="inlineStr">
        <is>
          <t>Wedge pillow recommendations?</t>
        </is>
      </c>
      <c r="C6803" t="inlineStr">
        <is>
          <t>To be blunt im broke AF and need a cheap option that will still get the job done as nighttime reflux is one of my main issues. Ive been sleeping in a recliner inder the past few days and it's made a world of a difference for my breathing troubles but I mis sleeping in bed with my S/O.</t>
        </is>
      </c>
      <c r="D6803" t="n">
        <v>1</v>
      </c>
      <c r="E6803" t="n">
        <v>4</v>
      </c>
      <c r="F6803">
        <f>HYPERLINK("https://www.reddit.com/r/GERD/comments/gazruv/wedge_pillow_recommendations/")</f>
        <v/>
      </c>
      <c r="G6803" t="inlineStr">
        <is>
          <t>2020-04-30 10:10:30</t>
        </is>
      </c>
      <c r="H6803" t="inlineStr"/>
    </row>
    <row r="6804">
      <c r="A6804" t="inlineStr">
        <is>
          <t>gb0ls5</t>
        </is>
      </c>
      <c r="B6804" t="inlineStr">
        <is>
          <t>Flare up and heart</t>
        </is>
      </c>
      <c r="C6804" t="inlineStr">
        <is>
          <t>Does anyone have issues with what feels like skipped Herat beats when bad reflux or heartburn comes along ? Mine happens a lot</t>
        </is>
      </c>
      <c r="D6804" t="n">
        <v>1</v>
      </c>
      <c r="E6804" t="n">
        <v>10</v>
      </c>
      <c r="F6804">
        <f>HYPERLINK("https://www.reddit.com/r/GERD/comments/gb0ls5/flare_up_and_heart/")</f>
        <v/>
      </c>
      <c r="G6804" t="inlineStr">
        <is>
          <t>2020-04-30 10:53:10</t>
        </is>
      </c>
      <c r="H6804" t="inlineStr"/>
    </row>
    <row r="6805">
      <c r="A6805" t="inlineStr">
        <is>
          <t>gb185f</t>
        </is>
      </c>
      <c r="B6805" t="inlineStr">
        <is>
          <t>Can GERD cause chronic coughing and and congestion?</t>
        </is>
      </c>
      <c r="C6805" t="inlineStr">
        <is>
          <t>A family member of mine has been dealing with the cough and sinus issues for years and he finally has a doctor that thinks it’s due to severe GERD and mentioned surgery. During a procedure (endoscopy?) Something in his stomach was constantly spasming. All his other doctors say nothing is wrong and that he’s normal or crazy in the head.</t>
        </is>
      </c>
      <c r="D6805" t="n">
        <v>1</v>
      </c>
      <c r="E6805" t="n">
        <v>2</v>
      </c>
      <c r="F6805">
        <f>HYPERLINK("https://www.reddit.com/r/GERD/comments/gb185f/can_gerd_cause_chronic_coughing_and_and_congestion/")</f>
        <v/>
      </c>
      <c r="G6805" t="inlineStr">
        <is>
          <t>2020-04-30 11:25:25</t>
        </is>
      </c>
      <c r="H6805" t="inlineStr"/>
    </row>
    <row r="6806">
      <c r="A6806" t="inlineStr">
        <is>
          <t>gb2ybh</t>
        </is>
      </c>
      <c r="B6806" t="inlineStr">
        <is>
          <t>Alcohol induced gastritis recovery times? (I know it varies)</t>
        </is>
      </c>
      <c r="C6806" t="inlineStr">
        <is>
          <t>So I'm going through a gastritis flare up that was brought on from alcohol and anxiety. I mean like half a handle of rum in a week with intermittent panic attacks (yes I am seriously analyzing my drinking habit and will probably decide I'm never drinking again because I emotionally binge drink) 
My question is for others who went through the same and recovered: how long was your recovery?
I struggle severely with depression, food has always been a huge comfort item for me, but I also have an pretty fluid eating disorder: I'll go from binge eating to barely eating for a week, I finally started getting that under control but I'm finding this whole situation is triggering my unwillingness to eat. I just want to know what I'm looking at as far as recovery times, I get mild flare ups that last like  1 or a few days and the longest I've had was a week. I'm creeping into my 3rd week here and this is a lot for me to handle.
I know this sounds super woe is me and I know for some people this lasts months to years but I'm just looking for answers.</t>
        </is>
      </c>
      <c r="D6806" t="n">
        <v>1</v>
      </c>
      <c r="E6806" t="n">
        <v>3</v>
      </c>
      <c r="F6806">
        <f>HYPERLINK("https://www.reddit.com/r/GERD/comments/gb2ybh/alcohol_induced_gastritis_recovery_times_i_know/")</f>
        <v/>
      </c>
      <c r="G6806" t="inlineStr">
        <is>
          <t>2020-04-30 12:56:02</t>
        </is>
      </c>
      <c r="H6806" t="inlineStr"/>
    </row>
    <row r="6807">
      <c r="A6807" t="inlineStr">
        <is>
          <t>gb36w8</t>
        </is>
      </c>
      <c r="B6807" t="inlineStr">
        <is>
          <t>Can someone explain why Dimenhydrinate is the only thing that reliefs my acid reflux?</t>
        </is>
      </c>
      <c r="C6807" t="inlineStr">
        <is>
          <t>it reliefs my heatburn and Sore throat, i don’t have issues with nausea</t>
        </is>
      </c>
      <c r="D6807" t="n">
        <v>1</v>
      </c>
      <c r="E6807" t="n">
        <v>18</v>
      </c>
      <c r="F6807">
        <f>HYPERLINK("https://www.reddit.com/r/GERD/comments/gb36w8/can_someone_explain_why_dimenhydrinate_is_the/")</f>
        <v/>
      </c>
      <c r="G6807" t="inlineStr">
        <is>
          <t>2020-04-30 13:08:17</t>
        </is>
      </c>
      <c r="H6807" t="inlineStr"/>
    </row>
    <row r="6808">
      <c r="A6808" t="inlineStr">
        <is>
          <t>gb3cql</t>
        </is>
      </c>
      <c r="B6808" t="inlineStr">
        <is>
          <t>Did I destroy my body permanently?</t>
        </is>
      </c>
      <c r="C6808" t="inlineStr">
        <is>
          <t>My stomach keeps burning even if I drink water and eat healthy foods. My chest keeps hurting no matter what I eat. I’ve been dealing with this for two years. Is it impossible to get cured from this disease?</t>
        </is>
      </c>
      <c r="D6808" t="n">
        <v>1</v>
      </c>
      <c r="E6808" t="n">
        <v>21</v>
      </c>
      <c r="F6808">
        <f>HYPERLINK("https://www.reddit.com/r/GERD/comments/gb3cql/did_i_destroy_my_body_permanently/")</f>
        <v/>
      </c>
      <c r="G6808" t="inlineStr">
        <is>
          <t>2020-04-30 13:16:52</t>
        </is>
      </c>
      <c r="H6808" t="inlineStr"/>
    </row>
    <row r="6809">
      <c r="A6809" t="inlineStr">
        <is>
          <t>gb3fxf</t>
        </is>
      </c>
      <c r="B6809" t="inlineStr">
        <is>
          <t>Sore throat (2 months now)? Anyone else?</t>
        </is>
      </c>
      <c r="C6809" t="inlineStr">
        <is>
          <t>SYMPTOMS:
\-General sore throat. There are good days and bad days. 
\-Constantly coughing up mucus/clearing throat. 
\-Generally, 80% of the time my throat is sometimes itchy, sometimes burning, or just plain sore. 
\-Pain when swallowing sometimes, but sometimes not. Pain after eating.
\-No sore throat when I wake up in the morning but as the day progresses, the pain comes back. 
\-Irritation if I talk for too long which is a problem since I'm a teacher doing online classes currently and I need to speak for hours at a time. 
\-Pain after eating certain hard or acidic foods. Like one a few weeks ago , I decided to take a drink of some Gatorade (big mistake) and my throat felt like I had just swallowed acid. Or after stupidly eating some pizza and chocolate, 45 minutes later I burped sending acid up and immediately felt the stinging and burning in my throat. Never again am I doing that. 
I'm so tired of this constant pain and wondering what this might be. Does this sound consistent with LRP? My anxiety is telling me it might be something worse like throat cancer. My mind always jumps to the worst conclusions. Any insight? Thanks so much.</t>
        </is>
      </c>
      <c r="D6809" t="n">
        <v>1</v>
      </c>
      <c r="E6809" t="n">
        <v>48</v>
      </c>
      <c r="F6809">
        <f>HYPERLINK("https://www.reddit.com/r/GERD/comments/gb3fxf/sore_throat_2_months_now_anyone_else/")</f>
        <v/>
      </c>
      <c r="G6809" t="inlineStr">
        <is>
          <t>2020-04-30 13:21:31</t>
        </is>
      </c>
      <c r="H6809" t="inlineStr"/>
    </row>
    <row r="6810">
      <c r="A6810" t="inlineStr">
        <is>
          <t>gb4ami</t>
        </is>
      </c>
      <c r="B6810" t="inlineStr">
        <is>
          <t>Nexium 40 making me completely bloated?</t>
        </is>
      </c>
      <c r="C6810" t="inlineStr">
        <is>
          <t>I was on protonix for over a year and at first it worked really well. I noticed a ton of improvements. But a few months ago I noticed I was getting worse, throwing up food again, throat feeling itchy and coughing all day, and I noticed my memory was sluggish during the day. 
I stopped that and started nexium 40mg prescription strength about 2-3 weeks ago. Since than I’m completely bloated, I haven’t gained weight but my chest is a lot bigger, my shirts are all tight now, and everytime I have to go to the bathroom I’m just having gas 24/7. I had constipation for a couple days and it’s off and on now. Should I stop this medication? I’ve noticed I’m not coughing anymore, I’m not throwing up food but the bloating is pretty bad.</t>
        </is>
      </c>
      <c r="D6810" t="n">
        <v>1</v>
      </c>
      <c r="E6810" t="n">
        <v>1</v>
      </c>
      <c r="F6810">
        <f>HYPERLINK("https://www.reddit.com/r/GERD/comments/gb4ami/nexium_40_making_me_completely_bloated/")</f>
        <v/>
      </c>
      <c r="G6810" t="inlineStr">
        <is>
          <t>2020-04-30 14:06:42</t>
        </is>
      </c>
      <c r="H6810" t="inlineStr"/>
    </row>
    <row r="6811">
      <c r="A6811" t="inlineStr">
        <is>
          <t>gb6xef</t>
        </is>
      </c>
      <c r="B6811" t="inlineStr">
        <is>
          <t>Sleeping on an Incline -- quick question!</t>
        </is>
      </c>
      <c r="C6811" t="inlineStr">
        <is>
          <t>Hello!
I've always slept on a wedge, but I just inclined the whole head of my bed now--a had it at 6 inches the last two nights but I wanted more, and the only other grade of incline I could manage to set up is about 12 inches.  It's pretty steep.  Are there any health reasons why you might not want to be on a steep incline when you sleep?  Is it possible for blood to pool at your feet, and can that be bad?
Thanks!</t>
        </is>
      </c>
      <c r="D6811" t="n">
        <v>1</v>
      </c>
      <c r="E6811" t="n">
        <v>4</v>
      </c>
      <c r="F6811">
        <f>HYPERLINK("https://www.reddit.com/r/GERD/comments/gb6xef/sleeping_on_an_incline_quick_question/")</f>
        <v/>
      </c>
      <c r="G6811" t="inlineStr">
        <is>
          <t>2020-04-30 16:29:17</t>
        </is>
      </c>
      <c r="H6811" t="inlineStr"/>
    </row>
    <row r="6812">
      <c r="A6812" t="inlineStr">
        <is>
          <t>gb8gbk</t>
        </is>
      </c>
      <c r="B6812" t="inlineStr">
        <is>
          <t>Research</t>
        </is>
      </c>
      <c r="C6812" t="inlineStr">
        <is>
          <t>Hello everyone, 
I am doing a research project in my nursing class. This project is about communicating certain diseases and mine happens to be GERD. So my question to everyone is i**f you could describe this disease** (everyone has a different description) and if you could also tell me your **signs and symptoms.  thank you for your time, we would have done this at clinical but since COVID we got kicked out    :(**</t>
        </is>
      </c>
      <c r="D6812" t="n">
        <v>1</v>
      </c>
      <c r="E6812" t="n">
        <v>10</v>
      </c>
      <c r="F6812">
        <f>HYPERLINK("https://www.reddit.com/r/GERD/comments/gb8gbk/research/")</f>
        <v/>
      </c>
      <c r="G6812" t="inlineStr">
        <is>
          <t>2020-04-30 17:58:35</t>
        </is>
      </c>
      <c r="H6812" t="inlineStr"/>
    </row>
    <row r="6813">
      <c r="A6813" t="inlineStr">
        <is>
          <t>gb9j4z</t>
        </is>
      </c>
      <c r="B6813" t="inlineStr">
        <is>
          <t>Favorite recipe for potatoes?</t>
        </is>
      </c>
      <c r="C6813" t="inlineStr">
        <is>
          <t>I'm trying to clean up my diet to help my breathing (and it's working, yay!). I bought potatoes but am supposed to stay away from onion, garlic, tomatoes, and dairy.........does anyone have a good recipes for potatoes without those items?</t>
        </is>
      </c>
      <c r="D6813" t="n">
        <v>1</v>
      </c>
      <c r="E6813" t="n">
        <v>13</v>
      </c>
      <c r="F6813">
        <f>HYPERLINK("https://www.reddit.com/r/GERD/comments/gb9j4z/favorite_recipe_for_potatoes/")</f>
        <v/>
      </c>
      <c r="G6813" t="inlineStr">
        <is>
          <t>2020-04-30 19:09:10</t>
        </is>
      </c>
      <c r="H6813" t="inlineStr"/>
    </row>
    <row r="6814">
      <c r="A6814" t="inlineStr">
        <is>
          <t>gb9t32</t>
        </is>
      </c>
      <c r="B6814" t="inlineStr">
        <is>
          <t>Anyone get throat/nasal burning?</t>
        </is>
      </c>
      <c r="C6814" t="inlineStr">
        <is>
          <t>I’m having a flare up and the burning this far up is driving me absolute mad.</t>
        </is>
      </c>
      <c r="D6814" t="n">
        <v>1</v>
      </c>
      <c r="E6814" t="n">
        <v>2</v>
      </c>
      <c r="F6814">
        <f>HYPERLINK("https://www.reddit.com/r/GERD/comments/gb9t32/anyone_get_throatnasal_burning/")</f>
        <v/>
      </c>
      <c r="G6814" t="inlineStr">
        <is>
          <t>2020-04-30 19:28:11</t>
        </is>
      </c>
      <c r="H6814" t="inlineStr"/>
    </row>
    <row r="6815">
      <c r="A6815" t="inlineStr">
        <is>
          <t>gbaton</t>
        </is>
      </c>
      <c r="B6815" t="inlineStr">
        <is>
          <t>LPR esophageal Eosinophilia?</t>
        </is>
      </c>
      <c r="C6815" t="inlineStr">
        <is>
          <t>I've had SIBO-like symptoms (bloating, loose stool, constipation) for almost 8 months which progressively got worse and eventually led to acid reflux as well. I had a few reflux episodes since the GI problems started but it has been very consistent, happening every day since January. I mostly get LPR, often times having minor burping and feeling of tightness in the throat after eating, but rarely actual heartburn (only time I had heartburn pain was when the reflux first started). I had an endoscopy done to check for GERD and they found a very high number of eosinophils in the distal esophagus (over 40/hpf) although proximal esophagus was normal. I know that GERD can also cause esophageal eosinophilia due to the general inflammation, but is it possible for LPR to do this as well, considering my symptoms are not that major and I've only had them for a few months? Or is it more likely to be legitimate EoE presenting as GERD symptoms. I don't have trouble swallowing like many people with EoE do, infact I can still eat pretty fast, only thing that happens is food particles stuck in the throat sometimes after eating.</t>
        </is>
      </c>
      <c r="D6815" t="n">
        <v>1</v>
      </c>
      <c r="E6815" t="n">
        <v>0</v>
      </c>
      <c r="F6815">
        <f>HYPERLINK("https://www.reddit.com/r/GERD/comments/gbaton/lpr_esophageal_eosinophilia/")</f>
        <v/>
      </c>
      <c r="G6815" t="inlineStr">
        <is>
          <t>2020-04-30 20:38:26</t>
        </is>
      </c>
      <c r="H6815" t="inlineStr"/>
    </row>
    <row r="6816">
      <c r="A6816" t="inlineStr">
        <is>
          <t>gbcr6w</t>
        </is>
      </c>
      <c r="B6816" t="inlineStr">
        <is>
          <t>Freaking out</t>
        </is>
      </c>
      <c r="C6816" t="inlineStr">
        <is>
          <t>So I have been having bad gas/constant burping for months, just had an endoscopy for it 3 days ago and there was nothing too alarming, just inflammation. I was just laying in bed burping constantly, terrible gas in chest and stomach area. I went to flip over and when I moved I got a terrible sharp pain in my whole abdomen followed by burning. I immediately freaked out, got up, walked around, and gradually the pain went away. I’m still burping but the sharp pain is gone and I can fully inhale, but I’ve been panicking that I ruptured or tore something. Has anyone had pain like this from just twisting the wrong way with gas? I feel like if I did real damage the pain wouldn’t have subsided with more burping and walking around, but it freaked me out :/</t>
        </is>
      </c>
      <c r="D6816" t="n">
        <v>1</v>
      </c>
      <c r="E6816" t="n">
        <v>2</v>
      </c>
      <c r="F6816">
        <f>HYPERLINK("https://www.reddit.com/r/GERD/comments/gbcr6w/freaking_out/")</f>
        <v/>
      </c>
      <c r="G6816" t="inlineStr">
        <is>
          <t>2020-04-30 23:04:21</t>
        </is>
      </c>
      <c r="H6816" t="inlineStr"/>
    </row>
    <row r="6817">
      <c r="A6817" t="inlineStr">
        <is>
          <t>gbcwe3</t>
        </is>
      </c>
      <c r="B6817" t="inlineStr">
        <is>
          <t>Long-lasting stomach pain triggered by eggs or olive oil. Is this GERD?</t>
        </is>
      </c>
      <c r="C6817" t="inlineStr">
        <is>
          <t>I don't know what the heck is wrong with me. I've had on and off symptoms for a few months, ranging from mild heart burn to severe gastrititis and stomach pain.
I was just starting to feel OKAY again but then someone cooked a crappy bread made with egg and olive oil and I ate it. This happened yesterday, and it triggered stomach pain. It feels like I was stabbed in the abdomen. It's hurts just to use my abdominal muscle to move myself. Because of the pain, I've had trouble eating and I think with that comes fatigue and headaches. 
Can GERD cause this time of dehabilitating stomach pain that lasts for many days after eating a single trigger food? Also, are eggs and olive oil a common trigger food? Or is this more likely to be something other than GERD?</t>
        </is>
      </c>
      <c r="D6817" t="n">
        <v>1</v>
      </c>
      <c r="E6817" t="n">
        <v>4</v>
      </c>
      <c r="F6817">
        <f>HYPERLINK("https://www.reddit.com/r/GERD/comments/gbcwe3/longlasting_stomach_pain_triggered_by_eggs_or/")</f>
        <v/>
      </c>
      <c r="G6817" t="inlineStr">
        <is>
          <t>2020-04-30 23:16:27</t>
        </is>
      </c>
      <c r="H6817" t="inlineStr"/>
    </row>
    <row r="6818">
      <c r="A6818" t="inlineStr">
        <is>
          <t>gbec50</t>
        </is>
      </c>
      <c r="B6818" t="inlineStr">
        <is>
          <t>How do you handle the gross feeling of mucus in your throat?</t>
        </is>
      </c>
      <c r="C6818" t="inlineStr">
        <is>
          <t>Any remedies? I’ve tried gargling salt water but it didn’t work.</t>
        </is>
      </c>
      <c r="D6818" t="n">
        <v>1</v>
      </c>
      <c r="E6818" t="n">
        <v>2</v>
      </c>
      <c r="F6818">
        <f>HYPERLINK("https://www.reddit.com/r/GERD/comments/gbec50/how_do_you_handle_the_gross_feeling_of_mucus_in/")</f>
        <v/>
      </c>
      <c r="G6818" t="inlineStr">
        <is>
          <t>2020-05-01 01:27:01</t>
        </is>
      </c>
      <c r="H6818" t="inlineStr"/>
    </row>
    <row r="6819">
      <c r="A6819" t="inlineStr">
        <is>
          <t>gbfioh</t>
        </is>
      </c>
      <c r="B6819" t="inlineStr">
        <is>
          <t>Made some 'chocolate' brownies to ease the craving...</t>
        </is>
      </c>
      <c r="C6819" t="inlineStr">
        <is>
          <t>Tried some carob powder brownies as chocolate's been even worse than normal for me lately. Wrote about it if anyone fancies trying it.
Summary: Really good. Couldn't tell they weren't chocolate. Ate them with cream, which defeated the point.
 [https://therefluxer.co.uk/2020/05/01/recipe-carob-chocolate-brownies-reflux/](https://therefluxer.co.uk/2020/05/01/recipe-carob-chocolate-brownies-reflux/)</t>
        </is>
      </c>
      <c r="D6819" t="n">
        <v>1</v>
      </c>
      <c r="E6819" t="n">
        <v>6</v>
      </c>
      <c r="F6819">
        <f>HYPERLINK("https://www.reddit.com/r/GERD/comments/gbfioh/made_some_chocolate_brownies_to_ease_the_craving/")</f>
        <v/>
      </c>
      <c r="G6819" t="inlineStr">
        <is>
          <t>2020-05-01 03:15:54</t>
        </is>
      </c>
      <c r="H6819" t="inlineStr"/>
    </row>
    <row r="6820">
      <c r="A6820" t="inlineStr">
        <is>
          <t>gbghvj</t>
        </is>
      </c>
      <c r="B6820" t="inlineStr">
        <is>
          <t>GERD Questions</t>
        </is>
      </c>
      <c r="C6820" t="inlineStr">
        <is>
          <t>Hi, been lurking around for a while now checking and reading things out. I have had GERD since 2012 but recently like some 5 years ago, started having ulcer like symptoms like intermittent black tarry stool / black diarrhea this has been going on and off for five years and having dizziness while doing nothing/sitting. I'm from philippines btw can't go to the doctor because of financial troubles specially now due to lockdown and no work. Can i consume white cabbage to heal GERD or possible ulcer, and do i need to eat it raw, steamed, or juiced? Can't afford a good juicer now, only have a blender. TIA for your answer and help guys, very much appreciate it.</t>
        </is>
      </c>
      <c r="D6820" t="n">
        <v>1</v>
      </c>
      <c r="E6820" t="n">
        <v>2</v>
      </c>
      <c r="F6820">
        <f>HYPERLINK("https://www.reddit.com/r/GERD/comments/gbghvj/gerd_questions/")</f>
        <v/>
      </c>
      <c r="G6820" t="inlineStr">
        <is>
          <t>2020-05-01 04:37:10</t>
        </is>
      </c>
      <c r="H6820" t="inlineStr"/>
    </row>
    <row r="6821">
      <c r="A6821" t="inlineStr">
        <is>
          <t>gbgy18</t>
        </is>
      </c>
      <c r="B6821" t="inlineStr">
        <is>
          <t>Okay so what does everyone do for healthy lunch?</t>
        </is>
      </c>
      <c r="C6821" t="inlineStr">
        <is>
          <t>It turns out having a salad for lunch has been fucking my reflux up like mental. Even just spinach/rocket and cucumber. Stomach doesn't like them. Have lost loads of weight cause of being healthy but god damn i dont think i can take the reflux from the salad anymore. Its worse than days i have coffee.</t>
        </is>
      </c>
      <c r="D6821" t="n">
        <v>1</v>
      </c>
      <c r="E6821" t="n">
        <v>4</v>
      </c>
      <c r="F6821">
        <f>HYPERLINK("https://www.reddit.com/r/GERD/comments/gbgy18/okay_so_what_does_everyone_do_for_healthy_lunch/")</f>
        <v/>
      </c>
      <c r="G6821" t="inlineStr">
        <is>
          <t>2020-05-01 05:10:58</t>
        </is>
      </c>
      <c r="H6821" t="inlineStr"/>
    </row>
    <row r="6822">
      <c r="A6822" t="inlineStr">
        <is>
          <t>gbh9ta</t>
        </is>
      </c>
      <c r="B6822" t="inlineStr">
        <is>
          <t>Diet changes improved but extreme bloating now?</t>
        </is>
      </c>
      <c r="C6822" t="inlineStr">
        <is>
          <t>Hello, i have been having stomach acid for the past month now on a regular basis and also had it in the past for a shorter time. i tried to see if any foods triggered it. So i cut out eggs and milk and tomato (tomato sauce specifically). and i see improvements. But i ate salmon yesterday and few hours later i woke up feeling kinda weird, and i noticed to have very bad discomfort in my stomach, and i was waiting to throw up for a while and was having bad bloating followed by a bit of stomach acid.  
Could've the salmon triggered it? I also have Omeprazol (40mg) but i got it from my grandma, could that help the bloating caused by the stomach acid? The doctor's office is closed for few days and this is just so annoying. helps is much appreciated!</t>
        </is>
      </c>
      <c r="D6822" t="n">
        <v>1</v>
      </c>
      <c r="E6822" t="n">
        <v>3</v>
      </c>
      <c r="F6822">
        <f>HYPERLINK("https://www.reddit.com/r/GERD/comments/gbh9ta/diet_changes_improved_but_extreme_bloating_now/")</f>
        <v/>
      </c>
      <c r="G6822" t="inlineStr">
        <is>
          <t>2020-05-01 05:34:00</t>
        </is>
      </c>
      <c r="H6822" t="inlineStr"/>
    </row>
    <row r="6823">
      <c r="A6823" t="inlineStr">
        <is>
          <t>gbid7k</t>
        </is>
      </c>
      <c r="B6823" t="inlineStr">
        <is>
          <t>Mucus in Throat</t>
        </is>
      </c>
      <c r="C6823" t="inlineStr">
        <is>
          <t>Hello All,
37/m - Have been on omeprazole for 1.5 years.  When I started, was taking 20mg - it stopped working and I tried Nexium, which caused sore throats. Doc switched me to 40mg omeprazole about a month ago, which seems to work ok. My neck muscles feel a little tight, and yesterday, my throat started producing some mucus. It's not an insane amount, and I don't have a sore throat, but my right side neck lymph node is inflamed (to be fair, this has been the case since I started suffering from reflux years ago), and the mucus seems constant. The omeprazole doesn't seem to have any effect on this mucus production.
I haven't been great about what I eat - last night was pizza night. Could this in itself provoke mucus that the omeprazole can't knock down? 
Thanks all!</t>
        </is>
      </c>
      <c r="D6823" t="n">
        <v>1</v>
      </c>
      <c r="E6823" t="n">
        <v>1</v>
      </c>
      <c r="F6823">
        <f>HYPERLINK("https://www.reddit.com/r/GERD/comments/gbid7k/mucus_in_throat/")</f>
        <v/>
      </c>
      <c r="G6823" t="inlineStr">
        <is>
          <t>2020-05-01 06:46:17</t>
        </is>
      </c>
      <c r="H6823" t="inlineStr"/>
    </row>
    <row r="6824">
      <c r="A6824" t="inlineStr">
        <is>
          <t>gbjaeu</t>
        </is>
      </c>
      <c r="B6824" t="inlineStr">
        <is>
          <t>Do some symptoms take longer to recover than others?</t>
        </is>
      </c>
      <c r="C6824" t="inlineStr">
        <is>
          <t>My current flareup is the first time which involved chest pain as a symptom (its the only symptom)  
After increasing my omeprazole dose, my daytime symptoms improved 90% within 1 week.   
But now (closing out week 3) my nighttime symptoms have not yet improved. As soon as my head hits the pillow, my whole esophagus (from diaphragm to adams apple) hurts immediately - it still feels the same as it did before starting medication.  
Just curious if anyone else experienced similar - did it take longer for certain symptoms to improve than others? Several weeks?</t>
        </is>
      </c>
      <c r="D6824" t="n">
        <v>1</v>
      </c>
      <c r="E6824" t="n">
        <v>0</v>
      </c>
      <c r="F6824">
        <f>HYPERLINK("https://www.reddit.com/r/GERD/comments/gbjaeu/do_some_symptoms_take_longer_to_recover_than/")</f>
        <v/>
      </c>
      <c r="G6824" t="inlineStr">
        <is>
          <t>2020-05-01 07:39:41</t>
        </is>
      </c>
      <c r="H6824" t="inlineStr"/>
    </row>
    <row r="6825">
      <c r="A6825" t="inlineStr">
        <is>
          <t>gbjcu0</t>
        </is>
      </c>
      <c r="B6825" t="inlineStr">
        <is>
          <t>Reflux and antidepressant med options</t>
        </is>
      </c>
      <c r="C6825" t="inlineStr">
        <is>
          <t>I've recently been prescribed Trazodone as needed for insomnia. My reflux has been worsening as well. 
I've read that Trazodone and many reflux medications can cause cardiac issues (seems to be the case with many antidepressants and reflux meds in general). 
I am unsure of my options/what I can safely take and am wondering if anyone else has experience with this?</t>
        </is>
      </c>
      <c r="D6825" t="n">
        <v>1</v>
      </c>
      <c r="E6825" t="n">
        <v>13</v>
      </c>
      <c r="F6825">
        <f>HYPERLINK("https://www.reddit.com/r/GERD/comments/gbjcu0/reflux_and_antidepressant_med_options/")</f>
        <v/>
      </c>
      <c r="G6825" t="inlineStr">
        <is>
          <t>2020-05-01 07:43:20</t>
        </is>
      </c>
      <c r="H6825" t="inlineStr"/>
    </row>
    <row r="6826">
      <c r="A6826" t="inlineStr">
        <is>
          <t>gbjf9a</t>
        </is>
      </c>
      <c r="B6826" t="inlineStr">
        <is>
          <t>Is it safe to take Metamucil and Pepcid at the same time?</t>
        </is>
      </c>
      <c r="C6826" t="inlineStr">
        <is>
          <t>I've tried calling my GI doctor's office to ask but no one's answering and I've had no response to the voicemail I left, so I thought I'd ask here until I hear back from the doc. I have an endoscopy scheduled for June and was also just prescribed Famotidine 20mg (Rx Pepcid) to take twice daily. I was on PPIs (have been off them for almost 2 months) but the side effects were killing me, so now we're trying this new med. My question is, is it safe to take Metamucil while I'm on Pepcid? The Metamucil is short-term while I heal a mild hemorrhoidal outbreak, so I'm afraid to stop taking it until I'm fully healed to avoid exacerbating the issue. I also noticed that a potential side effect of Pepcid is constipation and I'd really like to avoid that at all costs (hemorrhoids aren't fun). Does anyone have any insights on this? Thank you!</t>
        </is>
      </c>
      <c r="D6826" t="n">
        <v>1</v>
      </c>
      <c r="E6826" t="n">
        <v>9</v>
      </c>
      <c r="F6826">
        <f>HYPERLINK("https://www.reddit.com/r/GERD/comments/gbjf9a/is_it_safe_to_take_metamucil_and_pepcid_at_the/")</f>
        <v/>
      </c>
      <c r="G6826" t="inlineStr">
        <is>
          <t>2020-05-01 07:47:11</t>
        </is>
      </c>
      <c r="H6826" t="inlineStr"/>
    </row>
    <row r="6827">
      <c r="A6827" t="inlineStr">
        <is>
          <t>gbjyw9</t>
        </is>
      </c>
      <c r="B6827" t="inlineStr">
        <is>
          <t>Experiences with pain in xiphoid process (sternum)</t>
        </is>
      </c>
      <c r="C6827" t="inlineStr">
        <is>
          <t>I was just wondering if some of you ever had this symptom or pain on the lower part of the sternum. I’m a 28 year old male and my doctor recently told me to take pantoprazol, and sucralfate. I haven’t been strictly diagnosed since it’s difficult to go out and get an endoscopy due to covid-19. For a month I’ve had chest and back pain. Also discomfort around the stomach and gut.
Nonetheless the most notable symptom is pain when I apply pressure on the xiphoyd process or the lower part of the sternum. It’s a bit uncomfortable since I’m sitting most of the day and I’m overweight.</t>
        </is>
      </c>
      <c r="D6827" t="n">
        <v>1</v>
      </c>
      <c r="E6827" t="n">
        <v>2</v>
      </c>
      <c r="F6827">
        <f>HYPERLINK("https://www.reddit.com/r/GERD/comments/gbjyw9/experiences_with_pain_in_xiphoid_process_sternum/")</f>
        <v/>
      </c>
      <c r="G6827" t="inlineStr">
        <is>
          <t>2020-05-01 08:16:27</t>
        </is>
      </c>
      <c r="H6827" t="inlineStr"/>
    </row>
    <row r="6828">
      <c r="A6828" t="inlineStr">
        <is>
          <t>gbk46t</t>
        </is>
      </c>
      <c r="B6828" t="inlineStr">
        <is>
          <t>No idea what is happening, GERd or just inflamed esophagus or stomach issue? My story</t>
        </is>
      </c>
      <c r="C6828" t="inlineStr">
        <is>
          <t>Hello world, sorry for everyone is dealing with Gerd or suffering serious issues with. My English is not very pretty, but I will try.
I am Male 27 yo. One month and two weeks ago I started to feel this burning sensation in my chest, at first i thought it was Corona symptoms but i have not showed any major symptoms of this sickness.
But because i have never felt sick or continued suffering from such a strange symptoms for so long, i am now very shuttered and lost and from there, my trip to reach out to doctor started. I called and said that i have a burning sensation, lose of appetite and weight. Doctor told me to relax and to treat fever just with OTC medicines, which i did.
But for more than 3 weeks and still having the same burning sensation in the middle of my chest and strangely somehow to the left side of my upper body near my left lung. Was scared it could be pneumonia or anything because i was burping sometimes and i could hear that sound, searching all what can cause that, and i found many can cause that burning and acid reflux is one of the causes.
So at night i would feel out of breath, panicking, dry sweat, i could not take anymore that paracetamol since it does do nothing.
Called my local doctor and he said it could be acid reflux and he gave me pantoprazol 40 mg, it does relief stomach a bit and the burning sensation for just a short period of time, and all start again, that's only during the day, because i know i will deal like every night with the worst.
I feel pain if i press the start of my stomach in the middle, and the valve. Although i had before in the past a small issue with stomach, caused by some sort of stomach bacteria, but never caused me like now all this trouble or burning sensation.
Today i was pushy for them to do a pictures for my lungs to eliminate any lungs infections. He said there is nothing wrong and all seemed normal, i had to ask the doctor multiple tines if he was sure!!. Now i will focus on the esophagus and stomach more. 
Please tell me beautiful people, if you could tell me if what i deal with is because of an inflamed esophagus because of acid reflux? I was feeling during my life from time to time some food coming back to my mouth but never suffered from acid reflux constantly, what are the chances that i may start to have chronic Gerd, or even worst cancer or something very serious? Can this be healed throughout following medical treatment and not having to deal with it for the rest of my life?  I'm just 27 and wish to enjoy life still. Please advice me.</t>
        </is>
      </c>
      <c r="D6828" t="n">
        <v>1</v>
      </c>
      <c r="E6828" t="n">
        <v>5</v>
      </c>
      <c r="F6828">
        <f>HYPERLINK("https://www.reddit.com/r/GERD/comments/gbk46t/no_idea_what_is_happening_gerd_or_just_inflamed/")</f>
        <v/>
      </c>
      <c r="G6828" t="inlineStr">
        <is>
          <t>2020-05-01 08:24:03</t>
        </is>
      </c>
      <c r="H6828" t="inlineStr"/>
    </row>
    <row r="6829">
      <c r="A6829" t="inlineStr">
        <is>
          <t>gblrmp</t>
        </is>
      </c>
      <c r="B6829" t="inlineStr">
        <is>
          <t>chronic belching and indigestion is common in ppi rebound ?</t>
        </is>
      </c>
      <c r="C6829" t="inlineStr">
        <is>
          <t>Is this common?  The rebound effect make me feel bad, have some on and off stomach issues but this only started afterr months on ppis ,</t>
        </is>
      </c>
      <c r="D6829" t="n">
        <v>1</v>
      </c>
      <c r="E6829" t="n">
        <v>6</v>
      </c>
      <c r="F6829">
        <f>HYPERLINK("https://www.reddit.com/r/GERD/comments/gblrmp/chronic_belching_and_indigestion_is_common_in_ppi/")</f>
        <v/>
      </c>
      <c r="G6829" t="inlineStr">
        <is>
          <t>2020-05-01 09:54:13</t>
        </is>
      </c>
      <c r="H6829" t="inlineStr"/>
    </row>
    <row r="6830">
      <c r="A6830" t="inlineStr">
        <is>
          <t>gbm7tn</t>
        </is>
      </c>
      <c r="B6830" t="inlineStr">
        <is>
          <t>Skipped dinner</t>
        </is>
      </c>
      <c r="C6830" t="inlineStr">
        <is>
          <t>So every night I have this weird feeling on my chest, like my chest is heavy and have hard time breathing. Last night I decided to skip my dinner ( not a good thing) and I was more comfortable lying on my back. Guess form today onwards I'm going to have a very early dinner. I think then this must be something related to my esophagus and stuff...
Anyone of you experienced the same thing before?</t>
        </is>
      </c>
      <c r="D6830" t="n">
        <v>1</v>
      </c>
      <c r="E6830" t="n">
        <v>3</v>
      </c>
      <c r="F6830">
        <f>HYPERLINK("https://www.reddit.com/r/GERD/comments/gbm7tn/skipped_dinner/")</f>
        <v/>
      </c>
      <c r="G6830" t="inlineStr">
        <is>
          <t>2020-05-01 10:18:16</t>
        </is>
      </c>
      <c r="H6830" t="inlineStr"/>
    </row>
    <row r="6831">
      <c r="A6831" t="inlineStr">
        <is>
          <t>gbmef3</t>
        </is>
      </c>
      <c r="B6831" t="inlineStr">
        <is>
          <t>Bit of a weird one..</t>
        </is>
      </c>
      <c r="C6831" t="inlineStr">
        <is>
          <t>So I stopped taking my omeprazole for a few days just because I forgot/ couldn’t really be bothered.. yeah I know how hard is it to take a tablet haha. But then the GERD started creeping back so though crap I best start taking it again. I’ve taken it today and yesterday and just wanting for it to kick in I suppose. But whilst I was I’ve noticed I feel like the acid really sticks to my throat and chest like I can feel a sort of mucus feeling coating the sides of my throat, also I can feel it which is the weird part in the sides of my stomach, does anyone else have these symptoms because it’s a bit of a weird one for me I’m not experiencing any burning if I’m honest but I can just feel the acid..</t>
        </is>
      </c>
      <c r="D6831" t="n">
        <v>1</v>
      </c>
      <c r="E6831" t="n">
        <v>5</v>
      </c>
      <c r="F6831">
        <f>HYPERLINK("https://www.reddit.com/r/GERD/comments/gbmef3/bit_of_a_weird_one/")</f>
        <v/>
      </c>
      <c r="G6831" t="inlineStr">
        <is>
          <t>2020-05-01 10:28:00</t>
        </is>
      </c>
      <c r="H6831" t="inlineStr"/>
    </row>
    <row r="6832">
      <c r="A6832" t="inlineStr">
        <is>
          <t>gbmz1n</t>
        </is>
      </c>
      <c r="B6832" t="inlineStr">
        <is>
          <t>Anyone else have Functional Dyspepsia?</t>
        </is>
      </c>
      <c r="C6832" t="inlineStr">
        <is>
          <t>I know this is the GERD subreddit but there isn’t a functional dyspepsia subreddit so I figured I’d try here.  After a year of very bad stomach pains, I got a new stomach doctor and he thinks I have functional dyspepsia.  He did admit that it’s not an actual disease but more of a way to be able to categorize a bunch of GI symptoms.  So it was nice to get a “diagnosis” and I do think this is my issue but I can’t find anything that helps.
I’ve been on Nexium 40 mg for over a month now.  I also take Zoloft 50 mg for anxiety/depression, but I have that well under control now.  I know that anxiety can cause GI upset but I don’t really feel that anxious anymore, yet my stomach hurts still.  I do smoke marijuana but I quit for a little and didn’t notice a change.  Alcohol definitely makes it worse so I’ve been limiting that.
Sometimes Gas-X helps.  I just took a Pepcid AC and that helped a lot, but it’s hit or miss with all meds.  I’ve tried FDgard, it helped a little but the peppermint gave me heartburn.  I just ordered iberogast to give that a shot.  I’ve also tried DGL, marshmallow root, and acupuncture.  Gaviscon advance helps the heartburn a lot but the artificial sweetener hurts my stomach.  I can’t have any artificial sweeteners. 
Anyone else have FD and found anything that worked?  I also read that it can just go away one day, I wish that would happen!</t>
        </is>
      </c>
      <c r="D6832" t="n">
        <v>1</v>
      </c>
      <c r="E6832" t="n">
        <v>35</v>
      </c>
      <c r="F6832">
        <f>HYPERLINK("https://www.reddit.com/r/GERD/comments/gbmz1n/anyone_else_have_functional_dyspepsia/")</f>
        <v/>
      </c>
      <c r="G6832" t="inlineStr">
        <is>
          <t>2020-05-01 10:59:15</t>
        </is>
      </c>
      <c r="H6832" t="inlineStr"/>
    </row>
    <row r="6833">
      <c r="A6833" t="inlineStr">
        <is>
          <t>gbnicw</t>
        </is>
      </c>
      <c r="B6833" t="inlineStr">
        <is>
          <t>How do you know if you're still refluxing while on medication?</t>
        </is>
      </c>
      <c r="C6833" t="inlineStr">
        <is>
          <t>Like the title say, if you're medicated, how do you know if you're continuing to experience reflux? I don't really experience regurgitation or heartburn at the moment due to medication, but I will feel a cooling sensation that rises from my upper chest to my lower throat if I'm eating and drinking water. I assume that I'm _probably_ refluxing the water I'm drinking, but I don't know without the feedback of something burning or hurting.
I've been on 40mg Omeprazole for a little over 1 year now, on and off for about 4 months and daily for probably the last 8 months. I also was taking 300mg Ranitidine at night until a few weeks ago when the PA at my GI appointment told me to switch to 20mg Famotidine due to the cancer concerns.
Despite not feeling that burning sensation in my chest anymore, I'm still left with a constant tickling in my throat near the base of my neck, which sometimes culminates in a dry cough. I also occasionally wake up with somewhat of sore throat that goes away shortly after being up and around for a few minutes.
My endoscopy got pushed back until June due to Covid-19, and this is really starting to wear on my mental health. Everyday is a reminder that there's something wrong, and not knowing exactly what or how bad it is really makes me spiral. I realize that is more of an anxiety issue than anything, but I'm really terrified that years of poor diet in my teens and 20s and not addressing this issue till my late 20s has left me with guaranteed damage, especially considering I still have lingering issues despite a heavy medication regimen.</t>
        </is>
      </c>
      <c r="D6833" t="n">
        <v>1</v>
      </c>
      <c r="E6833" t="n">
        <v>11</v>
      </c>
      <c r="F6833">
        <f>HYPERLINK("https://www.reddit.com/r/GERD/comments/gbnicw/how_do_you_know_if_youre_still_refluxing_while_on/")</f>
        <v/>
      </c>
      <c r="G6833" t="inlineStr">
        <is>
          <t>2020-05-01 11:28:00</t>
        </is>
      </c>
      <c r="H6833" t="inlineStr"/>
    </row>
    <row r="6834">
      <c r="A6834" t="inlineStr">
        <is>
          <t>gbnqk5</t>
        </is>
      </c>
      <c r="B6834" t="inlineStr">
        <is>
          <t>New. Diet Recommendations etc.</t>
        </is>
      </c>
      <c r="C6834" t="inlineStr">
        <is>
          <t>Hi All,
I spoke with my doctor earlier today, and told them I’d had this cough for 7 weeks, an unease in my throat and that I sometimes felt after waking up or eating like I’d smoked 40 a day for 40 years.
They indicated I most likely have GERD, or the like. I was prescribed pantoprazole. I’d forgotten to take any Anti-acids this am, and came home from the pharmacy and genuinely felt like I was going to throw up from coughing.
I’ve realised today was worse than yesterday. The biggest difference, is that the day before I had a streak and spinach and yesterday I had a pizza. I’m guessing eating pizza, and other greasy treats is strictly off limits unless I want to feel like my lungs are trying to free themselves from my body.
Basically, I’m looking for diet recommendations, specifically any books, websites or specific approaches, I.e., vegetarian, vegan, Mediterranean etc that others have found helpful. 
For context, I’m a male in my early 30s. I haven’t had a drink since 2014, and haven’t had a cigarette since 2018. The pandemic has had me reduce my coffee consumption to a cup or two a day from 8.
Thanks!</t>
        </is>
      </c>
      <c r="D6834" t="n">
        <v>1</v>
      </c>
      <c r="E6834" t="n">
        <v>8</v>
      </c>
      <c r="F6834">
        <f>HYPERLINK("https://www.reddit.com/r/GERD/comments/gbnqk5/new_diet_recommendations_etc/")</f>
        <v/>
      </c>
      <c r="G6834" t="inlineStr">
        <is>
          <t>2020-05-01 11:40:27</t>
        </is>
      </c>
      <c r="H6834" t="inlineStr"/>
    </row>
    <row r="6835">
      <c r="A6835" t="inlineStr">
        <is>
          <t>gbpy8a</t>
        </is>
      </c>
      <c r="B6835" t="inlineStr">
        <is>
          <t>Has anyone experienced muscle and joint pain with PPI use?</t>
        </is>
      </c>
      <c r="C6835" t="inlineStr">
        <is>
          <t>I started a PPI in July of last year, and then, shortly thereafter, started experiencing muscle and joint pain. It comes and goes, but it can be excruciating at its worst. This of course can be a coincidence, but I'm wondering if it can possibly be caused by the PPI, so I thought I'd see if anyone else has ever experienced this. If you have, do you know if it was caused directly by the medicine or by a vitamin/mineral deficiency? I was tested in January for some vitamin and mineral shortages, but nothing was found, and I take a multivitamin just in case.</t>
        </is>
      </c>
      <c r="D6835" t="n">
        <v>1</v>
      </c>
      <c r="E6835" t="n">
        <v>3</v>
      </c>
      <c r="F6835">
        <f>HYPERLINK("https://www.reddit.com/r/GERD/comments/gbpy8a/has_anyone_experienced_muscle_and_joint_pain_with/")</f>
        <v/>
      </c>
      <c r="G6835" t="inlineStr">
        <is>
          <t>2020-05-01 13:41:24</t>
        </is>
      </c>
      <c r="H6835" t="inlineStr"/>
    </row>
    <row r="6836">
      <c r="A6836" t="inlineStr">
        <is>
          <t>gbrnnl</t>
        </is>
      </c>
      <c r="B6836" t="inlineStr">
        <is>
          <t>"Zantac" back on the shelf at Wal-mart ( Canada)</t>
        </is>
      </c>
      <c r="C6836" t="inlineStr">
        <is>
          <t>Im not sure what the fuck is going on but Wal-Mart in my town has put back on the shelf Ranitidine tablets of their own brand "Equate"... The clerk told me they're safe now.. Have i been "scammed", maybe i shouldnt have bought it..</t>
        </is>
      </c>
      <c r="D6836" t="n">
        <v>1</v>
      </c>
      <c r="E6836" t="n">
        <v>13</v>
      </c>
      <c r="F6836">
        <f>HYPERLINK("https://www.reddit.com/r/GERD/comments/gbrnnl/zantac_back_on_the_shelf_at_walmart_canada/")</f>
        <v/>
      </c>
      <c r="G6836" t="inlineStr">
        <is>
          <t>2020-05-01 15:15:02</t>
        </is>
      </c>
      <c r="H6836" t="inlineStr"/>
    </row>
    <row r="6837">
      <c r="A6837" t="inlineStr">
        <is>
          <t>gbskne</t>
        </is>
      </c>
      <c r="B6837" t="inlineStr">
        <is>
          <t>Shortness of Breath from GERD?</t>
        </is>
      </c>
      <c r="C6837" t="inlineStr">
        <is>
          <t>I’ve had a weird dry cough for about a week, and actually ended up testing for COVID-19: negative. 
Nasally I am not congested but it feels like there’s an itch in my throat and at rest, mouth closed etc there’s an urge to exhale. 
The itch feels slightly deeper down than the back of the throat where you can see. It isn’t painful and neither is the cough. 
Is this GERD causing it? What is this cause?
My cough seems to be getting better/less frequent. 
Has anyone dealt with anything similar?
FWIW while working out my HR was about 15Bpm higher than usually yesterday and today.</t>
        </is>
      </c>
      <c r="D6837" t="n">
        <v>1</v>
      </c>
      <c r="E6837" t="n">
        <v>40</v>
      </c>
      <c r="F6837">
        <f>HYPERLINK("https://www.reddit.com/r/GERD/comments/gbskne/shortness_of_breath_from_gerd/")</f>
        <v/>
      </c>
      <c r="G6837" t="inlineStr">
        <is>
          <t>2020-05-01 16:08:03</t>
        </is>
      </c>
      <c r="H6837" t="inlineStr"/>
    </row>
    <row r="6838">
      <c r="A6838" t="inlineStr">
        <is>
          <t>gbst9h</t>
        </is>
      </c>
      <c r="B6838" t="inlineStr">
        <is>
          <t>Does anyone keep touching below their sternum?</t>
        </is>
      </c>
      <c r="C6838" t="inlineStr">
        <is>
          <t>Is that mass I can feel below my sternum the bottom of my esophagus? It's where my heartburn and gas can be felt. ;/</t>
        </is>
      </c>
      <c r="D6838" t="n">
        <v>1</v>
      </c>
      <c r="E6838" t="n">
        <v>7</v>
      </c>
      <c r="F6838">
        <f>HYPERLINK("https://www.reddit.com/r/GERD/comments/gbst9h/does_anyone_keep_touching_below_their_sternum/")</f>
        <v/>
      </c>
      <c r="G6838" t="inlineStr">
        <is>
          <t>2020-05-01 16:22:03</t>
        </is>
      </c>
      <c r="H6838" t="inlineStr"/>
    </row>
    <row r="6839">
      <c r="A6839" t="inlineStr">
        <is>
          <t>gbt822</t>
        </is>
      </c>
      <c r="B6839" t="inlineStr">
        <is>
          <t>My high school career and time to get to have fun as a teenager was ruined due to GERD and other GI issues.</t>
        </is>
      </c>
      <c r="C6839" t="inlineStr">
        <is>
          <t>Hi. I'm 17f and I have GERD, chronic gastritis, duodenitis, ideopathic dysphagia, and functional dyspepsia. (All are acid related, none are h. Pylori or anything.) I'm on 40mg of esomeprazole and every few months for the past 3 years I have been switched between omeprazole, esomeprazole, and famotidine. 
I had an endoscopy at the end of February and only got half of my results back because COVID. I got back the information about the gastritis (I already knew about, it's chronic and lasts for a while at a time) as well as the duodenitis. However, I was also supposed to receive results about possible lactose intolerance, celiac, and EoE. I never did. 
I have constant nausea (it's super severe after I eat), somewhat frequent vomiting, abdominal cramping, bloating, heartburn (obviously), the inability to swallow, acid reflux, feeling full even if I've only eaten a little bit of food, and my stomach feeling like it's on fire. My only other health issues are moderate asthma that's relatively well-managed, vocal cord dysfunction, chronic migraines, and extremely low vitamin D for which I am given a prescription to help keep up. My doctors think my vitamin D levels being so low is partly due to my stomach issues. Overall though, besides anything GI, I'm relatively healthy.
I rarely go out to eat with friends because they make fun of me for eating so slow and sometimes having to take Tums. I don't go anywhere without antacids. I usually am the last one done dinner and my family will get up and leave. I don't blame them, but it hurts having to eat the majority of my dinner alone. And I can't sit and eat a whole meal, so I snack frequently because I'm always hungry because I never eat. This in turn causes me to gain weight, and people say there's no way I have stomach issues like I do because I "eat so much" and I'm not underweight. I am by no means an unhealthy weight; in fact, before all of this sickness happened, I was very into sports and I have always had more muscle than my peers and always weighed more and was always taller than them. Even then, I'm slightly chubby now at most. Either way though, this shouldn't matter to people and my weight shouldn't be an indicator to my gastrointestinal health. But alas, teenagers are mean and will attempt to make anyone look bad and feel bad. GI disorders have taken away spicy food, ice cream, cheese, pizza, spaghetti, bruschetta, and anything too acidic or with too much dairy. I can't eat any of the foods I really love.
It's getting so bad that I've been prescribed Zofran because I've had vomiting at least five full days since November(ish?), plus an uncountable number of bouts of dry-heaving but not vomiting because I hadn't eaten. I don't leave the house without tums, FDGard, and Zofran. My nausea is never ending. I've had three endoscopies. I had to have an esophageal manometry when I was 14. It sounds silly, but I'm not being dramatic when I say it was traumatizing. I now have anxiety over anything going in or near my nose. I've had barium swallows and x-rays and ultrasounds. My gastroenterologist also wants to do a gastric emptying scan due to suspicions of gastroparesis. I don't have any underlying conditions that are associated with gastroparesis, and I'm really really hoping that I don't get to tack on another diagnosis to the list. I have to go a state over for doctors appointments, I miss so much school... it's exhausting. I just want to have a normal stomach and a normal life and I know I'm never going to get that. It's taken away what is supposed to be one of the most fun parts of my life.
If you're still reading this, thank you and I appreciate you. I'm just going through it right now and I'm not sure there's a better place for this.</t>
        </is>
      </c>
      <c r="D6839" t="n">
        <v>1</v>
      </c>
      <c r="E6839" t="n">
        <v>27</v>
      </c>
      <c r="F6839">
        <f>HYPERLINK("https://www.reddit.com/r/GERD/comments/gbt822/my_high_school_career_and_time_to_get_to_have_fun/")</f>
        <v/>
      </c>
      <c r="G6839" t="inlineStr">
        <is>
          <t>2020-05-01 16:45:51</t>
        </is>
      </c>
      <c r="H6839" t="inlineStr"/>
    </row>
    <row r="6840">
      <c r="A6840" t="inlineStr">
        <is>
          <t>gbtmmt</t>
        </is>
      </c>
      <c r="B6840" t="inlineStr">
        <is>
          <t>Gerd or asthma ?</t>
        </is>
      </c>
      <c r="C6840" t="inlineStr">
        <is>
          <t>I’m 27 year old female , I was diagnosed with Acid reflux or GERD last year after having a upper endoscopy done . No hernia as of per last endoscopy but since last month I’ve been having this nagging deep cough and no mucus only little , I sometimes do deep breaths in to try and take it out and when I do it’s hard for it to come up . I am usually cleaning my throat due to post nasal drip but this time around it seems very odd .. very little mucus like my throat feels tight almost like if the back of my throat and tounge don’t touch when I swallow so it scares me ( it’s the best way I can describe it ) when I check to see if I have wheezing from what I think is mucus in my upper chest I feel something not sure what almost like a heavy hollow feeling in my upper left chest side and u can hear some wheezing when I huff and puff out what I can ... again very little sputum if it even is that . My current gastroentologist says it’s all reflux and not mucus ... which I believe but this past month has been hell plus it causes chest tightness and I feel a constant tickle to cough and when I cough it’s sounds deep and it’s hard because it causes me chest tightness and shortness of breath . When I eat and I swallow a lot of the times I feel like the food gets stuck and sometimes I feel when I pass my food my tounge makes touches the top roof of my mouth and creates like a feeling of a bubble between my nasopharynx it’s weird I know . Lately when I drink pills or swallow them it hurts my throat . I’m thinking if I should get another endoscopy or if it’s my asthma and allergies causing this but I doubt it .. it’s never been this bad . I even took some methylprednisodone and zpack according to the last doctors visit to help with swelling of airways but I’m scared and desperate and don’t know what it could be . I’m gonna start some nexium tonight and see if it helps as I’m already on pantropazole and pemix which is a medication from Mexico for GERD .</t>
        </is>
      </c>
      <c r="D6840" t="n">
        <v>1</v>
      </c>
      <c r="E6840" t="n">
        <v>0</v>
      </c>
      <c r="F6840">
        <f>HYPERLINK("https://www.reddit.com/r/GERD/comments/gbtmmt/gerd_or_asthma/")</f>
        <v/>
      </c>
      <c r="G6840" t="inlineStr">
        <is>
          <t>2020-05-01 17:02:28</t>
        </is>
      </c>
      <c r="H6840" t="inlineStr"/>
    </row>
    <row r="6841">
      <c r="A6841" t="inlineStr">
        <is>
          <t>gbtmpw</t>
        </is>
      </c>
      <c r="B6841" t="inlineStr">
        <is>
          <t>Gerd or asthma ?</t>
        </is>
      </c>
      <c r="C6841" t="inlineStr">
        <is>
          <t>I’m 27 year old female , I was diagnosed with Acid reflux or GERD last year after having a upper endoscopy done . No hernia as of per last endoscopy but since last month I’ve been having this nagging deep cough and no mucus only little , I sometimes do deep breaths in to try and take it out and when I do it’s hard for it to come up . I am usually cleaning my throat due to post nasal drip but this time around it seems very odd .. very little mucus like my throat feels tight almost like if the back of my throat and tounge don’t touch when I swallow so it scares me ( it’s the best way I can describe it ) when I check to see if I have wheezing from what I think is mucus in my upper chest I feel something not sure what almost like a heavy hollow feeling in my upper left chest side and u can hear some wheezing when I huff and puff out what I can ... again very little sputum if it even is that . My current gastroentologist says it’s all reflux and not mucus ... which I believe but this past month has been hell plus it causes chest tightness and I feel a constant tickle to cough and when I cough it’s sounds deep and it’s hard because it causes me chest tightness and shortness of breath . When I eat and I swallow a lot of the times I feel like the food gets stuck and sometimes I feel when I pass my food my tounge makes touches the top roof of my mouth and creates like a feeling of a bubble between my nasopharynx it’s weird I know . Lately when I drink pills or swallow them it hurts my throat . I’m thinking if I should get another endoscopy or if it’s my asthma and allergies causing this but I doubt it .. it’s never been this bad . I even took some methylprednisodone and zpack according to the last doctors visit to help with swelling of airways but I’m scared and desperate and don’t know what it could be . I’m gonna start some nexium tonight and see if it helps as I’m already on pantropazole and pemix which is a medication from Mexico for GERD .</t>
        </is>
      </c>
      <c r="D6841" t="n">
        <v>1</v>
      </c>
      <c r="E6841" t="n">
        <v>0</v>
      </c>
      <c r="F6841">
        <f>HYPERLINK("https://www.reddit.com/r/GERD/comments/gbtmpw/gerd_or_asthma/")</f>
        <v/>
      </c>
      <c r="G6841" t="inlineStr">
        <is>
          <t>2020-05-01 17:02:32</t>
        </is>
      </c>
      <c r="H6841" t="inlineStr"/>
    </row>
    <row r="6842">
      <c r="A6842" t="inlineStr">
        <is>
          <t>gbtmsh</t>
        </is>
      </c>
      <c r="B6842" t="inlineStr">
        <is>
          <t>Gerd or asthma ?</t>
        </is>
      </c>
      <c r="C6842" t="inlineStr">
        <is>
          <t>I’m 27 year old female , I was diagnosed with Acid reflux or GERD last year after having a upper endoscopy done . No hernia as of per last endoscopy but since last month I’ve been having this nagging deep cough and no mucus only little , I sometimes do deep breaths in to try and take it out and when I do it’s hard for it to come up . I am usually cleaning my throat due to post nasal drip but this time around it seems very odd .. very little mucus like my throat feels tight almost like if the back of my throat and tounge don’t touch when I swallow so it scares me ( it’s the best way I can describe it ) when I check to see if I have wheezing from what I think is mucus in my upper chest I feel something not sure what almost like a heavy hollow feeling in my upper left chest side and u can hear some wheezing when I huff and puff out what I can ... again very little sputum if it even is that . My current gastroentologist says it’s all reflux and not mucus ... which I believe but this past month has been hell plus it causes chest tightness and I feel a constant tickle to cough and when I cough it’s sounds deep and it’s hard because it causes me chest tightness and shortness of breath . When I eat and I swallow a lot of the times I feel like the food gets stuck and sometimes I feel when I pass my food my tounge makes touches the top roof of my mouth and creates like a feeling of a bubble between my nasopharynx it’s weird I know . Lately when I drink pills or swallow them it hurts my throat . I’m thinking if I should get another endoscopy or if it’s my asthma and allergies causing this but I doubt it .. it’s never been this bad . I even took some methylprednisodone and zpack according to the last doctors visit to help with swelling of airways but I’m scared and desperate and don’t know what it could be . I’m gonna start some nexium tonight and see if it helps as I’m already on pantropazole and pemix which is a medication from Mexico for GERD .</t>
        </is>
      </c>
      <c r="D6842" t="n">
        <v>1</v>
      </c>
      <c r="E6842" t="n">
        <v>0</v>
      </c>
      <c r="F6842">
        <f>HYPERLINK("https://www.reddit.com/r/GERD/comments/gbtmsh/gerd_or_asthma/")</f>
        <v/>
      </c>
      <c r="G6842" t="inlineStr">
        <is>
          <t>2020-05-01 17:02:34</t>
        </is>
      </c>
      <c r="H6842" t="inlineStr"/>
    </row>
    <row r="6843">
      <c r="A6843" t="inlineStr">
        <is>
          <t>gbtmwr</t>
        </is>
      </c>
      <c r="B6843" t="inlineStr">
        <is>
          <t>Gerd or asthma ?</t>
        </is>
      </c>
      <c r="C6843" t="inlineStr">
        <is>
          <t>I’m 27 year old female , I was diagnosed with Acid reflux or GERD last year after having a upper endoscopy done . No hernia as of per last endoscopy but since last month I’ve been having this nagging deep cough and no mucus only little , I sometimes do deep breaths in to try and take it out and when I do it’s hard for it to come up . I am usually cleaning my throat due to post nasal drip but this time around it seems very odd .. very little mucus like my throat feels tight almost like if the back of my throat and tounge don’t touch when I swallow so it scares me ( it’s the best way I can describe it ) when I check to see if I have wheezing from what I think is mucus in my upper chest I feel something not sure what almost like a heavy hollow feeling in my upper left chest side and u can hear some wheezing when I huff and puff out what I can ... again very little sputum if it even is that . My current gastroentologist says it’s all reflux and not mucus ... which I believe but this past month has been hell plus it causes chest tightness and I feel a constant tickle to cough and when I cough it’s sounds deep and it’s hard because it causes me chest tightness and shortness of breath . When I eat and I swallow a lot of the times I feel like the food gets stuck and sometimes I feel when I pass my food my tounge makes touches the top roof of my mouth and creates like a feeling of a bubble between my nasopharynx it’s weird I know . Lately when I drink pills or swallow them it hurts my throat . I’m thinking if I should get another endoscopy or if it’s my asthma and allergies causing this but I doubt it .. it’s never been this bad . I even took some methylprednisodone and zpack according to the last doctors visit to help with swelling of airways but I’m scared and desperate and don’t know what it could be . I’m gonna start some nexium tonight and see if it helps as I’m already on pantropazole and pemix which is a medication from Mexico for GERD .</t>
        </is>
      </c>
      <c r="D6843" t="n">
        <v>1</v>
      </c>
      <c r="E6843" t="n">
        <v>0</v>
      </c>
      <c r="F6843">
        <f>HYPERLINK("https://www.reddit.com/r/GERD/comments/gbtmwr/gerd_or_asthma/")</f>
        <v/>
      </c>
      <c r="G6843" t="inlineStr">
        <is>
          <t>2020-05-01 17:02:39</t>
        </is>
      </c>
      <c r="H6843" t="inlineStr"/>
    </row>
    <row r="6844">
      <c r="A6844" t="inlineStr">
        <is>
          <t>gbtnfq</t>
        </is>
      </c>
      <c r="B6844" t="inlineStr">
        <is>
          <t>Gerd or asthma ?</t>
        </is>
      </c>
      <c r="C6844" t="inlineStr">
        <is>
          <t>I’m 27 year old female , I was diagnosed with Acid reflux or GERD last year after having a upper endoscopy done . No hernia as of per last endoscopy but since last month I’ve been having this nagging deep cough and no mucus only little , I sometimes do deep breaths in to try and take it out and when I do it’s hard for it to come up . I am usually cleaning my throat due to post nasal drip but this time around it seems very odd .. very little mucus like my throat feels tight almost like if the back of my throat and tounge don’t touch when I swallow so it scares me ( it’s the best way I can describe it ) when I check to see if I have wheezing from what I think is mucus in my upper chest I feel something not sure what almost like a heavy hollow feeling in my upper left chest side and u can hear some wheezing when I huff and puff out what I can ... again very little sputum if it even is that . My current gastroentologist says it’s all reflux and not mucus ... which I believe but this past month has been hell plus it causes chest tightness and I feel a constant tickle to cough and when I cough it’s sounds deep and it’s hard because it causes me chest tightness and shortness of breath . When I eat and I swallow a lot of the times I feel like the food gets stuck and sometimes I feel when I pass my food my tounge makes touches the top roof of my mouth and creates like a feeling of a bubble between my nasopharynx it’s weird I know . Lately when I drink pills or swallow them it hurts my throat . I’m thinking if I should get another endoscopy or if it’s my asthma and allergies causing this but I doubt it .. it’s never been this bad . I even took some methylprednisodone and zpack according to the last doctors visit to help with swelling of airways but I’m scared and desperate and don’t know what it could be . I’m gonna start some nexium tonight and see if it helps as I’m already on pantropazole and pemix which is a medication from Mexico for GERD .</t>
        </is>
      </c>
      <c r="D6844" t="n">
        <v>1</v>
      </c>
      <c r="E6844" t="n">
        <v>0</v>
      </c>
      <c r="F6844">
        <f>HYPERLINK("https://www.reddit.com/r/GERD/comments/gbtnfq/gerd_or_asthma/")</f>
        <v/>
      </c>
      <c r="G6844" t="inlineStr">
        <is>
          <t>2020-05-01 17:03:02</t>
        </is>
      </c>
      <c r="H6844" t="inlineStr"/>
    </row>
    <row r="6845">
      <c r="A6845" t="inlineStr">
        <is>
          <t>gbupbs</t>
        </is>
      </c>
      <c r="B6845" t="inlineStr">
        <is>
          <t>Dessert Recipes???</t>
        </is>
      </c>
      <c r="C6845" t="inlineStr">
        <is>
          <t>has anyone got any good recipes for dessert or baked goods?? i’ve been craving chocolate cookies and brownies but those are obviously a bad idea. i’ve been trying to find good dessert recipes and haven’t found any</t>
        </is>
      </c>
      <c r="D6845" t="n">
        <v>1</v>
      </c>
      <c r="E6845" t="n">
        <v>1</v>
      </c>
      <c r="F6845">
        <f>HYPERLINK("https://www.reddit.com/r/GERD/comments/gbupbs/dessert_recipes/")</f>
        <v/>
      </c>
      <c r="G6845" t="inlineStr">
        <is>
          <t>2020-05-01 17:29:05</t>
        </is>
      </c>
      <c r="H6845" t="inlineStr"/>
    </row>
    <row r="6846">
      <c r="A6846" t="inlineStr">
        <is>
          <t>gbupdz</t>
        </is>
      </c>
      <c r="B6846" t="inlineStr">
        <is>
          <t>Dessert Recipes???</t>
        </is>
      </c>
      <c r="C6846" t="inlineStr">
        <is>
          <t>has anyone got any good recipes for dessert or baked goods?? i’ve been craving chocolate cookies and brownies but those are obviously a bad idea. i’ve been trying to find good dessert recipes and haven’t found any</t>
        </is>
      </c>
      <c r="D6846" t="n">
        <v>1</v>
      </c>
      <c r="E6846" t="n">
        <v>0</v>
      </c>
      <c r="F6846">
        <f>HYPERLINK("https://www.reddit.com/r/GERD/comments/gbupdz/dessert_recipes/")</f>
        <v/>
      </c>
      <c r="G6846" t="inlineStr">
        <is>
          <t>2020-05-01 17:29:08</t>
        </is>
      </c>
      <c r="H6846" t="inlineStr"/>
    </row>
    <row r="6847">
      <c r="A6847" t="inlineStr">
        <is>
          <t>gbupwy</t>
        </is>
      </c>
      <c r="B6847" t="inlineStr">
        <is>
          <t>Dessert Recipes???</t>
        </is>
      </c>
      <c r="C6847" t="inlineStr">
        <is>
          <t>has anyone got any good recipes for dessert or baked goods?? i’ve been craving chocolate cookies and brownies but those are obviously a bad idea. i’ve been trying to find good dessert recipes and haven’t found any</t>
        </is>
      </c>
      <c r="D6847" t="n">
        <v>1</v>
      </c>
      <c r="E6847" t="n">
        <v>1</v>
      </c>
      <c r="F6847">
        <f>HYPERLINK("https://www.reddit.com/r/GERD/comments/gbupwy/dessert_recipes/")</f>
        <v/>
      </c>
      <c r="G6847" t="inlineStr">
        <is>
          <t>2020-05-01 17:29:27</t>
        </is>
      </c>
      <c r="H6847" t="inlineStr"/>
    </row>
    <row r="6848">
      <c r="A6848" t="inlineStr">
        <is>
          <t>gbwbea</t>
        </is>
      </c>
      <c r="B6848" t="inlineStr">
        <is>
          <t>Bloating causing the gerd?</t>
        </is>
      </c>
      <c r="C6848" t="inlineStr">
        <is>
          <t>Hi there, I've had gerd now for around 4 years (24m) with its severity fluctuating. I've found that ppi's only help to a small extent so I've mostly tried to manage via diet. 
I've never had an endoscopy, despite pushing for it I was refused. The only type of medication that has helped is a prokinetic called Resolor which reduced my episodes from 5/6 days a week to 1 at the very most. The most significant difference though was in my level of bloating/feeling the need to burp.
I've long suspected that the cause of my reflux is the bloating. I only ever get reflux around 4 hours after my dinner, and this happens regardless if I'm lying down or not. My stomach literally feels like it's blowing up like a balloon and I'm constantly burping, then shortly after the reflux starts like clockwork. If I fast throughout the day and only eat my dinner, even if it's trouble foods I do not get reflux.
I also have moderate to severe constipation issues, which resolor also helped with. I dont even pass wind either, its like my gut just doesnt move at all, this changes with resolor.
I had ran out 2 weeks ago though and only just got it again. My reflux returned with a vengance and every night the bloating/reflux has been pretty severe due to my dietary habits having had fallen apart since resolor was working so well. 
My theory is that this massive bloating is causing my sphincter to become stressed and opening up. Or even possibly my motility is so bad that the food is taking too long to move from my stomach but from my understanding gastropresis would make me nauseous and not hungry which isn't my case.
I've been looking into sibo possibly being related to this, specifically the methane producing variety but with the outbreak that'll be put on hold for a while. Does anyone have any thoughts on my symptoms? Have you experienced similar symptoms?</t>
        </is>
      </c>
      <c r="D6848" t="n">
        <v>1</v>
      </c>
      <c r="E6848" t="n">
        <v>0</v>
      </c>
      <c r="F6848">
        <f>HYPERLINK("https://www.reddit.com/r/GERD/comments/gbwbea/bloating_causing_the_gerd/")</f>
        <v/>
      </c>
      <c r="G6848" t="inlineStr">
        <is>
          <t>2020-05-01 18:10:16</t>
        </is>
      </c>
      <c r="H6848" t="inlineStr"/>
    </row>
    <row r="6849">
      <c r="A6849" t="inlineStr">
        <is>
          <t>gbwbjn</t>
        </is>
      </c>
      <c r="B6849" t="inlineStr">
        <is>
          <t>Bloating causing the gerd?</t>
        </is>
      </c>
      <c r="C6849" t="inlineStr">
        <is>
          <t>Hi there, I've had gerd now for around 4 years (24m) with its severity fluctuating. I've found that ppi's only help to a small extent so I've mostly tried to manage via diet. 
I've never had an endoscopy, despite pushing for it I was refused. The only type of medication that has helped is a prokinetic called Resolor which reduced my episodes from 5/6 days a week to 1 at the very most. The most significant difference though was in my level of bloating/feeling the need to burp.
I've long suspected that the cause of my reflux is the bloating. I only ever get reflux around 4 hours after my dinner, and this happens regardless if I'm lying down or not. My stomach literally feels like it's blowing up like a balloon and I'm constantly burping, then shortly after the reflux starts like clockwork. If I fast throughout the day and only eat my dinner, even if it's trouble foods I do not get reflux.
I also have moderate to severe constipation issues, which resolor also helped with. I dont even pass wind either, its like my gut just doesnt move at all, this changes with resolor.
I had ran out 2 weeks ago though and only just got it again. My reflux returned with a vengance and every night the bloating/reflux has been pretty severe due to my dietary habits having had fallen apart since resolor was working so well. 
My theory is that this massive bloating is causing my sphincter to become stressed and opening up. Or even possibly my motility is so bad that the food is taking too long to move from my stomach but from my understanding gastropresis would make me nauseous and not hungry which isn't my case.
I've been looking into sibo possibly being related to this, specifically the methane producing variety but with the outbreak that'll be put on hold for a while. Does anyone have any thoughts on my symptoms? Have you experienced similar symptoms?</t>
        </is>
      </c>
      <c r="D6849" t="n">
        <v>1</v>
      </c>
      <c r="E6849" t="n">
        <v>3</v>
      </c>
      <c r="F6849">
        <f>HYPERLINK("https://www.reddit.com/r/GERD/comments/gbwbjn/bloating_causing_the_gerd/")</f>
        <v/>
      </c>
      <c r="G6849" t="inlineStr">
        <is>
          <t>2020-05-01 18:10:24</t>
        </is>
      </c>
      <c r="H6849" t="inlineStr"/>
    </row>
    <row r="6850">
      <c r="A6850" t="inlineStr">
        <is>
          <t>gbwby3</t>
        </is>
      </c>
      <c r="B6850" t="inlineStr">
        <is>
          <t>Bloating causing the gerd?</t>
        </is>
      </c>
      <c r="C6850" t="inlineStr">
        <is>
          <t>Hi there, I've had gerd now for around 4 years (24m) with its severity fluctuating. I've found that ppi's only help to a small extent so I've mostly tried to manage via diet. 
I've never had an endoscopy, despite pushing for it I was refused. The only type of medication that has helped is a prokinetic called Resolor which reduced my episodes from 5/6 days a week to 1 at the very most. The most significant difference though was in my level of bloating/feeling the need to burp.
I've long suspected that the cause of my reflux is the bloating. I only ever get reflux around 4 hours after my dinner, and this happens regardless if I'm lying down or not. My stomach literally feels like it's blowing up like a balloon and I'm constantly burping, then shortly after the reflux starts like clockwork. If I fast throughout the day and only eat my dinner, even if it's trouble foods I do not get reflux.
I also have moderate to severe constipation issues, which resolor also helped with. I dont even pass wind either, its like my gut just doesnt move at all, this changes with resolor.
I had ran out 2 weeks ago though and only just got it again. My reflux returned with a vengance and every night the bloating/reflux has been pretty severe due to my dietary habits having had fallen apart since resolor was working so well. 
My theory is that this massive bloating is causing my sphincter to become stressed and opening up. Or even possibly my motility is so bad that the food is taking too long to move from my stomach but from my understanding gastropresis would make me nauseous and not hungry which isn't my case.
I've been looking into sibo possibly being related to this, specifically the methane producing variety but with the outbreak that'll be put on hold for a while. Does anyone have any thoughts on my symptoms? Have you experienced similar symptoms?</t>
        </is>
      </c>
      <c r="D6850" t="n">
        <v>1</v>
      </c>
      <c r="E6850" t="n">
        <v>0</v>
      </c>
      <c r="F6850">
        <f>HYPERLINK("https://www.reddit.com/r/GERD/comments/gbwby3/bloating_causing_the_gerd/")</f>
        <v/>
      </c>
      <c r="G6850" t="inlineStr">
        <is>
          <t>2020-05-01 18:10:48</t>
        </is>
      </c>
      <c r="H6850" t="inlineStr"/>
    </row>
    <row r="6851">
      <c r="A6851" t="inlineStr">
        <is>
          <t>gbwo1p</t>
        </is>
      </c>
      <c r="B6851" t="inlineStr">
        <is>
          <t>Gerd worse after 4pm, but why?</t>
        </is>
      </c>
      <c r="C6851" t="inlineStr">
        <is>
          <t>Hello, I'm 37, white male, 6'6" tall and 243 lbs. I have had a hiatal hernia and gerd going on 15 years now. For the vast majority I have had zero issue with my hernia and gerd. My only major flare ups we're upon my original diagnosis and the first year due to being overweight. After going from 360 lbs to 225 lbs in the first year, all of my symptoms receeded. 
As of February 2020 I have suddenly been hit like a freight train by my hernia. I'm tired, belching or feeling the need to constantly and feeling the fullness of my throat again along side a regular urge to spit out phelgm after hours of my acid resting just at the back of my throat. I'm working with a new gastroenterologist who can't see me in person until late May or potential early June due to the coronavirus. 
In an effort to resolve issues I've removed all breads, dairy and eggs from my diet. I have also started taking protonix twice a day alongside gaviscon as needed. But still at 4 to 5pm every day I'm suddenly hit with my hernia symptoms like a freight train without prompt. 
Has anyone any idea why my symptoms are so regulated?</t>
        </is>
      </c>
      <c r="D6851" t="n">
        <v>1</v>
      </c>
      <c r="E6851" t="n">
        <v>13</v>
      </c>
      <c r="F6851">
        <f>HYPERLINK("https://www.reddit.com/r/GERD/comments/gbwo1p/gerd_worse_after_4pm_but_why/")</f>
        <v/>
      </c>
      <c r="G6851" t="inlineStr">
        <is>
          <t>2020-05-01 18:23:58</t>
        </is>
      </c>
      <c r="H6851" t="inlineStr"/>
    </row>
    <row r="6852">
      <c r="A6852" t="inlineStr">
        <is>
          <t>gbwq0l</t>
        </is>
      </c>
      <c r="B6852" t="inlineStr">
        <is>
          <t>Bloating possibly causing the reflux?</t>
        </is>
      </c>
      <c r="C6852" t="inlineStr">
        <is>
          <t>Hi there, I've had gerd now for around 4 years (24m) with its severity fluctuating. I've found that ppi's only help to a small extent so I've mostly tried to manage via diet. 
I've never had an endoscopy, despite pushing for it I was refused. The only type of medication that has helped is a prokinetic called Resolor which reduced my episodes from 5/6 days a week to 1 at the very most. The most significant difference though was in my level of bloating/feeling the need to burp.
I've long suspected that the cause of my reflux is the bloating. I only ever get reflux around 4 hours after my dinner, and this happens regardless if I'm lying down or not. My stomach literally feels like it's blowing up like a balloon and I'm constantly burping, then shortly after the reflux starts like clockwork. If I fast throughout the day and only eat my dinner, even if it's trouble foods I do not get reflux.
I also have moderate to severe constipation issues, which resolor also helped with. I dont even pass wind either, its like my gut just doesnt move at all, this changes with resolor.
I had ran out 2 weeks ago though and only just got it again. My reflux returned with a vengance and every night the bloating/reflux has been pretty severe due to my dietary habits having had fallen apart since resolor was working so well. 
My theory is that this massive bloating is causing my sphincter to become stressed and opening up. Or even possibly my motility is so bad that the food is taking too long to move from my stomach but from my understanding gastropresis would make me nauseous and not hungry which isn't my case.
I've been looking into sibo possibly being related to this, specifically the methane producing variety but with the outbreak that'll be put on hold for a while. Does anyone have any thoughts on my symptoms? Have you experienced similar symptoms? If not the bloating causing the reflux and it instead being the other way about then why is it affecting my gut and not just the stomach? Like I said I always get insanely bloated first then about 30 mins or so after the reflux begins.</t>
        </is>
      </c>
      <c r="D6852" t="n">
        <v>1</v>
      </c>
      <c r="E6852" t="n">
        <v>1</v>
      </c>
      <c r="F6852">
        <f>HYPERLINK("https://www.reddit.com/r/GERD/comments/gbwq0l/bloating_possibly_causing_the_reflux/")</f>
        <v/>
      </c>
      <c r="G6852" t="inlineStr">
        <is>
          <t>2020-05-01 18:25:47</t>
        </is>
      </c>
      <c r="H6852" t="inlineStr"/>
    </row>
    <row r="6853">
      <c r="A6853" t="inlineStr">
        <is>
          <t>gbww21</t>
        </is>
      </c>
      <c r="B6853" t="inlineStr">
        <is>
          <t>Can bloating be the cause?</t>
        </is>
      </c>
      <c r="C6853" t="inlineStr">
        <is>
          <t>Hi there, I've had gerd now for around 4 years (24m) with its severity fluctuating. I've found that ppi's only help to a small extent so I've mostly tried to manage via diet. 
I've never had an endoscopy, despite pushing for it I was refused. The only type of medication that has helped is a prokinetic called Resolor which reduced my episodes from 5/6 days a week to 1 at the very most. The most significant difference though was in my level of bloating/feeling the need to burp.
I've long suspected that the cause of my reflux is the bloating. I only ever get reflux around 4 hours after my dinner, and this happens regardless if I'm lying down or not. My stomach literally feels like it's blowing up like a balloon and I'm constantly burping, then shortly after the reflux starts like clockwork. If I fast throughout the day and only eat my dinner, even if it's trouble foods I do not get reflux.
I also have moderate to severe constipation issues, which resolor also helped with. I dont even pass wind either, its like my gut just doesnt move at all, this changes with resolor.
I had ran out 2 weeks ago though and only just got it again. My reflux returned with a vengance and every night the bloating/reflux has been pretty severe due to my dietary habits having had fallen apart since resolor was working so well. 
My theory is that this massive bloating is causing my sphincter to become stressed and opening up. Or even possibly my motility is so bad that the food is taking too long to move from my stomach but from my understanding gastropresis would make me nauseous and not hungry which isn't my case.
I've been looking into sibo possibly being related to this, specifically the methane producing variety but with the outbreak that'll be put on hold for a while. Does anyone have any thoughts on my symptoms? Have you experienced similar symptoms?</t>
        </is>
      </c>
      <c r="D6853" t="n">
        <v>1</v>
      </c>
      <c r="E6853" t="n">
        <v>0</v>
      </c>
      <c r="F6853">
        <f>HYPERLINK("https://www.reddit.com/r/GERD/comments/gbww21/can_bloating_be_the_cause/")</f>
        <v/>
      </c>
      <c r="G6853" t="inlineStr">
        <is>
          <t>2020-05-01 18:31:25</t>
        </is>
      </c>
      <c r="H6853" t="inlineStr"/>
    </row>
    <row r="6854">
      <c r="A6854" t="inlineStr">
        <is>
          <t>gc291p</t>
        </is>
      </c>
      <c r="B6854" t="inlineStr">
        <is>
          <t>Does anyone have symptoms after breakfast?</t>
        </is>
      </c>
      <c r="C6854" t="inlineStr">
        <is>
          <t>Normally it’s when I eat and then lie down to sleep I wake up with horrible symptoms but a few days ago I woke up and have 4 cinnamon waffles for breakfast and immediately started having the symptoms such a shortness of breath. Do some of you experience this even if you have not lied down at all?</t>
        </is>
      </c>
      <c r="D6854" t="n">
        <v>1</v>
      </c>
      <c r="E6854" t="n">
        <v>2</v>
      </c>
      <c r="F6854">
        <f>HYPERLINK("https://www.reddit.com/r/GERD/comments/gc291p/does_anyone_have_symptoms_after_breakfast/")</f>
        <v/>
      </c>
      <c r="G6854" t="inlineStr">
        <is>
          <t>2020-05-02 00:11:19</t>
        </is>
      </c>
      <c r="H6854" t="inlineStr"/>
    </row>
    <row r="6855">
      <c r="A6855" t="inlineStr">
        <is>
          <t>gc2lnq</t>
        </is>
      </c>
      <c r="B6855" t="inlineStr">
        <is>
          <t>Been Diagnosed</t>
        </is>
      </c>
      <c r="C6855" t="inlineStr">
        <is>
          <t>I've been having GI discomfort for the past 10 years. I was having an upper abdominal discomfort on and off but I was regurgitating food constantly. I never really cared about it until recently because it became harder for me to swallow food. I was also having wet burps and now, I was really concerned! Did some research and I got to know about GERD and its complications. One thing that I was concerned about was barrett's esophagus. That really caught my attention. I have been depressed ever since. Had my endoscopy session like a couple of hours ago and I was diagnosed with 'Mild Gastritis'. All that worrying for nothing. I wanted to share this with you people since like me, there are so many others who are restless not knowing what's wrong with them. The only thing that I can tell you all is believe in God. He may test us but never dissapoint. Have hope. Life without hope is meaningless 🙂</t>
        </is>
      </c>
      <c r="D6855" t="n">
        <v>1</v>
      </c>
      <c r="E6855" t="n">
        <v>1</v>
      </c>
      <c r="F6855">
        <f>HYPERLINK("https://www.reddit.com/r/GERD/comments/gc2lnq/been_diagnosed/")</f>
        <v/>
      </c>
      <c r="G6855" t="inlineStr">
        <is>
          <t>2020-05-02 00:44:30</t>
        </is>
      </c>
      <c r="H6855" t="inlineStr"/>
    </row>
    <row r="6856">
      <c r="A6856" t="inlineStr">
        <is>
          <t>gc2w0r</t>
        </is>
      </c>
      <c r="B6856" t="inlineStr">
        <is>
          <t>DAE have problems when swallowing localised in the chest area?</t>
        </is>
      </c>
      <c r="C6856" t="inlineStr">
        <is>
          <t>Not the throat, chest. More so when swallowing food rather than just water.</t>
        </is>
      </c>
      <c r="D6856" t="n">
        <v>1</v>
      </c>
      <c r="E6856" t="n">
        <v>4</v>
      </c>
      <c r="F6856">
        <f>HYPERLINK("https://www.reddit.com/r/GERD/comments/gc2w0r/dae_have_problems_when_swallowing_localised_in/")</f>
        <v/>
      </c>
      <c r="G6856" t="inlineStr">
        <is>
          <t>2020-05-02 01:12:40</t>
        </is>
      </c>
      <c r="H6856" t="inlineStr"/>
    </row>
    <row r="6857">
      <c r="A6857" t="inlineStr">
        <is>
          <t>gc46je</t>
        </is>
      </c>
      <c r="B6857" t="inlineStr">
        <is>
          <t>Am I the only one who gets bad reflux when having honey every day?</t>
        </is>
      </c>
      <c r="C6857" t="inlineStr">
        <is>
          <t>I see most people say it's great for me. If I drink it in my tea, I find it worsens my symptoms by a lot.
Manuka, I have mixed feelings for, sometimes I believe it makes me feel great, sometimes I think it's a negative.</t>
        </is>
      </c>
      <c r="D6857" t="n">
        <v>1</v>
      </c>
      <c r="E6857" t="n">
        <v>5</v>
      </c>
      <c r="F6857">
        <f>HYPERLINK("https://www.reddit.com/r/GERD/comments/gc46je/am_i_the_only_one_who_gets_bad_reflux_when_having/")</f>
        <v/>
      </c>
      <c r="G6857" t="inlineStr">
        <is>
          <t>2020-05-02 03:20:50</t>
        </is>
      </c>
      <c r="H6857" t="inlineStr"/>
    </row>
    <row r="6858">
      <c r="A6858" t="inlineStr">
        <is>
          <t>gc5it5</t>
        </is>
      </c>
      <c r="B6858" t="inlineStr">
        <is>
          <t>PPIs and side effects</t>
        </is>
      </c>
      <c r="C6858" t="inlineStr">
        <is>
          <t>I have had GERD for a long time now. But recently I had a reflux with some blood and panicked. I took an online consultation and the doctor prescribed me a PPI, Sompraz 40mg.  I took it twice now but can already see side effects. Like a bad taste at the back of my mouth, hunger pangs and such sensation, burping a lot, fatigue, muscle pain and mostly anxiety. Although it's helping with reflux, I'm planning to stop taking them. Is it a good idea?</t>
        </is>
      </c>
      <c r="D6858" t="n">
        <v>1</v>
      </c>
      <c r="E6858" t="n">
        <v>7</v>
      </c>
      <c r="F6858">
        <f>HYPERLINK("https://www.reddit.com/r/GERD/comments/gc5it5/ppis_and_side_effects/")</f>
        <v/>
      </c>
      <c r="G6858" t="inlineStr">
        <is>
          <t>2020-05-02 05:18:30</t>
        </is>
      </c>
      <c r="H6858" t="inlineStr"/>
    </row>
    <row r="6859">
      <c r="A6859" t="inlineStr">
        <is>
          <t>gc5vnc</t>
        </is>
      </c>
      <c r="B6859" t="inlineStr">
        <is>
          <t>FMLA for GERD?</t>
        </is>
      </c>
      <c r="C6859" t="inlineStr">
        <is>
          <t>Hi all. I was diagnosed with GERD a couple of years back and I see my gastro for it regularly throughout the year. Just wondering if anyone has ever applied for FMLA due to GERD? I work a call center job where I'm talking all day long and sometimes when I have a bad flare up on the job, it can make talking to customers really debilitating. I've taken a lot of sick time where I leave early since I need to get my flare up under control..
So I'm thinking of trying to apply for FMLA to get those early leaves approved if I have a flare-up. Just wondering if anyone else has done that? And if so, was it approved?</t>
        </is>
      </c>
      <c r="D6859" t="n">
        <v>1</v>
      </c>
      <c r="E6859" t="n">
        <v>7</v>
      </c>
      <c r="F6859">
        <f>HYPERLINK("https://www.reddit.com/r/GERD/comments/gc5vnc/fmla_for_gerd/")</f>
        <v/>
      </c>
      <c r="G6859" t="inlineStr">
        <is>
          <t>2020-05-02 05:46:30</t>
        </is>
      </c>
      <c r="H6859" t="inlineStr"/>
    </row>
    <row r="6860">
      <c r="A6860" t="inlineStr">
        <is>
          <t>gc6hz1</t>
        </is>
      </c>
      <c r="B6860" t="inlineStr">
        <is>
          <t>How do your GERD-related breathing difficulties present?</t>
        </is>
      </c>
      <c r="C6860" t="inlineStr">
        <is>
          <t>Male, 26 years old, 185lbs, white, non-smoker, childhood dx of asthma (non-issue), currently on no medications, except trying to tapper off of omprezole by taking 20mg every other day; healthy diet; active lifestyle; recently graduated physical therapy school.
For the past 2 years I've had sporadic bouts of difficulty getting a deep satiating breaths mainly after meals and while lying down to sleep. I've been to a few different GPs, 2 cardio docs, and a GI doc; none of which have helped. Ive had two echocardiograms taken over a year apart, both of which showed no abnormalities. Chest x-ray showed no hernia.
I can run 3+ miles with little issue, but sitting here typing this required focused effort to get full diaphragmatic contraction and a deep breath every few minutes or so.
Im at a loss of what to do now but these symptoms are very invasive with terrible sleep quality and constantly gulping for extra air pretty much all day. Do GERD breathing related difficulties typically present this way?</t>
        </is>
      </c>
      <c r="D6860" t="n">
        <v>1</v>
      </c>
      <c r="E6860" t="n">
        <v>32</v>
      </c>
      <c r="F6860">
        <f>HYPERLINK("https://www.reddit.com/r/GERD/comments/gc6hz1/how_do_your_gerdrelated_breathing_difficulties/")</f>
        <v/>
      </c>
      <c r="G6860" t="inlineStr">
        <is>
          <t>2020-05-02 06:30:51</t>
        </is>
      </c>
      <c r="H6860" t="inlineStr"/>
    </row>
    <row r="6861">
      <c r="A6861" t="inlineStr">
        <is>
          <t>gc75o6</t>
        </is>
      </c>
      <c r="B6861" t="inlineStr">
        <is>
          <t>Dilemma on my 2 week heartburn</t>
        </is>
      </c>
      <c r="C6861" t="inlineStr">
        <is>
          <t>My doctor has recommended omeprazole for 2 weeks. I already have taken 40mg for two weeks and it seems like it has no drastic improvement. I took gaviscon for the 2nd week and it kinda helps in minimizing but not eliminating the discomfort. Now i have three choices presented by my doctor:
Choice 1: Discontinue any medicine for 1 week and observe whether symptoms are worse without ppi. Possibility of ppi-resistant gerd
Choice 2: Take another ppi (pantoprazole + domperidone) for another 2 week. It might be that omeprazole has not worked for me but other ppis might work for me.
Help me decide!!😭 anyone here not improved on Omeprazole but relieved by other PPIs? 😊 i have dveloped anxiety so far because my omeprazole is not working for me</t>
        </is>
      </c>
      <c r="D6861" t="n">
        <v>1</v>
      </c>
      <c r="E6861" t="n">
        <v>0</v>
      </c>
      <c r="F6861">
        <f>HYPERLINK("https://www.reddit.com/r/GERD/comments/gc75o6/dilemma_on_my_2_week_heartburn/")</f>
        <v/>
      </c>
      <c r="G6861" t="inlineStr">
        <is>
          <t>2020-05-02 07:15:33</t>
        </is>
      </c>
      <c r="H6861" t="inlineStr"/>
    </row>
    <row r="6862">
      <c r="A6862" t="inlineStr">
        <is>
          <t>gc7d8p</t>
        </is>
      </c>
      <c r="B6862" t="inlineStr">
        <is>
          <t>GERD and Intestinal Noises?</t>
        </is>
      </c>
      <c r="C6862" t="inlineStr">
        <is>
          <t>Anyone here have any intestinal noises (around belly button area ). Like bubbles and popping / swishing sounds nonstop for weeks/months (every day ) that sounds like it’s coming from your intestines ?  Loud enough for others to hear ?  
Trying to narrow down what the cause is. I’ve had heartburn since I was a teenager (32 M now). Was on prescribed daily Zantac for 6 years ... stopped taking of course last year (and had a colonoscopy / EGD / CT scan to be safe ). Results were good.</t>
        </is>
      </c>
      <c r="D6862" t="n">
        <v>1</v>
      </c>
      <c r="E6862" t="n">
        <v>13</v>
      </c>
      <c r="F6862">
        <f>HYPERLINK("https://www.reddit.com/r/GERD/comments/gc7d8p/gerd_and_intestinal_noises/")</f>
        <v/>
      </c>
      <c r="G6862" t="inlineStr">
        <is>
          <t>2020-05-02 07:29:29</t>
        </is>
      </c>
      <c r="H6862" t="inlineStr"/>
    </row>
    <row r="6863">
      <c r="A6863" t="inlineStr">
        <is>
          <t>gc7ljy</t>
        </is>
      </c>
      <c r="B6863" t="inlineStr">
        <is>
          <t>today marks 9 months nonstop globus sensation</t>
        </is>
      </c>
      <c r="C6863" t="inlineStr">
        <is>
          <t>Been having the non stop feeling of something stuck in my throat for 9 months. Fairly sure it’s cancer at this point. All medication I’ve taken and PPI’s make it worse. Can’t afford an endoscopy. Been waiting for it to kill me but it keeps getting worse</t>
        </is>
      </c>
      <c r="D6863" t="n">
        <v>1</v>
      </c>
      <c r="E6863" t="n">
        <v>15</v>
      </c>
      <c r="F6863">
        <f>HYPERLINK("https://www.reddit.com/r/GERD/comments/gc7ljy/today_marks_9_months_nonstop_globus_sensation/")</f>
        <v/>
      </c>
      <c r="G6863" t="inlineStr">
        <is>
          <t>2020-05-02 07:44:29</t>
        </is>
      </c>
      <c r="H6863" t="inlineStr"/>
    </row>
    <row r="6864">
      <c r="A6864" t="inlineStr">
        <is>
          <t>gc9286</t>
        </is>
      </c>
      <c r="B6864" t="inlineStr">
        <is>
          <t>Bloating</t>
        </is>
      </c>
      <c r="C6864" t="inlineStr">
        <is>
          <t>My stomach's bloated for like four days now. Has this happened to any of you? What's the longest? I have tried some remedies, none worked. Let me know what works for you guys.</t>
        </is>
      </c>
      <c r="D6864" t="n">
        <v>1</v>
      </c>
      <c r="E6864" t="n">
        <v>2</v>
      </c>
      <c r="F6864">
        <f>HYPERLINK("https://www.reddit.com/r/GERD/comments/gc9286/bloating/")</f>
        <v/>
      </c>
      <c r="G6864" t="inlineStr">
        <is>
          <t>2020-05-02 09:14:37</t>
        </is>
      </c>
      <c r="H6864" t="inlineStr"/>
    </row>
    <row r="6865">
      <c r="A6865" t="inlineStr">
        <is>
          <t>gc9dlq</t>
        </is>
      </c>
      <c r="B6865" t="inlineStr">
        <is>
          <t>Food getting stuck while swallowing</t>
        </is>
      </c>
      <c r="C6865" t="inlineStr">
        <is>
          <t>For the last few months I have noticed that when I am eating (and this usually only happens when eating starchy foods or dry foods), the food seems to get 'stuck' in my esophagus, right about where my neck meets my ribcage. I have to stop eating at that point and kind of breathe through it. It doesn't feel like I'm choking, but more like an intense pressure as the food moves through. Has anyone else ever experienced this?</t>
        </is>
      </c>
      <c r="D6865" t="n">
        <v>1</v>
      </c>
      <c r="E6865" t="n">
        <v>2</v>
      </c>
      <c r="F6865">
        <f>HYPERLINK("https://www.reddit.com/r/GERD/comments/gc9dlq/food_getting_stuck_while_swallowing/")</f>
        <v/>
      </c>
      <c r="G6865" t="inlineStr">
        <is>
          <t>2020-05-02 09:34:00</t>
        </is>
      </c>
      <c r="H6865" t="inlineStr"/>
    </row>
    <row r="6866">
      <c r="A6866" t="inlineStr">
        <is>
          <t>gc9ra3</t>
        </is>
      </c>
      <c r="B6866" t="inlineStr">
        <is>
          <t>Shortness of breath and reflux</t>
        </is>
      </c>
      <c r="C6866" t="inlineStr">
        <is>
          <t>Hey, 
I'm a 24 year old female, otherwise healthy. Have never had any health issues. No history of smoking/drinking.
I recently got diagnosed with reflux. I have been constipated for the better part of a month now. 
I've also have SOB on off, but since the past 14 days, it's been consistent. I gets worse when I'm laying down. 
I also suffer from anxiety and this quarantine has not made things easier. I get winded up talking to people, going three flights of stairs. But, I'm never breathless. It's more like air hunger. Sometimes my throat feels hollow and as a result I convulsively swallow. Sometimes my mouth will be so dry. 
I was worried so I saw a pulmonologist who made me do a chest X ray and some breathing tests. Everything was clear. My SPO2 was 99%
I also have severe deficiency of B12, D3 and Folate. I started the B12 shots today. I've been on supplements for a week now. 
I got ruled out for COVID. 
I am at my rope's end here. I have no idea what to do anymore.</t>
        </is>
      </c>
      <c r="D6866" t="n">
        <v>2</v>
      </c>
      <c r="E6866" t="n">
        <v>9</v>
      </c>
      <c r="F6866">
        <f>HYPERLINK("https://www.reddit.com/r/GERD/comments/gc9ra3/shortness_of_breath_and_reflux/")</f>
        <v/>
      </c>
      <c r="G6866" t="inlineStr">
        <is>
          <t>2020-05-02 09:57:08</t>
        </is>
      </c>
      <c r="H6866" t="inlineStr"/>
    </row>
    <row r="6867">
      <c r="A6867" t="inlineStr">
        <is>
          <t>gc9woo</t>
        </is>
      </c>
      <c r="B6867" t="inlineStr">
        <is>
          <t>GERD.</t>
        </is>
      </c>
      <c r="C6867" t="inlineStr">
        <is>
          <t>Does anyone who deals with GERD, deal with that feeling of feeling like you have to cough but sometimes it doesn't come out? And does your coughing usually get worse at night or when you're laying down? ....</t>
        </is>
      </c>
      <c r="D6867" t="n">
        <v>1</v>
      </c>
      <c r="E6867" t="n">
        <v>13</v>
      </c>
      <c r="F6867">
        <f>HYPERLINK("https://www.reddit.com/r/GERD/comments/gc9woo/gerd/")</f>
        <v/>
      </c>
      <c r="G6867" t="inlineStr">
        <is>
          <t>2020-05-02 10:05:51</t>
        </is>
      </c>
      <c r="H6867" t="inlineStr"/>
    </row>
    <row r="6868">
      <c r="A6868" t="inlineStr">
        <is>
          <t>gcahcs</t>
        </is>
      </c>
      <c r="B6868" t="inlineStr">
        <is>
          <t>24M experiencing weird left arm/bicep discomfort</t>
        </is>
      </c>
      <c r="C6868" t="inlineStr">
        <is>
          <t>Hello there,
I'm a 280lb, 6'2, 24 year old male.
For the past few weeks I've had a persistent pressure in my chest. This pressure was accompanied by a mild dry cough but never anything flu-like. My doctor believed it to be symptoms of either my acid reflux or anxiety. The cough went away a few weeks ago but the pressure is still lingering.
Yesterday in the early morning I was working on my laptop and started to get this sensation of discomfort in my left bicep area. It wasn't painful at all and I didn't think much of it and went on with my day. As the day went on it started to feel more noticable to the point that I went to the walk in clinic to have tests done to see if it was heart related. It felt as if I had worked out my bicep even though I hadn't. I had an EKG, blood work and a chest xray done. The doctor said all of which looked to be normal for someone my age and that if things were getting worse to go the ER.
I woke up a few hours ago and this weird bicep sensation is still there and I don't know what to make of it. I've read online that it could be a side effect of the 40mg omeprazole that I've been taking recently for my acid reflux. My weight is definitely a factor, but I was wondering if anyone had any thoughts or experiences with something similar. Thank you.</t>
        </is>
      </c>
      <c r="D6868" t="n">
        <v>1</v>
      </c>
      <c r="E6868" t="n">
        <v>3</v>
      </c>
      <c r="F6868">
        <f>HYPERLINK("https://www.reddit.com/r/GERD/comments/gcahcs/24m_experiencing_weird_left_armbicep_discomfort/")</f>
        <v/>
      </c>
      <c r="G6868" t="inlineStr">
        <is>
          <t>2020-05-02 10:40:44</t>
        </is>
      </c>
      <c r="H6868" t="inlineStr"/>
    </row>
    <row r="6869">
      <c r="A6869" t="inlineStr">
        <is>
          <t>gcb217</t>
        </is>
      </c>
      <c r="B6869" t="inlineStr">
        <is>
          <t>Anyone else have chronic constipation or IBS-C with their gerd?</t>
        </is>
      </c>
      <c r="C6869" t="inlineStr">
        <is>
          <t>Hey everyone. 
I’ve posted here a lot in the past asking questions about gerd, but this one is a little different. I’ve been experiencing chronic constipation ever since I was put on omeprazole back in March/April of 2019. Once I got off that med things seem to go back to normal for a little bit, and then got worse. Now I experience cramping in my lower abdomen a lot and it can be debilitating at times. 
I finally talked to a new GI specialist yesterday who has prescribed 8mcg Amitiza to help with this problem. I’m a little worried to start this new med because I’ve always been sensitive to any type of med in the past. I also have not tried otc laxatives or anything like that yet. 
I’m just looking for any advice, tips, or common stories from others. Thanks!</t>
        </is>
      </c>
      <c r="D6869" t="n">
        <v>1</v>
      </c>
      <c r="E6869" t="n">
        <v>12</v>
      </c>
      <c r="F6869">
        <f>HYPERLINK("https://www.reddit.com/r/GERD/comments/gcb217/anyone_else_have_chronic_constipation_or_ibsc/")</f>
        <v/>
      </c>
      <c r="G6869" t="inlineStr">
        <is>
          <t>2020-05-02 11:14:55</t>
        </is>
      </c>
      <c r="H6869" t="inlineStr"/>
    </row>
    <row r="6870">
      <c r="A6870" t="inlineStr">
        <is>
          <t>gcblr5</t>
        </is>
      </c>
      <c r="B6870" t="inlineStr">
        <is>
          <t>Has anyone had upper scope or swallow test for GERD</t>
        </is>
      </c>
      <c r="C6870" t="inlineStr">
        <is>
          <t>I have to get these done but I’m wondering if this is common or just for certain cases? Also lowkey kinda scared to swallow barium.</t>
        </is>
      </c>
      <c r="D6870" t="n">
        <v>4</v>
      </c>
      <c r="E6870" t="n">
        <v>14</v>
      </c>
      <c r="F6870">
        <f>HYPERLINK("https://www.reddit.com/r/GERD/comments/gcblr5/has_anyone_had_upper_scope_or_swallow_test_for/")</f>
        <v/>
      </c>
      <c r="G6870" t="inlineStr">
        <is>
          <t>2020-05-02 11:47:36</t>
        </is>
      </c>
      <c r="H6870" t="inlineStr"/>
    </row>
    <row r="6871">
      <c r="A6871" t="inlineStr">
        <is>
          <t>gcbqg9</t>
        </is>
      </c>
      <c r="B6871" t="inlineStr">
        <is>
          <t>Remedies for the next day when you've thrown up stomach acid?</t>
        </is>
      </c>
      <c r="C6871" t="inlineStr">
        <is>
          <t>Hello all.
I get heartburn/acid reflux from alcohol, usually when I drink more than one day in a row. I noticed this when I was miserable on vacation a couple times. With the perfect spring weather we've been having, I've been drinking more often, so I've been getting acid reflux more often.
Last night, I woke up in the middle of the night and had to run to the bathroom to throw up. I ended up throwing up multiple times because it was so sour and painful that it kept triggering more. I've never thrown up from acid reflux before, and god I never want to again.
Anyway, today my esophagus is wrecked. Even though I was hungry for lunch, I barely touched it because it hurt so much going down. Plus my food had ketchup on it which killed me.
Other than the obvious like eating or drinking cool, soothing things.. is there any kind of medication that could help with the soreness? I guess probably not, but just seeing if anyone has any tips to get more comfortable.
For the acid reflux, I have some Prilosec. It isn't a full box, but I have about a week's worth.
I am fortunate to not normally be triggered by foods (at least, not noticeably), nor do I live with acid reflux on a day to day basis, but I guess I should look into some sort of medication that can help when alcohol will be involved. I'm not really interested in just going dry for this, so any advice on medication during these times is appreciated as well.
I went on a vacation early last month and was 1 week into a 14-day Prilosec round. It actually helped a lot and I didn't get heartburn despite drinking each vacation day.</t>
        </is>
      </c>
      <c r="D6871" t="n">
        <v>1</v>
      </c>
      <c r="E6871" t="n">
        <v>6</v>
      </c>
      <c r="F6871">
        <f>HYPERLINK("https://www.reddit.com/r/GERD/comments/gcbqg9/remedies_for_the_next_day_when_youve_thrown_up/")</f>
        <v/>
      </c>
      <c r="G6871" t="inlineStr">
        <is>
          <t>2020-05-02 11:55:26</t>
        </is>
      </c>
      <c r="H6871" t="inlineStr"/>
    </row>
    <row r="6872">
      <c r="A6872" t="inlineStr">
        <is>
          <t>gccj7s</t>
        </is>
      </c>
      <c r="B6872" t="inlineStr">
        <is>
          <t>Starting the Acid Watchers diet tomorrow</t>
        </is>
      </c>
      <c r="C6872" t="inlineStr">
        <is>
          <t>Sup guys.
&amp;amp;#x200B;
After a period of sickness and stress/anxiety, I've developed some symptoms of silent reflux over the past 4 weeks. It gets bad towards the evening but all relatively mild compared to some stories I see on here. My insides feel like they are all blown up, so tired of the inflammation and not feeling myself. I'm taking the reigns on this beast now and will not let it dictate my life. If this doesn't work, I will try something else. 
&amp;amp;#x200B;
To note:
\- I took omeprazole for 2 weeks and it gave me horrible bloating on top of the inflammation I already had. Also didn't touch the silent reflux. Pepcid, Gaviscon (US version, not at the "paying $50 for the UK version yet), tums/rolaids, nothing touches it. But did order some d-Limonene because it can't hurt.
\- Doc prescribed me Carafate to protect the stomach lining, noticing it's not
\- Due to the current situation I can't really get an endoscopy. I could telehealth a GI doc but most around here are not accepting new patients right now.
\- Horrible with nutrition which is why I'm going this route.</t>
        </is>
      </c>
      <c r="D6872" t="n">
        <v>1</v>
      </c>
      <c r="E6872" t="n">
        <v>6</v>
      </c>
      <c r="F6872">
        <f>HYPERLINK("https://www.reddit.com/r/GERD/comments/gccj7s/starting_the_acid_watchers_diet_tomorrow/")</f>
        <v/>
      </c>
      <c r="G6872" t="inlineStr">
        <is>
          <t>2020-05-02 12:43:18</t>
        </is>
      </c>
      <c r="H6872" t="inlineStr"/>
    </row>
    <row r="6873">
      <c r="A6873" t="inlineStr">
        <is>
          <t>gcd6ed</t>
        </is>
      </c>
      <c r="B6873" t="inlineStr">
        <is>
          <t>Discomfort mid-chest when swallowing, even saliva</t>
        </is>
      </c>
      <c r="C6873" t="inlineStr">
        <is>
          <t>Hey guys. First of all, I don't know if I have GERD but my Google PhD has me thinking it may be a possibility. Over the past week I've been having an annoying discomfort in my chest when I swallow. Not necessarily difficulty swallowing, it's just uncomfortable. I called my doctor and he told me to take Prilosec. I had already started Nexium but was having weird side effects so Im switching over to it today. I have really bad health anxiety and automatically assume the worst of the worst.  I find myself actively waiting to feel discomfort as I swallow every time I swallow. I guess I just have a couple of questions. Has anyone else experienced a similar symptom to what I had? Did Prilosec work well for any of you guys experiencing the same symptom? Any other advice or thoughts are welcome I appreciate any feedback. Thank you.</t>
        </is>
      </c>
      <c r="D6873" t="n">
        <v>1</v>
      </c>
      <c r="E6873" t="n">
        <v>0</v>
      </c>
      <c r="F6873">
        <f>HYPERLINK("https://www.reddit.com/r/GERD/comments/gcd6ed/discomfort_midchest_when_swallowing_even_saliva/")</f>
        <v/>
      </c>
      <c r="G6873" t="inlineStr">
        <is>
          <t>2020-05-02 13:20:52</t>
        </is>
      </c>
      <c r="H6873" t="inlineStr"/>
    </row>
    <row r="6874">
      <c r="A6874" t="inlineStr">
        <is>
          <t>gcd6pl</t>
        </is>
      </c>
      <c r="B6874" t="inlineStr">
        <is>
          <t>Famotidine tolerance after a few weeks / months?</t>
        </is>
      </c>
      <c r="C6874" t="inlineStr">
        <is>
          <t>I've been using Famotidine for GERD for almost a year by now and beside a 2-3 month pause I think after some weeks or maybe a month Famotidine lost it's efficiency (totally): when I forget to take one at the night or morning there's literally no difference in the amount of heartburn and things, I still have them. Anyone else have / had this issue or have an idea what should I do? 
I used to use pantoprazole, but I didn't want to take PPIs for more than required (for H Pylori eradication).</t>
        </is>
      </c>
      <c r="D6874" t="n">
        <v>1</v>
      </c>
      <c r="E6874" t="n">
        <v>5</v>
      </c>
      <c r="F6874">
        <f>HYPERLINK("https://www.reddit.com/r/GERD/comments/gcd6pl/famotidine_tolerance_after_a_few_weeks_months/")</f>
        <v/>
      </c>
      <c r="G6874" t="inlineStr">
        <is>
          <t>2020-05-02 13:21:23</t>
        </is>
      </c>
      <c r="H6874" t="inlineStr"/>
    </row>
    <row r="6875">
      <c r="A6875" t="inlineStr">
        <is>
          <t>gcdf1e</t>
        </is>
      </c>
      <c r="B6875" t="inlineStr">
        <is>
          <t>Allergies - LPR - GERD - asthma cycle</t>
        </is>
      </c>
      <c r="C6875" t="inlineStr">
        <is>
          <t>Does anyone else seem to have this cycle?
What doctor would it be best to schedule an appointment with? 
I don't have the best health insurance and don't want to waste time or money bouncing around.
I have some lingering asthma and sinus issues. Some stomach aches.
I'm treating currently with Nexium, a slew of allergy meds (I'm allergic to many things but I'm in a clean air/ controlled environment) and symbicort. I suspect half of my chest congestion and constant phlegm in the throat and inflamed sinuses is gerd or lpr as I experience without allergy symptoms or nasal congestion as well.
What kind of doctor would deal with lpr specifically? Would they understand that all these things together effects the breathing? Thanks and hope y'all are staying well!</t>
        </is>
      </c>
      <c r="D6875" t="n">
        <v>1</v>
      </c>
      <c r="E6875" t="n">
        <v>1</v>
      </c>
      <c r="F6875">
        <f>HYPERLINK("https://www.reddit.com/r/GERD/comments/gcdf1e/allergies_lpr_gerd_asthma_cycle/")</f>
        <v/>
      </c>
      <c r="G6875" t="inlineStr">
        <is>
          <t>2020-05-02 13:34:35</t>
        </is>
      </c>
      <c r="H6875" t="inlineStr"/>
    </row>
    <row r="6876">
      <c r="A6876" t="inlineStr">
        <is>
          <t>gcdjm3</t>
        </is>
      </c>
      <c r="B6876" t="inlineStr">
        <is>
          <t>Are these symptoms ?</t>
        </is>
      </c>
      <c r="C6876" t="inlineStr">
        <is>
          <t>Hi all, I think I have acid reflux? The past three weeks I’ve been belching non stop and I haven’t had any fizzy drinks besides emergen-c, I’ve had constant yawning, my stomach makes weird noises at night and I have a lot of phlegm inside of my throat that feels like it won’t go away no matter how much I cough or clear my throat. Does anyone have any tips on feeling better? I would gratefully appreciate it</t>
        </is>
      </c>
      <c r="D6876" t="n">
        <v>1</v>
      </c>
      <c r="E6876" t="n">
        <v>3</v>
      </c>
      <c r="F6876">
        <f>HYPERLINK("https://www.reddit.com/r/GERD/comments/gcdjm3/are_these_symptoms/")</f>
        <v/>
      </c>
      <c r="G6876" t="inlineStr">
        <is>
          <t>2020-05-02 13:41:57</t>
        </is>
      </c>
      <c r="H6876" t="inlineStr"/>
    </row>
    <row r="6877">
      <c r="A6877" t="inlineStr">
        <is>
          <t>gce5bq</t>
        </is>
      </c>
      <c r="B6877" t="inlineStr">
        <is>
          <t>Hopefully this will be encouraging, a sorta success story</t>
        </is>
      </c>
      <c r="C6877" t="inlineStr">
        <is>
          <t>I'm gonna try not to get too much in the details of my symptoms as I mainly want to shed light to what's been working. But if this post gains traction and I get many comments questioning my symptoms, I'll edit this post.
**Background:**  
I'm a very skinny guy to begin with, just fyi. Around the end of August 2019 I started having GERD symptoms of painful amounts of acid reflux, along with heartburn, lots of indigestion to the point that I lost my drive to eat. By that I mean, ya know how when you dont have a meal for awhile and then you finally eat you get that almost intimate feeling with food where it's like, "No amount of cooped of sex and money can replace this meal" kind of feeling? I stopped having that. Eating wasn't pleasurable, I felt like I was developing in eating disorder. But some over the counter meds worked, some better than others. Prevacid (lanzoprazole) worked better than over the counter omaprazole. Still, I had feelings of dizziness throughout the day. By the end of my fall semester (so we're in November-Dec), I felt like it was as though I was really high or something throughout the day. To he honest, I think part of it was stress induced. I was losing weight, but by winter break I did nothing, because I noticed I was like easily over stimulated, laughing too hard would get my acid reflux to act up. So I stayed home, did nothing, and I ate a lot of food, I actually put back some of that lost weight.
**Using Dexilant:**  
Still, I was never completely fixed. If it wasn't heartburn, it was the upset stomach. But around March 2020 my doctor gave me a 10 day sample of Dexilant because my acid reflux was literally causing me to roll in bed in pain when I tried to fight it. And that worked really well. I could tell my system was unbalanced because some days it worked to make it more acidic, like I'd drink lots of apple cider vinegar mixed with water and that worked, but then some days it'd stop and I'd switch back to tums. Anyway, my insurance wouldn't cover Dexilant though, so I basically had to try other drugs; a 30mg lanzoprazole which I did not like and saw quickly I didn't and a 40mg pantoprazole, which actually kinda worked but it took me a while to see that it was also contributing to my dizziness. After trying those drugs for about a month, I finally got back on Dexilant yesterday. Though, I still feel like I have light headedness, the blurred vision is definitely not there, and I already noticed quickly my eating habits being like revitalized. Comfortably eating larger meals again, and definitely no heartburn. The heartburn only comes back when I'm off meds for more than a couple days, but I noticed my first run of Dexilant basically destroyed the painful acid reflux. 
When I first took Dexilant, I did notice a good amount of bloating in the first like 5 days, but once I like cozied up to the drug, it worked fairly well. I still also take a digestive probiotic, just the kind you can get at a CVS (a health store btw, for our non American readers). Sadly, there's not generic forms of Dexilant due to its patents. It's a pricy drug. 
Though I haven't used it for the recommended 6-8 week cycle, I feel this has been the best thing I've attempted to treat my symptoms.</t>
        </is>
      </c>
      <c r="D6877" t="n">
        <v>1</v>
      </c>
      <c r="E6877" t="n">
        <v>4</v>
      </c>
      <c r="F6877">
        <f>HYPERLINK("https://www.reddit.com/r/GERD/comments/gce5bq/hopefully_this_will_be_encouraging_a_sorta/")</f>
        <v/>
      </c>
      <c r="G6877" t="inlineStr">
        <is>
          <t>2020-05-02 14:17:45</t>
        </is>
      </c>
      <c r="H6877" t="inlineStr"/>
    </row>
    <row r="6878">
      <c r="A6878" t="inlineStr">
        <is>
          <t>gcfeey</t>
        </is>
      </c>
      <c r="B6878" t="inlineStr">
        <is>
          <t>Are these GERD symptoms???</t>
        </is>
      </c>
      <c r="C6878" t="inlineStr">
        <is>
          <t>A week ago I woke up with horrible chest pains and diarrhea after eating Wendy’s before bed, rushed to ER and they gave me 2 pantoprazoles, 2 days forward and feeling the same I go back and they run heart tests and blood work, x-rays and I was given an ultrasound, no call back for ultrasound but chest pains come and go and all over the chest left/ right side, yesterday I ate chicken and it felt stuck and weird for awhile after. No other symptoms other than the chest pain and throat tingle once I eat. Could this be GERD?</t>
        </is>
      </c>
      <c r="D6878" t="n">
        <v>1</v>
      </c>
      <c r="E6878" t="n">
        <v>0</v>
      </c>
      <c r="F6878">
        <f>HYPERLINK("https://www.reddit.com/r/GERD/comments/gcfeey/are_these_gerd_symptoms/")</f>
        <v/>
      </c>
      <c r="G6878" t="inlineStr">
        <is>
          <t>2020-05-02 15:35:04</t>
        </is>
      </c>
      <c r="H6878" t="inlineStr"/>
    </row>
    <row r="6879">
      <c r="A6879" t="inlineStr">
        <is>
          <t>gcfklb</t>
        </is>
      </c>
      <c r="B6879" t="inlineStr">
        <is>
          <t>Does anyone else have fundic glad polyps from long term PPI use?</t>
        </is>
      </c>
      <c r="C6879" t="inlineStr">
        <is>
          <t>I had an endoscopy recently and it showed I had small fundic glad polyps, a hiatal hernia and erosive esophagitis. The polyps were not biopsied because my doctor said they were common among long term PPI users (I’ve been on omeprozole about 8 years). 
I’ve read that they could potentially turn cancerous if they are big enough, which worries me because he just left them. Does anyone else have these from PPI use? How long have you had them/been on PPIs?
Thanks for any advice</t>
        </is>
      </c>
      <c r="D6879" t="n">
        <v>2</v>
      </c>
      <c r="E6879" t="n">
        <v>0</v>
      </c>
      <c r="F6879">
        <f>HYPERLINK("https://www.reddit.com/r/GERD/comments/gcfklb/does_anyone_else_have_fundic_glad_polyps_from/")</f>
        <v/>
      </c>
      <c r="G6879" t="inlineStr">
        <is>
          <t>2020-05-02 15:45:58</t>
        </is>
      </c>
      <c r="H6879" t="inlineStr"/>
    </row>
    <row r="6880">
      <c r="A6880" t="inlineStr">
        <is>
          <t>gcfkw9</t>
        </is>
      </c>
      <c r="B6880" t="inlineStr">
        <is>
          <t>Has GERD crapped out your looks?</t>
        </is>
      </c>
      <c r="C6880" t="inlineStr">
        <is>
          <t>Lurker wondering about some stuff...hope it’s okay that I’m here. 
I have a bunch of stuff happening that seems to be digestion-centric (h pylori, swollen abdominal lymph nodes, horrible food allergies, GERD) and it’s been getting progressively worse since January of this year. I was looking at photos from last year on my phone and I look so terrible comparatively. My skin used to be rosy (like six months ago) and filled out but now I’m a grayish yellow (not jaundice just...unwell...) and sunken eyes. I’ve lost weight but my face and gut look swelled and inflamed (if that makes sense). My skin is so dry, my nails are ridged and rigid, my teeth are less white. My hair is dry no matter how I try to condition it.
Anyway, feeling super barfy ugly and wondering if anyone else feels similarly.</t>
        </is>
      </c>
      <c r="D6880" t="n">
        <v>2</v>
      </c>
      <c r="E6880" t="n">
        <v>10</v>
      </c>
      <c r="F6880">
        <f>HYPERLINK("https://www.reddit.com/r/GERD/comments/gcfkw9/has_gerd_crapped_out_your_looks/")</f>
        <v/>
      </c>
      <c r="G6880" t="inlineStr">
        <is>
          <t>2020-05-02 15:46:31</t>
        </is>
      </c>
      <c r="H6880" t="inlineStr"/>
    </row>
    <row r="6881">
      <c r="A6881" t="inlineStr">
        <is>
          <t>gcfr8v</t>
        </is>
      </c>
      <c r="B6881" t="inlineStr">
        <is>
          <t>What my consultant said after my tests...</t>
        </is>
      </c>
      <c r="C6881" t="inlineStr">
        <is>
          <t>Hi guys,
Just want to get some feedback on the conclusions my doctor has come to after doing a barium and endoscopy. 
He said both came back completely clear, some evidence of mild inflammation in the stomach but nothing else. He said my swallowing problems are a functional issue. What do you think he means by functional? 
Anyone else also have test results that don't show anything?</t>
        </is>
      </c>
      <c r="D6881" t="n">
        <v>1</v>
      </c>
      <c r="E6881" t="n">
        <v>4</v>
      </c>
      <c r="F6881">
        <f>HYPERLINK("https://www.reddit.com/r/GERD/comments/gcfr8v/what_my_consultant_said_after_my_tests/")</f>
        <v/>
      </c>
      <c r="G6881" t="inlineStr">
        <is>
          <t>2020-05-02 15:58:02</t>
        </is>
      </c>
      <c r="H6881" t="inlineStr"/>
    </row>
    <row r="6882">
      <c r="A6882" t="inlineStr">
        <is>
          <t>gcgceo</t>
        </is>
      </c>
      <c r="B6882" t="inlineStr">
        <is>
          <t>Chest sensation as a result of reflux?</t>
        </is>
      </c>
      <c r="C6882" t="inlineStr">
        <is>
          <t>Hello there everyone.
I've recently been dealing with acid reflux symptoms and major stomach aches for the past few days.
As of recent I've been feeling a distinctive, fluttering feeling in my chest that's been preventing me from rest/sleeping. I'm wondering if this is heart palpitations and if so, I'm wondering if it has anything to do in relation to reflux? In terms of a medical background, I take iron supplements.
I was wondering if anyone could point me in some direction in regards to what this could be or what I could do to relieve it as these experiences are really starting to stress me out and have seemingly appeared randomly in the past few days.</t>
        </is>
      </c>
      <c r="D6882" t="n">
        <v>1</v>
      </c>
      <c r="E6882" t="n">
        <v>7</v>
      </c>
      <c r="F6882">
        <f>HYPERLINK("https://www.reddit.com/r/GERD/comments/gcgceo/chest_sensation_as_a_result_of_reflux/")</f>
        <v/>
      </c>
      <c r="G6882" t="inlineStr">
        <is>
          <t>2020-05-02 16:35:40</t>
        </is>
      </c>
      <c r="H6882" t="inlineStr"/>
    </row>
    <row r="6883">
      <c r="A6883" t="inlineStr">
        <is>
          <t>gcggjn</t>
        </is>
      </c>
      <c r="B6883" t="inlineStr">
        <is>
          <t>GERD/LRP sufferers, how long do your flare-ups last? One day, week, or longer? New to this</t>
        </is>
      </c>
      <c r="C6883" t="inlineStr">
        <is>
          <t>I'm a young adult showing new symptoms of silent GERD/ LRP. My throats been raw for the past week ,especially when I wake up. My teeth feel more sensitive and hurt so I'm pretty sure this is eroding my teeth as well.
This is all new to me. I've tried changing my diet - no caffeine, no chocolate, no fatty foods - but no meds yet. I'm wondering if this is a possible flare up and if it will get better soon. I'm making an appointment with the doctor now</t>
        </is>
      </c>
      <c r="D6883" t="n">
        <v>1</v>
      </c>
      <c r="E6883" t="n">
        <v>6</v>
      </c>
      <c r="F6883">
        <f>HYPERLINK("https://www.reddit.com/r/GERD/comments/gcggjn/gerdlrp_sufferers_how_long_do_your_flareups_last/")</f>
        <v/>
      </c>
      <c r="G6883" t="inlineStr">
        <is>
          <t>2020-05-02 16:43:06</t>
        </is>
      </c>
      <c r="H6883" t="inlineStr"/>
    </row>
    <row r="6884">
      <c r="A6884" t="inlineStr">
        <is>
          <t>gchh4m</t>
        </is>
      </c>
      <c r="B6884" t="inlineStr">
        <is>
          <t>Scared of what is wrong with me</t>
        </is>
      </c>
      <c r="C6884" t="inlineStr">
        <is>
          <t>I’m at 19 year old female with no underlying health problems, I don’t eat the best and am about 150 pounds. One night I woke up at 4am with bad chest pains (ate Wendy’s right before bed) and went into Er and was given 2 anti acid pills, 2 days later and still pain I go back and they run heart tests/ xrays/ and an ultrasound. No results back from ultrasound but a week later with chest pains that move from left to right and in my back. Also, when I eat I feel like it gets stuck until I drink water but no cough. Sometimes mucus. Chest pains come and go. Does this sound like gerd???? Or something more serious. Very worried, need closure !</t>
        </is>
      </c>
      <c r="D6884" t="n">
        <v>1</v>
      </c>
      <c r="E6884" t="n">
        <v>10</v>
      </c>
      <c r="F6884">
        <f>HYPERLINK("https://www.reddit.com/r/GERD/comments/gchh4m/scared_of_what_is_wrong_with_me/")</f>
        <v/>
      </c>
      <c r="G6884" t="inlineStr">
        <is>
          <t>2020-05-02 17:48:23</t>
        </is>
      </c>
      <c r="H6884" t="inlineStr"/>
    </row>
    <row r="6885">
      <c r="A6885" t="inlineStr">
        <is>
          <t>gchukc</t>
        </is>
      </c>
      <c r="B6885" t="inlineStr">
        <is>
          <t>Is there any scientific study that shows a link between vaping and GERD?</t>
        </is>
      </c>
      <c r="C6885" t="inlineStr">
        <is>
          <t>Hi, English isn't my mother tongue, so please be ki D and excuse my syntax and grammar.
I've been dealing with GERD for some time.
In a past life I used to be a bartender, working late, drinking every night of the week and smoking a lot. So I kinda was looking for trouble. But I managed to deal with it.
Weirdly, the older I got (I'm 36 this week), the more refluxes I had, even tho I drink way more than before. And I always thought alcohol was the main cause of my problems.
And last year, I started to get real bad chest pain, especially at night.
I decided to work on my stress, watch my food and my drinking, and even quit smoking.
But I started vaping instead.
This last weeks in lockdown have been awful.
I've been eating shit, laying down all-day, and vaping a lot. And the pain and the burns have been the worst.
So I started to watch my food again, getting rid of every acid food possible, I haven't had a drink in Two weeks, but still, after every meal, the burns were terrible.
So I also stopped vaping for the last 48h.
And I feel amazing'm : for the first time in years I go to sleep with no pain in the chest and no burn in the throat, and I believe I finally find the cause of all my troubles.
Has anyone ever heard something about a potential link between vaping and GERD??</t>
        </is>
      </c>
      <c r="D6885" t="n">
        <v>1</v>
      </c>
      <c r="E6885" t="n">
        <v>1</v>
      </c>
      <c r="F6885">
        <f>HYPERLINK("https://www.reddit.com/r/GERD/comments/gchukc/is_there_any_scientific_study_that_shows_a_link/")</f>
        <v/>
      </c>
      <c r="G6885" t="inlineStr">
        <is>
          <t>2020-05-02 18:13:20</t>
        </is>
      </c>
      <c r="H6885" t="inlineStr"/>
    </row>
    <row r="6886">
      <c r="A6886" t="inlineStr">
        <is>
          <t>gchzx0</t>
        </is>
      </c>
      <c r="B6886" t="inlineStr">
        <is>
          <t>I have never talked to anyone else who has GERD as bad as I do.</t>
        </is>
      </c>
      <c r="C6886" t="inlineStr">
        <is>
          <t>I was diagnosed with GERD last September. I'm a 27 year old female and    really tried to get on top of this from the get go but my endoscopy did reveal some permanent damage to my esophagus. My doctor also found a small hiatal hernia, but my GERD has been and is currently still refractory. I also got my esophagus dilated, best feeling ever afterwards! 
 Right now I take 40mg pantaprazole twice a day, famotidine 40 mg twice a day, and max out on antacids. My B12 is plummeting and my D is slowly inching to acceptable levels, which makes me a little uneasy. Also my Mg is fine.
I know there is more wrong with me but of course I'm having trouble getting to a doctor, but I'm also extremely tired of advocating for myself.  I thought I was alone in this endeavor for awhile and would like to reach out to other GERD sufferers for advice and such.
Right now after a whole pepsid ordeal, my esophagus was burned again, it felt like weeks and was pretty painful. Every time this happens I get so paranoid that I'm so close to Barrett's esophagus, is anyone on the same boat as I am?</t>
        </is>
      </c>
      <c r="D6886" t="n">
        <v>1</v>
      </c>
      <c r="E6886" t="n">
        <v>39</v>
      </c>
      <c r="F6886">
        <f>HYPERLINK("https://www.reddit.com/r/GERD/comments/gchzx0/i_have_never_talked_to_anyone_else_who_has_gerd/")</f>
        <v/>
      </c>
      <c r="G6886" t="inlineStr">
        <is>
          <t>2020-05-02 18:23:22</t>
        </is>
      </c>
      <c r="H6886" t="inlineStr"/>
    </row>
    <row r="6887">
      <c r="A6887" t="inlineStr">
        <is>
          <t>gckem0</t>
        </is>
      </c>
      <c r="B6887" t="inlineStr">
        <is>
          <t>Severe gastritis rebound after completing course of proton pump inhibitors. Doctor isn't really helping me.</t>
        </is>
      </c>
      <c r="C6887" t="inlineStr">
        <is>
          <t>23M. I live in a rural area, and the doctors are overwhelmed with covid19 right now. Little bit of background, I was suffering with heartburn and acid reflux for around half a year before I got checked and diagnosed with severe gastritis and H. Pylori infection.
When I say "Pantocid DSR", I will be referring to "Domperidone (30mg) + Pantoprazole (40mg)". This was my medicine course:
First three months - (Rifaximin 400mg and Pantocid DSR) x twice a day  
14 day course for H. Pylori infection  
Next three months - Pantocid DSR once a day in the morning
I completed completed the meds a few weeks ago. But I started getting severe heartburn and pain and burning in throat after a few days. I tried antacids, but they gave just temporary relief. I got an appointment after a three week wait. And the doctor bumped up my dosage of Pantocid DSR to twice a day again for a month, then once a day for another month, then stop cold turkey again. "You will be fine". And then he hung up the phone. Didn't let me ask any questions.
Honestly, I don't trust my doctor this time. And I cannot go out and find a new doctor because of the outbreak. I wasn't able to stop the meds the first time, how will I "be fine" after two months if I'm doing the same thing again? I asked my medical friends, and read on the internet. Many people say that PPIs are really harmful in the long run. As a non-medical person, I'm pretty scared.
I realised that I cannot stop the PPIs cold turkey. How should I proceed to wean off of the PPIs? Do I really need to go back to "twice a day"? It's been 6 months already since I've been on a high dosage of PPIs. I wanted to ask my doctor about H2 inhibitor, but he didn't give me a chance. I would really really appreciate any advice you can give me. Thanks!</t>
        </is>
      </c>
      <c r="D6887" t="n">
        <v>1</v>
      </c>
      <c r="E6887" t="n">
        <v>0</v>
      </c>
      <c r="F6887">
        <f>HYPERLINK("https://www.reddit.com/r/GERD/comments/gckem0/severe_gastritis_rebound_after_completing_course/")</f>
        <v/>
      </c>
      <c r="G6887" t="inlineStr">
        <is>
          <t>2020-05-02 21:16:32</t>
        </is>
      </c>
      <c r="H6887" t="inlineStr"/>
    </row>
    <row r="6888">
      <c r="A6888" t="inlineStr">
        <is>
          <t>gckj6t</t>
        </is>
      </c>
      <c r="B6888" t="inlineStr">
        <is>
          <t>Been having pain in stomach/chest when taking deep breaths acid reflux related?</t>
        </is>
      </c>
      <c r="C6888" t="inlineStr">
        <is>
          <t>So I was at work today with some jaw pain, then all of a sudden I got chest pain that worsened when I took deep breaths. I feel better now, but I can still feel like food is stuck in my esophagus almost if I take a deep breath, some weird pain. Should I be worried?</t>
        </is>
      </c>
      <c r="D6888" t="n">
        <v>1</v>
      </c>
      <c r="E6888" t="n">
        <v>0</v>
      </c>
      <c r="F6888">
        <f>HYPERLINK("https://www.reddit.com/r/GERD/comments/gckj6t/been_having_pain_in_stomachchest_when_taking_deep/")</f>
        <v/>
      </c>
      <c r="G6888" t="inlineStr">
        <is>
          <t>2020-05-02 21:26:42</t>
        </is>
      </c>
      <c r="H6888" t="inlineStr"/>
    </row>
    <row r="6889">
      <c r="A6889" t="inlineStr">
        <is>
          <t>gckrl3</t>
        </is>
      </c>
      <c r="B6889" t="inlineStr">
        <is>
          <t>Tips or home remedies to assist with GERD, sleeping with gerd? Diets?</t>
        </is>
      </c>
      <c r="C6889" t="inlineStr">
        <is>
          <t>Male age 21 with IBS, never smoked rarely drinks alcohol
I haven't been diagnosed with gerd by a doctor but I've been having symptoms of it starting in March including heartburn, , constant belching, hypersalivation, indigestion, bloating, acidic taste lasting all day, sensations of a lump in my throat, phlegm, stomach pain when burping, sore throat, teeth sensitivity, pain attempting deep breaths, occasional shortness of breath, and occasional bleeding throat.
Most symptoms aren't a huge deal to me and have came and went in the last few months but the most persistent symptoms are the heartburn, constant belching,acidic taste and hypersalivation. I feel it most when I get stressed or when I try to lean back or get sleep. I feel the acid rise when I raise my arms to stretch in the morning, making the taste worse. The heartburn isn't constant but it seems to flare up randomly throughout the day. It's flared up when I've been exercising making it harder to continue, and sleeping is very difficult. I've been stuck staying up for 20 plus hours until I just pass out from being too tired, and with symptoms I only sleep for 4 or 5 hours waking up tired.
I raised my bed with some hard cover books and that helped a lot until a couple of days ago when I got a bad flare up and now reflux bothers me even though I'm sleeping on an incline. I was around 270 lbs in March and now I'm at 240, but my weight has somewhat stagnated, barely moving. My diet has been random stuff in the house due to the virus. Gerd has been very stressful to deal with for a while and if anyone has any tips diets or remedies that can assist with stopping the symptoms and sleeping with gerd, or with weight loss I would really appreciate it. Thank you for reading</t>
        </is>
      </c>
      <c r="D6889" t="n">
        <v>1</v>
      </c>
      <c r="E6889" t="n">
        <v>9</v>
      </c>
      <c r="F6889">
        <f>HYPERLINK("https://www.reddit.com/r/GERD/comments/gckrl3/tips_or_home_remedies_to_assist_with_gerd/")</f>
        <v/>
      </c>
      <c r="G6889" t="inlineStr">
        <is>
          <t>2020-05-02 21:45:57</t>
        </is>
      </c>
      <c r="H6889" t="inlineStr"/>
    </row>
    <row r="6890">
      <c r="A6890" t="inlineStr">
        <is>
          <t>gckxno</t>
        </is>
      </c>
      <c r="B6890" t="inlineStr">
        <is>
          <t>Slight rumbling feeling in my chest</t>
        </is>
      </c>
      <c r="C6890" t="inlineStr">
        <is>
          <t>So I'm new to this, 20 f and my gi diagnosed me with GERD but I'm getting an endoscopy on the 21st to rule other things out. I've been feeling this weird rumbling/bubbling feeling in my chest. It's not loud or anything but I can just feel it? It's becoming more consistent ever since I started omeprazole two days ago. I just wanted to ask if any of you have this symptom and does it go away?</t>
        </is>
      </c>
      <c r="D6890" t="n">
        <v>1</v>
      </c>
      <c r="E6890" t="n">
        <v>3</v>
      </c>
      <c r="F6890">
        <f>HYPERLINK("https://www.reddit.com/r/GERD/comments/gckxno/slight_rumbling_feeling_in_my_chest/")</f>
        <v/>
      </c>
      <c r="G6890" t="inlineStr">
        <is>
          <t>2020-05-02 22:00:08</t>
        </is>
      </c>
      <c r="H6890" t="inlineStr"/>
    </row>
    <row r="6891">
      <c r="A6891" t="inlineStr">
        <is>
          <t>gcli6o</t>
        </is>
      </c>
      <c r="B6891" t="inlineStr">
        <is>
          <t>What would you like to eat the most if you didn't have gerd?</t>
        </is>
      </c>
      <c r="C6891" t="inlineStr">
        <is>
          <t>I miss chocolate</t>
        </is>
      </c>
      <c r="D6891" t="n">
        <v>1</v>
      </c>
      <c r="E6891" t="n">
        <v>0</v>
      </c>
      <c r="F6891">
        <f>HYPERLINK("https://www.reddit.com/r/GERD/comments/gcli6o/what_would_you_like_to_eat_the_most_if_you_didnt/")</f>
        <v/>
      </c>
      <c r="G6891" t="inlineStr">
        <is>
          <t>2020-05-02 22:49:08</t>
        </is>
      </c>
      <c r="H6891" t="inlineStr"/>
    </row>
    <row r="6892">
      <c r="A6892" t="inlineStr">
        <is>
          <t>gcloh9</t>
        </is>
      </c>
      <c r="B6892" t="inlineStr">
        <is>
          <t>Is this GERD or something else?</t>
        </is>
      </c>
      <c r="C6892" t="inlineStr">
        <is>
          <t>Hi everyone, hope you're all staying safe!
I'm new to this subreddit. Someone referred me here cause they think I may have GERD.
So! I've always had heartburn but it was here and there, I rarely got it except when I ate greasy food (even then sometimes I didn't). 
This next part may be a little "to much information". At the end of January I got a really bad stomach bug and had it for 2 and a half weeks. First week was diarrhea, second week was constipation and the half was the worst heartburn I even had in my life (throwing up, barely could keep food down). Now at the time I believe I got this bug cause my mom works in a nursing home and the home had a gastrointestinal outbreak and my mom got it and then I did (yes, I wash my hands a lot so idk). But ever since that bug I have heartburn everyday!
My eating habits have not changed. I get it throughout the day but not as bad. At night I get it worse but it like comes and goes? If that's makes sense. When it comes i cough and I have take a sip of water (doesn't work) but it eventually goes away but then like I said it comes back. I take some antacids before bed it works for a bit then it comes back. It has never woken me up though.
Some things that are different since having that "bug":
• Heartburn everyday 
• Some days I get full so quickly 
• Losing weight, when I'm not doing anything (but could be cause since this virus I haven't been eating out as much as I did before)
• In the last week my mouth tastes gross and I feel like it's worse after brushing my teeth.
• Some foods taste different as that taste in my mouth make it taste like that.
• When the heartburn is about to comes my stomach feels like it "burns" abit and or feels like its "moving" a bit.
• Once in a while my chest feels weird (for a few seconds)
• Sometimes I feel like it's hard to breathe (but could be anxiety cause of this virus)
• When I do drink pop (I have cut down drastically in a  year. Before = 5+/day Now = 1 or maybe 2) I feel like it burns my stomach and I never had that problem before.
The heartburn comes either way, if I eat junk or healthy food. I don't know, this all started after that stomach bug. I honestly do feel like my gastrointestinal system is different to as it was before getting it but is that even possible?
***Sorry almost forgot to give some general information about me:
• 23yr old female
• 271 pounds (haven't been this low in years. To get an idea this time last year I was 290)
• I have no medical conditions, only thing is I have that the doctor diagnosed me with is low red blood cells, mental health problems (not related) and of course being in the category of morbidly obese (yes I know I need to lose weight)
Could this be GERD or something else? Any tips?</t>
        </is>
      </c>
      <c r="D6892" t="n">
        <v>1</v>
      </c>
      <c r="E6892" t="n">
        <v>1</v>
      </c>
      <c r="F6892">
        <f>HYPERLINK("https://www.reddit.com/r/GERD/comments/gcloh9/is_this_gerd_or_something_else/")</f>
        <v/>
      </c>
      <c r="G6892" t="inlineStr">
        <is>
          <t>2020-05-02 23:05:17</t>
        </is>
      </c>
      <c r="H6892" t="inlineStr"/>
    </row>
    <row r="6893">
      <c r="A6893" t="inlineStr">
        <is>
          <t>gcnfgz</t>
        </is>
      </c>
      <c r="B6893" t="inlineStr">
        <is>
          <t>What sort of reaction do you guys get to frozen meals?</t>
        </is>
      </c>
      <c r="C6893" t="inlineStr">
        <is>
          <t>I've been eating way more frozen meals than I used to due to the quarantine &amp;amp; not wanting to shop a lot. I've noticed my symptoms have been way worse lately &amp;amp; Idk if that's a correlation to the frozen food, or possibly just to feeling general anxiety &amp;amp; stress from this situation.  I thought I was at least getting reasonably healthy frozen meals like Amys &amp;amp; Healthy Choice, but I'm starting to wonder if some of the additives or preservatives in frozen prepared food can trigger gerd symptoms.  I usually eat frozen veggies just fine, &amp;amp; those don't have any extra ingredients, but all these meals have a laundry list of added stuff.</t>
        </is>
      </c>
      <c r="D6893" t="n">
        <v>1</v>
      </c>
      <c r="E6893" t="n">
        <v>5</v>
      </c>
      <c r="F6893">
        <f>HYPERLINK("https://www.reddit.com/r/GERD/comments/gcnfgz/what_sort_of_reaction_do_you_guys_get_to_frozen/")</f>
        <v/>
      </c>
      <c r="G6893" t="inlineStr">
        <is>
          <t>2020-05-03 01:56:42</t>
        </is>
      </c>
      <c r="H6893" t="inlineStr"/>
    </row>
    <row r="6894">
      <c r="A6894" t="inlineStr">
        <is>
          <t>gco4jy</t>
        </is>
      </c>
      <c r="B6894" t="inlineStr">
        <is>
          <t>I feel problematic for going back to the doctor, because my medication doesn't work.</t>
        </is>
      </c>
      <c r="C6894" t="inlineStr">
        <is>
          <t>I have already written a post about this. My first pill of PPI had a lot of side effects, some of which i still suffer ever since (in addition to my gerd symptoms). I have written an email to her, in which she told me to take the medicine for a week. But since my reaction seemed allergic to me, i didnt dare to take more. I have also read advices on it, and some said that i should get a new medicine, because it sounds like im allergic, or might just have a bad reaction specifically to this one. I tried new natural methods to ease reflux, but there are some symptoms from the ppi, that are still not going away (for example not being able to sleep more than one hour, because i wake up to choking, bloating everyday). And i feel like i have to talk about this to my doctor. And i became so exhausted and weak, that i just couldnt deal with this anymore, and i just booked an appointment. Im afraid she will take this, as if didnt want to listen to her, just create problems, and will send me away. But im genuinley scared of the side effects i have from it. What do you think? What would you have done in my place?</t>
        </is>
      </c>
      <c r="D6894" t="n">
        <v>1</v>
      </c>
      <c r="E6894" t="n">
        <v>10</v>
      </c>
      <c r="F6894">
        <f>HYPERLINK("https://www.reddit.com/r/GERD/comments/gco4jy/i_feel_problematic_for_going_back_to_the_doctor/")</f>
        <v/>
      </c>
      <c r="G6894" t="inlineStr">
        <is>
          <t>2020-05-03 03:05:05</t>
        </is>
      </c>
      <c r="H6894" t="inlineStr"/>
    </row>
    <row r="6895">
      <c r="A6895" t="inlineStr">
        <is>
          <t>gcoicy</t>
        </is>
      </c>
      <c r="B6895" t="inlineStr">
        <is>
          <t>Symptom Cycle</t>
        </is>
      </c>
      <c r="C6895" t="inlineStr">
        <is>
          <t>I was diagnosed with GERD 6 years ago, LPR a little over a year ago. Also many different symptoms (many of which will be familiar to you) that wouldn't immediately seem related, e.g. palpitations, asthmatic symptoms, costochondritis etc. I've been fully and repeatedly checked out for cardiac issues, lung issues etc. etc. all they found is some very minor asthma, almost certainly linked to the LPR. It's definitely something I've learned to live with, but I've been noticing there is an unusual cycle to the symptoms that I can't make sense of. Does anyone else have similar or know why this might be happening?
Sometimes, such as today, I go through a flare-up period where I have very classic GERD/LPR symptoms - lump in throat, stomach pain, painful swallowing, you know the drill. It sucks but it always passes eventually. Often it's a result of me cheating and indulging a little more than I should, maybe having a few too many drinks and thinking I can get away with it.
During these flare-ups, the other symptoms seem to vanish. No palpitations, no shortness of breath, no chest discomfort apart from the very obvious stomach pain. When the flare-up goes away, the other symptoms come back - palpitations, difficulty exercising, the asthma symptoms. The only thing I can think of to explain the pattern is that maybe during a flare-up, my esophagus and throat might be inflamed to the point where the acid doesn't make it into the airways. Or maybe I'm just so distracted by the very obvious pain that I don't notice the more subtle signs? I don't know, would love to hear if anyone else has similar, and maybe knows why it might be happening?</t>
        </is>
      </c>
      <c r="D6895" t="n">
        <v>1</v>
      </c>
      <c r="E6895" t="n">
        <v>3</v>
      </c>
      <c r="F6895">
        <f>HYPERLINK("https://www.reddit.com/r/GERD/comments/gcoicy/symptom_cycle/")</f>
        <v/>
      </c>
      <c r="G6895" t="inlineStr">
        <is>
          <t>2020-05-03 03:40:34</t>
        </is>
      </c>
      <c r="H6895" t="inlineStr"/>
    </row>
    <row r="6896">
      <c r="A6896" t="inlineStr">
        <is>
          <t>gcozan</t>
        </is>
      </c>
      <c r="B6896" t="inlineStr">
        <is>
          <t>Can't swallow my own saliva</t>
        </is>
      </c>
      <c r="C6896" t="inlineStr">
        <is>
          <t>I'm 20, used to be a smoker for one-two years but stopped now and haven't smoked for a month. Last last night I noticed I was swallowing my saliva voluntarily but I could eat and drink without any problems, I searched in Google and they said it could be GERD or Cancer. I can't go to any nearby hospitals since they're filled with covid-19'patients and are too busy with them</t>
        </is>
      </c>
      <c r="D6896" t="n">
        <v>1</v>
      </c>
      <c r="E6896" t="n">
        <v>1</v>
      </c>
      <c r="F6896">
        <f>HYPERLINK("https://www.reddit.com/r/GERD/comments/gcozan/cant_swallow_my_own_saliva/")</f>
        <v/>
      </c>
      <c r="G6896" t="inlineStr">
        <is>
          <t>2020-05-03 04:22:04</t>
        </is>
      </c>
      <c r="H6896" t="inlineStr"/>
    </row>
    <row r="6897">
      <c r="A6897" t="inlineStr">
        <is>
          <t>gcph8k</t>
        </is>
      </c>
      <c r="B6897" t="inlineStr">
        <is>
          <t>The difference between GERD and GP?</t>
        </is>
      </c>
      <c r="C6897" t="inlineStr">
        <is>
          <t>Hey guys, I'm just writing this post unsure of how to tell the difference between Gerd and Gastroparesis?   
I'm more than sure I have either one or the other but due to the corona virus its restricting me to go and get the appropriate tests.
I am 23f and always been skinny. I have been having these issues for probably about a year and 3 months now... I feel as if my life has never been the same. It started with occasionally waking up a bit nauseous and like something was stuck in my throat. I guess this symptom reduced my appetite without me knowing but I started to drop some pounds that were noticeable to my family. After about a month I had a severe panic attack over something that was such a big deal then but so tiny now and vomited up my dinner. I assume the vomit was from the panic attack but nonetheless I still felt nauseous. 
And then it felt like everyday after that I was experiencing these symptoms:   
this lump sensation in my throat, excess thick saliva, my mouth tastes so bitter that I dry heave even cleaning my front teeth, I vomit up alcohol but I rarely vomit anything else... I think I had really spicy Mexican mixed with margaritas one night and that came up hours later too. I have discomfort under my ribs when I eat. I wouldn't say I am in pain majority of the time but if I eat something bad its a pain in the chest (literally). I hate that I love food so much because I will smash down unhealthy meals and then feel so much worse after for days and days and days. The symptoms that bother me the most is the nausea and the sensation in the throat. It feels as if food is stuck at the back of my tongue ALL THE TIME. Never ever ever goes away. I also feel the worst in the mornings. The nausea is always there but varies in severity.   
I don't really experience bloating although I don't know what it really is, I guess I always have discomfort in my upper abdomen but more of like an awkward knot pain that makes me wanna push on it. 
I had an endoscopy done over a year ago which came back with gastritis and I have had multiple blood tests throughout the year which were all surprisingly very healthy... crazy when you feel as sick as you do yet everything on paper is a head scratcher. Makes me feel crazy sitting in front of my doctors. 
I know you guys aren't doctors and nobody can diagnose me here but just wondering what your experiences are of symptoms and which way I should lean in treatment until I can get properly seen again.</t>
        </is>
      </c>
      <c r="D6897" t="n">
        <v>1</v>
      </c>
      <c r="E6897" t="n">
        <v>4</v>
      </c>
      <c r="F6897">
        <f>HYPERLINK("https://www.reddit.com/r/GERD/comments/gcph8k/the_difference_between_gerd_and_gp/")</f>
        <v/>
      </c>
      <c r="G6897" t="inlineStr">
        <is>
          <t>2020-05-03 05:03:30</t>
        </is>
      </c>
      <c r="H6897" t="inlineStr"/>
    </row>
    <row r="6898">
      <c r="A6898" t="inlineStr">
        <is>
          <t>gcr48y</t>
        </is>
      </c>
      <c r="B6898" t="inlineStr">
        <is>
          <t>I made an oops</t>
        </is>
      </c>
      <c r="C6898" t="inlineStr">
        <is>
          <t>Living in NJ and working in a hospital is rough right now, and I haven’t seen any of my friends since JanFeb. Last night, we had a social distance “party” with 6 of my closest friends and sat 6ft away from each other in my friends backyard. I probably had like 4 drinks along with everyone else, all seltzer type alcohol. 
This was a mistake!!!
I woke up this morning and my throat feels simply swollen. I have so much thick mucus stuck in my throat as well it’s horrible. I’ll be drinking chamomile tea, eating bananas, and regretting my decisions for the next 2 weeks. Wish me luck!</t>
        </is>
      </c>
      <c r="D6898" t="n">
        <v>1</v>
      </c>
      <c r="E6898" t="n">
        <v>4</v>
      </c>
      <c r="F6898">
        <f>HYPERLINK("https://www.reddit.com/r/GERD/comments/gcr48y/i_made_an_oops/")</f>
        <v/>
      </c>
      <c r="G6898" t="inlineStr">
        <is>
          <t>2020-05-03 07:03:21</t>
        </is>
      </c>
      <c r="H6898" t="inlineStr"/>
    </row>
    <row r="6899">
      <c r="A6899" t="inlineStr">
        <is>
          <t>gcruyg</t>
        </is>
      </c>
      <c r="B6899" t="inlineStr">
        <is>
          <t>Severe acid reflux after stopping proton pump inhibitors. How to handle it?</t>
        </is>
      </c>
      <c r="C6899" t="inlineStr">
        <is>
          <t>Reposting because previous post didn't get any response.
23M.  I live in a rural area, and the doctors are overwhelmed with covid19  right now. Little bit of background, I was suffering with heartburn and  acid reflux for around half a year before I got checked and diagnosed  with severe gastritis and H. Pylori infection.
When I say "Pantocid DSR", I will be referring to "Domperidone (30mg) + Pantoprazole (40mg)". This was my medicine course:
First  three months - (Rifaximin 400mg and Pantocid DSR) x twice a day  
14 day  course for H. Pylori infection  
Next three months - Pantocid DSR once a  day in the morning
I completed  completed the meds a few weeks ago. But I started getting severe  heartburn and pain and burning in throat after a few days. I tried  antacids, but they gave just temporary relief. I got an online  appointment after a three week wait. And the doctor bumped up my dosage  of Pantocid DSR to twice a day again for a month, then once a day for  another month, then stop cold turkey again. "You will be fine". And then  he hung up. Didn't let me ask any questions.
Honestly,  I don't trust my doctor this time. And I cannot go out and find a new  doctor because of the outbreak. I wasn't able to stop the meds the first  time, how will I "be fine" after two months if I'm doing the same thing  again? I asked my medical friends, and read on the internet. Many  people say that PPIs are really harmful in the long run. As a  non-medical person, I'm pretty scared.
I  realised that I cannot stop the PPIs cold turkey. How should I proceed  to wean off of the PPIs? Do I really need to go back to "twice a day"?  It's been 6 months already since I've been on a high dosage of PPIs. I  wanted to ask my doctor about H2 inhibitor, but he didn't give me a  chance. I would really really appreciate any advice you can give me.  Thanks!</t>
        </is>
      </c>
      <c r="D6899" t="n">
        <v>1</v>
      </c>
      <c r="E6899" t="n">
        <v>49</v>
      </c>
      <c r="F6899">
        <f>HYPERLINK("https://www.reddit.com/r/GERD/comments/gcruyg/severe_acid_reflux_after_stopping_proton_pump/")</f>
        <v/>
      </c>
      <c r="G6899" t="inlineStr">
        <is>
          <t>2020-05-03 07:51:36</t>
        </is>
      </c>
      <c r="H6899" t="inlineStr"/>
    </row>
    <row r="6900">
      <c r="A6900" t="inlineStr">
        <is>
          <t>gcsmy6</t>
        </is>
      </c>
      <c r="B6900" t="inlineStr">
        <is>
          <t>How is it that I can't find 2 sources showing the same PRAL number for the same food ?</t>
        </is>
      </c>
      <c r="C6900" t="inlineStr">
        <is>
          <t>Hi,
First of all, please excuse my English as it is not my mother tongue, and thanks in advance for your replies.
I've been dealing with GERD symptoms for a while now , and trying to do everything to finally feel better.
I quit smoking, lower my drinking, I'm working on my stress and watching what I eat.
Doing a lot of changes giving up almost everything I enjoyed until now.
I'm now basing what I eat on the PRAL (Potential Renal Acid Load) number of every food, trying to avoid any acidic food.
But the thing is, all the sources I find that classify the acidic and alkaline food contradict each other and none has the same number for the same food.
For example, some sources say lemon juice is acidic, other say it's neutral or alkaline.
Same about chicken eggs. Or almonds...
Why does this differences exists, and what is a reliable source for this kind of infos?
Does anyone else check the PRAL number of their food or am I doing this wrong ?</t>
        </is>
      </c>
      <c r="D6900" t="n">
        <v>1</v>
      </c>
      <c r="E6900" t="n">
        <v>0</v>
      </c>
      <c r="F6900">
        <f>HYPERLINK("https://www.reddit.com/r/GERD/comments/gcsmy6/how_is_it_that_i_cant_find_2_sources_showing_the/")</f>
        <v/>
      </c>
      <c r="G6900" t="inlineStr">
        <is>
          <t>2020-05-03 08:39:52</t>
        </is>
      </c>
      <c r="H6900" t="inlineStr"/>
    </row>
    <row r="6901">
      <c r="A6901" t="inlineStr">
        <is>
          <t>gcsvf6</t>
        </is>
      </c>
      <c r="B6901" t="inlineStr">
        <is>
          <t>Stomach problems and back pain</t>
        </is>
      </c>
      <c r="C6901" t="inlineStr">
        <is>
          <t>Bloating and back pain!
Hi guys, so my question is can back pain occur due to bloating and indigestion? 
I’ve been going through a super stressful period in my life (for other health reasons).   As a result, I have had odd stomach problems as of late.  
Started off with getting full quickly.  My stomach would become bloated within a few bites.  It would take me forever to digest my food (more than usual). I would poop every other day, soft stools.
Then that pain seemed to go away for a few weeks.
But just last night, after I ate a few bites of pasta, that feeling came back.
And on top of it, whenever I’m standing upright I have mid/upper back pain.
I wonder if extreme stress -&amp;gt; stomach problems -&amp;gt; back pain are somehow correlated with one another? 
Any advice would be great.  
On a side note: I never suffered with stomach problems for this long before.
29 years old
5’7 
170 lbs</t>
        </is>
      </c>
      <c r="D6901" t="n">
        <v>1</v>
      </c>
      <c r="E6901" t="n">
        <v>1</v>
      </c>
      <c r="F6901">
        <f>HYPERLINK("https://www.reddit.com/r/GERD/comments/gcsvf6/stomach_problems_and_back_pain/")</f>
        <v/>
      </c>
      <c r="G6901" t="inlineStr">
        <is>
          <t>2020-05-03 08:54:25</t>
        </is>
      </c>
      <c r="H6901" t="inlineStr"/>
    </row>
    <row r="6902">
      <c r="A6902" t="inlineStr">
        <is>
          <t>gct0cl</t>
        </is>
      </c>
      <c r="B6902" t="inlineStr">
        <is>
          <t>Is this acid reflux/gerd, or is it something else? Confused.. please help</t>
        </is>
      </c>
      <c r="C6902" t="inlineStr">
        <is>
          <t>So for over 2 weeks now I’ve been suffering with:
-shortness of breath
-wheezing especially at night or in the morning when I wake up 
-mild asthma symptoms are back that I haven’t had since I was 12 and I am now 22
-pain in upper back when I’m eating and I can feel the food go down as I swallow 
-trouble swallowing every now and then because it hurts to 
-pain on the right side of my neck sometimes especially when I eat that comes and goes 
-pain in throat when I burp 
-a lot of burping even though I don’t drink anything other than water 
-a lot of mucus in my throat 
-when I burp sometimes stuff will come out 
-weird taste in mouth
I am a 22 year old female and relatively healthy(?). I’ve been very stressed because of quarantine and being stuck in the house for 2+ months so that has really affected my mental and physical health as well. 
I went to the er twice because I couldn’t breathe, and I went to my doctor a few times too. The first doctor said it might just be my asthma and seasonal allergies, and then the second time I went to the er that doctor said it might be acid reflux. 
After visiting with my own doctor a few days later, I ended up getting more confused because she said it was probably just mild asthma and my anxiety taking over? I kept telling her that my back hurts when I eat and I feel like there’s something stuck in my throat but she didn’t really give me an answer on that. Now it’s 9am and I’ve been up for hours trying to fall asleep but can’t from the pain and overthinking.
What do you guys think it is? And does anyone have anything similar?</t>
        </is>
      </c>
      <c r="D6902" t="n">
        <v>1</v>
      </c>
      <c r="E6902" t="n">
        <v>7</v>
      </c>
      <c r="F6902">
        <f>HYPERLINK("https://www.reddit.com/r/GERD/comments/gct0cl/is_this_acid_refluxgerd_or_is_it_something_else/")</f>
        <v/>
      </c>
      <c r="G6902" t="inlineStr">
        <is>
          <t>2020-05-03 09:02:22</t>
        </is>
      </c>
      <c r="H6902" t="inlineStr"/>
    </row>
    <row r="6903">
      <c r="A6903" t="inlineStr">
        <is>
          <t>gcu385</t>
        </is>
      </c>
      <c r="B6903" t="inlineStr">
        <is>
          <t>Treating esophagitis without ppis? help</t>
        </is>
      </c>
      <c r="C6903" t="inlineStr">
        <is>
          <t>I've had esophagitis for about four months now, and was on dexilant from january-beginning of march. While dexilant made me feel slightly better and less panicked about my heartburn and chest pain, it also made me feel super bloated and uncomfortably gassy, and I started having IBS symptoms (constipation followed by bouts of diarrhea). Since being off it, those symptoms have gone down, but now for the past two months since being off it, I have been experiencing a rebound of acid reflux symptoms that go all the way up my throat. Chest pain, heartburn, sore throat, etc. 
&amp;amp;#x200B;
I'm trying a combo AIP/low fodmap diet, have a wedge pillow, am taking magnesium pills, and am waiting on the Gaviscon Advance that I ordered to help. However, I'm feeling super anxious that I'm risking making my esophagitis much much worse without taking any medication to help. And at the same time, I'm super anxious about the long term risks of PPIs, as I've taken them in the past, and felt like dexilant was ruining my body. My GI doesn't tell me anything other than take this medicine, and stop being anxious. 
&amp;amp;#x200B;
I would really appreciate any advice in dealing with esophagitis. I'm pretty scared.</t>
        </is>
      </c>
      <c r="D6903" t="n">
        <v>1</v>
      </c>
      <c r="E6903" t="n">
        <v>4</v>
      </c>
      <c r="F6903">
        <f>HYPERLINK("https://www.reddit.com/r/GERD/comments/gcu385/treating_esophagitis_without_ppis_help/")</f>
        <v/>
      </c>
      <c r="G6903" t="inlineStr">
        <is>
          <t>2020-05-03 10:05:58</t>
        </is>
      </c>
      <c r="H6903" t="inlineStr"/>
    </row>
    <row r="6904">
      <c r="A6904" t="inlineStr">
        <is>
          <t>gcuwdf</t>
        </is>
      </c>
      <c r="B6904" t="inlineStr">
        <is>
          <t>Yes it definitely the chocolate.. (bit of a self reminder note)</t>
        </is>
      </c>
      <c r="C6904" t="inlineStr">
        <is>
          <t>So the other day I was complaining about a horrible taste in the back of my throat associating it with GERD and then asked if it was to do with eating so much chocolate. Today I’ve been baking, milk chocolate white chocolate.. all of it.. and now it’s the end of the day and my throat feels absolutely disgusting! So I guess yes.. it is the chocolate 🍫</t>
        </is>
      </c>
      <c r="D6904" t="n">
        <v>1</v>
      </c>
      <c r="E6904" t="n">
        <v>5</v>
      </c>
      <c r="F6904">
        <f>HYPERLINK("https://www.reddit.com/r/GERD/comments/gcuwdf/yes_it_definitely_the_chocolate_bit_of_a_self/")</f>
        <v/>
      </c>
      <c r="G6904" t="inlineStr">
        <is>
          <t>2020-05-03 10:52:50</t>
        </is>
      </c>
      <c r="H6904" t="inlineStr"/>
    </row>
    <row r="6905">
      <c r="A6905" t="inlineStr">
        <is>
          <t>gcw3h1</t>
        </is>
      </c>
      <c r="B6905" t="inlineStr">
        <is>
          <t>Only get the effects when eating and drinking?</t>
        </is>
      </c>
      <c r="C6905" t="inlineStr">
        <is>
          <t>Hello,
&amp;amp;#x200B;
My doctor has diagnosed me with GERD, I am on PPI(**pantoprazole)** 80MG/day.
&amp;amp;#x200B;
Prior to the prescription, i had burping 24/7, chest pain, and pain directly in my stomach under my left rib cage. The symptoms have almost stopped, but i find as soon as i eat anything at all, or drink even water my symptoms start right back up. 
&amp;amp;#x200B;
Does this happen to any of you?
&amp;amp;#x200B;
Thanks</t>
        </is>
      </c>
      <c r="D6905" t="n">
        <v>1</v>
      </c>
      <c r="E6905" t="n">
        <v>3</v>
      </c>
      <c r="F6905">
        <f>HYPERLINK("https://www.reddit.com/r/GERD/comments/gcw3h1/only_get_the_effects_when_eating_and_drinking/")</f>
        <v/>
      </c>
      <c r="G6905" t="inlineStr">
        <is>
          <t>2020-05-03 12:00:58</t>
        </is>
      </c>
      <c r="H6905" t="inlineStr"/>
    </row>
    <row r="6906">
      <c r="A6906" t="inlineStr">
        <is>
          <t>gcwkix</t>
        </is>
      </c>
      <c r="B6906" t="inlineStr">
        <is>
          <t>Anyone have luck with breathing exercises with mild to moderate GERD/LPR</t>
        </is>
      </c>
      <c r="C6906" t="inlineStr">
        <is>
          <t>I've been treating my GERD, semi-succesfully, with a combination of diet, PPI, and dietary supplements for the last 10 months. I'm curious about meditative or breathing exercises to include in my regimen.
I've been noticing, not just in myself but in almost everyone in this sub and around me, instances of anxiety/breathing difficulties due to the collective COVID anxiety. I already have a diagnosed anxiety disorder that I know I carry in my chest and abdomen. This has always caused breathing issues, chest tightness, panic, and most likely my GERD. It's been a problem for decades. My goal is to see if disciplining myself in some breathing techniques could help me differentiate GERD symptoms from anxiety symptoms, so I know how to better treat myself, and more effectively calm myself as well.  
Any sources, such as articles, books, personal experience are welcome.</t>
        </is>
      </c>
      <c r="D6906" t="n">
        <v>1</v>
      </c>
      <c r="E6906" t="n">
        <v>14</v>
      </c>
      <c r="F6906">
        <f>HYPERLINK("https://www.reddit.com/r/GERD/comments/gcwkix/anyone_have_luck_with_breathing_exercises_with/")</f>
        <v/>
      </c>
      <c r="G6906" t="inlineStr">
        <is>
          <t>2020-05-03 12:28:11</t>
        </is>
      </c>
      <c r="H6906" t="inlineStr"/>
    </row>
    <row r="6907">
      <c r="A6907" t="inlineStr">
        <is>
          <t>gcy3pe</t>
        </is>
      </c>
      <c r="B6907" t="inlineStr">
        <is>
          <t>What did your schedule look like to come off PPIs?</t>
        </is>
      </c>
      <c r="C6907" t="inlineStr">
        <is>
          <t>I’m a male, 200 lbs 6’1 and 22 years old.  
Currently I am on a 2 week regiment.  I wanted to see what successful actions others took.
Currently I am taking
Probiotic (20 ppm or whatever)
PPI generic CVS (day 1)
Psyllium husk fiber supplement
Multivitamin (wasn’t able to feel finger tips before)
Miralax (on day 3 and I still haven’t had any benefit from it [day 6 constipated] which I’m really fucking scared about).</t>
        </is>
      </c>
      <c r="D6907" t="n">
        <v>1</v>
      </c>
      <c r="E6907" t="n">
        <v>2</v>
      </c>
      <c r="F6907">
        <f>HYPERLINK("https://www.reddit.com/r/GERD/comments/gcy3pe/what_did_your_schedule_look_like_to_come_off_ppis/")</f>
        <v/>
      </c>
      <c r="G6907" t="inlineStr">
        <is>
          <t>2020-05-03 13:58:13</t>
        </is>
      </c>
      <c r="H6907" t="inlineStr"/>
    </row>
    <row r="6908">
      <c r="A6908" t="inlineStr">
        <is>
          <t>gcylel</t>
        </is>
      </c>
      <c r="B6908" t="inlineStr">
        <is>
          <t>GERD</t>
        </is>
      </c>
      <c r="C6908" t="inlineStr">
        <is>
          <t>My anxiety is soooo high and my GERD is coming in HOT. Everything I eat makes my throat burn. EVERYTHING. My tongue feels sore, my coughing doesn't get bad until night or until I get really stressed, Sometimes I have a feeling in my throat that I have to cough but it wouldn't come out, also does anyone else's GERD feel like it spikes when they're walking? like I've noticed that when I walk I feel like a need to cough and my stomach feels kind of tight.</t>
        </is>
      </c>
      <c r="D6908" t="n">
        <v>1</v>
      </c>
      <c r="E6908" t="n">
        <v>4</v>
      </c>
      <c r="F6908">
        <f>HYPERLINK("https://www.reddit.com/r/GERD/comments/gcylel/gerd/")</f>
        <v/>
      </c>
      <c r="G6908" t="inlineStr">
        <is>
          <t>2020-05-03 14:26:36</t>
        </is>
      </c>
      <c r="H6908" t="inlineStr"/>
    </row>
    <row r="6909">
      <c r="A6909" t="inlineStr">
        <is>
          <t>gczg73</t>
        </is>
      </c>
      <c r="B6909" t="inlineStr">
        <is>
          <t>I Found a cure and it works!</t>
        </is>
      </c>
      <c r="C6909" t="inlineStr">
        <is>
          <t>*Gerd is caused by low stomach acid!* 
Antacids are a billion dollar industry they don't want you to be cured they want your money. The reason you get heartburn is because of acid splashing into your esophagus the reason being an open LES yes we all hear that but what's opening the LES? Upper abdominal pressure caused by gas from the stomach. Which is caused by bacterial overgrowth. The reason we get bacterial overgrowth in the stomach is because our stomach acid is so low it can't kill some bacteria so the bacteria ferments in the stomach causing the gas to build up.
*The Cure!* 
The cure is a Betaine HCL + Pepsin supplement
And an Intrinsic Factor (B12 Absorber)
*Our stomach was made for high stomach acid. You can all move on from Gerd as a chapter of your lives now and live happily ever after.*</t>
        </is>
      </c>
      <c r="D6909" t="n">
        <v>1</v>
      </c>
      <c r="E6909" t="n">
        <v>0</v>
      </c>
      <c r="F6909">
        <f>HYPERLINK("https://www.reddit.com/r/GERD/comments/gczg73/i_found_a_cure_and_it_works/")</f>
        <v/>
      </c>
      <c r="G6909" t="inlineStr">
        <is>
          <t>2020-05-03 15:18:21</t>
        </is>
      </c>
      <c r="H6909" t="inlineStr"/>
    </row>
    <row r="6910">
      <c r="A6910" t="inlineStr">
        <is>
          <t>gczgrn</t>
        </is>
      </c>
      <c r="B6910" t="inlineStr">
        <is>
          <t>Does anyone else get A cold mentholated feeling?</t>
        </is>
      </c>
      <c r="C6910" t="inlineStr">
        <is>
          <t>Once they drink a cold drink? It is in my chest and in my mouth. It can last for hours</t>
        </is>
      </c>
      <c r="D6910" t="n">
        <v>1</v>
      </c>
      <c r="E6910" t="n">
        <v>3</v>
      </c>
      <c r="F6910">
        <f>HYPERLINK("https://www.reddit.com/r/GERD/comments/gczgrn/does_anyone_else_get_a_cold_mentholated_feeling/")</f>
        <v/>
      </c>
      <c r="G6910" t="inlineStr">
        <is>
          <t>2020-05-03 15:19:21</t>
        </is>
      </c>
      <c r="H6910" t="inlineStr"/>
    </row>
    <row r="6911">
      <c r="A6911" t="inlineStr">
        <is>
          <t>gd19kq</t>
        </is>
      </c>
      <c r="B6911" t="inlineStr">
        <is>
          <t>Protonix not working. Is it too soon to tell?</t>
        </is>
      </c>
      <c r="C6911" t="inlineStr">
        <is>
          <t>I’ve been taking protonix 40 mg twice a day for two weeks and am still getting dizzy, lightheaded, still can’t eat anything besides oatmeal and baked chicken, and have a post nasal drip. Has anyone experienced protonix taking longer than two weeks to work?</t>
        </is>
      </c>
      <c r="D6911" t="n">
        <v>1</v>
      </c>
      <c r="E6911" t="n">
        <v>3</v>
      </c>
      <c r="F6911">
        <f>HYPERLINK("https://www.reddit.com/r/GERD/comments/gd19kq/protonix_not_working_is_it_too_soon_to_tell/")</f>
        <v/>
      </c>
      <c r="G6911" t="inlineStr">
        <is>
          <t>2020-05-03 17:13:43</t>
        </is>
      </c>
      <c r="H6911" t="inlineStr"/>
    </row>
    <row r="6912">
      <c r="A6912" t="inlineStr">
        <is>
          <t>gd1jtq</t>
        </is>
      </c>
      <c r="B6912" t="inlineStr">
        <is>
          <t>Pepcid</t>
        </is>
      </c>
      <c r="C6912" t="inlineStr">
        <is>
          <t>I wish people would repsect the people who actually need it and not hoard them cause it is a possible treatment to corona virus</t>
        </is>
      </c>
      <c r="D6912" t="n">
        <v>1</v>
      </c>
      <c r="E6912" t="n">
        <v>6</v>
      </c>
      <c r="F6912">
        <f>HYPERLINK("https://www.reddit.com/r/GERD/comments/gd1jtq/pepcid/")</f>
        <v/>
      </c>
      <c r="G6912" t="inlineStr">
        <is>
          <t>2020-05-03 17:32:32</t>
        </is>
      </c>
      <c r="H6912" t="inlineStr"/>
    </row>
    <row r="6913">
      <c r="A6913" t="inlineStr">
        <is>
          <t>gd26ux</t>
        </is>
      </c>
      <c r="B6913" t="inlineStr">
        <is>
          <t>Anyone recommend any surgeons in the Houston/Austin area?</t>
        </is>
      </c>
      <c r="C6913" t="inlineStr">
        <is>
          <t>Just found out I have a small hiatal hernia</t>
        </is>
      </c>
      <c r="D6913" t="n">
        <v>1</v>
      </c>
      <c r="E6913" t="n">
        <v>2</v>
      </c>
      <c r="F6913">
        <f>HYPERLINK("https://www.reddit.com/r/GERD/comments/gd26ux/anyone_recommend_any_surgeons_in_the/")</f>
        <v/>
      </c>
      <c r="G6913" t="inlineStr">
        <is>
          <t>2020-05-03 18:14:37</t>
        </is>
      </c>
      <c r="H6913" t="inlineStr"/>
    </row>
    <row r="6914">
      <c r="A6914" t="inlineStr">
        <is>
          <t>gd2lio</t>
        </is>
      </c>
      <c r="B6914" t="inlineStr">
        <is>
          <t>Burning sensation on waking up in he morning.</t>
        </is>
      </c>
      <c r="C6914" t="inlineStr">
        <is>
          <t>Is burning sensation normal when waking up... I chug a lot of water and i feels beter than.
I do take an antacid before sleeping in the night</t>
        </is>
      </c>
      <c r="D6914" t="n">
        <v>1</v>
      </c>
      <c r="E6914" t="n">
        <v>1</v>
      </c>
      <c r="F6914">
        <f>HYPERLINK("https://www.reddit.com/r/GERD/comments/gd2lio/burning_sensation_on_waking_up_in_he_morning/")</f>
        <v/>
      </c>
      <c r="G6914" t="inlineStr">
        <is>
          <t>2020-05-03 18:43:00</t>
        </is>
      </c>
      <c r="H6914" t="inlineStr"/>
    </row>
    <row r="6915">
      <c r="A6915" t="inlineStr">
        <is>
          <t>gd2og5</t>
        </is>
      </c>
      <c r="B6915" t="inlineStr">
        <is>
          <t>Digestive system is officially fucked. Tomorrow will be my first day going on hardcore clean diet</t>
        </is>
      </c>
      <c r="C6915" t="inlineStr">
        <is>
          <t>I didn’t listen to the acid reflux or indigestion..... it resulted horribly to say the least. I’m going to attempt to quit everything bad for GERD, including caffeine, starting when I wake up tomorrow. I actually have done it before and it worked for a while but GERD came back when I thought I was ok to eat like normal again.... this situation sucks but to be honest, I would much rather be more restricted in what I eat then feel physically and mentally miserable from this disease thing. Wish me luck</t>
        </is>
      </c>
      <c r="D6915" t="n">
        <v>1</v>
      </c>
      <c r="E6915" t="n">
        <v>1</v>
      </c>
      <c r="F6915">
        <f>HYPERLINK("https://www.reddit.com/r/GERD/comments/gd2og5/digestive_system_is_officially_fucked_tomorrow/")</f>
        <v/>
      </c>
      <c r="G6915" t="inlineStr">
        <is>
          <t>2020-05-03 18:48:48</t>
        </is>
      </c>
      <c r="H6915" t="inlineStr"/>
    </row>
    <row r="6916">
      <c r="A6916" t="inlineStr">
        <is>
          <t>gd2udf</t>
        </is>
      </c>
      <c r="B6916" t="inlineStr">
        <is>
          <t>Acid watcher diet, meat and chunk problems, regurgitation</t>
        </is>
      </c>
      <c r="C6916" t="inlineStr">
        <is>
          <t>Hi all. 
Some graphic descriptions of my ailments ahead, fair warning. 
I've been having bad acid reflux for the best part of 4/5 years now. No diagnosis. I am the healthiest man in the world according to all the doctors I have seen. My BP is pristine, my cholesterol great, seen all kinds of doctors who tell me that despite physically burning my throat (the acid damage is visible) and 4 endoscopies and biopsies, there is absolutely nothing wrong with me. Just went to the cardiologist. Heart is amazing. 
I am not looking for a diagnosis. I am looking to see if anyone has ever had symptoms subside from any kind of a diet. Here's the kicker: I can't really eat meat, I don't digest it well. Any big chunks in my diet get regurgitated violently, and I get bloated and gassy. Food comes right back up, irritating my throat further. I have burped acid straight down my nose and sinuses. 
I did exclusion diets. I checked food sensitivity. I am on ppi, and take enzymes for digestion. I did keto and McDougall. Nothing seems to help. I walk 2 hours a day, bike from time to time, and before the lockdown played badminton/soccer from time to time. 
Is there anyone out there who has done a successful lifestyle change? Thanks in advance.</t>
        </is>
      </c>
      <c r="D6916" t="n">
        <v>1</v>
      </c>
      <c r="E6916" t="n">
        <v>1</v>
      </c>
      <c r="F6916">
        <f>HYPERLINK("https://www.reddit.com/r/GERD/comments/gd2udf/acid_watcher_diet_meat_and_chunk_problems/")</f>
        <v/>
      </c>
      <c r="G6916" t="inlineStr">
        <is>
          <t>2020-05-03 19:00:21</t>
        </is>
      </c>
      <c r="H6916" t="inlineStr"/>
    </row>
    <row r="6917">
      <c r="A6917" t="inlineStr">
        <is>
          <t>gd2yet</t>
        </is>
      </c>
      <c r="B6917" t="inlineStr">
        <is>
          <t>I’m new to clean eating: so question about my dinner.</t>
        </is>
      </c>
      <c r="C6917" t="inlineStr">
        <is>
          <t>Do you think blackened fish is okay to eat? Lol this sounds ridiculous but I want my fish blackened and don’t know if the spices are safe. I’m already not eating tartar sauce. 😫</t>
        </is>
      </c>
      <c r="D6917" t="n">
        <v>1</v>
      </c>
      <c r="E6917" t="n">
        <v>0</v>
      </c>
      <c r="F6917">
        <f>HYPERLINK("https://www.reddit.com/r/GERD/comments/gd2yet/im_new_to_clean_eating_so_question_about_my_dinner/")</f>
        <v/>
      </c>
      <c r="G6917" t="inlineStr">
        <is>
          <t>2020-05-03 19:08:09</t>
        </is>
      </c>
      <c r="H6917" t="inlineStr"/>
    </row>
    <row r="6918">
      <c r="A6918" t="inlineStr">
        <is>
          <t>gd3ose</t>
        </is>
      </c>
      <c r="B6918" t="inlineStr">
        <is>
          <t>Is GERD/acid reflux with you for life or can it go away on its own?</t>
        </is>
      </c>
      <c r="C6918" t="inlineStr">
        <is>
          <t>Has anyone ever had their GERD go away on their own? Or is surgery the only option (besides having to avoid trigger foods)?
I've only had acid reflux for 2 years, so not sure if this thing is for life or not...?
BTW I also have always ate very healthy.
Thanks!</t>
        </is>
      </c>
      <c r="D6918" t="n">
        <v>1</v>
      </c>
      <c r="E6918" t="n">
        <v>38</v>
      </c>
      <c r="F6918">
        <f>HYPERLINK("https://www.reddit.com/r/GERD/comments/gd3ose/is_gerdacid_reflux_with_you_for_life_or_can_it_go/")</f>
        <v/>
      </c>
      <c r="G6918" t="inlineStr">
        <is>
          <t>2020-05-03 20:00:47</t>
        </is>
      </c>
      <c r="H6918" t="inlineStr"/>
    </row>
    <row r="6919">
      <c r="A6919" t="inlineStr">
        <is>
          <t>gd423a</t>
        </is>
      </c>
      <c r="B6919" t="inlineStr">
        <is>
          <t>GERD for 6 Years</t>
        </is>
      </c>
      <c r="C6919" t="inlineStr">
        <is>
          <t>I have dealt with severe heartburn for probably around 6 years now. It started with feeling like acid was eating through my esophagus. I didn’t understand how dangerous heartburn can be so I didn’t pay attention to it until one night I woke up vomiting my supper. Then the next night I vomited up my supper. Then I started vomiting almost every night and my esophagus hurt so much from my throat to my stomach. 
The doctor prescribed me an antacid that is truly a miracle worker. It reduces the acid in my stomach and the sharp pain that would bring me to tears ended. Before the pills, usually a night of vomiting striped my esophagus so raw I couldn’t drink water and could barely get some warm brother down me.
But I still vomit. I’m learning to eliminate the foods I find trigger the vomiting. I was supposed to get an endoscopy in March. Swallowing is becoming a challenge and my food comes up with burps like my esophagus is an inch or something. Because of the Coronavirus the endoscopy has been postponed until further notice. But despite the extreme elimination diet I’m still struggling with vomiting and nausea most the time. My family has encouraged me to call my doctor and ask her advice but I don’t see how she can help until I can get the endoscopy.
I’m just miserable and depressed. I’m laying in bed nursing nausea right now. A lot of times a food that bothers me one day won’t bother me the next or vice versa. My aunt died of stomach cancer and the thought of my GERD possibly leading to that freaks me the hell out. I am encouraged to find this subreddit because I don’t know anyone else with this condition in person.</t>
        </is>
      </c>
      <c r="D6919" t="n">
        <v>1</v>
      </c>
      <c r="E6919" t="n">
        <v>6</v>
      </c>
      <c r="F6919">
        <f>HYPERLINK("https://www.reddit.com/r/GERD/comments/gd423a/gerd_for_6_years/")</f>
        <v/>
      </c>
      <c r="G6919" t="inlineStr">
        <is>
          <t>2020-05-03 20:26:38</t>
        </is>
      </c>
      <c r="H6919" t="inlineStr"/>
    </row>
    <row r="6920">
      <c r="A6920" t="inlineStr">
        <is>
          <t>gd47mb</t>
        </is>
      </c>
      <c r="B6920" t="inlineStr">
        <is>
          <t>Confused and scared</t>
        </is>
      </c>
      <c r="C6920" t="inlineStr">
        <is>
          <t>The past few weeks I’ve noticed that I burp way too much, I didn’t take it too serious but did take note that this would happen almost after every single meal/snack.
2 weeks ago I had trouble breathing, went from half to really short breathing, this scared me so much that I thought I would collapse &amp;amp; die (&amp;amp;&amp;amp;corona fear). Something similar happened today - it wasn’t as bad, lots of burping and yawning to feel normal again. 
Has any of you experienced something similar? Any advice please</t>
        </is>
      </c>
      <c r="D6920" t="n">
        <v>1</v>
      </c>
      <c r="E6920" t="n">
        <v>4</v>
      </c>
      <c r="F6920">
        <f>HYPERLINK("https://www.reddit.com/r/GERD/comments/gd47mb/confused_and_scared/")</f>
        <v/>
      </c>
      <c r="G6920" t="inlineStr">
        <is>
          <t>2020-05-03 20:37:46</t>
        </is>
      </c>
      <c r="H6920" t="inlineStr"/>
    </row>
    <row r="6921">
      <c r="A6921" t="inlineStr">
        <is>
          <t>gd49hg</t>
        </is>
      </c>
      <c r="B6921" t="inlineStr">
        <is>
          <t>Anyone have worsened symptoms days after a triggering meal?</t>
        </is>
      </c>
      <c r="C6921" t="inlineStr">
        <is>
          <t>Hi all! So my wonderful, sweet boyfriend made a homemade pesto two days ago with the basil we have growing on our window sill. He put SO MUCH RAW GARLIC in there. Like, within a bite I could tell it was probably a bad idea, but I couldn't look at his sweet face and tell him I couldn't eat it! That night, as anticipated, I had bad reflux that kept waking me up. Burping, globus sensation, nausea, just grossness. However, here's what I didn't anticipate. The past two days, I've had an ongoing globus sensation and just this persistent soreness in my esophagus. Like, I can feel it is irritated. It has been ruining my appetite the past couple of days; I feel like I'm full right after I start eating. It struck me tonight that maybe this was because of the garlic-laden pesto incident. Has anyone ever had this kind of lingering worsening of symptoms happen? Any tips?</t>
        </is>
      </c>
      <c r="D6921" t="n">
        <v>1</v>
      </c>
      <c r="E6921" t="n">
        <v>5</v>
      </c>
      <c r="F6921">
        <f>HYPERLINK("https://www.reddit.com/r/GERD/comments/gd49hg/anyone_have_worsened_symptoms_days_after_a/")</f>
        <v/>
      </c>
      <c r="G6921" t="inlineStr">
        <is>
          <t>2020-05-03 20:41:27</t>
        </is>
      </c>
      <c r="H6921" t="inlineStr"/>
    </row>
    <row r="6922">
      <c r="A6922" t="inlineStr">
        <is>
          <t>gd604k</t>
        </is>
      </c>
      <c r="B6922" t="inlineStr">
        <is>
          <t>Had GERD Since I was 14 - Now 39 - Tried Cannabis &amp;amp; Had Relief for First Time I Can Remember</t>
        </is>
      </c>
      <c r="C6922" t="inlineStr">
        <is>
          <t>Hi - just wondering if anyone else has found this.
I spent £65 on 10% THC CBD Oil a while back which did nothing for my GERD. I helped a friend move house a few months ago and he gave me some of his homegrown cannabis. 
After a terrible flare up, was in pain really bad for 5 days - I took 3 vapes and although I had a bit of a sinus headache - my GERD had virtually gone. Night and Day. Even my wife who is anti-cannabis was amazed - she's more anti-my-farts and burps than anti-cannabis now.</t>
        </is>
      </c>
      <c r="D6922" t="n">
        <v>1</v>
      </c>
      <c r="E6922" t="n">
        <v>4</v>
      </c>
      <c r="F6922">
        <f>HYPERLINK("https://www.reddit.com/r/GERD/comments/gd604k/had_gerd_since_i_was_14_now_39_tried_cannabis_had/")</f>
        <v/>
      </c>
      <c r="G6922" t="inlineStr">
        <is>
          <t>2020-05-03 22:58:02</t>
        </is>
      </c>
      <c r="H6922" t="inlineStr"/>
    </row>
    <row r="6923">
      <c r="A6923" t="inlineStr">
        <is>
          <t>gd6tk6</t>
        </is>
      </c>
      <c r="B6923" t="inlineStr">
        <is>
          <t>Anyone got any tips for a scorched throat?</t>
        </is>
      </c>
      <c r="C6923" t="inlineStr">
        <is>
          <t>It even burns to inhale :( I’m new to these sensations so I’m not sure what’s right to soothe them acid from acid blockers.</t>
        </is>
      </c>
      <c r="D6923" t="n">
        <v>1</v>
      </c>
      <c r="E6923" t="n">
        <v>3</v>
      </c>
      <c r="F6923">
        <f>HYPERLINK("https://www.reddit.com/r/GERD/comments/gd6tk6/anyone_got_any_tips_for_a_scorched_throat/")</f>
        <v/>
      </c>
      <c r="G6923" t="inlineStr">
        <is>
          <t>2020-05-04 00:09:14</t>
        </is>
      </c>
      <c r="H6923" t="inlineStr"/>
    </row>
    <row r="6924">
      <c r="A6924" t="inlineStr">
        <is>
          <t>gd75jw</t>
        </is>
      </c>
      <c r="B6924" t="inlineStr">
        <is>
          <t>Anyone have sleep hacks they could share?</t>
        </is>
      </c>
      <c r="C6924" t="inlineStr">
        <is>
          <t>I suffer from acid reflux to the point it burns in my entire upper chest, the pain is low but usually present when I lay down for bed, I did get some prilosec to help but can't start taking it until tomorrow. I have trouble falling or staying asleep due to the occasional stabbing pain and the near constant burning sensation. Does anyone have tips for sleeping with GERD/acid reflux?</t>
        </is>
      </c>
      <c r="D6924" t="n">
        <v>1</v>
      </c>
      <c r="E6924" t="n">
        <v>3</v>
      </c>
      <c r="F6924">
        <f>HYPERLINK("https://www.reddit.com/r/GERD/comments/gd75jw/anyone_have_sleep_hacks_they_could_share/")</f>
        <v/>
      </c>
      <c r="G6924" t="inlineStr">
        <is>
          <t>2020-05-04 00:37:57</t>
        </is>
      </c>
      <c r="H6924" t="inlineStr"/>
    </row>
    <row r="6925">
      <c r="A6925" t="inlineStr">
        <is>
          <t>gd7fpt</t>
        </is>
      </c>
      <c r="B6925" t="inlineStr">
        <is>
          <t>Trying to get my head around these symptoms [36M]</t>
        </is>
      </c>
      <c r="C6925" t="inlineStr">
        <is>
          <t>Hi there, 
For the past 10 days I’ve been experiencing constant burping, heartburn and also a strange arrhythmia. 
Having researched the sub I have seen many posts talking about the skipped heartbeat, the adrenaline dump/rush, then a rapid heartbeat.
But for me it’s a little strange: instead of the rapid heartbeat it just goes back to its normal resting rhythm, and I let out a burp. I’ve caught the “pause” on my Apple Watch ECG a few times, even showing my doctor and also a cardiologist friend, both of whom put it down to GERD but with no real explanation.
There’s zero pain when it happens either, and I’ve managed to reduce the reflux burning sensation today with Nexium, Tums, and a better diet. But still these weird palpitations keep happening and it’s driving me insane.
I would love to know if anyone has had a similar experience? 
Thank you 🙏🏻</t>
        </is>
      </c>
      <c r="D6925" t="n">
        <v>1</v>
      </c>
      <c r="E6925" t="n">
        <v>3</v>
      </c>
      <c r="F6925">
        <f>HYPERLINK("https://www.reddit.com/r/GERD/comments/gd7fpt/trying_to_get_my_head_around_these_symptoms_36m/")</f>
        <v/>
      </c>
      <c r="G6925" t="inlineStr">
        <is>
          <t>2020-05-04 01:03:06</t>
        </is>
      </c>
      <c r="H6925" t="inlineStr"/>
    </row>
    <row r="6926">
      <c r="A6926" t="inlineStr">
        <is>
          <t>gd7u5b</t>
        </is>
      </c>
      <c r="B6926" t="inlineStr">
        <is>
          <t>Why do PPI’s take time to work for LPR?</t>
        </is>
      </c>
      <c r="C6926" t="inlineStr">
        <is>
          <t>Curious why some doctors mention weeks to months for PPI’s to work for LPR , perhaps GERD as well. Any insight would be great.</t>
        </is>
      </c>
      <c r="D6926" t="n">
        <v>1</v>
      </c>
      <c r="E6926" t="n">
        <v>0</v>
      </c>
      <c r="F6926">
        <f>HYPERLINK("https://www.reddit.com/r/GERD/comments/gd7u5b/why_do_ppis_take_time_to_work_for_lpr/")</f>
        <v/>
      </c>
      <c r="G6926" t="inlineStr">
        <is>
          <t>2020-05-04 01:38:32</t>
        </is>
      </c>
      <c r="H6926" t="inlineStr"/>
    </row>
    <row r="6927">
      <c r="A6927" t="inlineStr">
        <is>
          <t>gd89to</t>
        </is>
      </c>
      <c r="B6927" t="inlineStr">
        <is>
          <t>GERD for about 3 years (29 years old), help.</t>
        </is>
      </c>
      <c r="C6927" t="inlineStr">
        <is>
          <t>My first post in this sub, first of all sorry for my English.
I live with this damn thing for about 3 years, I feel constant pain, bad taste in my throat and I tried  meds that several doctors gave me.
Once I was a fit man, I eat healthy, I quit alcohol for about 4 years because I was focused in staying healthy, never smoke anything... but this damn thing changed everything from day 1.
I tried to follow a diet (drinking only water wasn't a issue for me), meds, everything but this damn thing doesn't go away. Had several test and several doctors talked to me like everything is alright but man, it's really hard to accept those words after years with this trying everything and none of that works.
Please, whatever words of advice means a lot to me because nobody understands what I am dealing with day by day. It change my mood, my work, my life... It's really hard. 
Finally but no less important, I hope that everyone of you stays in good health in these trouble days with your loved ones. We gonna beat this virus and hopefully this f damn thing with four letters.</t>
        </is>
      </c>
      <c r="D6927" t="n">
        <v>1</v>
      </c>
      <c r="E6927" t="n">
        <v>40</v>
      </c>
      <c r="F6927">
        <f>HYPERLINK("https://www.reddit.com/r/GERD/comments/gd89to/gerd_for_about_3_years_29_years_old_help/")</f>
        <v/>
      </c>
      <c r="G6927" t="inlineStr">
        <is>
          <t>2020-05-04 02:15:43</t>
        </is>
      </c>
      <c r="H6927" t="inlineStr"/>
    </row>
    <row r="6928">
      <c r="A6928" t="inlineStr">
        <is>
          <t>gda5jn</t>
        </is>
      </c>
      <c r="B6928" t="inlineStr">
        <is>
          <t>Could this be just GERD or a hernia? Or anxiety?</t>
        </is>
      </c>
      <c r="C6928" t="inlineStr">
        <is>
          <t>My symptoms of breathlessness and acid reflux/gas/burping began in early Feb after a weird session at the gym - tbh I had a big Pizza Hut meal before I went weightlifting so it wasn’t very smart. I was doing squats then went to do the side plank and suddenly something happened and it felt like i couldn’t get a breath in. I then had a panic attack. Since then the breathlessness and other symptoms got worse, my nose became inflamed and bloody and I keep feeling like something is trapped in my chest/throat. I also have been having more frequent panic attacks so it’s hard to distinguish things. 
Then, 2 weeks ago I started to vomit. Not sure what brought it on, but I was vomiting, regurgitating food and acid, and dry heaving multiple times a day for 9 days straight. I lost a LOTA of weight and I was verging on underweight anyway. I went to A&amp;amp;E for blood tests and they thought it was GERD and dehydration. 
I was given a PPI, but I have health anxiety so I didn’t take it. I took Gaviscon Advance which stopped the vomiting! But I still get breathlessness esp after certain meals and I’m still burping a lot, and getting a feeling of something stuck in my chest. My GP says not to worry and it’s probably just GERD or a stomach bug, and sometimes things “aren’t black and white in medicine”. I haven’t mentioned my fears of a hernia to her as she knows I have health anxiety so often will ignore me, and I probably won’t be able to see anyone like a GI due to the virus. 
I also have joint hypermobility syndrome/ehlers danlos hypermobility type which means I’m very likely to get hernias as my connective tissue is weak - I was warned about this at a rheumatology hospital when I used to get physiotherapy for my joint.</t>
        </is>
      </c>
      <c r="D6928" t="n">
        <v>1</v>
      </c>
      <c r="E6928" t="n">
        <v>10</v>
      </c>
      <c r="F6928">
        <f>HYPERLINK("https://www.reddit.com/r/GERD/comments/gda5jn/could_this_be_just_gerd_or_a_hernia_or_anxiety/")</f>
        <v/>
      </c>
      <c r="G6928" t="inlineStr">
        <is>
          <t>2020-05-04 04:48:57</t>
        </is>
      </c>
      <c r="H6928" t="inlineStr"/>
    </row>
    <row r="6929">
      <c r="A6929" t="inlineStr">
        <is>
          <t>gdabud</t>
        </is>
      </c>
      <c r="B6929" t="inlineStr">
        <is>
          <t>Decaf tea still triggers reflux symptoms for LPR</t>
        </is>
      </c>
      <c r="C6929" t="inlineStr">
        <is>
          <t>Anyone else notice this? I've been drinking mostly herbal teas like ginger, chamomile, marshmallow root etc as they all seem to help my throat. I used to be a massive tea drinker but I notice now even decaf tea aggravates my throat..</t>
        </is>
      </c>
      <c r="D6929" t="n">
        <v>1</v>
      </c>
      <c r="E6929" t="n">
        <v>3</v>
      </c>
      <c r="F6929">
        <f>HYPERLINK("https://www.reddit.com/r/GERD/comments/gdabud/decaf_tea_still_triggers_reflux_symptoms_for_lpr/")</f>
        <v/>
      </c>
      <c r="G6929" t="inlineStr">
        <is>
          <t>2020-05-04 05:02:12</t>
        </is>
      </c>
      <c r="H6929" t="inlineStr"/>
    </row>
    <row r="6930">
      <c r="A6930" t="inlineStr">
        <is>
          <t>gdcveo</t>
        </is>
      </c>
      <c r="B6930" t="inlineStr">
        <is>
          <t>Linx device failed</t>
        </is>
      </c>
      <c r="C6930" t="inlineStr">
        <is>
          <t>Hello guys i had the linx procedure over 1 year ago. The Linx never worked for me, now i will go for nissen. Did someone experienced the same with the linx device?</t>
        </is>
      </c>
      <c r="D6930" t="n">
        <v>1</v>
      </c>
      <c r="E6930" t="n">
        <v>7</v>
      </c>
      <c r="F6930">
        <f>HYPERLINK("https://www.reddit.com/r/GERD/comments/gdcveo/linx_device_failed/")</f>
        <v/>
      </c>
      <c r="G6930" t="inlineStr">
        <is>
          <t>2020-05-04 07:45:26</t>
        </is>
      </c>
      <c r="H6930" t="inlineStr"/>
    </row>
    <row r="6931">
      <c r="A6931" t="inlineStr">
        <is>
          <t>gdcymz</t>
        </is>
      </c>
      <c r="B6931" t="inlineStr">
        <is>
          <t>Side effects of omeprazole?</t>
        </is>
      </c>
      <c r="C6931" t="inlineStr">
        <is>
          <t>I've been on omeprazole since January and my stomach pain is almost gone but I just can't handle what I believe are the side effects of omeprazole. I take 40mg per day as a base but I'll take more if I'm having a flair up. But almost daily I'm having painful bloating, nausea, and diarrhea. I've eaten a vegan diet for the last 12 years and haven't had any major changes. I used to joke that I had guts made of iron but now I feel like I have IBS. Does this sound right for anyone else?</t>
        </is>
      </c>
      <c r="D6931" t="n">
        <v>1</v>
      </c>
      <c r="E6931" t="n">
        <v>1</v>
      </c>
      <c r="F6931">
        <f>HYPERLINK("https://www.reddit.com/r/GERD/comments/gdcymz/side_effects_of_omeprazole/")</f>
        <v/>
      </c>
      <c r="G6931" t="inlineStr">
        <is>
          <t>2020-05-04 07:50:49</t>
        </is>
      </c>
      <c r="H6931" t="inlineStr"/>
    </row>
    <row r="6932">
      <c r="A6932" t="inlineStr">
        <is>
          <t>gdczev</t>
        </is>
      </c>
      <c r="B6932" t="inlineStr">
        <is>
          <t>Constant headache</t>
        </is>
      </c>
      <c r="C6932" t="inlineStr">
        <is>
          <t>Okay so I’m a healthy 17 guy that used to exercise everyday until quarantine started (ive been trying to keep the routine tho) I’ve had acid reflux for the past 3 weeks and my dad has been giving me prilosec (when the acid attacks have been really bad) as he also has GERD. For the past few weeks I’ve been having constant headaches, the pain varies, sometimes its really bad, sometimes its just there but it doesnt go away. A week ago I went to the doctor for both my GERD testing (i have to go back in 2 weeks for that) and my headache which my doctor said was because of stress. I was wondering if GERD has any correlation with the headache bc its been really bugging me</t>
        </is>
      </c>
      <c r="D6932" t="n">
        <v>1</v>
      </c>
      <c r="E6932" t="n">
        <v>1</v>
      </c>
      <c r="F6932">
        <f>HYPERLINK("https://www.reddit.com/r/GERD/comments/gdczev/constant_headache/")</f>
        <v/>
      </c>
      <c r="G6932" t="inlineStr">
        <is>
          <t>2020-05-04 07:52:06</t>
        </is>
      </c>
      <c r="H6932" t="inlineStr"/>
    </row>
    <row r="6933">
      <c r="A6933" t="inlineStr">
        <is>
          <t>gdd5i2</t>
        </is>
      </c>
      <c r="B6933" t="inlineStr">
        <is>
          <t>Hiatus hernia + ppi's?</t>
        </is>
      </c>
      <c r="C6933" t="inlineStr">
        <is>
          <t>Hi everyone,
I am wondering if someone can provide me with an idea of what is next....I'll start with my current situation.
I was diagnosed with a 4cm sliding hiatus hernia in May 2019 and have since been taking omeprazole. I was taking 10-20mg a day trying to take as little as possible but recently whilst being in lockdown I've felt this horrible pressure in my chest where the hernia is.
I went into A&amp;amp;E and they said I've probably provoked it (pushups and situps?) and it should settle in a few days. It didn't, so I called my gp, and they upped my meds to 40mg a day. The pressure went away with the 40mg after a couple of days and I dropped to 30mg without consulting the Dr.
Then over the last few days I tried to drop to 20mg again and the pressure has returned. I therefore want to ask....
1. Has anyone else ever expereinced this pressure feeling in their chest? Previously all I had was heartburn. 
2. What's the better risk, to have slight heartburn by taking lower amounts of ppi's possibly damaging oesophagus or taking good amounts of ppi with the possible long term side effects?
3. One thing the Dr's haven't gave me is a long term plan. Am I expected to be on the omeprazole for the rest of my life or do people come off these over time? I'm guessing since it's a physical defect ill be on meds for a long time or need surgery to fix it.
4. Are there any over the counter solutions that are less dangerous than long term ppi usage? 
Any advice would be good. I'm only 32, so I hopefully have a long life ahead of me, and if I do that will be a long time to take ppi's for.</t>
        </is>
      </c>
      <c r="D6933" t="n">
        <v>1</v>
      </c>
      <c r="E6933" t="n">
        <v>9</v>
      </c>
      <c r="F6933">
        <f>HYPERLINK("https://www.reddit.com/r/GERD/comments/gdd5i2/hiatus_hernia_ppis/")</f>
        <v/>
      </c>
      <c r="G6933" t="inlineStr">
        <is>
          <t>2020-05-04 08:01:35</t>
        </is>
      </c>
      <c r="H6933" t="inlineStr"/>
    </row>
    <row r="6934">
      <c r="A6934" t="inlineStr">
        <is>
          <t>gddi8i</t>
        </is>
      </c>
      <c r="B6934" t="inlineStr">
        <is>
          <t>Symptom reduction after going dairy-free?</t>
        </is>
      </c>
      <c r="C6934" t="inlineStr">
        <is>
          <t>Currently low carb, have been gluten-free for years but dairy is the hardest to give up :( 
Especially because coconut/almond yogurt bloats me terribly.
The longest I lasted without dairy was - 10 days and I didn’t feel any relief... but at the same time I was taking Betaine HCL and eating high fat so maybe that’s why. (Have now stopped the HCL)
So I want to know, how long after giving up dairy did you feel a reduction in reflux symptoms? Is all dairy the same for you or are you fine with some types of dairy?</t>
        </is>
      </c>
      <c r="D6934" t="n">
        <v>1</v>
      </c>
      <c r="E6934" t="n">
        <v>1</v>
      </c>
      <c r="F6934">
        <f>HYPERLINK("https://www.reddit.com/r/GERD/comments/gddi8i/symptom_reduction_after_going_dairyfree/")</f>
        <v/>
      </c>
      <c r="G6934" t="inlineStr">
        <is>
          <t>2020-05-04 08:21:22</t>
        </is>
      </c>
      <c r="H6934" t="inlineStr"/>
    </row>
    <row r="6935">
      <c r="A6935" t="inlineStr">
        <is>
          <t>gde500</t>
        </is>
      </c>
      <c r="B6935" t="inlineStr">
        <is>
          <t>I need advice!</t>
        </is>
      </c>
      <c r="C6935" t="inlineStr">
        <is>
          <t>I've started dealing with GERD since last year when I got really bad anxiety and it was BAD. I was able to get it under control with the help of changing my diet and meds. 
Well. My anxiety is bad again and it's BACK. But this time, idk what to do. It started off with the non stop coughing. I was coughing so much and coughing up phlegm that the top of my stomach would feel sore. The coughing has stopped, but but I still have the WORST throat burning. It's bad and I've found out that it turned into esophagitis because I haven't been able to refill my prescription so my throat has just been burning. The belching is a lot and I'm just not even sleeping. The top of my stomach is extremely tight and is causing me to feel like I'm having shortness of breath when I walk. Is that the GERD? Or anxiety? All of this is a lot</t>
        </is>
      </c>
      <c r="D6935" t="n">
        <v>1</v>
      </c>
      <c r="E6935" t="n">
        <v>1</v>
      </c>
      <c r="F6935">
        <f>HYPERLINK("https://www.reddit.com/r/GERD/comments/gde500/i_need_advice/")</f>
        <v/>
      </c>
      <c r="G6935" t="inlineStr">
        <is>
          <t>2020-05-04 08:56:04</t>
        </is>
      </c>
      <c r="H6935" t="inlineStr"/>
    </row>
    <row r="6936">
      <c r="A6936" t="inlineStr">
        <is>
          <t>gded4g</t>
        </is>
      </c>
      <c r="B6936" t="inlineStr">
        <is>
          <t>Is a burning stomach a symptom of Gerd?</t>
        </is>
      </c>
      <c r="C6936" t="inlineStr">
        <is>
          <t>I get this on occasion but taking twontums tablets doesn't really seem to do much.</t>
        </is>
      </c>
      <c r="D6936" t="n">
        <v>1</v>
      </c>
      <c r="E6936" t="n">
        <v>14</v>
      </c>
      <c r="F6936">
        <f>HYPERLINK("https://www.reddit.com/r/GERD/comments/gded4g/is_a_burning_stomach_a_symptom_of_gerd/")</f>
        <v/>
      </c>
      <c r="G6936" t="inlineStr">
        <is>
          <t>2020-05-04 09:07:56</t>
        </is>
      </c>
      <c r="H6936" t="inlineStr"/>
    </row>
    <row r="6937">
      <c r="A6937" t="inlineStr">
        <is>
          <t>gdednz</t>
        </is>
      </c>
      <c r="B6937" t="inlineStr">
        <is>
          <t>Has anyone tried modified inspiratory muscle training (m-IMT)?</t>
        </is>
      </c>
      <c r="C6937" t="inlineStr">
        <is>
          <t>I've been doing some research since I got diagnosed to GERD (like probably all of you), and one pretty interesting (and recent, 2019) **scientific** article I found was about modified inspiratory muscle training (m-IMT).
In m-IMT you basically exercise the lazy "hatch" that is causing our GERD. The big thing here is that you can do it without medication or surgery and the exercises seem (based on the study) safe.
[https://sci-hub.se/10.1016/j.otorri.2019.01.003](https://sci-hub.se/10.1016/j.otorri.2019.01.003)
In case the article is taken down here are the exercise steps:
&amp;gt;Every patient included in the study must repeat m-IMT schedule twice a day before lunch and dinner for a total of 4 weeks. M-IMT schedule takes about 30 min. They will only be effective if they are carried out correctly, without haste. The exercises must be performed every day. If you experience dizziness during exercise, stop whatever you are doing and rest.  
&amp;gt;  
&amp;gt;m-IMT schedule is composed of 4 different exercises:  
&amp;gt;  
&amp;gt;**Exercise number 1**: Supine position. Inhale slowly from the nose thinking of making a minimum supply. Suspend the breath for about 3 s. Exhale from the nose by performing an expiratory act as long as possible and avoiding a state of contraction of the abdominal muscles.8  
&amp;gt;  
&amp;gt;**Exercise number 2**: Repeat exercise number 1 after positioning the fingertips few centimeters away from the last costal arch. Apply constant pressure inwards and upwards during the expiratory phase. Check the tension status of the abdominal and cervical muscles. Try to keep the physiological curves of the spine as much as possible.  
&amp;gt;  
&amp;gt;**Exercise number 3**: Repeat exercise number 2, expiring from the mouth with maximum mandibular destabilization keeping the tongue well laid on the oral floor.  
&amp;gt;  
&amp;gt;**Exercise number 4**: Sitting position. Bring the lingual apex on the retro-incisal papilla. Keeping lips open, perform swallowing acts for 3 min.
The concluding results of the research are quite promising:
&amp;gt;Nineteen patients with NERD completed our proposed rehabilitation treatment. After 4-weeks treatment, GERDQ questionnaire score about common symptoms, significantly improved (score before treatment: 8.36 ± 3.94; after treatment: 1.7 ± 3.41; p &amp;lt; 0.05). Also RSI questionnaire score about extra-esophageal GERD symptomatology, was significantly better after treatment (score before treatment: 21.68 ± 10.26; after treatment: 6.93 ± 8.37; p &amp;lt; 0.05). GERDHRQL questionnaire score evaluating quality of life, was significantly greater after m-IMT (score before treatment: 25.68 ± 16.03; aftertreatment: 8.4 ± 11.06; p &amp;lt; 0.05). At last, there was a significant improvement in the laryngoscopic finding (RFS score before treatment: 14.24 ± 4.15; after treatment: 7.4 ± 1.77; p &amp;lt; 0.05).
Also good to note:
&amp;gt;Patients with erosive esophagitis, hiatal hernia, previously undergoing anti-reflux surgery and comorbidity diseases that prevent m-IMT execution, were excluded.
Has anyone here tried m-IMT, how did it go? Any tips? I personally am going to try it, as soon as I've fully grasped the exercise points.</t>
        </is>
      </c>
      <c r="D6937" t="n">
        <v>1</v>
      </c>
      <c r="E6937" t="n">
        <v>13</v>
      </c>
      <c r="F6937">
        <f>HYPERLINK("https://www.reddit.com/r/GERD/comments/gdednz/has_anyone_tried_modified_inspiratory_muscle/")</f>
        <v/>
      </c>
      <c r="G6937" t="inlineStr">
        <is>
          <t>2020-05-04 09:08:40</t>
        </is>
      </c>
      <c r="H6937" t="inlineStr"/>
    </row>
    <row r="6938">
      <c r="A6938" t="inlineStr">
        <is>
          <t>gdf23e</t>
        </is>
      </c>
      <c r="B6938" t="inlineStr">
        <is>
          <t>Gerd correlation with mental health?</t>
        </is>
      </c>
      <c r="C6938" t="inlineStr">
        <is>
          <t>Dealing w anxiety depression and stress for years now and no meds for them atm, noticed my symptoms started around when the coronavirus situation started popping up in my area. Could gerd have a correlation with feeling anxious , stressed or depressed?</t>
        </is>
      </c>
      <c r="D6938" t="n">
        <v>1</v>
      </c>
      <c r="E6938" t="n">
        <v>7</v>
      </c>
      <c r="F6938">
        <f>HYPERLINK("https://www.reddit.com/r/GERD/comments/gdf23e/gerd_correlation_with_mental_health/")</f>
        <v/>
      </c>
      <c r="G6938" t="inlineStr">
        <is>
          <t>2020-05-04 09:44:24</t>
        </is>
      </c>
      <c r="H6938" t="inlineStr"/>
    </row>
    <row r="6939">
      <c r="A6939" t="inlineStr">
        <is>
          <t>gdfnkw</t>
        </is>
      </c>
      <c r="B6939" t="inlineStr">
        <is>
          <t>Constipation connection to reflux?</t>
        </is>
      </c>
      <c r="C6939" t="inlineStr">
        <is>
          <t>Whenever I take any medication I seem to get constipated, PPIs make this even worse and recently I have found myself very bloated with stomach pains. 
I’ve had my reflux pretty much in check until this bloating began. I’ve noticed especially when working out (empty stomach) I get really bad reflux. Usually I can run well over 5k no problem but recently I can’t even go a few minutes without my throat and chest burning and tightening up. 
I’m interested to know if anybody else has noticed this connection between the two issues?</t>
        </is>
      </c>
      <c r="D6939" t="n">
        <v>1</v>
      </c>
      <c r="E6939" t="n">
        <v>2</v>
      </c>
      <c r="F6939">
        <f>HYPERLINK("https://www.reddit.com/r/GERD/comments/gdfnkw/constipation_connection_to_reflux/")</f>
        <v/>
      </c>
      <c r="G6939" t="inlineStr">
        <is>
          <t>2020-05-04 10:14:29</t>
        </is>
      </c>
      <c r="H6939" t="inlineStr"/>
    </row>
    <row r="6940">
      <c r="A6940" t="inlineStr">
        <is>
          <t>gdh410</t>
        </is>
      </c>
      <c r="B6940" t="inlineStr">
        <is>
          <t>Anybody bought an adjustable bed?</t>
        </is>
      </c>
      <c r="C6940" t="inlineStr">
        <is>
          <t>Looking for one that can adjust with a flat incline.</t>
        </is>
      </c>
      <c r="D6940" t="n">
        <v>1</v>
      </c>
      <c r="E6940" t="n">
        <v>2</v>
      </c>
      <c r="F6940">
        <f>HYPERLINK("https://www.reddit.com/r/GERD/comments/gdh410/anybody_bought_an_adjustable_bed/")</f>
        <v/>
      </c>
      <c r="G6940" t="inlineStr">
        <is>
          <t>2020-05-04 11:28:20</t>
        </is>
      </c>
      <c r="H6940" t="inlineStr"/>
    </row>
    <row r="6941">
      <c r="A6941" t="inlineStr">
        <is>
          <t>gdj0bw</t>
        </is>
      </c>
      <c r="B6941" t="inlineStr">
        <is>
          <t>Anyone try any PH test kits / strips?</t>
        </is>
      </c>
      <c r="C6941" t="inlineStr">
        <is>
          <t>Thinking about buying something to test PH of my foods.</t>
        </is>
      </c>
      <c r="D6941" t="n">
        <v>1</v>
      </c>
      <c r="E6941" t="n">
        <v>3</v>
      </c>
      <c r="F6941">
        <f>HYPERLINK("https://www.reddit.com/r/GERD/comments/gdj0bw/anyone_try_any_ph_test_kits_strips/")</f>
        <v/>
      </c>
      <c r="G6941" t="inlineStr">
        <is>
          <t>2020-05-04 13:05:51</t>
        </is>
      </c>
      <c r="H6941" t="inlineStr"/>
    </row>
    <row r="6942">
      <c r="A6942" t="inlineStr">
        <is>
          <t>gdjivm</t>
        </is>
      </c>
      <c r="B6942" t="inlineStr">
        <is>
          <t>Nausea</t>
        </is>
      </c>
      <c r="C6942" t="inlineStr">
        <is>
          <t>Hello friends. I'm new to the community and have read over a ton of threads but wanted to see if there is new things to try that helped others. I suffer from constant nausea and a nauseous feeling in my throat? Not sure what causes that? I have tried just about everything. Cbd, delta 8, exercise and list goes on.  I mostly take phergan to stop the uncomfortable feeling when its bad. I'm currently taking a prescription pill for ulcers but don't have an ulcer was just kind of like lets try it but its not helping. Help please I'm miserable and to top it off I have extreme fear of throwing up.</t>
        </is>
      </c>
      <c r="D6942" t="n">
        <v>1</v>
      </c>
      <c r="E6942" t="n">
        <v>7</v>
      </c>
      <c r="F6942">
        <f>HYPERLINK("https://www.reddit.com/r/GERD/comments/gdjivm/nausea/")</f>
        <v/>
      </c>
      <c r="G6942" t="inlineStr">
        <is>
          <t>2020-05-04 13:32:23</t>
        </is>
      </c>
      <c r="H6942" t="inlineStr"/>
    </row>
    <row r="6943">
      <c r="A6943" t="inlineStr">
        <is>
          <t>gdk89m</t>
        </is>
      </c>
      <c r="B6943" t="inlineStr">
        <is>
          <t>I found out quitting caffeine dramatically reduced my symptoms but life without caffeine SUCKS</t>
        </is>
      </c>
      <c r="C6943" t="inlineStr">
        <is>
          <t>I have been struggling with GERD/LPR specifically for months now and it’s been up and down very much in terms of the strength of the symptoms I get. I’m back to the point where I’m miserable and every meal gives me some reflux, it’s just the type of food I eat and how much of it that determines how much LPR i get. 
Anyway, I tried to quit caffeine just to see what happens and I got immediate relief. But I couldn’t make it to noon and had a cup of green tea. Even that much caffeine caused a flare up hours later, the complete opposite of how I was doing in the morning. I haven’t even eaten that much today either.
So the solution is to quit caffeine right? Well I feel tired and depressed af without caffeine. I’ve quit multiple times, even for 6 months one time and I’ve concluded that I’m much happier and more productive on caffeine. So I’m in this sort of pickle... this. Sucks.</t>
        </is>
      </c>
      <c r="D6943" t="n">
        <v>1</v>
      </c>
      <c r="E6943" t="n">
        <v>47</v>
      </c>
      <c r="F6943">
        <f>HYPERLINK("https://www.reddit.com/r/GERD/comments/gdk89m/i_found_out_quitting_caffeine_dramatically/")</f>
        <v/>
      </c>
      <c r="G6943" t="inlineStr">
        <is>
          <t>2020-05-04 14:09:42</t>
        </is>
      </c>
      <c r="H6943" t="inlineStr"/>
    </row>
    <row r="6944">
      <c r="A6944" t="inlineStr">
        <is>
          <t>gdna13</t>
        </is>
      </c>
      <c r="B6944" t="inlineStr">
        <is>
          <t>Can LPR cause symptoms that mimic seasonal allergies?</t>
        </is>
      </c>
      <c r="C6944" t="inlineStr">
        <is>
          <t>I’m pretty sure I have LPR. My doctor thinks so as well, but I haven’t been able to go in and have any tests done because of covid. Anyway, my reflux has gotten worse over the past few months (I have gallstones, pretty sure that’s why) and 1-2 months ago I started having symptoms that were a lot like seasonal allergies, which was odd since I’ve never had problems with seasonal allergies before. But I had a runny nose, sneezing, coughing, etc.
I was having trouble swallowing also, and my doctor ended up prescribing omeprazole. I’ve been taking it for about two weeks and.. no more sneezing, coughing, trouble swallowing.. nothing! Is it just a coincidence, or can LPR cause all of those symptoms? Why/how would it make me sneeze, though? Just wondering if anyone has experience similar symptoms?</t>
        </is>
      </c>
      <c r="D6944" t="n">
        <v>1</v>
      </c>
      <c r="E6944" t="n">
        <v>1</v>
      </c>
      <c r="F6944">
        <f>HYPERLINK("https://www.reddit.com/r/GERD/comments/gdna13/can_lpr_cause_symptoms_that_mimic_seasonal/")</f>
        <v/>
      </c>
      <c r="G6944" t="inlineStr">
        <is>
          <t>2020-05-04 17:06:58</t>
        </is>
      </c>
      <c r="H6944" t="inlineStr"/>
    </row>
    <row r="6945">
      <c r="A6945" t="inlineStr">
        <is>
          <t>gdntko</t>
        </is>
      </c>
      <c r="B6945" t="inlineStr">
        <is>
          <t>Anyone with similar symptoms?</t>
        </is>
      </c>
      <c r="C6945" t="inlineStr">
        <is>
          <t>I always been obese/overweight for most of my life but never had issues with shallowing 
Since finding out that my dad had lung cancer in February, I noticed tremendous changes in my physical health. I always had anxiety and depression as well but I was able to handle that. But after finding out my dad was diagnosed, I feel like my symptoms got worse. I would have trouble breathing more often. When I took in deep breaths, sometimes there was a tightness in my chest or a burning feeling.  It was bearable but then I noticed sometimes I would have trouble swallowing. At times it felt like there was food stuck in the back of my throat but it happened just once in a while thing. Dad passed away on Tuesday and then I noticed the swallowing thing started happening almost constantly. It feels really annoying. Today it feels like there is salvia that’s not coming out from the back of my throat. It’s kind of like when you have a cold or something and you need to spit it out..but that spit just isn’t happening for me. Of course this has my anxiety up through the roof. I keep thinking I’m going to choke to death or I have cancer too. And I can’t even meet up with my doctor because of the corona situation. I read that weight may have a lot to do with. I’ve been struggling to lose weight. It’s an on and off kind of thing. Recently I went from 275 to 269, but today I broke my diet and had a burger. I was fine all day today until I had the burger. Then I started feeling like there’s spit/salvia stuck in the back of my throat. I took two tums but it’s not helping much. 
I don’t even know if it’s GERD. I can’t even meet with a doctor right now because of corona. What can I do right now to contain the symptoms?</t>
        </is>
      </c>
      <c r="D6945" t="n">
        <v>1</v>
      </c>
      <c r="E6945" t="n">
        <v>1</v>
      </c>
      <c r="F6945">
        <f>HYPERLINK("https://www.reddit.com/r/GERD/comments/gdntko/anyone_with_similar_symptoms/")</f>
        <v/>
      </c>
      <c r="G6945" t="inlineStr">
        <is>
          <t>2020-05-04 17:41:25</t>
        </is>
      </c>
      <c r="H6945" t="inlineStr"/>
    </row>
    <row r="6946">
      <c r="A6946" t="inlineStr">
        <is>
          <t>gdog50</t>
        </is>
      </c>
      <c r="B6946" t="inlineStr">
        <is>
          <t>What a difference CBD oil is making today!</t>
        </is>
      </c>
      <c r="C6946" t="inlineStr">
        <is>
          <t>Honestly, if you’re in California and can grab this coconut-based 4:1 tincture, I highly recommend it!
https://ibb.co/2sSBG2D
I have felt like myself today for the first time in almost 2 weeks. 🙏🏻</t>
        </is>
      </c>
      <c r="D6946" t="n">
        <v>1</v>
      </c>
      <c r="E6946" t="n">
        <v>9</v>
      </c>
      <c r="F6946">
        <f>HYPERLINK("https://www.reddit.com/r/GERD/comments/gdog50/what_a_difference_cbd_oil_is_making_today/")</f>
        <v/>
      </c>
      <c r="G6946" t="inlineStr">
        <is>
          <t>2020-05-04 18:22:20</t>
        </is>
      </c>
      <c r="H6946" t="inlineStr"/>
    </row>
    <row r="6947">
      <c r="A6947" t="inlineStr">
        <is>
          <t>gds3kj</t>
        </is>
      </c>
      <c r="B6947" t="inlineStr">
        <is>
          <t>i have a question</t>
        </is>
      </c>
      <c r="C6947" t="inlineStr">
        <is>
          <t>so ever since i started taking antibiotics i think its caused me some issues with digestion but im not sure exactly whats happening to me, everytime i eat a meal immediately after i get a feeling like the food is stuck in my chest/ lower throat, this lasts for like up to 12+hrs, and i usually feel the need to be sick sometimes i even go the toilet and gag/ dry heave for around 10 minuted but nothing will come out. i feel so exhausted and sick 24/7 im hungry af and my body needs food but everytime i eat i just get this feeling and i hate it😭 what do u guys think it is and has anyone had similar experiences before?</t>
        </is>
      </c>
      <c r="D6947" t="n">
        <v>1</v>
      </c>
      <c r="E6947" t="n">
        <v>2</v>
      </c>
      <c r="F6947">
        <f>HYPERLINK("https://www.reddit.com/r/GERD/comments/gds3kj/i_have_a_question/")</f>
        <v/>
      </c>
      <c r="G6947" t="inlineStr">
        <is>
          <t>2020-05-04 22:48:31</t>
        </is>
      </c>
      <c r="H6947" t="inlineStr"/>
    </row>
    <row r="6948">
      <c r="A6948" t="inlineStr">
        <is>
          <t>gdt5vc</t>
        </is>
      </c>
      <c r="B6948" t="inlineStr">
        <is>
          <t>Side effects from Nexium?</t>
        </is>
      </c>
      <c r="C6948" t="inlineStr">
        <is>
          <t>Hi there,
My doctor prescribed me Nexium 20mg for 14 days today. I have pretty bad health anxiety and I'm scared of the potential side effects from it. I was just reading some reviews on it [here](https://www.drugs.com/comments/esomeprazole/nexium-for-gastroesophageal-reflux-disease.html) which has frightened me quite a bit...
Has anyone experienced bad side effects from Nexium?</t>
        </is>
      </c>
      <c r="D6948" t="n">
        <v>1</v>
      </c>
      <c r="E6948" t="n">
        <v>7</v>
      </c>
      <c r="F6948">
        <f>HYPERLINK("https://www.reddit.com/r/GERD/comments/gdt5vc/side_effects_from_nexium/")</f>
        <v/>
      </c>
      <c r="G6948" t="inlineStr">
        <is>
          <t>2020-05-05 00:23:28</t>
        </is>
      </c>
      <c r="H6948" t="inlineStr"/>
    </row>
    <row r="6949">
      <c r="A6949" t="inlineStr">
        <is>
          <t>gduekm</t>
        </is>
      </c>
      <c r="B6949" t="inlineStr">
        <is>
          <t>Gerd because of not chewing Food ?</t>
        </is>
      </c>
      <c r="C6949" t="inlineStr">
        <is>
          <t>Hello, I have some missing teeth , and I found out that im not chewing food very much, not at all sometimes
Can it cause gerd or aggravate it ?</t>
        </is>
      </c>
      <c r="D6949" t="n">
        <v>1</v>
      </c>
      <c r="E6949" t="n">
        <v>2</v>
      </c>
      <c r="F6949">
        <f>HYPERLINK("https://www.reddit.com/r/GERD/comments/gduekm/gerd_because_of_not_chewing_food/")</f>
        <v/>
      </c>
      <c r="G6949" t="inlineStr">
        <is>
          <t>2020-05-05 02:12:47</t>
        </is>
      </c>
      <c r="H6949" t="inlineStr"/>
    </row>
    <row r="6950">
      <c r="A6950" t="inlineStr">
        <is>
          <t>gdvetx</t>
        </is>
      </c>
      <c r="B6950" t="inlineStr">
        <is>
          <t>Hiatal Hernia causing stabbing in Lower Abdomen/Groin?</t>
        </is>
      </c>
      <c r="C6950" t="inlineStr">
        <is>
          <t>Have already been diagnosed with GERD. But recently my groin above my dick have been tightening and sharp pain.  This comes after my lower abdomen also has the Same pain (different from normal GERD bubbly feeling) . Could this be proving a hernia caused my GERD?</t>
        </is>
      </c>
      <c r="D6950" t="n">
        <v>1</v>
      </c>
      <c r="E6950" t="n">
        <v>5</v>
      </c>
      <c r="F6950">
        <f>HYPERLINK("https://www.reddit.com/r/GERD/comments/gdvetx/hiatal_hernia_causing_stabbing_in_lower/")</f>
        <v/>
      </c>
      <c r="G6950" t="inlineStr">
        <is>
          <t>2020-05-05 03:36:57</t>
        </is>
      </c>
      <c r="H6950" t="inlineStr"/>
    </row>
    <row r="6951">
      <c r="A6951" t="inlineStr">
        <is>
          <t>gdx7b1</t>
        </is>
      </c>
      <c r="B6951" t="inlineStr">
        <is>
          <t>Shortness of breath: how many of you experience it?</t>
        </is>
      </c>
      <c r="C6951" t="inlineStr">
        <is>
          <t>Hi all,
Like many here, I struggle with this topsy turvy nightmare of GERD and one of the worst symptoms is shortness of breath (SOB). Around a year ago, I got diagnosed with erosive gastritis after a short stint of low-dose aspirin for an unrelated health matter, as well as Level 3 out of 4 esophagitis. My symptoms are mostly the LPR kind, sore throat, some hoarseness, phlegm, and some days, quite alarming heart palpitations.
Recently, I went for a follow up endo and got told I also have a 3cm sliding hiatal hernia. As my reflux worsened quite dramatically early last year (very mild before that), I don't know if the hernia made it a lot worse, or if the GERD led to the development of this hernia. My initial endo didn't pick up on it at the time, but my gut instinct tells me I had it back then. Maybe from food poisoning, an injury, genetics, wear &amp;amp; tear, I don't know.
Anyway, after chatting to two gastro-entrologists so far, I've been been told that SOB itself is very rarely if not at all caused by a sliding hernia like this. Esp as it was only recorded at 3cm in size. I really beg to differ as the shortness of breath is almost always accompanied by worsened acid reflux symptoms in the moment, and some days I can literally feel my stomach having moved further up into my chest/diaphragm. So logic surely dictates that this leads to less space in the diaphragm. The SOB is a bit sporadic too as it can be quite bad one day and then barely noticeable the next. It also began quite suddenly in Jan when I tried to taper from a 80mg/daily dosage of PPIs to a 40mg/daily dosage over a couple of weeks, so I was probably experiencing some rebound acid. But correlation doesn't necessarily equal causation. Perhaps my hernia developed then, or worsened? It's so hard pinpointing stuff with GERD at times, because there are days where just so much is going on.
I've also done heart tests and a chest x-ray which showed nothing amiss. Following up w/ further pulmonary tests, just to cover all bases.
I'm wondering anyway, in your GERD/LPR/Hernia stories, how many of you have experienced SOB as a symptom? 
I have definitely seen this as a phenomenon well documented online anecdotally, but it seems to get little weight from the medical profession. Similar deal to the link between GERD and heart palpitations. Or if you just have any thoughts on the matter?  
Thanks :)</t>
        </is>
      </c>
      <c r="D6951" t="n">
        <v>1</v>
      </c>
      <c r="E6951" t="n">
        <v>67</v>
      </c>
      <c r="F6951">
        <f>HYPERLINK("https://www.reddit.com/r/GERD/comments/gdx7b1/shortness_of_breath_how_many_of_you_experience_it/")</f>
        <v/>
      </c>
      <c r="G6951" t="inlineStr">
        <is>
          <t>2020-05-05 05:54:34</t>
        </is>
      </c>
      <c r="H6951" t="inlineStr"/>
    </row>
    <row r="6952">
      <c r="A6952" t="inlineStr">
        <is>
          <t>gdxfol</t>
        </is>
      </c>
      <c r="B6952" t="inlineStr">
        <is>
          <t>How can I gain weight when I never wanna eat because of my GERD?</t>
        </is>
      </c>
      <c r="C6952" t="inlineStr">
        <is>
          <t>I’ve always been the skinny guy. My whole life. I’m so tired of it, I wish I could change it. And it’s just even worse because of the GERD. I feel like I’ll never escape it. Idk how it would be possible for me to eat 2,500+ calories consistently. I can barely ever hit 2,000. I’m 5’10” and weigh 130 pounds. There was a point when I first got reflux and hiatal hernia and didn’t know what was going on and didn’t eat for two months basically. Ended up weighing 105, so I guess it’s nice to look back at that and see the progress. It’s just my whole life I’ve never really been able to break the weight I’m at now. 
My diet rn consist of oats, eggs, chicken, veggies, fruits, and nuts. That’s it really. Also my sleeping is horrible cause that’s when I mainly get reflux. I literally at this point am anxious to sleep and anxious to eat anything processed and not what I mentioned earlier. I’ve tried all the sleeping and diet tips. I have a little hope it’ll get better. I’m just unsure if I’ll ever be really healthy, happy, and worry free like I want to be. This disease/sickness or whatever the hell GERD even is has been soul shattering at points, and I’m ranting because I’m just tired of it. I’m tired of being the skinny guy.</t>
        </is>
      </c>
      <c r="D6952" t="n">
        <v>1</v>
      </c>
      <c r="E6952" t="n">
        <v>17</v>
      </c>
      <c r="F6952">
        <f>HYPERLINK("https://www.reddit.com/r/GERD/comments/gdxfol/how_can_i_gain_weight_when_i_never_wanna_eat/")</f>
        <v/>
      </c>
      <c r="G6952" t="inlineStr">
        <is>
          <t>2020-05-05 06:10:28</t>
        </is>
      </c>
      <c r="H6952" t="inlineStr"/>
    </row>
    <row r="6953">
      <c r="A6953" t="inlineStr">
        <is>
          <t>gdxulo</t>
        </is>
      </c>
      <c r="B6953" t="inlineStr">
        <is>
          <t>Symptoms at their worse that they have been. Please help</t>
        </is>
      </c>
      <c r="C6953" t="inlineStr">
        <is>
          <t>So I've posted on this forum before and have asked  many questions.   For some context,  I was diagnosed with gerd/lpr in november of last year after having an endoscopy done.  Technically i was only diagnosed with GERD but it honestly feels more like LPR. For the past few months I've been able to deal with the usual symptoms that everyone talks about.. ( throat clearing, minor shortness of breath , cough , etc). I have taken pantaprazole,  itopride , and carafate during my course of treatment  which helped me really the most at the beginning of my diagnoses , but thereafter I feel as if my body isn't responding that well to it these days.  Why I'm pleading for help is because for the past few days now my symptoms have been really aggressive,  to the point where i feel like my esophagus is constantly warm ? And or inflammed and its causing my whole digestion system to be in this sort of agitated state. It almost feels as if my hiatal hernia got worse and I'm worried that it might be serious . I've been having what feels like palpitations especially at night to the point where I feel my heartbeat constantly In the slightest movement . For the most part i feel like my esophagus is inflammed towards the bottom of my portion near my stomach I assume. I know that they describe a sensation of a heart attack sometimes with GERD since the esophagus sits behind the heart , but this honestly is starting to feel bad and I'm not sure if I need to visit an emergency room . At the moment I cannot visit a doctor because of insurance issues so this forum is my best shot for now. I would appreciate any advise or suggestions</t>
        </is>
      </c>
      <c r="D6953" t="n">
        <v>1</v>
      </c>
      <c r="E6953" t="n">
        <v>5</v>
      </c>
      <c r="F6953">
        <f>HYPERLINK("https://www.reddit.com/r/GERD/comments/gdxulo/symptoms_at_their_worse_that_they_have_been/")</f>
        <v/>
      </c>
      <c r="G6953" t="inlineStr">
        <is>
          <t>2020-05-05 06:37:11</t>
        </is>
      </c>
      <c r="H6953" t="inlineStr"/>
    </row>
    <row r="6954">
      <c r="A6954" t="inlineStr">
        <is>
          <t>gdz8mu</t>
        </is>
      </c>
      <c r="B6954" t="inlineStr">
        <is>
          <t>Constant phlegm for about a year. Anyone else?!</t>
        </is>
      </c>
      <c r="C6954" t="inlineStr">
        <is>
          <t>I’ve had constant phlegm for over a year now, especially in the morning or overnight. It alternates between green &amp;amp; white thick phlegm, and my acid reflux symptoms definitely feel worse now more than ever before. Sometimes it can have a bit of blood in it which terrifies me, but the doctor said it was because my throat is irritated from coughing up so much phlegm all the time.
I had an endoscopy about a year ago, and everything came back just fine. I have tried Gaviscon &amp;amp; Carafate, both of those seem to help a small bit. I am also on Levothyroxine, which almost seems to be failing at this point in time. I can’t sleep without sitting straight up or I wake up feeling like I’m choking on phlegm. 
Has anyone else had this symptom, or have any relief suggestions?!</t>
        </is>
      </c>
      <c r="D6954" t="n">
        <v>2</v>
      </c>
      <c r="E6954" t="n">
        <v>7</v>
      </c>
      <c r="F6954">
        <f>HYPERLINK("https://www.reddit.com/r/GERD/comments/gdz8mu/constant_phlegm_for_about_a_year_anyone_else/")</f>
        <v/>
      </c>
      <c r="G6954" t="inlineStr">
        <is>
          <t>2020-05-05 07:57:18</t>
        </is>
      </c>
      <c r="H6954" t="inlineStr"/>
    </row>
    <row r="6955">
      <c r="A6955" t="inlineStr">
        <is>
          <t>gdzpof</t>
        </is>
      </c>
      <c r="B6955" t="inlineStr">
        <is>
          <t>GERD / Laryngopharyngeal Reflux</t>
        </is>
      </c>
      <c r="C6955" t="inlineStr">
        <is>
          <t>Hi all, so I know that I found myself searching day and night for some answers in regards to this. For the past month and a half, I’ve been dealing with what feels like a booger stuck in my throat but no other symptoms. I’m constantly swallowing which makes my throat super dry. About three weeks ago, I had a video chat doctor’s appointment with an ENT specialist. He gave me omeprazole for acid reflux but he never told me I had to take it like an hour before I ate so I’ve been taking it but it hadn’t even been working the way it was supposed to.
Anyways, this morning I had an in office visit and the doctor put a scope down my nose into my throat. IT HURT and I have high pain tolerance. My eyes’ natural reaction was to cry but it was bearable lol. He told me my voice box was swollen and irritated but nothing super concerning. He also said my nose area was congested. He said my voice box was irritated because of the acid.
The “diagnosis” was laryngopharyngeal reflux. I have to eat clean from now on (just google what you can and can’t eat with reflux) and I have to take the medicine correctly. 
In six weeks I’ll go back for a follow up, I’ll check in with y’all if it goes away before then. If you’re like me, you know this can get really annoying and frustrating.
If you have questions, please ask!</t>
        </is>
      </c>
      <c r="D6955" t="n">
        <v>1</v>
      </c>
      <c r="E6955" t="n">
        <v>5</v>
      </c>
      <c r="F6955">
        <f>HYPERLINK("https://www.reddit.com/r/GERD/comments/gdzpof/gerd_laryngopharyngeal_reflux/")</f>
        <v/>
      </c>
      <c r="G6955" t="inlineStr">
        <is>
          <t>2020-05-05 08:22:31</t>
        </is>
      </c>
      <c r="H6955" t="inlineStr"/>
    </row>
    <row r="6956">
      <c r="A6956" t="inlineStr">
        <is>
          <t>ge05dk</t>
        </is>
      </c>
      <c r="B6956" t="inlineStr">
        <is>
          <t>self induced vomiting (not bulimic)</t>
        </is>
      </c>
      <c r="C6956" t="inlineStr">
        <is>
          <t>Male, 23, 
Height 5'9
weight 195 pounds 
no current medications 
no medical conditions 
no past surgeries 
I have had stomach pain issues for as long as i can remember. Maybe since i was like 13, i'm 23 now. I get this pain in my stomach, shoots into my back and i literally feel like i can't stand up, sit down or lay back. I got diagnosed with H. Pylori. I took antibiotics and never really followed up with it. The only thing that helps relive the pain is vomiting. That ended the pain pretty quickly. 
I don't self induce vomit much often, I'd say maybe once every 1-3 months. Sometimes i go  5-7 months without.  
My question is how dangerous is self induced vomiting in my case, with the frequency i do it? I went on google and really terrified me about esophagus ruptures and what not. I will obviously stop doing self induced vomiting, but for now how worried should i be about permanent damage to my esophagus/throat?</t>
        </is>
      </c>
      <c r="D6956" t="n">
        <v>1</v>
      </c>
      <c r="E6956" t="n">
        <v>0</v>
      </c>
      <c r="F6956">
        <f>HYPERLINK("https://www.reddit.com/r/GERD/comments/ge05dk/self_induced_vomiting_not_bulimic/")</f>
        <v/>
      </c>
      <c r="G6956" t="inlineStr">
        <is>
          <t>2020-05-05 08:46:31</t>
        </is>
      </c>
      <c r="H6956" t="inlineStr"/>
    </row>
    <row r="6957">
      <c r="A6957" t="inlineStr">
        <is>
          <t>ge1r1l</t>
        </is>
      </c>
      <c r="B6957" t="inlineStr">
        <is>
          <t>Experiences with sucralfate meds? (+gaviscon)</t>
        </is>
      </c>
      <c r="C6957" t="inlineStr">
        <is>
          <t>Since i had a bad reaction to ppi, my doctor told me to take over the counter medication that has mainly  sucralfate in it  (twice a day). I already took it once, glad i didnt have a bad reaction so far, but it didnt help much. I know that its not an antiacid, but it froms a protective layer from the effects of the acid. But could it help my reflux? My symptom is constant nausea. My doctor told me that we need to find the ingredient that helps me. I also have to take gaviscon before sleep.
 Has anyone had an improvement  from a mediaction like this? Do i have a chance to really improve?</t>
        </is>
      </c>
      <c r="D6957" t="n">
        <v>1</v>
      </c>
      <c r="E6957" t="n">
        <v>1</v>
      </c>
      <c r="F6957">
        <f>HYPERLINK("https://www.reddit.com/r/GERD/comments/ge1r1l/experiences_with_sucralfate_meds_gaviscon/")</f>
        <v/>
      </c>
      <c r="G6957" t="inlineStr">
        <is>
          <t>2020-05-05 10:10:19</t>
        </is>
      </c>
      <c r="H6957" t="inlineStr"/>
    </row>
    <row r="6958">
      <c r="A6958" t="inlineStr">
        <is>
          <t>ge2jrl</t>
        </is>
      </c>
      <c r="B6958" t="inlineStr">
        <is>
          <t>Gaviscon extra strength liquid for heartburn?</t>
        </is>
      </c>
      <c r="C6958" t="inlineStr">
        <is>
          <t>Is it relatively safe to sue gaviscon long term to treat heartburn and reflux? 
I get it daily and ppis and H2 just make me sick.
I've been using gaviscon now for a few weeks about 2 teaspoons 2-4 times a day.
Works alot better for me but in worried about long term use. I heard there was something bad with the aluminum in it?</t>
        </is>
      </c>
      <c r="D6958" t="n">
        <v>2</v>
      </c>
      <c r="E6958" t="n">
        <v>7</v>
      </c>
      <c r="F6958">
        <f>HYPERLINK("https://www.reddit.com/r/GERD/comments/ge2jrl/gaviscon_extra_strength_liquid_for_heartburn/")</f>
        <v/>
      </c>
      <c r="G6958" t="inlineStr">
        <is>
          <t>2020-05-05 10:53:12</t>
        </is>
      </c>
      <c r="H6958" t="inlineStr"/>
    </row>
    <row r="6959">
      <c r="A6959" t="inlineStr">
        <is>
          <t>ge3amt</t>
        </is>
      </c>
      <c r="B6959" t="inlineStr">
        <is>
          <t>Does GERD change tactile sensations?</t>
        </is>
      </c>
      <c r="C6959" t="inlineStr">
        <is>
          <t>So I believe I have GERD (still making an appointment with doctor), and after a stress induced GERD attack I started acting weird and my tactile sensations became really weird, touch with others isn't as good and neither is taking a shower.</t>
        </is>
      </c>
      <c r="D6959" t="n">
        <v>1</v>
      </c>
      <c r="E6959" t="n">
        <v>0</v>
      </c>
      <c r="F6959">
        <f>HYPERLINK("https://www.reddit.com/r/GERD/comments/ge3amt/does_gerd_change_tactile_sensations/")</f>
        <v/>
      </c>
      <c r="G6959" t="inlineStr">
        <is>
          <t>2020-05-05 11:32:58</t>
        </is>
      </c>
      <c r="H6959" t="inlineStr"/>
    </row>
    <row r="6960">
      <c r="A6960" t="inlineStr">
        <is>
          <t>ge3kd0</t>
        </is>
      </c>
      <c r="B6960" t="inlineStr">
        <is>
          <t>H.pylori or anxiety (failed first treatment)</t>
        </is>
      </c>
      <c r="C6960" t="inlineStr">
        <is>
          <t>Hello
I have beeen bothered by nausea (and some Times vomiting) for a long period of time.
I was diagnosed with H.pylori in october and was put on a tripple treatment for a week. Arter the treatment i got slightly better but not fully. In december i had a gastroscpoy which showed that there still was some Pylori in me.
My doctor warned me from doing another antibiotic treatment due to the risk of getting resistent. 
Now in May i still feel nauseus sometimes and I am wondering if i should Contact doctor again and ask for another treatment. Or if im feeling Nauseus due to anxiety...
TLDR: Had a tripple treatment for Pylori. Gastro in december showed i still had some in me. Was adviced to not do another treatment. Still feeling Nauseus sometime. What should i do?</t>
        </is>
      </c>
      <c r="D6960" t="n">
        <v>1</v>
      </c>
      <c r="E6960" t="n">
        <v>1</v>
      </c>
      <c r="F6960">
        <f>HYPERLINK("https://www.reddit.com/r/GERD/comments/ge3kd0/hpylori_or_anxiety_failed_first_treatment/")</f>
        <v/>
      </c>
      <c r="G6960" t="inlineStr">
        <is>
          <t>2020-05-05 11:47:46</t>
        </is>
      </c>
      <c r="H6960" t="inlineStr"/>
    </row>
    <row r="6961">
      <c r="A6961" t="inlineStr">
        <is>
          <t>ge3pv6</t>
        </is>
      </c>
      <c r="B6961" t="inlineStr">
        <is>
          <t>LPR and fear of Cancer</t>
        </is>
      </c>
      <c r="C6961" t="inlineStr">
        <is>
          <t>So, I think I have LPR since I was 13, I'm 23 now, I never had a chance to treat it well, never done an endoscopy because it's expansive in my country and getting it done for free is very hard, but now I'm willing to pay for it doesn't matter the cost because recently I read that this condition leads to cancer after years without treatment, knowing this made me really sad and scared, because I have been dealing with this for so long and no proper treatment.
I've had bad cheat pain and wet burps, it doesn't matter what I eat or drink, it always makes me feel sick.
I wish I could go to the doctor right now and see if I finally could get an endoscopy, but due virus, I can only visit a doctor when it's all over.
What should I do? I'm very scared of developing cancer!</t>
        </is>
      </c>
      <c r="D6961" t="n">
        <v>1</v>
      </c>
      <c r="E6961" t="n">
        <v>5</v>
      </c>
      <c r="F6961">
        <f>HYPERLINK("https://www.reddit.com/r/GERD/comments/ge3pv6/lpr_and_fear_of_cancer/")</f>
        <v/>
      </c>
      <c r="G6961" t="inlineStr">
        <is>
          <t>2020-05-05 11:56:15</t>
        </is>
      </c>
      <c r="H6961" t="inlineStr"/>
    </row>
    <row r="6962">
      <c r="A6962" t="inlineStr">
        <is>
          <t>ge61qg</t>
        </is>
      </c>
      <c r="B6962" t="inlineStr">
        <is>
          <t>Would these food be okay for those experiencing GERD/acid reflux?</t>
        </is>
      </c>
      <c r="C6962" t="inlineStr">
        <is>
          <t>I’m trying to change my entire dietary life style around. Since I cannot meet with a doctor right now, I am seeking advice on here.
Oatmeal, celery juice, peanut butter/nuts, celery/celery juice, ginger (tablet) eggs, chicken (south Asian flavor like tandoori chicken)</t>
        </is>
      </c>
      <c r="D6962" t="n">
        <v>1</v>
      </c>
      <c r="E6962" t="n">
        <v>6</v>
      </c>
      <c r="F6962">
        <f>HYPERLINK("https://www.reddit.com/r/GERD/comments/ge61qg/would_these_food_be_okay_for_those_experiencing/")</f>
        <v/>
      </c>
      <c r="G6962" t="inlineStr">
        <is>
          <t>2020-05-05 13:59:53</t>
        </is>
      </c>
      <c r="H6962" t="inlineStr"/>
    </row>
    <row r="6963">
      <c r="A6963" t="inlineStr">
        <is>
          <t>ge795n</t>
        </is>
      </c>
      <c r="B6963" t="inlineStr">
        <is>
          <t>Is this acid reflux or something else?</t>
        </is>
      </c>
      <c r="C6963" t="inlineStr">
        <is>
          <t>So I have been having typical symptoms of acid reflux/GERD for about 3 weeks now. My throat burns and feels like there is something in the back of my throat. Almost a hoarse feeling, like I've been crying for hours. Also, I have the burning feeling in my chest. I haven't gone to the actual doctor yet for a formal diagnosis (I will, if I keep having symptoms). I have done all the basic things to combat reflux such as raise my bed, change diet, don't drink water when I eat, and log all my food. None of these are having a positive effect on my reflux. I tried a cheat day, where I eat acid reflux triggering foods and I didn't notice a difference in my reflux compared to low-fodmaps days. I decided to call a Tela-Doc and I was prescribed pepcid, which I took for about a week. It didn't have any effect so now I'm being prescribed pantoprazole 40mg 1 time a day. I'm receiving the pantoprazole later today, so I will try that. Anyone have any experience with something similar?
&amp;amp;#x200B;
Edit: I also don't eat or drink after 7 pm</t>
        </is>
      </c>
      <c r="D6963" t="n">
        <v>1</v>
      </c>
      <c r="E6963" t="n">
        <v>7</v>
      </c>
      <c r="F6963">
        <f>HYPERLINK("https://www.reddit.com/r/GERD/comments/ge795n/is_this_acid_reflux_or_something_else/")</f>
        <v/>
      </c>
      <c r="G6963" t="inlineStr">
        <is>
          <t>2020-05-05 15:05:13</t>
        </is>
      </c>
      <c r="H6963" t="inlineStr"/>
    </row>
    <row r="6964">
      <c r="A6964" t="inlineStr">
        <is>
          <t>ge7uqc</t>
        </is>
      </c>
      <c r="B6964" t="inlineStr">
        <is>
          <t>Anyone ever experience a specific “smell” in their nose?</t>
        </is>
      </c>
      <c r="C6964" t="inlineStr">
        <is>
          <t>I know it sounds extremely strange but I’m wondering if this is unique to me or if it’s a common GERD symptom? I have a unique mucous-y smell that comes up when I have a gerd flare up or just usually lingers.</t>
        </is>
      </c>
      <c r="D6964" t="n">
        <v>2</v>
      </c>
      <c r="E6964" t="n">
        <v>19</v>
      </c>
      <c r="F6964">
        <f>HYPERLINK("https://www.reddit.com/r/GERD/comments/ge7uqc/anyone_ever_experience_a_specific_smell_in_their/")</f>
        <v/>
      </c>
      <c r="G6964" t="inlineStr">
        <is>
          <t>2020-05-05 15:38:33</t>
        </is>
      </c>
      <c r="H6964" t="inlineStr"/>
    </row>
    <row r="6965">
      <c r="A6965" t="inlineStr">
        <is>
          <t>ge8jid</t>
        </is>
      </c>
      <c r="B6965" t="inlineStr">
        <is>
          <t>Got my esophagus dilated two days ago, difficulty swallowing didn't completely disappear</t>
        </is>
      </c>
      <c r="C6965" t="inlineStr">
        <is>
          <t>So after being unable to eat any solid for a couple of weeks, I finally got my endoscopy and dilation done two days ago. The improvement is obvious, as I eat different kinds of solid now, but some bites still tend to get slightly stuck down the road. While I am happy with the improvement, I am slightly disappointed that it didn't completely go away.
I thought maybe this is expected in the few days after the procedure? will it improve over time? Or was the dilation not good enough? 
&amp;amp;#x200B;
Thanks in advance.</t>
        </is>
      </c>
      <c r="D6965" t="n">
        <v>2</v>
      </c>
      <c r="E6965" t="n">
        <v>3</v>
      </c>
      <c r="F6965">
        <f>HYPERLINK("https://www.reddit.com/r/GERD/comments/ge8jid/got_my_esophagus_dilated_two_days_ago_difficulty/")</f>
        <v/>
      </c>
      <c r="G6965" t="inlineStr">
        <is>
          <t>2020-05-05 16:18:58</t>
        </is>
      </c>
      <c r="H6965" t="inlineStr"/>
    </row>
    <row r="6966">
      <c r="A6966" t="inlineStr">
        <is>
          <t>ge9vxi</t>
        </is>
      </c>
      <c r="B6966" t="inlineStr">
        <is>
          <t>Ability to Swallow Water/Liquids effortlessly coming and going?</t>
        </is>
      </c>
      <c r="C6966" t="inlineStr">
        <is>
          <t>Does anyone else experience this while your throat/esophagus is healing? Like one moment you feel like youre having huge trouble swallowing sips of water then the next moment youre chugging it down like its nothing. 
Im on a PPI (Pantoprazole) to aid in healing, I feel like its just now starting to kick in.</t>
        </is>
      </c>
      <c r="D6966" t="n">
        <v>1</v>
      </c>
      <c r="E6966" t="n">
        <v>2</v>
      </c>
      <c r="F6966">
        <f>HYPERLINK("https://www.reddit.com/r/GERD/comments/ge9vxi/ability_to_swallow_waterliquids_effortlessly/")</f>
        <v/>
      </c>
      <c r="G6966" t="inlineStr">
        <is>
          <t>2020-05-05 17:39:49</t>
        </is>
      </c>
      <c r="H6966" t="inlineStr"/>
    </row>
    <row r="6967">
      <c r="A6967" t="inlineStr">
        <is>
          <t>ge9wvm</t>
        </is>
      </c>
      <c r="B6967" t="inlineStr">
        <is>
          <t>Weaning off pantoprazole 40mg 2x daily</t>
        </is>
      </c>
      <c r="C6967" t="inlineStr">
        <is>
          <t>I’ve been on this dosage for 8 weeks and will be due wean down per my gi doc orders with my next appointment in June. I’m really scared of the weaning down process, and wanted to know if there was anyone who could tell me a good way of getting off pantoprazole. It is such a large dose and I’m afraid of The rebound of acidity I will feel. Is there a way to cut the pill or a taper schedule that anyone has done that had experienced little to no rebound effects.. of anyone can help, I would greatly appreciate it. Thanks</t>
        </is>
      </c>
      <c r="D6967" t="n">
        <v>1</v>
      </c>
      <c r="E6967" t="n">
        <v>11</v>
      </c>
      <c r="F6967">
        <f>HYPERLINK("https://www.reddit.com/r/GERD/comments/ge9wvm/weaning_off_pantoprazole_40mg_2x_daily/")</f>
        <v/>
      </c>
      <c r="G6967" t="inlineStr">
        <is>
          <t>2020-05-05 17:41:20</t>
        </is>
      </c>
      <c r="H6967" t="inlineStr"/>
    </row>
    <row r="6968">
      <c r="A6968" t="inlineStr">
        <is>
          <t>gea40q</t>
        </is>
      </c>
      <c r="B6968" t="inlineStr">
        <is>
          <t>Did anyones GERD/ LPR start after an event or situation in your life ?</t>
        </is>
      </c>
      <c r="C6968" t="inlineStr">
        <is>
          <t>I'm been having GERD/ LPR symptoms since November last year. I can recall that it all started in a subtle manner after I attempted ( which I now strongly regret, like you have no idea ) to compete and finish a pizza eating contest for a 500 dollar prize. The worst part is that I didnt even win.  After that eating contest , the next day I started getting that mucus globus feeling and clearing my throat and ever since , everything just went to hell. I am wondering if my GERD was triggered by that pizza challenge , like if it messed up like lower sphincter in one sitting. A few months after that it really took off after a very stressful event that happened in my life.</t>
        </is>
      </c>
      <c r="D6968" t="n">
        <v>1</v>
      </c>
      <c r="E6968" t="n">
        <v>22</v>
      </c>
      <c r="F6968">
        <f>HYPERLINK("https://www.reddit.com/r/GERD/comments/gea40q/did_anyones_gerd_lpr_start_after_an_event_or/")</f>
        <v/>
      </c>
      <c r="G6968" t="inlineStr">
        <is>
          <t>2020-05-05 17:53:45</t>
        </is>
      </c>
      <c r="H6968" t="inlineStr"/>
    </row>
    <row r="6969">
      <c r="A6969" t="inlineStr">
        <is>
          <t>gea7qy</t>
        </is>
      </c>
      <c r="B6969" t="inlineStr">
        <is>
          <t>Anyone still trying to comprehend GERD / LPR?</t>
        </is>
      </c>
      <c r="C6969" t="inlineStr">
        <is>
          <t>Why does it have to be so difficult to understand and or pinpoint a definitive cause? I've read about so many trains of thought regarding this disorder , from not enough or bad gut flora, to acidic and spicy food or not enough acid in the esophagus,  then others who claim it's essentially a mechanical issue that can only be fixed with surgery.   It honestly stresses me out not to find a real solution, for someone to keep it simple and tell me " if you stop doing this,  or then your symptoms will stop ".   Solutions to GERD seem to rely around a lot of probably's and half ass recovery treatments to only a third or a 50 percent improvement.  The logic of it just doesnt make sense when you see people stuff their faces with sweets and horrible food on youtube for views, but they don't get GERD issues .   ( RANT)</t>
        </is>
      </c>
      <c r="D6969" t="n">
        <v>1</v>
      </c>
      <c r="E6969" t="n">
        <v>16</v>
      </c>
      <c r="F6969">
        <f>HYPERLINK("https://www.reddit.com/r/GERD/comments/gea7qy/anyone_still_trying_to_comprehend_gerd_lpr/")</f>
        <v/>
      </c>
      <c r="G6969" t="inlineStr">
        <is>
          <t>2020-05-05 18:00:16</t>
        </is>
      </c>
      <c r="H6969" t="inlineStr"/>
    </row>
    <row r="6970">
      <c r="A6970" t="inlineStr">
        <is>
          <t>geat5m</t>
        </is>
      </c>
      <c r="B6970" t="inlineStr">
        <is>
          <t>Anyone burping a lot/having trouble burping?</t>
        </is>
      </c>
      <c r="C6970" t="inlineStr">
        <is>
          <t>I probably burped more than the average person before acid reflux. While my chest pain and cough have gotten better, the urge to burp has gotten worse.
Anyone ever get this? I'm not sure if its omeprazole (which reduces acid) or GERD itself but I often have air coming up to force me to burp. Then when I try to, its a very tiny bit of burp that gets exhaled or often, even none gets out. 
Its not even a comfortable burp either. Its like a forced, unpleasant one too. 
Anyone have similar experience?</t>
        </is>
      </c>
      <c r="D6970" t="n">
        <v>2</v>
      </c>
      <c r="E6970" t="n">
        <v>15</v>
      </c>
      <c r="F6970">
        <f>HYPERLINK("https://www.reddit.com/r/GERD/comments/geat5m/anyone_burping_a_lothaving_trouble_burping/")</f>
        <v/>
      </c>
      <c r="G6970" t="inlineStr">
        <is>
          <t>2020-05-05 18:38:26</t>
        </is>
      </c>
      <c r="H6970" t="inlineStr"/>
    </row>
    <row r="6971">
      <c r="A6971" t="inlineStr">
        <is>
          <t>gebkv4</t>
        </is>
      </c>
      <c r="B6971" t="inlineStr">
        <is>
          <t>Hand tingling/leg spasms?</t>
        </is>
      </c>
      <c r="C6971" t="inlineStr">
        <is>
          <t>I haven't had any diagnostic tests for GERD but my doctor is 'pre-treating' me for it after experiencing heart attack like pains.
I've been put on esomeprazole magnesium and this was my 8th day taking it.
I have found zero relief to my symptoms and keep experiencing leg pains and more recently my right hand is tingling.
I'm also sweating profusely from my hands and feet after I eat anything and it's sending my anxiety through the roof. Especially at night. 
I've been in and out of urgent care and had one trip to the ER to rule out a blood clot from the leg issue, but it's the tingling and cramping that's driving me insane.
I also get pangs of pain in my big toes and in my pointer fingers.
I'm seeing my doctor in the morning, but I'm having one of those "I'm not gonna make it to morning." anxieties and am just hoping I'm not alone in these symptoms.
TIA.</t>
        </is>
      </c>
      <c r="D6971" t="n">
        <v>1</v>
      </c>
      <c r="E6971" t="n">
        <v>7</v>
      </c>
      <c r="F6971">
        <f>HYPERLINK("https://www.reddit.com/r/GERD/comments/gebkv4/hand_tinglingleg_spasms/")</f>
        <v/>
      </c>
      <c r="G6971" t="inlineStr">
        <is>
          <t>2020-05-05 19:30:39</t>
        </is>
      </c>
      <c r="H6971" t="inlineStr"/>
    </row>
    <row r="6972">
      <c r="A6972" t="inlineStr">
        <is>
          <t>gebw7w</t>
        </is>
      </c>
      <c r="B6972" t="inlineStr">
        <is>
          <t>Low or high stomach acid?</t>
        </is>
      </c>
      <c r="C6972" t="inlineStr">
        <is>
          <t>Hi all, just looking for some help regarding issues I’ve been having with my stomach for quite a while. 
In about September I was put on omeprazole when I complained to my doc about acid reflux type symptoms and such and ever since then I have had just horrible experiences with my stomach.
I initially started taking the omeprazole 20mg once daily right away when prescribed, but after about a month I was feeling better so I wanted to try and stop because I don’t really like being on medication if I don’t need to be. 
Ever since I have been put on it it’s like my stomach is worse than it was before. I have done experiments where I’ll go off of it for about a month but it gets to the point where my stomach and esophagus get so irritated that I can’t even eat anymore so I end up taking it again to relieve the symptoms.
One of the main things I notice lately that REALLY upsets my stomach is when I eat a protein bar or protein shake. Immediately after it’s a living hell and lasts for a couple hours or all day. I’m so confused on what I should be doing about it... I eat a pretty normal diet and exercise every day and have changed my diet to try and rid of them but nothing works.
I’m a 20 y/o male and I feel like I’m way to young to be experiencing digestive issues already in my life haha. Also ever since I have been having stomach issues I have also acquired heart palpitations every single time my stomach gets irritated. They’ve been cleared by doctors as well so I believe that’s what’s causing them too.
I’ve read online that low stomach acid can be a problem for stomach issues as well. I don’t really know what to think. Does this sound like low or high stomach acid to anyone that’s knows?
Would really appreciate if someone could help me out because it’s getting worse and worse as the days go on and I’m very clueless about it, thanks!</t>
        </is>
      </c>
      <c r="D6972" t="n">
        <v>1</v>
      </c>
      <c r="E6972" t="n">
        <v>3</v>
      </c>
      <c r="F6972">
        <f>HYPERLINK("https://www.reddit.com/r/GERD/comments/gebw7w/low_or_high_stomach_acid/")</f>
        <v/>
      </c>
      <c r="G6972" t="inlineStr">
        <is>
          <t>2020-05-05 19:52:38</t>
        </is>
      </c>
      <c r="H6972" t="inlineStr"/>
    </row>
    <row r="6973">
      <c r="A6973" t="inlineStr">
        <is>
          <t>gecas9</t>
        </is>
      </c>
      <c r="B6973" t="inlineStr">
        <is>
          <t>Anyone ever get constant diarrhea from their ppi?</t>
        </is>
      </c>
      <c r="C6973" t="inlineStr">
        <is>
          <t>The docs put me on Protonix 40 mg and Pepcid before bed. 
I’ve had non stop butt pee ever since but when I ask them about it they say they don’t know. Which is hugely frustrating.</t>
        </is>
      </c>
      <c r="D6973" t="n">
        <v>1</v>
      </c>
      <c r="E6973" t="n">
        <v>6</v>
      </c>
      <c r="F6973">
        <f>HYPERLINK("https://www.reddit.com/r/GERD/comments/gecas9/anyone_ever_get_constant_diarrhea_from_their_ppi/")</f>
        <v/>
      </c>
      <c r="G6973" t="inlineStr">
        <is>
          <t>2020-05-05 20:20:22</t>
        </is>
      </c>
      <c r="H6973" t="inlineStr"/>
    </row>
    <row r="6974">
      <c r="A6974" t="inlineStr">
        <is>
          <t>gecte7</t>
        </is>
      </c>
      <c r="B6974" t="inlineStr">
        <is>
          <t>Left side stomach weird sensation (no pain)</t>
        </is>
      </c>
      <c r="C6974" t="inlineStr">
        <is>
          <t>Hi there folks...
So after eating my lunch (Chicken broth, carrots, green beans with rice), I had this weird feeling right under left rib cage. It comes and goes and lasts for like a few seconds. It doesn't hurt and its like its gurgling but silently. No sound.
Did anyone of you also experienced this before ? 
Is it something I should be concerned of?
I appreciate all the help guys.,, TQ</t>
        </is>
      </c>
      <c r="D6974" t="n">
        <v>1</v>
      </c>
      <c r="E6974" t="n">
        <v>1</v>
      </c>
      <c r="F6974">
        <f>HYPERLINK("https://www.reddit.com/r/GERD/comments/gecte7/left_side_stomach_weird_sensation_no_pain/")</f>
        <v/>
      </c>
      <c r="G6974" t="inlineStr">
        <is>
          <t>2020-05-05 20:56:02</t>
        </is>
      </c>
      <c r="H6974" t="inlineStr"/>
    </row>
    <row r="6975">
      <c r="A6975" t="inlineStr">
        <is>
          <t>ged8rz</t>
        </is>
      </c>
      <c r="B6975" t="inlineStr">
        <is>
          <t>Reflux while sleeping?!</t>
        </is>
      </c>
      <c r="C6975" t="inlineStr">
        <is>
          <t>Lately, I have been awakened by coughing/choking. I think it is reflux. After I wake up I feel like I have to keep clearing my throat to clear my esophaguse. I take pantoprazole daily. 
Has anyone else experienced this?</t>
        </is>
      </c>
      <c r="D6975" t="n">
        <v>1</v>
      </c>
      <c r="E6975" t="n">
        <v>3</v>
      </c>
      <c r="F6975">
        <f>HYPERLINK("https://www.reddit.com/r/GERD/comments/ged8rz/reflux_while_sleeping/")</f>
        <v/>
      </c>
      <c r="G6975" t="inlineStr">
        <is>
          <t>2020-05-05 21:26:47</t>
        </is>
      </c>
      <c r="H6975" t="inlineStr"/>
    </row>
    <row r="6976">
      <c r="A6976" t="inlineStr">
        <is>
          <t>geejz7</t>
        </is>
      </c>
      <c r="B6976" t="inlineStr">
        <is>
          <t>Diagnosed with GERD; does anyone else have crackling on inhale when lying down?</t>
        </is>
      </c>
      <c r="C6976" t="inlineStr">
        <is>
          <t>This was my main symptom before being diagnosed. When I am lying down for a while or upon waking I have a crackle on the first deep inhale, then I cough and it is gone. Worse some mornings than others. Wondering if anyone else experiences this?</t>
        </is>
      </c>
      <c r="D6976" t="n">
        <v>1</v>
      </c>
      <c r="E6976" t="n">
        <v>6</v>
      </c>
      <c r="F6976">
        <f>HYPERLINK("https://www.reddit.com/r/GERD/comments/geejz7/diagnosed_with_gerd_does_anyone_else_have/")</f>
        <v/>
      </c>
      <c r="G6976" t="inlineStr">
        <is>
          <t>2020-05-05 23:11:32</t>
        </is>
      </c>
      <c r="H6976" t="inlineStr"/>
    </row>
    <row r="6977">
      <c r="A6977" t="inlineStr">
        <is>
          <t>gefdw6</t>
        </is>
      </c>
      <c r="B6977" t="inlineStr">
        <is>
          <t>Melatonin and GERD</t>
        </is>
      </c>
      <c r="C6977" t="inlineStr">
        <is>
          <t>[The potential therapeutic effect of melatonin in gastro-esophageal reflux disease](https://www.ncbi.nlm.nih.gov/pmc/articles/PMC2821302/)
&amp;gt;In view of melatonin's known gut regulatory functions, antidepressant and anxiolytic properties, and its potentially beneficial effects on brain gut axis, it was hypothesized that melatonin might serve as an effective agent for treating GERD.
&amp;amp;#x200B;
&amp;gt;Melatonin has a role in the improvement of Gastro-esophageal reflux disease when used alone or in combination with omeprazole. Meanwhile, omeprazole alone is better used in the treatment of GERD than melatonin alone.
&amp;amp;#x200B;
&amp;gt;The present study showed that oral melatonin is a promising therapeutic agent for the treatment of GERD. It is an effective line of treatment in relieving epigastric pain and heartburn. However, further studies are required to confirm the efficacy and long-term safety of melatonin before being recommended for routine clinical use.
&amp;amp;#x200B;
&amp;gt;...treatment with melatonin for 4 and 8 weeks leads to marked improvement of GERD symptoms regarding heartburn and epigastric pain. There was also a significant increase in the tone of the LES in the form of increased LES pressure, a significant increase in the residual pressure, a significant decrease in the relaxation duration, a significant increase in the relaxation percentage, a significant increase in the pH with a significant decrease in BAO, and a significant increase in serum gastrin and mean melatonin levels relative to pretreated patients.
&amp;amp;#x200B;
&amp;gt;...the mean melatonin level was significantly lower in all patients in comparison to control group at baseline evaluation. This observation is in agreement with Klupiñska et al \[18\] who found that in patients with GERD and recurrent duodenal ulcers, melatonin concentration was lower than in healthy subjects and concluded that high or relatively correct secretion of melatonin is sufficient to prevent peptic changes in esophageal and duodenal mucosa.
&amp;amp;#x200B;
&amp;gt;in patients treated with melatonin for eight weeks and patients treated with melatonin and omeprazole for four weeks, there was complete improvement of GERD symptoms as heartburn and epigastric pain.
**TL;DR:** Melatonin could be used in the treatment of GERD either alone or in combination with omeprazole. The combination therapy of both melatonin and omeprazole is preferable as melatonin accelerates the healing effect of omeprazole and therefore shortens the duration of treatment and minimizes its side effects.</t>
        </is>
      </c>
      <c r="D6977" t="n">
        <v>1</v>
      </c>
      <c r="E6977" t="n">
        <v>19</v>
      </c>
      <c r="F6977">
        <f>HYPERLINK("https://www.reddit.com/r/GERD/comments/gefdw6/melatonin_and_gerd/")</f>
        <v/>
      </c>
      <c r="G6977" t="inlineStr">
        <is>
          <t>2020-05-06 00:25:47</t>
        </is>
      </c>
      <c r="H6977" t="inlineStr"/>
    </row>
    <row r="6978">
      <c r="A6978" t="inlineStr">
        <is>
          <t>geg6i0</t>
        </is>
      </c>
      <c r="B6978" t="inlineStr">
        <is>
          <t>Possible GERD/IBS?</t>
        </is>
      </c>
      <c r="C6978" t="inlineStr">
        <is>
          <t>Hello fellow redditers! After constantly searching all over the internet for my symptoms, I decided to maybe try and post here and see if any of you experience or have experienced something similar. First of all, male 23 weighing around 76kg ish. Everything sort of happened suddenly around month and a half back. I had just stopped using chewing tobacco and started to eat a lot. After a few days I started to feel bloated and had lots of excess gas. Most of the times it felt like it was trapped and wouldn’t come out but when it did, made me temporary feel better. The bloating particularly felt worse around area near belly button but would occasionally happen higher above. Pressing would sometimes cause it to hurt a bit but nothing extreme. Some days I would wake up in the morning feeling nauseous, which would sometimes be worse after eating and would disappear after a short while. Sometimes it would happen in the evenings. This particular time, after I ate a huge meal and drank cup or two of water. Felt extremely full and bloated and just out of the blue, nausea but I couldn’t throw up. Lasted like an hour or two, made myself throw up to relieve it. As of lately I also experience some heartburn but that doesn’t happen that often, but I would get this feeling of something being below Adam’s apple. Sometimes feeling of food etc, together with extra mucous so I would end up coughing to relieve it, and so on till now. Went to the doctor and got prescribed pills for gastritis which felt like it relieve some of the gas but not completely. So now I am currently waiting for my appointment to get endoscopy done in June.. So these were my like usual symptoms and based on google research I could suffer from IBS and heartburn and globus effect together with mucous could indicate reflux issue. Is there anyone experiencing something similar? Like I said I quit chewing tobacco and that’s when everything happened. I used to weigh 70/71kg before I quit and have gone up to 76kg in this short while. Today I was real nauseous and threw up and feel much better but I feel as though anxiety due to going to work for the first time in 2 months, and all these GI issues could be the reason behind it? I did forget to mention that as of lately I do feel much less gas and not as bloated, but it’s not completely gone. I am going to doctor in a months time anyhow but I would appreciate it if anyone could calm me down. I do always over exaggerate and could go to the doctor 5 times in 1 month for the smallest things, so yeah. Cancer and stuff always manages to cross ones mind..</t>
        </is>
      </c>
      <c r="D6978" t="n">
        <v>1</v>
      </c>
      <c r="E6978" t="n">
        <v>4</v>
      </c>
      <c r="F6978">
        <f>HYPERLINK("https://www.reddit.com/r/GERD/comments/geg6i0/possible_gerdibs/")</f>
        <v/>
      </c>
      <c r="G6978" t="inlineStr">
        <is>
          <t>2020-05-06 01:37:38</t>
        </is>
      </c>
      <c r="H6978" t="inlineStr"/>
    </row>
    <row r="6979">
      <c r="A6979" t="inlineStr">
        <is>
          <t>gegs24</t>
        </is>
      </c>
      <c r="B6979" t="inlineStr">
        <is>
          <t>Can PPI worsen GERD, if you take too much of it?</t>
        </is>
      </c>
      <c r="C6979" t="inlineStr">
        <is>
          <t>My doctor prescribed me 40mg esomeprazol  to take (two weeks ago). I took one, and had a really bad reaction, with way worse acid symptoms, and I believe that since that, I have more acid, and my gerd is even worse.
I told my doctor, who then told me to take an over the counter medication instead, which doesnt reduce acid, but makes a protective coat in my stomach. I took it yesterday two times a day, but it makes little to no difference, and im still suffering from an extreme amount of acid. Like i could throw up at anytime amount of acid. Rennie barely helps, if it helps at all. 
I was reading about it, and i read that usually patients have to take 20mg, and then increase it. And I also read that too much ppi could give an opposite effect. Maybe it was too much for me? I dont know if i should try it by pouring half of it in water and drinking it. Im really thinking about this, because this acid and nausea is unbearable, and I need to do something asap. And i cant get another appointment to my doctor for a while now. What do you think?</t>
        </is>
      </c>
      <c r="D6979" t="n">
        <v>1</v>
      </c>
      <c r="E6979" t="n">
        <v>7</v>
      </c>
      <c r="F6979">
        <f>HYPERLINK("https://www.reddit.com/r/GERD/comments/gegs24/can_ppi_worsen_gerd_if_you_take_too_much_of_it/")</f>
        <v/>
      </c>
      <c r="G6979" t="inlineStr">
        <is>
          <t>2020-05-06 02:30:48</t>
        </is>
      </c>
      <c r="H6979" t="inlineStr"/>
    </row>
    <row r="6980">
      <c r="A6980" t="inlineStr">
        <is>
          <t>gegvcn</t>
        </is>
      </c>
      <c r="B6980" t="inlineStr">
        <is>
          <t>GERD and coffee? Decaf any different?</t>
        </is>
      </c>
      <c r="C6980" t="inlineStr">
        <is>
          <t>Lately, after I drink a cup of coffee, especially if it is not a shot like (30/60 ml) I feel pretty bad. My stomach feels strangled and bloated. I'd go to the toilet a few times in an hour with some indigested in my stools. I noticed a lot of burping too lately so it all got me wondering if I have GERD.   
I just wanted to ask if any of you has switched to Decaf coffee and if it has made any difference? I see that the studies are not exactly on the same page if coffee can be responsible or not. Also if it is coffee is it really the caffeine.</t>
        </is>
      </c>
      <c r="D6980" t="n">
        <v>1</v>
      </c>
      <c r="E6980" t="n">
        <v>13</v>
      </c>
      <c r="F6980">
        <f>HYPERLINK("https://www.reddit.com/r/GERD/comments/gegvcn/gerd_and_coffee_decaf_any_different/")</f>
        <v/>
      </c>
      <c r="G6980" t="inlineStr">
        <is>
          <t>2020-05-06 02:38:54</t>
        </is>
      </c>
      <c r="H6980" t="inlineStr"/>
    </row>
    <row r="6981">
      <c r="A6981" t="inlineStr">
        <is>
          <t>geh9bp</t>
        </is>
      </c>
      <c r="B6981" t="inlineStr">
        <is>
          <t>Sore chest normal?</t>
        </is>
      </c>
      <c r="C6981" t="inlineStr">
        <is>
          <t>I've had acid reflux for quite some time now, bit every once in a while ill experience a new symptom. I've had heart burn nd a stabbing pain in my chest before, but nothing that felt like this. My chest feels sore and raw, the kind of feeling you get after exercising in the cold, or from coughing up phlegm all day. It's been happening on and off for the past 3 days or so, but today I've had it all day.
I'm worried it could be covid-19 or some other respiratory virus. I don't have a temperate, congestion (besides seasonal allergies), a cough, or really any other symptoms of being ill. If everything wasn't so crazy right now I would definitely make an appointment to see my doctor and clear up some of my anxiety, but I'm in a pretty heavily hit area so I just don't feel comfortable going to the doctors. Any feedback would be very appreciated.</t>
        </is>
      </c>
      <c r="D6981" t="n">
        <v>1</v>
      </c>
      <c r="E6981" t="n">
        <v>6</v>
      </c>
      <c r="F6981">
        <f>HYPERLINK("https://www.reddit.com/r/GERD/comments/geh9bp/sore_chest_normal/")</f>
        <v/>
      </c>
      <c r="G6981" t="inlineStr">
        <is>
          <t>2020-05-06 03:10:38</t>
        </is>
      </c>
      <c r="H6981" t="inlineStr"/>
    </row>
    <row r="6982">
      <c r="A6982" t="inlineStr">
        <is>
          <t>geif06</t>
        </is>
      </c>
      <c r="B6982" t="inlineStr">
        <is>
          <t>Is it common with GERD to have excess salvia?</t>
        </is>
      </c>
      <c r="C6982" t="inlineStr">
        <is>
          <t>I seem to have loads of salvia and lump in my throat and it’s annoying me</t>
        </is>
      </c>
      <c r="D6982" t="n">
        <v>1</v>
      </c>
      <c r="E6982" t="n">
        <v>3</v>
      </c>
      <c r="F6982">
        <f>HYPERLINK("https://www.reddit.com/r/GERD/comments/geif06/is_it_common_with_gerd_to_have_excess_salvia/")</f>
        <v/>
      </c>
      <c r="G6982" t="inlineStr">
        <is>
          <t>2020-05-06 04:41:24</t>
        </is>
      </c>
      <c r="H6982" t="inlineStr"/>
    </row>
    <row r="6983">
      <c r="A6983" t="inlineStr">
        <is>
          <t>geilmg</t>
        </is>
      </c>
      <c r="B6983" t="inlineStr">
        <is>
          <t>Propped up bed?</t>
        </is>
      </c>
      <c r="C6983" t="inlineStr">
        <is>
          <t>20 yo male recently diagnosed with GERD and LPR, I was just wondering how many of you have propped up the heads of your beds? This was a recommendation given to me by a pulmonologist believe it or not because I was having some shortness of breath related to LPR. The pamphlet he gave me said not to do it with pillows. I wonder why that is.</t>
        </is>
      </c>
      <c r="D6983" t="n">
        <v>1</v>
      </c>
      <c r="E6983" t="n">
        <v>5</v>
      </c>
      <c r="F6983">
        <f>HYPERLINK("https://www.reddit.com/r/GERD/comments/geilmg/propped_up_bed/")</f>
        <v/>
      </c>
      <c r="G6983" t="inlineStr">
        <is>
          <t>2020-05-06 04:55:35</t>
        </is>
      </c>
      <c r="H6983" t="inlineStr"/>
    </row>
    <row r="6984">
      <c r="A6984" t="inlineStr">
        <is>
          <t>geiosh</t>
        </is>
      </c>
      <c r="B6984" t="inlineStr">
        <is>
          <t>Reduced GERD, But Breathing still isn't the best</t>
        </is>
      </c>
      <c r="C6984" t="inlineStr">
        <is>
          <t>Hello all,
Due to sudden change in food habits and geography (from 2 deg C to 38 deg C) as I moved from my hostel to parents home, I was diagnosed with GERD about 2 months ago. I had food regurgitation, excess burping, flatulence, chest tightness, chest pain and difficult taking deep breaths. 
I was put on a PPI for 2-3 weeks, changed my diet a bit by consuming less spicy food also had plenty plenty of water.  The symptoms seem to have reduced quite a bit. 3-4 burps post meal. Very mild to no chest tightness. Very mild to no food regurgitation Reduced burping. But the breathing isn't 100% restored though it's much better. I am able to run for few kms, Do Yoga etc. I am able to hold my breath for about 1 min 30 sec. (This is a test I try to check my lung capacity. )
I wanted to know what more can I do to improve/restore my breathing back to its old form. 
(Please don't mind. English isn't my native language)</t>
        </is>
      </c>
      <c r="D6984" t="n">
        <v>1</v>
      </c>
      <c r="E6984" t="n">
        <v>3</v>
      </c>
      <c r="F6984">
        <f>HYPERLINK("https://www.reddit.com/r/GERD/comments/geiosh/reduced_gerd_but_breathing_still_isnt_the_best/")</f>
        <v/>
      </c>
      <c r="G6984" t="inlineStr">
        <is>
          <t>2020-05-06 05:01:52</t>
        </is>
      </c>
      <c r="H6984" t="inlineStr"/>
    </row>
    <row r="6985">
      <c r="A6985" t="inlineStr">
        <is>
          <t>geisev</t>
        </is>
      </c>
      <c r="B6985" t="inlineStr">
        <is>
          <t>Omperazole withdrawls - vomiting daily, constipated, super dizzy and lightheaded, loss of appetite, nausea, just overall sick</t>
        </is>
      </c>
      <c r="C6985" t="inlineStr">
        <is>
          <t>Did anyone go through similar withdrawals and any advice on how to manage?</t>
        </is>
      </c>
      <c r="D6985" t="n">
        <v>1</v>
      </c>
      <c r="E6985" t="n">
        <v>0</v>
      </c>
      <c r="F6985">
        <f>HYPERLINK("https://www.reddit.com/r/GERD/comments/geisev/omperazole_withdrawls_vomiting_daily_constipated/")</f>
        <v/>
      </c>
      <c r="G6985" t="inlineStr">
        <is>
          <t>2020-05-06 05:08:43</t>
        </is>
      </c>
      <c r="H6985" t="inlineStr"/>
    </row>
    <row r="6986">
      <c r="A6986" t="inlineStr">
        <is>
          <t>gekuh9</t>
        </is>
      </c>
      <c r="B6986" t="inlineStr">
        <is>
          <t>Exercising with GERD becoming a nightmare</t>
        </is>
      </c>
      <c r="C6986" t="inlineStr">
        <is>
          <t xml:space="preserve"> 
Longtime lurker here this is gonna be a long one.  
Used to be around 450lbs  
Around March 2016 decided I did not want to die at 40, wear clothes that fit, and see my bits and pieces ya know the simple things.  
I started taking pre workout and weight training with cardio 6 times a week and lost around 140lbs. Also worked retail on my feet all damn day so logged around 12k steps a day and felt great.  
However around the end of 2018 job and personal life got super stressful which I went back to my old standby of fried foods and M&amp;amp;M Peanuts which caused me to get backup to 360lb  
Well also I began to have burning in my chest and extreme trouble swallowing food. Also while doing tricep pulldowns I got dizzy, lightheaded, could not breathe, and heart racing to about 180 bpm. Ignored it calmed down and got on Prilosec 40mg which brought everything to normal.  
Until 3/19 which I went to the ER for the same symptoms for them to say everything is fine. Endoscopy says I have GERD and Gastritis.  
Echo, Carotid scan, Stress Test, EKG, 30 Day Holter all fine. Calcium score is zero. Gas still causes difficulty to breathe during exercise even with something as simple as resistance bands. Also during or slightly after workouts heart will jump by about 40-50 bpm for no reason which kicks the anxiety into overdrive. Vicious cycle
Almost get these sharp pains on my left side sort of by my armpit but once again nothing medically wrong with me  
So has anyone encountered this before or have advice of how to alleviate it. I have cut out most sugars, processed carbs, very little dairy, and no red meat. I am at a loss and want to workout like normal again.  
TLDR: Fatarse trying to get better and was doing fine but GERD is making exercise of any type a living hell.</t>
        </is>
      </c>
      <c r="D6986" t="n">
        <v>1</v>
      </c>
      <c r="E6986" t="n">
        <v>2</v>
      </c>
      <c r="F6986">
        <f>HYPERLINK("https://www.reddit.com/r/GERD/comments/gekuh9/exercising_with_gerd_becoming_a_nightmare/")</f>
        <v/>
      </c>
      <c r="G6986" t="inlineStr">
        <is>
          <t>2020-05-06 07:18:11</t>
        </is>
      </c>
      <c r="H6986" t="inlineStr"/>
    </row>
    <row r="6987">
      <c r="A6987" t="inlineStr">
        <is>
          <t>gel5y8</t>
        </is>
      </c>
      <c r="B6987" t="inlineStr">
        <is>
          <t>HELP! I think I'm relapsing. Symptoms are worse.</t>
        </is>
      </c>
      <c r="C6987" t="inlineStr">
        <is>
          <t>I was diagnosed with GERD March 2019 when i suddenly experienced shortness of breath (SOB), mid-chest pain and palpitations after drinking cold brew coffee (I drink coffee everyday). Thought i was going to die so I was rushed to the ER. I had an ECG done and doctors said my heart was fine. They made me stop caffeine, dairy and certain foods and asked me to take PPIs (omeprazole/pantoprazole) for 2 weeks and my symptoms disappeared. But ever since I stopped taking PPIs, my symptoms came back. It was always a constant SOB, chest pain and palpitations after eating certain foods (still no dairy and caffeine). My GI doctor said these symptoms aren't really Hyperacidity symptoms and got my blood tested for Hyperthyroid. Results showed no thyroid issues so my GI doctor made me go back to PPIs and said I can come back if symptoms persist. Again, it helped but symptoms come back when I'm off it. I stopped going to my GI doctor since I don't think he's actually helping lol and not diagnosing me right. I also stopped taking PPIs. So I lived with the symptoms and eventually it became manageable. The shortness of breath would appear only if I ate too much. I would just take Gaviscon liquid and it would go away. 
Fastforward to last week of March 2020, after doing HIIT exercises for 2 days, I experienced chest pain and shortness of breath so I went to the hospital for a general check-up (No specialists since we're on a lockdown). And the doctor ruled out heart and lung problems, again it was GERD. Made me take Omeprazole (for a week) and Celecoxib (when needed for severe chest pain). Upon taking omeprazole, I felt normal and never had any symptoms for 2 weeks even when I was off medication.  This was the best I've felt ever since!! On week 3, I decided I should start eating healthier for me to continue keeping off PPIs and changed my diet to the Low Acid diet. Then 2 days ago (week 4), I was about to sleep at 2AM, I felt SOB and tightness in my chest that I've never felt before as if I'm having a heart attack (not that I've experienced it) so I was rushed to the ER. Both my arms were frozen stiff and went numb. I didn't think it was GERD since my last meal was 10PM (1/4 cup rice and scrambled egg and strawberries+almond milk smoothie which I have no known reaction to) . Doctors checked my heart (ECG), CBC blood test, and chest x-ray and all were normal. Again, I was diagnosed with GERD. They inserted IV pantoprazole and made me drink Maalox suspension. After an hour, i became fine and was sent home. Doctors advised me to sleep inclined and take pantoprazole (before breakfast) and Maalox (before bed) for 2 weeks. I was also advised to go thru endoscopy but only after the city lockdown has been lifted since there are still no GI specialists. For now, I have to manage with meds. The following day, I was feeling normal until before going to bed again, I felt heavy in the chest and had SOB. It was slightly similar to what I felt the night before. When I felt slightly better, I slept it off but when I woke up this morning I had the same symptoms again. This was the longest time I experienced symptoms ever since. So today is my 2nd day back again on PPis -- I took pantoprazole before breakfast and Maalox 20 mins after. Still, the SOB and chest pain were there. Symptoms only disappeared after I ate a somewhat heavy carbs meal. I haven't been eating until I'm full since I started a Low Acid diet. My stool also became runny/watery today and kinda uncontrollable.
As I'm writing this, SOB is gone but the chest heaviness remain. 
My questions are-- Am I relapsing? Are the PPIs not effective for me? Could that be the cause why I feel worse? Did going thru Low Acid diet make my gut health worse? I don't know what to do anymore :( If you have any advice, please.
\*Some things to note: I gained weight about 6kg since March 2019. But I lost some weight since starting a Low Acid diet. I've also been taking Calcium Ascorbate+Zinc and B Complex daily just for general health. The only exercise I can tolerate is Walking but i'm unable to walk outside since we're on lockdown. I found that yoga, hiit, and other cardio make my symptoms appear.</t>
        </is>
      </c>
      <c r="D6987" t="n">
        <v>1</v>
      </c>
      <c r="E6987" t="n">
        <v>4</v>
      </c>
      <c r="F6987">
        <f>HYPERLINK("https://www.reddit.com/r/GERD/comments/gel5y8/help_i_think_im_relapsing_symptoms_are_worse/")</f>
        <v/>
      </c>
      <c r="G6987" t="inlineStr">
        <is>
          <t>2020-05-06 07:36:14</t>
        </is>
      </c>
      <c r="H6987" t="inlineStr"/>
    </row>
    <row r="6988">
      <c r="A6988" t="inlineStr">
        <is>
          <t>gelxzi</t>
        </is>
      </c>
      <c r="B6988" t="inlineStr">
        <is>
          <t>How do you personally deal with the foul taste?</t>
        </is>
      </c>
      <c r="C6988" t="inlineStr">
        <is>
          <t>My GERD has been managed by medication for around 5 years. 
Recently I developed a couple new symptoms:
Bad breathe, and now a foul, salty, bitter taste in my mouth that won't go away.
I've tried ginger tea, eating healthier, washing out my mouth with water, and doubling down on my medication but nothing will make it go away. 
For those of you that have this symptom, how do you manage or eliminate it?</t>
        </is>
      </c>
      <c r="D6988" t="n">
        <v>1</v>
      </c>
      <c r="E6988" t="n">
        <v>5</v>
      </c>
      <c r="F6988">
        <f>HYPERLINK("https://www.reddit.com/r/GERD/comments/gelxzi/how_do_you_personally_deal_with_the_foul_taste/")</f>
        <v/>
      </c>
      <c r="G6988" t="inlineStr">
        <is>
          <t>2020-05-06 08:17:33</t>
        </is>
      </c>
      <c r="H6988" t="inlineStr"/>
    </row>
    <row r="6989">
      <c r="A6989" t="inlineStr">
        <is>
          <t>gemiiz</t>
        </is>
      </c>
      <c r="B6989" t="inlineStr">
        <is>
          <t>My first GERD attack in 20 days..</t>
        </is>
      </c>
      <c r="C6989" t="inlineStr">
        <is>
          <t>It’s been ages since I had a bad day in terms of GERD but it’s hit me like a brick today.. lump in throat, excess salvia and dry throat feeling, I’ve had a few symptoms here and then the last few days but not enough to make me want to literally lay on the sofa and not move alll dayy:( 
How’s everyones day going? Any suggestions on what to do apart from the usual stuff</t>
        </is>
      </c>
      <c r="D6989" t="n">
        <v>1</v>
      </c>
      <c r="E6989" t="n">
        <v>0</v>
      </c>
      <c r="F6989">
        <f>HYPERLINK("https://www.reddit.com/r/GERD/comments/gemiiz/my_first_gerd_attack_in_20_days/")</f>
        <v/>
      </c>
      <c r="G6989" t="inlineStr">
        <is>
          <t>2020-05-06 08:48:41</t>
        </is>
      </c>
      <c r="H6989" t="inlineStr"/>
    </row>
    <row r="6990">
      <c r="A6990" t="inlineStr">
        <is>
          <t>gemkw8</t>
        </is>
      </c>
      <c r="B6990" t="inlineStr">
        <is>
          <t>PPI withdrawal</t>
        </is>
      </c>
      <c r="C6990" t="inlineStr">
        <is>
          <t>Hi fellow sufferers,
I have taken my last pantoprozole 40 mg about 2,5 weeks ago, but still experience horrible GERD symptoms, which started about a few days ago. Most probably due to withdrawal symptoms ofcourse.
Does anyone know how long it might take for the withdrawal symptoms to disappear after stopping the usage of PPI?</t>
        </is>
      </c>
      <c r="D6990" t="n">
        <v>1</v>
      </c>
      <c r="E6990" t="n">
        <v>13</v>
      </c>
      <c r="F6990">
        <f>HYPERLINK("https://www.reddit.com/r/GERD/comments/gemkw8/ppi_withdrawal/")</f>
        <v/>
      </c>
      <c r="G6990" t="inlineStr">
        <is>
          <t>2020-05-06 08:52:17</t>
        </is>
      </c>
      <c r="H6990" t="inlineStr"/>
    </row>
    <row r="6991">
      <c r="A6991" t="inlineStr">
        <is>
          <t>gennv7</t>
        </is>
      </c>
      <c r="B6991" t="inlineStr">
        <is>
          <t>Finally got an IQoro. Will keep this post updated with progress if anyone is interested.</t>
        </is>
      </c>
      <c r="C6991" t="inlineStr">
        <is>
          <t>Long time (4yr) LPR sufferer here who finally decided to give an IQoro device a try. 
My symptoms include burning tongue, acid taste in mouth, sore throat, but not a lot of heartburn. 
I’ll try to keep this post updated with progress if anyone is interested.</t>
        </is>
      </c>
      <c r="D6991" t="n">
        <v>1</v>
      </c>
      <c r="E6991" t="n">
        <v>17</v>
      </c>
      <c r="F6991">
        <f>HYPERLINK("https://www.reddit.com/r/GERD/comments/gennv7/finally_got_an_iqoro_will_keep_this_post_updated/")</f>
        <v/>
      </c>
      <c r="G6991" t="inlineStr">
        <is>
          <t>2020-05-06 09:49:57</t>
        </is>
      </c>
      <c r="H6991" t="inlineStr"/>
    </row>
    <row r="6992">
      <c r="A6992" t="inlineStr">
        <is>
          <t>gep27z</t>
        </is>
      </c>
      <c r="B6992" t="inlineStr">
        <is>
          <t>What are the chances of getting esophagus cancer at young age?</t>
        </is>
      </c>
      <c r="C6992" t="inlineStr">
        <is>
          <t>Hello there,
My second time writing here.
I'm 27 male. 
My doctor today told me that there is no necessary to have an Endoscopy, but she is going to perform another check with the device to look at my esophagus, since my constant pain is coming from thr left side of my chest but in the middle where the esophagus. My question is what are the chances of me getting diagnosed with esophagus cancer? I am really worried and my anxiety is at its peak now.
My father passed away from stomach cancer at the age of 49, does it related somehow?
Reading online things makes me very uncomfortable at this stage, especially that I have to wait until the appointment is scheduled. Ps: my complains started 2 months ago, chest burning, upper stomach pain, losing weight and few other symptoms of Gerd.</t>
        </is>
      </c>
      <c r="D6992" t="n">
        <v>1</v>
      </c>
      <c r="E6992" t="n">
        <v>3</v>
      </c>
      <c r="F6992">
        <f>HYPERLINK("https://www.reddit.com/r/GERD/comments/gep27z/what_are_the_chances_of_getting_esophagus_cancer/")</f>
        <v/>
      </c>
      <c r="G6992" t="inlineStr">
        <is>
          <t>2020-05-06 11:02:39</t>
        </is>
      </c>
      <c r="H6992" t="inlineStr"/>
    </row>
    <row r="6993">
      <c r="A6993" t="inlineStr">
        <is>
          <t>ges8dj</t>
        </is>
      </c>
      <c r="B6993" t="inlineStr">
        <is>
          <t>IQoro effect on tinnitus</t>
        </is>
      </c>
      <c r="C6993" t="inlineStr">
        <is>
          <t>I was about to buy the device, but I read on the FAQ the following:
Cases where extra care should be exercised
Tinnitus
People with this condition can sometimes experience an altered hearing sensation after training with IQoro, probably because one of the nerves stimulated by IQoro emanates from the middle ear. In some cases, this change in perceived ‘noise’ is a positive one, in others it is perceived as a worsening. 
IQoro treatment is recommended, but a gradual introduction and build-up to the full 3x10 second sessions, three times per day is to be preferred. Be prepared to stop increasing your training, or even to drop back a level if you experience significant discomfort. Call us if you wish to discuss.
https://www.iqoro.com/en/faq/exclusionandinclusioncriteriaforiqoro/
Does anyone have tinnitus and has used the device? I asked them already a few minutes ago, wanted to know if anyone has any experience.</t>
        </is>
      </c>
      <c r="D6993" t="n">
        <v>1</v>
      </c>
      <c r="E6993" t="n">
        <v>1</v>
      </c>
      <c r="F6993">
        <f>HYPERLINK("https://www.reddit.com/r/GERD/comments/ges8dj/iqoro_effect_on_tinnitus/")</f>
        <v/>
      </c>
      <c r="G6993" t="inlineStr">
        <is>
          <t>2020-05-06 13:47:50</t>
        </is>
      </c>
      <c r="H6993" t="inlineStr"/>
    </row>
    <row r="6994">
      <c r="A6994" t="inlineStr">
        <is>
          <t>gesldo</t>
        </is>
      </c>
      <c r="B6994" t="inlineStr">
        <is>
          <t>Does anyone have tips to deal with chest pain while and after eating?</t>
        </is>
      </c>
      <c r="C6994" t="inlineStr">
        <is>
          <t>Hello! I was diagnosed with GERD a few weeks ago and I‘ve been taking esomeprazole 40g for 8 days now which helped with the reflux but not so much with the pain. I feel a lot of pain while eating and it is like my chest gets sore after and I need to sit down before doing anything else. 
I have to take the medicine for 28 days before going back to the doctor but it‘s been very hard to eat even though the pain has gotten better since day one. Do any of you have tips on how to deal with that? Maybe natural medicine that can help or personal experiences because I‘m new to this. 
I‘ve reduced all acid and fried foods, sauces and basically everything that makes it worse. I still have trouble reducing chocolate though.</t>
        </is>
      </c>
      <c r="D6994" t="n">
        <v>1</v>
      </c>
      <c r="E6994" t="n">
        <v>6</v>
      </c>
      <c r="F6994">
        <f>HYPERLINK("https://www.reddit.com/r/GERD/comments/gesldo/does_anyone_have_tips_to_deal_with_chest_pain/")</f>
        <v/>
      </c>
      <c r="G6994" t="inlineStr">
        <is>
          <t>2020-05-06 14:06:08</t>
        </is>
      </c>
      <c r="H6994" t="inlineStr"/>
    </row>
    <row r="6995">
      <c r="A6995" t="inlineStr">
        <is>
          <t>gesqx8</t>
        </is>
      </c>
      <c r="B6995" t="inlineStr">
        <is>
          <t>eating bland food</t>
        </is>
      </c>
      <c r="C6995" t="inlineStr">
        <is>
          <t>I think I have high stomach acid when I get stressed. There was a week or so earlier this year when I was really stressed and I would start coughing and then burping in the middle of the night (the symptoms when away as the stress went away), and then I would wake up or my partner would tell me this happened.
Anyway, my question is I tend to eat bland food (like a lot of oatmeal, made with water and a little salt) when I am in exam season. Does this help with reducing stomach acid? Are there any other helpful foods for reducing stomach acid when stressed?</t>
        </is>
      </c>
      <c r="D6995" t="n">
        <v>1</v>
      </c>
      <c r="E6995" t="n">
        <v>0</v>
      </c>
      <c r="F6995">
        <f>HYPERLINK("https://www.reddit.com/r/GERD/comments/gesqx8/eating_bland_food/")</f>
        <v/>
      </c>
      <c r="G6995" t="inlineStr">
        <is>
          <t>2020-05-06 14:14:08</t>
        </is>
      </c>
      <c r="H6995" t="inlineStr"/>
    </row>
    <row r="6996">
      <c r="A6996" t="inlineStr">
        <is>
          <t>gex7zs</t>
        </is>
      </c>
      <c r="B6996" t="inlineStr">
        <is>
          <t>Ulcer troubles?</t>
        </is>
      </c>
      <c r="C6996" t="inlineStr">
        <is>
          <t>I’ve been diagnosed with GERD for years now, and while it’s definitely bothersome, I can manage it. 
Last night, however, I started to feel... weird. The best way I can describe it is like a constant tingling feeling within my stomach area. It lasted for a few hours and then I was finally able to sleep. I didn’t feel it much during the day, but this evening the feeling came back. I can feel heartburn but it’s more of a tingling as well. It’s all very odd and super hard to describe. 
If you’ve every had a stomach ulcer, what did it feel like? I’ve had mild pain in one part of my stomach that comes and goes. It isn’t constant, but my doctor said there was a chance that it was an ulcer. Said to take Nexium or Prilosec to try and help the symptoms. I haven’t been able to pick any up yet, and now with this tingling, it’s freaking me out pretty bad. Any reassurance or experience would be appreciated!</t>
        </is>
      </c>
      <c r="D6996" t="n">
        <v>1</v>
      </c>
      <c r="E6996" t="n">
        <v>0</v>
      </c>
      <c r="F6996">
        <f>HYPERLINK("https://www.reddit.com/r/GERD/comments/gex7zs/ulcer_troubles/")</f>
        <v/>
      </c>
      <c r="G6996" t="inlineStr">
        <is>
          <t>2020-05-06 18:32:05</t>
        </is>
      </c>
      <c r="H6996" t="inlineStr"/>
    </row>
    <row r="6997">
      <c r="A6997" t="inlineStr">
        <is>
          <t>gexd7f</t>
        </is>
      </c>
      <c r="B6997" t="inlineStr">
        <is>
          <t>Silent reflux</t>
        </is>
      </c>
      <c r="C6997" t="inlineStr">
        <is>
          <t>I’ve known I had reflux for a while, but never took it seriously as I don’t feel much besides clearing my throat after eating too much. 
A month ago my wife made an extra delicious chocolate cake with creamy chocolate on top and chopped strawberries. 
I engorged myself. 
During that day and thereafter, things changed. I started clearing my throat throughout the whole day. 
Woke up the next day with dry cough. Spent the whole month of April until this very day getting better and worse and not knowing why this was happening.
It’s not a good time to have dry cough so I was paranoid on the reasons.. but I had no other symptoms, no fever or anything. An occasional heartburn, and headaches here and there. 
My wife can’t stand hearing me clear my throat. 
Apparently, I have silent reflux. How common is it?</t>
        </is>
      </c>
      <c r="D6997" t="n">
        <v>1</v>
      </c>
      <c r="E6997" t="n">
        <v>1</v>
      </c>
      <c r="F6997">
        <f>HYPERLINK("https://www.reddit.com/r/GERD/comments/gexd7f/silent_reflux/")</f>
        <v/>
      </c>
      <c r="G6997" t="inlineStr">
        <is>
          <t>2020-05-06 18:40:50</t>
        </is>
      </c>
      <c r="H6997" t="inlineStr"/>
    </row>
    <row r="6998">
      <c r="A6998" t="inlineStr">
        <is>
          <t>gexsib</t>
        </is>
      </c>
      <c r="B6998" t="inlineStr">
        <is>
          <t>My LPR is improving drastically - here's how</t>
        </is>
      </c>
      <c r="C6998" t="inlineStr">
        <is>
          <t>Hey everyone.
So since my last post  [here](https://www.reddit.com/r/GERD/comments/fhq3y0/i_have_lpr_and_would_appreciate_some/) I've gotten significantly better and I want to share some encouragement for others suffering. So much better that a lot of the time I don't notice the LPR anymore. While I'm still not healed and I still expect it to take several months to fully recover, I finally have some hope that my life will go back to normal.
**A little backstory**: I started developing this nasty sore throat, along with an uncomfortable feeling while taking a deep breath last year in February. I'm positive my symptoms are a result of excessive energy drinks and diet sodas - used to drink a whole lot of diet soda, upwards of 1L daily, when I was most into fitness as it helped me get lean and I drank a daily Monster energy drink for pretty much 2 or 3 years. Horrible, now that I look back on it. I knew it's bad but never imagined it'd hit me this hard, this young and I always assumed I had a lot of time to quit.
Went to numerous doctors, spent 5 months still doing serious damage, doing everything wrong, because I was clueless it's reflux. Drank Monsters, ate a whole lot of dairy (which I'm intolerant to as it is but I stopped getting irregular bowel movements so it didn't bother me anymore) and went to bed right after eating, etc. Finally, one said it's reflux and I got started on a PPI, which took away the pain significantly the first day but then just stopped helping. The pain wasn't really going away and I stopped energy drinks but I drank other acidic drinks because I had a very hard time adjusting.
Had an endoscopy done which showed a red, irritated stomach and esophagus but no esophagitis or eosinophilic esophagitis. My LES was fine, perhaps just slightly looser than normal but nothing that would indicate reflux at all.
Afterwards, I finally raised my bed, which helped significantly and started taking Gaviscon Advance which I assume helps but not entirely sure. Still taking it and will continue to until I'm healed. With that said, my pain, once again, stagnated and didn't really change no matter how much time passed.
Fast forward to 2 months ago, I had a 24 pH metry and motility testing done. The motility testing showed a normal LES pressure (as far as I'm able to read the results, anyhow - still haven't gotten to a doctor because of corona), further establishing that physically, there's nothing there that ought to cause my reflux. The motility testing also showed a lowered motility in one part of the esophagus and the pH metry showed I definitely have reflux. 
**What I did since that made all the difference:** High pH diet. And not just 2 weeks either, I think that's way too little. 2 weeks into the low pH diet I was significantly better, indeed, but still far, far from okay. Nearly 2 months in now and it's very slowly, very steadily improving - which is awesome, considering how anything I did prior to this just made a big dent into the pain then didn't improve it further. Now, I'm slowly reintroducing some foods and honestly, I don't even feel that limited. [Some info on the foods I'm currently eating here.](https://www.chewfo.com/diets/dropping-acid-the-reflux-diet-cookbook-cure-2010-by-jamie-koufman-jordan-stern-and-marc-bauer-what-to-eat-and-foods-to-avoid-food-list/) Starting to eat mayonnaise, **honey with ginger (ginger's awesome for inflammation apparently, which is everything reflux is, and honey is supposed to help with it too)**, boiled prosciutto. Ate oven baked french fries and since it's just potatoes, it's a pretty delicious snack. Ate several hot dogs, felt no adverse side effects. Low fat popcorn is something I eat nearly daily too.
I ate chocolate a few days ago, had a couple of non-alcoholic beers, mind you, this is cheating, since I'm very much still trying to heal - and the reflux wasn't worse at all. The next day, I was still enjoying my improved ability to take deep breaths and much less potent sore throat. **The only thing I must mention is that my digestion has been horrible since I got used to this diet. Anything I eat out of the few foods I ate for the first few weeks made me bloated, cramped and resulted in days of pain.**
But no worries. Finally bought probiotics, currently day 2 of taking them and I feel like they're working since I got the usual diarrhea people get when they start yesterday and today it's all better. I'm not expecting them to really impact my LPR, even though I'm hoping they will since they do for many people, I just need them to recalibrate and fix my digestion - which, yeah, should improve reflux as well.
I'll be continuing on this diet for several months until I'm fully healed and, of course, I will most likely cheat - probably with alcohol and pizza, other foods don't really tempt me to be honest since I'm eating good food as is and I'm used to eating the same thing over and over. Once it's all gone, I expect it to stay gone and this brings me to my big point after this wall of text;
**I believe anyone that doesn't have a clear physical reason, such as a hernia, a weakened LES, h. Pylori (which is treatable anyway) can get rid of reflux fully through diet.** Your diet/stress most likely caused it and it's the only way to really fix it, but it doesn't happen in a week or a month. You spent years damaging your stomach and you've probably had reflux that has been damaging anything above your LES for months now, effectively making you so inflamed that your body's anti-reflux systems don't even work like they should anymore.
**Obviously I'm no doctor - and am speaking from personal experience only - but if your diet is what caused your LPR, I think your diet can heal it too.** It's working for me and I'm very hopeful it continues to work until I'm completely symptom free and can eat anything, in moderation of course. 
**CONSISTENCY IS KEY!** Your body will respond to anything you do consistently. I read a post here from a user that said think of it like a sprained ankle. If you keep damaging it, in this case eating foods you shouldn't, even just 2 or 3 times a week, it'll never fully heal and it'll always hurt to walk on. If you give it proper rest and the chance to heal, in this case go on a very restrictive diet for a few months, and it heals, it'll be fully healed like you never even sprained it.
&amp;amp;#x200B;
TLDR:
\-Caused my own reflux through horrible diet, mainly with energy drinks and diet colas
\-Had a very nasty sore throat, with apparent redness and inflammation + cobblestone (some of which haven't fully disappeared yet) and difficulty/uncomfortable feeling taking deep breaths
\-Tests showed an inflamed stomach, an inflamed esophagus, normal LES (only very slightly looser than normal) motility testing showed slightly lower motility in one part of the esophagus and a normal pressure in the LES, pH metry showed I do indeed have reflux - all in all, nothing that could be pinpointed as the reason I have reflux
\-Started a high pH diet (eating only foods over 5 pH), got significantly better in 2 weeks but still far from okay, nearly 2 months in, I'm way better again, consistently getting better very slowly, and I'm expecting this to fully heal me (even though I occasionally cheat but it doesn't impact me negatively)
\-**Other things I'm currently doing:** raised head of bed, I drink a glass of water with half a teaspoon of baking soda every morning to neutralize any leftover pepsin (although I'm doing it just in case now I believe), started taking probiotics to fix my digestion and hopefully impact LPR, started eating a large teaspoon of ginger with honey (ginger is very anti-inflammatory and LPR is essentially inflammation)
\-I believe me and others like me, without a clear physical reason to their reflux, can get rid of it fully through diet. 
&amp;amp;#x200B;
Apologies for the insanely long post, wanted to tell everything.</t>
        </is>
      </c>
      <c r="D6998" t="n">
        <v>1</v>
      </c>
      <c r="E6998" t="n">
        <v>61</v>
      </c>
      <c r="F6998">
        <f>HYPERLINK("https://www.reddit.com/r/GERD/comments/gexsib/my_lpr_is_improving_drastically_heres_how/")</f>
        <v/>
      </c>
      <c r="G6998" t="inlineStr">
        <is>
          <t>2020-05-06 19:07:17</t>
        </is>
      </c>
      <c r="H6998" t="inlineStr"/>
    </row>
    <row r="6999">
      <c r="A6999" t="inlineStr">
        <is>
          <t>geyhm7</t>
        </is>
      </c>
      <c r="B6999" t="inlineStr">
        <is>
          <t>Hoping My GERD Is Relates To Gallbladder Issues</t>
        </is>
      </c>
      <c r="C6999" t="inlineStr">
        <is>
          <t>Finally confirmed for surgery next Thursday gallbladder surgery to have it removed (COVID delay). It was sludge and is no longer working properly. I have hopes that many of the GERD like symptoms I have been having for 8 months was caused by this.
I plan to document and share my results with the community. Has anyone out there had their gallbladder removed due and found relief in their symptoms?</t>
        </is>
      </c>
      <c r="D6999" t="n">
        <v>1</v>
      </c>
      <c r="E6999" t="n">
        <v>12</v>
      </c>
      <c r="F6999">
        <f>HYPERLINK("https://www.reddit.com/r/GERD/comments/geyhm7/hoping_my_gerd_is_relates_to_gallbladder_issues/")</f>
        <v/>
      </c>
      <c r="G6999" t="inlineStr">
        <is>
          <t>2020-05-06 19:53:33</t>
        </is>
      </c>
      <c r="H6999" t="inlineStr"/>
    </row>
    <row r="7000">
      <c r="A7000" t="inlineStr">
        <is>
          <t>geymjv</t>
        </is>
      </c>
      <c r="B7000" t="inlineStr">
        <is>
          <t>Former chronic cannabis smokers: any luck with reducing or eliminating GERD?</t>
        </is>
      </c>
      <c r="C7000" t="inlineStr">
        <is>
          <t>I'm a regular cannabis smoker (no tobacco) and have also battled with GERD over the past couple of years. I'm worried that PPIs will cause more issues in the long run, and they haven't been that effective in the short term. Im wondering the extent to which stopping smoking can make a difference.
Anyone here have any luck with reducing GERD after quitting smoking?</t>
        </is>
      </c>
      <c r="D7000" t="n">
        <v>1</v>
      </c>
      <c r="E7000" t="n">
        <v>5</v>
      </c>
      <c r="F7000">
        <f>HYPERLINK("https://www.reddit.com/r/GERD/comments/geymjv/former_chronic_cannabis_smokers_any_luck_with/")</f>
        <v/>
      </c>
      <c r="G7000" t="inlineStr">
        <is>
          <t>2020-05-06 20:02:54</t>
        </is>
      </c>
      <c r="H7000" t="inlineStr"/>
    </row>
    <row r="7001">
      <c r="A7001" t="inlineStr">
        <is>
          <t>geyodn</t>
        </is>
      </c>
      <c r="B7001" t="inlineStr">
        <is>
          <t>Anxiety making my GERD worse</t>
        </is>
      </c>
      <c r="C7001" t="inlineStr">
        <is>
          <t>I have this horrid dry cough that I know everyone with this awful thing has to deal with. I fortunately don't have any pains this time around so it's just a dry, painless cough. Now I DO have to spit everytime I cough. I've been dealing with shortness of breath but only when I move around too much or if I lean forward too far. (I can't bend over at all). Belching. And for the last two days I've been tasting and smelling acid. Especially after I cough. Does anyone know how I can limit any of this? I've been taking omeprazole and I can't admit that the burning in my throat is gone, but that's it. What else can I do to get rid of these symptoms?</t>
        </is>
      </c>
      <c r="D7001" t="n">
        <v>1</v>
      </c>
      <c r="E7001" t="n">
        <v>3</v>
      </c>
      <c r="F7001">
        <f>HYPERLINK("https://www.reddit.com/r/GERD/comments/geyodn/anxiety_making_my_gerd_worse/")</f>
        <v/>
      </c>
      <c r="G7001" t="inlineStr">
        <is>
          <t>2020-05-06 20:06:23</t>
        </is>
      </c>
      <c r="H7001" t="inlineStr"/>
    </row>
    <row r="7002">
      <c r="A7002" t="inlineStr">
        <is>
          <t>geyqlb</t>
        </is>
      </c>
      <c r="B7002" t="inlineStr">
        <is>
          <t>Diagnosed with LPR a few days ago, need advice</t>
        </is>
      </c>
      <c r="C7002" t="inlineStr">
        <is>
          <t>(22F) I was just officially diagnosed with acid reflux 3 days ago and I am both relieved and scared. I’m happy that I was finally able to get this whole situation sorted, because for 16 days I’ve been to the er twice and my family doctor 4 times trying to figure out what’s wrong with me. They kept saying it’s my anxiety or my allergies or asthma.. but I’ve had anxiety and allergies for years and it’s never been like this. As for asthma.. I had that when I was 12 and I am now 22. I was confused on why it was coming back. 
Fast forward to 3 days ago— I went to the ENT because I was running out of options and I just wanted an official diagnosis so I could start to heal. The doctor put a tube down my nose and into my throat and said it looked good (thank god) other than it being a little red and inflamed and that’s because of acid reflux. So now I know that I have LPR.. and it sucks. 
For these past few days I’ve drastically changed my diet and I’ve been taking medicine to help with the acid. 
-At first my symptoms were:
Upper back pain during and after eating 
-neck pain and discomfort/ burning sensation
-a lot of mucus in my throat 
-lump in throat 
-feeling like I couldn’t breathe 
-wheezing 
After 3 days of taking my medication, my symptoms are now:
-shortness of breath though not as bad
-mucus in throat 
-burping a lot, and feeling extremely bloated after a meal
-wheezing sometimes but not as bad as before
Although I’m feeling much better than I was a few weeks ago, I’m still not feeling the best. Does anyone have any tips for living with LPR and what to do during a flare up? I’m new to this whole thing and still have no clue what I’m doing. I could really use some help. Thanks!</t>
        </is>
      </c>
      <c r="D7002" t="n">
        <v>1</v>
      </c>
      <c r="E7002" t="n">
        <v>1</v>
      </c>
      <c r="F7002">
        <f>HYPERLINK("https://www.reddit.com/r/GERD/comments/geyqlb/diagnosed_with_lpr_a_few_days_ago_need_advice/")</f>
        <v/>
      </c>
      <c r="G7002" t="inlineStr">
        <is>
          <t>2020-05-06 20:10:35</t>
        </is>
      </c>
      <c r="H7002" t="inlineStr"/>
    </row>
    <row r="7003">
      <c r="A7003" t="inlineStr">
        <is>
          <t>gezpi6</t>
        </is>
      </c>
      <c r="B7003" t="inlineStr">
        <is>
          <t>This is going to sound weird, or maybe not but does anyone get burning acid mouth?</t>
        </is>
      </c>
      <c r="C7003" t="inlineStr">
        <is>
          <t>I just tried to brush my teeth with a new toothpaste I bought and idk what’s in it but it did not agree with the acid in my throat/mouth and that is not the kind of spicy I ever want to taste again.</t>
        </is>
      </c>
      <c r="D7003" t="n">
        <v>1</v>
      </c>
      <c r="E7003" t="n">
        <v>3</v>
      </c>
      <c r="F7003">
        <f>HYPERLINK("https://www.reddit.com/r/GERD/comments/gezpi6/this_is_going_to_sound_weird_or_maybe_not_but/")</f>
        <v/>
      </c>
      <c r="G7003" t="inlineStr">
        <is>
          <t>2020-05-06 21:20:23</t>
        </is>
      </c>
      <c r="H7003" t="inlineStr"/>
    </row>
    <row r="7004">
      <c r="A7004" t="inlineStr">
        <is>
          <t>gezszz</t>
        </is>
      </c>
      <c r="B7004" t="inlineStr">
        <is>
          <t>Esophageal web...</t>
        </is>
      </c>
      <c r="C7004" t="inlineStr">
        <is>
          <t>Does anyone know if esophageal web is something that grows overtime or can it happen in one day? Also the same with GERD. Can GERD happen all of a sudden as well? Sorry if these are dumb questions.</t>
        </is>
      </c>
      <c r="D7004" t="n">
        <v>1</v>
      </c>
      <c r="E7004" t="n">
        <v>4</v>
      </c>
      <c r="F7004">
        <f>HYPERLINK("https://www.reddit.com/r/GERD/comments/gezszz/esophageal_web/")</f>
        <v/>
      </c>
      <c r="G7004" t="inlineStr">
        <is>
          <t>2020-05-06 21:27:49</t>
        </is>
      </c>
      <c r="H7004" t="inlineStr"/>
    </row>
    <row r="7005">
      <c r="A7005" t="inlineStr">
        <is>
          <t>gf02fp</t>
        </is>
      </c>
      <c r="B7005" t="inlineStr">
        <is>
          <t>How long do I need to diet for GERD symptoms to go away? I just want to be normal again</t>
        </is>
      </c>
      <c r="C7005" t="inlineStr">
        <is>
          <t>Hello there I’m a 24 year old female. So I’m pretty certain I have GERD because it runs in my family and my grandpa actually passed away from esophagus cancer 10 years ago and my grandma takes Prilosec often. I never really noticed symptoms and had them every once and awhile. But recently,  I noticed I’ve been having tons of heart burn, and tons of burping, like there’s something stuck in my throat. I literally have to burp like 30 times just to relieve the feeling. I hate dieting and enjoy eating and drinking whatever I want but I figure if I want to feel any better I’ll need to do this. So is the GERD diet a lifelong thing? Or do I just need to do it for a few months so my symptoms calm down. I just want to live a normal life and just enjoy food. I can’t even enjoy Alfredo pasta or any dairy now because it’s been giving me so much heartburn this week.</t>
        </is>
      </c>
      <c r="D7005" t="n">
        <v>1</v>
      </c>
      <c r="E7005" t="n">
        <v>5</v>
      </c>
      <c r="F7005">
        <f>HYPERLINK("https://www.reddit.com/r/GERD/comments/gf02fp/how_long_do_i_need_to_diet_for_gerd_symptoms_to/")</f>
        <v/>
      </c>
      <c r="G7005" t="inlineStr">
        <is>
          <t>2020-05-06 21:48:40</t>
        </is>
      </c>
      <c r="H7005" t="inlineStr"/>
    </row>
    <row r="7006">
      <c r="A7006" t="inlineStr">
        <is>
          <t>gf0c69</t>
        </is>
      </c>
      <c r="B7006" t="inlineStr">
        <is>
          <t>Endoscopy tomorrow</t>
        </is>
      </c>
      <c r="C7006" t="inlineStr">
        <is>
          <t>I have my endoscopy and biopsy scheduled for 5/7 and I’m starting to get really anxious.  I already don’t like anesthesia but I’m freaked out about the results. I’m a 24 year old female with chronic heartburn and I don’t want to be stuck in this much pain and difficulty swallowing forever.</t>
        </is>
      </c>
      <c r="D7006" t="n">
        <v>1</v>
      </c>
      <c r="E7006" t="n">
        <v>5</v>
      </c>
      <c r="F7006">
        <f>HYPERLINK("https://www.reddit.com/r/GERD/comments/gf0c69/endoscopy_tomorrow/")</f>
        <v/>
      </c>
      <c r="G7006" t="inlineStr">
        <is>
          <t>2020-05-06 22:09:05</t>
        </is>
      </c>
      <c r="H7006" t="inlineStr"/>
    </row>
    <row r="7007">
      <c r="A7007" t="inlineStr">
        <is>
          <t>gf0qjz</t>
        </is>
      </c>
      <c r="B7007" t="inlineStr">
        <is>
          <t>Does anyone else with GERD get violent bouts of vomiting?</t>
        </is>
      </c>
      <c r="C7007" t="inlineStr">
        <is>
          <t>To be clear, not asking for any kind of diagnosis:) just looking to see if anyone else is experiencing this! Hope everyone is happy and healthy and thank you in advance:)</t>
        </is>
      </c>
      <c r="D7007" t="n">
        <v>1</v>
      </c>
      <c r="E7007" t="n">
        <v>0</v>
      </c>
      <c r="F7007">
        <f>HYPERLINK("https://www.reddit.com/r/GERD/comments/gf0qjz/does_anyone_else_with_gerd_get_violent_bouts_of/")</f>
        <v/>
      </c>
      <c r="G7007" t="inlineStr">
        <is>
          <t>2020-05-06 22:41:37</t>
        </is>
      </c>
      <c r="H7007" t="inlineStr"/>
    </row>
    <row r="7008">
      <c r="A7008" t="inlineStr">
        <is>
          <t>gf0y3j</t>
        </is>
      </c>
      <c r="B7008" t="inlineStr">
        <is>
          <t>Stomach Cancer Symptoms</t>
        </is>
      </c>
      <c r="C7008" t="inlineStr">
        <is>
          <t>I'm 22(male) and up until recently I've felt fine. I've had heartburn for a while but just took tums to alleviate. But now idk if I caught a stomach bug or something but for a week I've been nauseous and have had thin stools with mucus and when I wipe its yellow(sorry if tmi). Also when I vomit it's always clear bile. Anxiety has picked up especially since everywhere I read it says stomach flu/food poisoning only last around 3 to 4 days and it's been a week with these symptoms. The first 2 days it just felt like I had gas stuck under my ribs,not painful, but felt as tho i needed to let it out, the rest went as stated above. No severe cramps or blood in my stool but that could be because I'm catching it early I'm thinking. Went to the drs yesterday but obviously I was told that I'm too young and showed no signs of serious damage. Also showed the dr a mole on my back that concerned me and was told that it looks concerning but to visit a dermatologist only if it starts oozing or getting larger. Ughh and now I look at my gums and see that there's some black spots which worries me that I have cancer and that its spreading, I know that might not be exactly how it works but my brains going a mile a minute and I cant stay off Google for more than 5 minutes..I've been pressing down on my stomach all night trynna see if anything feels abnormal but I ain't a damn dr lol. Been looking at people's stories for hours now and have came to the conclusion that I'll never know until I get some test done, which might not even be possible because I have NO INSURANCE! I could be overreacting  but I just want peice of mind that itll be all right ya know? I thought I'd gain that after visiting the docs but all she did was push on my stomach and ask questions .. 200$ only to still be unsure whether I have it or not, I've seen plenty of stories saying the dr misdiagnosed and feel like the same could've happened to me. I ate soup earlier, and 5 min later I puked it up. Any ideas ?</t>
        </is>
      </c>
      <c r="D7008" t="n">
        <v>1</v>
      </c>
      <c r="E7008" t="n">
        <v>4</v>
      </c>
      <c r="F7008">
        <f>HYPERLINK("https://www.reddit.com/r/GERD/comments/gf0y3j/stomach_cancer_symptoms/")</f>
        <v/>
      </c>
      <c r="G7008" t="inlineStr">
        <is>
          <t>2020-05-06 22:59:07</t>
        </is>
      </c>
      <c r="H7008" t="inlineStr"/>
    </row>
    <row r="7009">
      <c r="A7009" t="inlineStr">
        <is>
          <t>gf11sb</t>
        </is>
      </c>
      <c r="B7009" t="inlineStr">
        <is>
          <t>My poop turned extremely pale yellow (picture included). Should I be concerned?</t>
        </is>
      </c>
      <c r="C7009" t="inlineStr">
        <is>
          <t>25M. I was diagnosed with GERD two years ago. I've been on Pantoprazole 40mg everyday for around 17-18 months now. Last week the doc told me that it's okay to stop the PPI. So I did. I had really bad acid reflux rebound and constipation. So I kept taking antacids, yoghurt, jaggery water, honey, and psyllium husk to help manage the symptoms. Since yesterday, my poop has turned really pale yellow. I have had yellow stool before, but this is just beyond anything I've ever had. In case my diet info is necessary, I'm a vegetarian. I haven't had anything oily or spicy since a week. I didn't have such pale yellow stool while on the PPI.
I tried contacting my doctor, but the receptionist put me on a wait list for atleast 3 weeks. Please tell me if it's something to worry about. Should I get on the PPI again until I see my doctor? Should I rush to the ER?
WARNING! POOP PICTURE - [https://imgur.com/a/supteKP](https://imgur.com/a/supteKP)</t>
        </is>
      </c>
      <c r="D7009" t="n">
        <v>1</v>
      </c>
      <c r="E7009" t="n">
        <v>9</v>
      </c>
      <c r="F7009">
        <f>HYPERLINK("https://www.reddit.com/r/GERD/comments/gf11sb/my_poop_turned_extremely_pale_yellow_picture/")</f>
        <v/>
      </c>
      <c r="G7009" t="inlineStr">
        <is>
          <t>2020-05-06 23:07:37</t>
        </is>
      </c>
      <c r="H7009" t="inlineStr"/>
    </row>
    <row r="7010">
      <c r="A7010" t="inlineStr">
        <is>
          <t>gf2dvf</t>
        </is>
      </c>
      <c r="B7010" t="inlineStr">
        <is>
          <t>LPR/GERD? - New to all this</t>
        </is>
      </c>
      <c r="C7010" t="inlineStr">
        <is>
          <t>Hi all,
Posted a thing on gastritis explaining the background and unknown illness relating to all my symptoms but to cut a long story short the only signs I had of any reflux were a sore throat and some saliva dribble occasionally on my pillow - basically didnt even suspect reflux.
I have had what seemed like sinus infection for most Feb/March before it went away (there was a weird spot on my uvula etc). Also my gag reflex is terrible but has been since i was a kid, even brushing my tongue near the mid/back can make me want to vomit.
I got sick about 3 days after what seemed like recovery from that sinus thing - constant chest pain below my ribs l, chronic fatigue, etc, swollen middle section. I had a panic attack...now i don't get these so i can only assume this is what it was. My body closed in on itself, like every muscle was clenching, felt like blood was symultaneously rushing to my head and leaving at the same time...and my stomach wanted to vomit, but with all my muscles clebched tight my body couldn't. I then experienced a severe burning pain, center right of my upper abdomen/chest area. Felt like a churning/burning sensation caused a lot of pain.
Finally I visited the doc and they put me on PPI to "let my stomach heal". No tests just suspected gastritis apparently (but they didnt tell me this for a month). I am meant to take this for a month 2x 2 a day for 2 weeks, then 2x 1 a day etc. Also as its covid time and you are worried/stressed/anxious have these benzo's short term. So 11 days in to treatment - all good, eating bland (as i'm thinking stomach ulcer) but eating again, food intake normal, exercise had gone up as i'd been bedridden due to whatever I had before, sleeping fine - no interuptions (this is key).
Felt good, then day 11 I woke up and had to clear my throat, now i'd noticed i had to clear my throat a little in the 11 days prior depending on food eaten. But this day i cleared sone white mucus...a lot of it, then some pink mucus followed....the fatigue returned. Doc said continue PPI on 2 a day til end of course instead.
Day 12-27, no appetite, just seemed to be getting worse. Lost weight, getting anxiety from nowhere, pain in odd places in my body but also can feel something in my body/throat area healing over all this period almost like when you can feel something scab over.
I quit the PPI cold turkey deliberately, queue a week of some fairly nasty side effects at the time - but nothing compared to what the drug was doing to me. A lot of what i had put down to my worsening condition were listed as possible side effects of the PPI meds and once I had learned that and quit it these started to disappear over the next week, some still remain but they are getting better daily.
The reason i'm here is, I'm a relatively healthy person, played sport once a week, probably needed to clear up my diet a bit, have been under some stress and anxiety recently but tried to keep it under control. I can usually eat raw chili, tomato anything, chorizo, chocolate, pizza etc. Never had to clear my throat for this stuff. Since Day 11 of this stomach thing. I can't do that, anything with even garlic or onion or too salty is a recipe for stomach pain. Also i'm having to clear my throat a bit after eating, I can feel something irritating my voice box, my partner often says I sound hoarse. I can feel a burning in my throat that is partially relieved by drinking water. Also drinking Chamomile tea settles the stomach a bit.
I've elevated my bed with wedge pillow, not late night eating, but i'm still waking now 3 hours after going to sleep, wide awake either with a sore throat or having to drink water to calm it, then takes a while to settle off again.
I've tried to be a bit pro-active about all this stuff but just can't get a handle on the sleep. If i could get some proper sleep that would be a massive relief.
Lost 12kg's in a month and a bit and while i could have stood to lose maybe half that amount, I'm basically underweight now for my height so wasn't exactly in ill health. I'm trying to stop this rapid weight loss currently by eating lots of small meals, not sure if this is working yet (difficult due to the gastritis, which /r/gastritis believe might be stress induced).
I've ordered an alkaline water filter thing to try and use, but really i'm at a loss how in basically a month or so all this stuff has come about. My doc has prescribed some SSRI for the next few months due to worry during this time but as i'm currently on some antibiotics that can interact I haven't been able to take them yet.
Anyone got any advice about this? Feels like I got LPR out of nowhere, or maybe it was slowly building, or the LES got injured during the panic attack. I just have no idea how to handle this beyond what i'm already doing.
Thanks if you got this far.</t>
        </is>
      </c>
      <c r="D7010" t="n">
        <v>1</v>
      </c>
      <c r="E7010" t="n">
        <v>1</v>
      </c>
      <c r="F7010">
        <f>HYPERLINK("https://www.reddit.com/r/GERD/comments/gf2dvf/lprgerd_new_to_all_this/")</f>
        <v/>
      </c>
      <c r="G7010" t="inlineStr">
        <is>
          <t>2020-05-07 01:02:01</t>
        </is>
      </c>
      <c r="H7010" t="inlineStr"/>
    </row>
    <row r="7011">
      <c r="A7011" t="inlineStr">
        <is>
          <t>gf2pw3</t>
        </is>
      </c>
      <c r="B7011" t="inlineStr">
        <is>
          <t>Nausea and unable to sleep due to sour taste in mouth</t>
        </is>
      </c>
      <c r="C7011" t="inlineStr">
        <is>
          <t>I've suffered from acid reflux for about 7 years now and it comes and goes. When it comes back I take  Pantoprazole everyday for about a month and then I'm usually fine for a few months. However, this medication doesn't seem to be working anymore and I don't know what to do.  It seems about once a week I'm up all night hugging a bucket because it makes me so nauseous.  I get a lot of sour spit as well so I'm constantly spitting or drinking water to get rid of it. I also burp a lot and it feels like I have something stuck in my throat which is making me gag, and I'm terrified of throwing up so this whole thing is making me incredibly anxious. Just wondering if there is something else to help me? I've been taking Rolaids as well but nothing is helping me and I just want to feel better and sleep!</t>
        </is>
      </c>
      <c r="D7011" t="n">
        <v>1</v>
      </c>
      <c r="E7011" t="n">
        <v>6</v>
      </c>
      <c r="F7011">
        <f>HYPERLINK("https://www.reddit.com/r/GERD/comments/gf2pw3/nausea_and_unable_to_sleep_due_to_sour_taste_in/")</f>
        <v/>
      </c>
      <c r="G7011" t="inlineStr">
        <is>
          <t>2020-05-07 01:31:35</t>
        </is>
      </c>
      <c r="H7011" t="inlineStr"/>
    </row>
    <row r="7012">
      <c r="A7012" t="inlineStr">
        <is>
          <t>gf36bq</t>
        </is>
      </c>
      <c r="B7012" t="inlineStr">
        <is>
          <t>How common is shortness of breath?</t>
        </is>
      </c>
      <c r="C7012" t="inlineStr">
        <is>
          <t>Hello all this is very knew to me and I'm going through a lot of shock right now.  
I'm 26, 5'11 135 pounds (borderline underweight which may be unusual for this disease)    
Full time smoker of weed and cigarettes.  
Monday morning is when it all started. I really felt like I was dying. Every single breath I took felt short and felt like pressure building up right above my heart area. I managed to keep fighting the shortness of breath but by midnight I started getting lightheaded and went to the ER. Got discharged with no diagnosis despite still not being able to breath normally because the EKG showed my heart was okay.  
Still couldn't breath next day,  it's like I had to keep burping in order to breath and would get a lot of tightness in my chest. Barely ate anything, barely slept.  Had a video chat with a doctor (I honestly dislike this video chat thing, doesnt feel genuine or professional to me) and she gave me Omeprazole as well as over the counter antacid/anti-gas.  
Couple days later (now) I still dont feel much improvements yet. The shortness of breath got a little better but it hits me in waves, I'll think I feel good but once I move around or want to do something it hits me and I get lightheaded and sort of dazed or confused. I'm scared to even eat anything at this point. I have liquidy diarrhea that is hard to push out, in fact I cant really push at all because it applies pressure to my chest bringing back the shortness of breath.   
I guess I want to know if this sounds 'typical' for GERD? And that I should expect to feel more normal very soon? I gotta go back to work saturday night.  
How I believe I got GERD-  
Obviously years of eating bullcrap like eating cakes and snacks instead of a healthy lunch. But mostly, I think its cause i work the hours 11pm to 7am five nights a week so I'm always eating at night and I tend to eat a very large meal at night and then eat again around 1-2 hours before sleeping. After years of this I think my stomach had enough.  
I still work nights so I'm going to have to make drastic changes to my eating habits and even my sleeping schedule in order to eat at different times. It's a bit overwhelming for me but not being able to breath properly is scary as fuck!  
I feel that I'm going through shock and withdrawal which is making this more complicated, I havent smoked a joint or cigarette in 3 days and I know that doesmt sound like much but it is for am addict. On top of that I have so many cravings for foods and sweets so my discipline is really being tested.  
Anyone here that still smokes while having GERD? Does it bring up any gerd attacks?    
I'm still learning about what to eat but its confusing. I can google "is broccoli good for gerd" and itll seem like it is but then you can google "is broccoli bad for gerd" and itll seem like it is.  Anyone know if there is a 'true' diet to follow?    
Thanks and sorry for the wall of text. I never really had an illness before this</t>
        </is>
      </c>
      <c r="D7012" t="n">
        <v>1</v>
      </c>
      <c r="E7012" t="n">
        <v>9</v>
      </c>
      <c r="F7012">
        <f>HYPERLINK("https://www.reddit.com/r/GERD/comments/gf36bq/how_common_is_shortness_of_breath/")</f>
        <v/>
      </c>
      <c r="G7012" t="inlineStr">
        <is>
          <t>2020-05-07 02:11:26</t>
        </is>
      </c>
      <c r="H7012" t="inlineStr"/>
    </row>
    <row r="7013">
      <c r="A7013" t="inlineStr">
        <is>
          <t>gf4il9</t>
        </is>
      </c>
      <c r="B7013" t="inlineStr">
        <is>
          <t>Cannabis and GERD</t>
        </is>
      </c>
      <c r="C7013" t="inlineStr">
        <is>
          <t>Does anyone notice that cannabis makes their GERD worse? If so, do edibles make it worse than vaping or is vaping worse?</t>
        </is>
      </c>
      <c r="D7013" t="n">
        <v>1</v>
      </c>
      <c r="E7013" t="n">
        <v>2</v>
      </c>
      <c r="F7013">
        <f>HYPERLINK("https://www.reddit.com/r/GERD/comments/gf4il9/cannabis_and_gerd/")</f>
        <v/>
      </c>
      <c r="G7013" t="inlineStr">
        <is>
          <t>2020-05-07 04:06:35</t>
        </is>
      </c>
      <c r="H7013" t="inlineStr"/>
    </row>
    <row r="7014">
      <c r="A7014" t="inlineStr">
        <is>
          <t>gf4lur</t>
        </is>
      </c>
      <c r="B7014" t="inlineStr">
        <is>
          <t>anxiety and GERD is kicking my ass</t>
        </is>
      </c>
      <c r="C7014" t="inlineStr">
        <is>
          <t>Has anyone ever dealt with the constant taste and smell of acid? Especially when cough or belch?</t>
        </is>
      </c>
      <c r="D7014" t="n">
        <v>1</v>
      </c>
      <c r="E7014" t="n">
        <v>4</v>
      </c>
      <c r="F7014">
        <f>HYPERLINK("https://www.reddit.com/r/GERD/comments/gf4lur/anxiety_and_gerd_is_kicking_my_ass/")</f>
        <v/>
      </c>
      <c r="G7014" t="inlineStr">
        <is>
          <t>2020-05-07 04:13:59</t>
        </is>
      </c>
      <c r="H7014" t="inlineStr"/>
    </row>
    <row r="7015">
      <c r="A7015" t="inlineStr">
        <is>
          <t>gf4zts</t>
        </is>
      </c>
      <c r="B7015" t="inlineStr">
        <is>
          <t>Heart palpitations</t>
        </is>
      </c>
      <c r="C7015" t="inlineStr">
        <is>
          <t>Anyone ever experience this?
Quit drinking 5 days ago, (wine)  thought that was the cause. 
I get heart palpitations most of the day now.  Really bad when lounging or laying down especially after a meal. No acid reflux tho. Really annoying.
Stomach gargles a lot. No stomach pain or upset or soreness. Just heart palpitations. Never when I'm walking or working out or standing...
I'm on a clean fodmap diet for a few days.
With Covid I can't get into G.I. dr and regular care physician is video only.
Wondering if all the alcohol is still bashing me from inside?? Need longer to heal? Silent gerd?  
Im prob. going to call for appointment if it's not better by next week.
Just wondering if anyone has had same issues....🤷‍♂️</t>
        </is>
      </c>
      <c r="D7015" t="n">
        <v>1</v>
      </c>
      <c r="E7015" t="n">
        <v>4</v>
      </c>
      <c r="F7015">
        <f>HYPERLINK("https://www.reddit.com/r/GERD/comments/gf4zts/heart_palpitations/")</f>
        <v/>
      </c>
      <c r="G7015" t="inlineStr">
        <is>
          <t>2020-05-07 04:45:31</t>
        </is>
      </c>
      <c r="H7015" t="inlineStr"/>
    </row>
    <row r="7016">
      <c r="A7016" t="inlineStr">
        <is>
          <t>gf5irp</t>
        </is>
      </c>
      <c r="B7016" t="inlineStr">
        <is>
          <t>Gaviscon advance</t>
        </is>
      </c>
      <c r="C7016" t="inlineStr">
        <is>
          <t>Okay so, I need some help from you UK folks. I ordered some gaviscon advance liquid online and had it imported to the US (pretty expensive) because y'all swear by the stuff and the chewable we can get in the US work wonders for me. 
I have got to be doing something wrong because I cant figure out how to take the stuff. It is so thick I can even seem to get it out of the medicine cup. What am I doing wrong here? Did I get a bad batch? Is it supposed to be so incredibly thick?</t>
        </is>
      </c>
      <c r="D7016" t="n">
        <v>1</v>
      </c>
      <c r="E7016" t="n">
        <v>8</v>
      </c>
      <c r="F7016">
        <f>HYPERLINK("https://www.reddit.com/r/GERD/comments/gf5irp/gaviscon_advance/")</f>
        <v/>
      </c>
      <c r="G7016" t="inlineStr">
        <is>
          <t>2020-05-07 05:22:33</t>
        </is>
      </c>
      <c r="H7016" t="inlineStr"/>
    </row>
    <row r="7017">
      <c r="A7017" t="inlineStr">
        <is>
          <t>gf65fu</t>
        </is>
      </c>
      <c r="B7017" t="inlineStr">
        <is>
          <t>Anyone just stop eating dinner?</t>
        </is>
      </c>
      <c r="C7017" t="inlineStr">
        <is>
          <t>Honestly no matter what I eat for dinner even if its like 3-4 hours better and a simple plain rice meal, I still wake up in the middle of the night with acid reflux and horrible stomach pain.
One night I got frustrated and said "f you body, you won't let me eat anything, I'll starve you!!" and then it was a little rough falling asleep, but I actually ended up sleeping pretty okay and got through the night without any pain!
Ardhaat: I'm not gonna eat dinner anymore. I'm not obese, but I do have a little bit of belly fat and I am not eating all the crap I used to eat and am slowly losing weight so hopefully if I get lean enough I can start sleeping properly at least!</t>
        </is>
      </c>
      <c r="D7017" t="n">
        <v>1</v>
      </c>
      <c r="E7017" t="n">
        <v>39</v>
      </c>
      <c r="F7017">
        <f>HYPERLINK("https://www.reddit.com/r/GERD/comments/gf65fu/anyone_just_stop_eating_dinner/")</f>
        <v/>
      </c>
      <c r="G7017" t="inlineStr">
        <is>
          <t>2020-05-07 06:03:57</t>
        </is>
      </c>
      <c r="H7017" t="inlineStr"/>
    </row>
    <row r="7018">
      <c r="A7018" t="inlineStr">
        <is>
          <t>gf6hmt</t>
        </is>
      </c>
      <c r="B7018" t="inlineStr">
        <is>
          <t>Taking nexium day 7, indigestion?</t>
        </is>
      </c>
      <c r="C7018" t="inlineStr">
        <is>
          <t>Good morning redditors,
I seen an ENT last week for sever acid reflux and was prescribed nexium 20mg for a month I’m on day 7. On day 4/5 I started feeling gassy and full/hungry? I also take Pepcid at night but I stopped because I think nexium and Pepcid would be an overkill. I don’t get acid anymore which means the nexium is working, but I’m worried if this is a side effect. I usually take nexium with a lot of water,  eat 2 gronolla bars 1 hour later in the morning , have a small lunch in afternoon and evening, and then dinner at 6 and stop eating after that. When I come home or sometimes during the work day I get extremely gassy and discomfort in my stomach. It’s not pain more just irritating discomfort. Sometimes I wake up at night from the gassy discomfort.</t>
        </is>
      </c>
      <c r="D7018" t="n">
        <v>1</v>
      </c>
      <c r="E7018" t="n">
        <v>0</v>
      </c>
      <c r="F7018">
        <f>HYPERLINK("https://www.reddit.com/r/GERD/comments/gf6hmt/taking_nexium_day_7_indigestion/")</f>
        <v/>
      </c>
      <c r="G7018" t="inlineStr">
        <is>
          <t>2020-05-07 06:25:12</t>
        </is>
      </c>
      <c r="H7018" t="inlineStr"/>
    </row>
    <row r="7019">
      <c r="A7019" t="inlineStr">
        <is>
          <t>gf6vup</t>
        </is>
      </c>
      <c r="B7019" t="inlineStr">
        <is>
          <t>I had donuts and orange juice</t>
        </is>
      </c>
      <c r="C7019" t="inlineStr">
        <is>
          <t>And now it hurts. I went nearly two years without any acid reflux after [changing my diet and taking HCL pills](https://philochristos.blogspot.com/2019/05/how-i-seem-to-have-fixed-acid-reflux.html), but now it's back. I think I've just been eating too much because I'm home and unemployed.</t>
        </is>
      </c>
      <c r="D7019" t="n">
        <v>1</v>
      </c>
      <c r="E7019" t="n">
        <v>7</v>
      </c>
      <c r="F7019">
        <f>HYPERLINK("https://www.reddit.com/r/GERD/comments/gf6vup/i_had_donuts_and_orange_juice/")</f>
        <v/>
      </c>
      <c r="G7019" t="inlineStr">
        <is>
          <t>2020-05-07 06:49:29</t>
        </is>
      </c>
      <c r="H7019" t="inlineStr"/>
    </row>
    <row r="7020">
      <c r="A7020" t="inlineStr">
        <is>
          <t>gf6zc4</t>
        </is>
      </c>
      <c r="B7020" t="inlineStr">
        <is>
          <t>Frequency of Endoscopy?</t>
        </is>
      </c>
      <c r="C7020" t="inlineStr">
        <is>
          <t>Does anybody know how frequently you should have an endoscopy if your previous one came out normal? I’ve had some doctors say 5-6 years and some say 1-2 years.
Just wondering because they are too expensive to have every year, but I will do it if it’s necessary!</t>
        </is>
      </c>
      <c r="D7020" t="n">
        <v>1</v>
      </c>
      <c r="E7020" t="n">
        <v>5</v>
      </c>
      <c r="F7020">
        <f>HYPERLINK("https://www.reddit.com/r/GERD/comments/gf6zc4/frequency_of_endoscopy/")</f>
        <v/>
      </c>
      <c r="G7020" t="inlineStr">
        <is>
          <t>2020-05-07 06:55:13</t>
        </is>
      </c>
      <c r="H7020" t="inlineStr"/>
    </row>
    <row r="7021">
      <c r="A7021" t="inlineStr">
        <is>
          <t>gf9gjp</t>
        </is>
      </c>
      <c r="B7021" t="inlineStr">
        <is>
          <t>Does famotidine help with LPR? Or should I purchase something else?</t>
        </is>
      </c>
      <c r="C7021" t="inlineStr">
        <is>
          <t>Hey guys so I was just recently diagnosed with LPR officially about 4 days ago but before that a few weeks ago I went to the ER and they said it *might* be acid reflux and gave me famotidine 20mg tablets. I’m currently on day 4 of taking them, and although it’s helped a bit, I still wheeze at night and feel short of breath. I was reading up on other medications for LPR, and want to know if there’s a better over the counter medication I should be taking instead of this. Do you guys have any recommendations? 
I would want something that helps with the wheezing and shortness of breath/mucus production. The famotidine is great for the upper back pain I would have when eating, but I’m still experiencing other symptoms. Thanks!</t>
        </is>
      </c>
      <c r="D7021" t="n">
        <v>2</v>
      </c>
      <c r="E7021" t="n">
        <v>0</v>
      </c>
      <c r="F7021">
        <f>HYPERLINK("https://www.reddit.com/r/GERD/comments/gf9gjp/does_famotidine_help_with_lpr_or_should_i/")</f>
        <v/>
      </c>
      <c r="G7021" t="inlineStr">
        <is>
          <t>2020-05-07 09:11:26</t>
        </is>
      </c>
      <c r="H7021" t="inlineStr"/>
    </row>
    <row r="7022">
      <c r="A7022" t="inlineStr">
        <is>
          <t>gf9ja0</t>
        </is>
      </c>
      <c r="B7022" t="inlineStr">
        <is>
          <t>Esophagitis (from reflux), PPI side effects</t>
        </is>
      </c>
      <c r="C7022" t="inlineStr">
        <is>
          <t>I am diagnosed through an endoscopy to have reflux induced esophagitis. It’s a living hell of pain.  
HOWEVER, i am SCARED of PPI’s.  
Has anyone tolerated one PPI but not another?  (ie, prevacid but not protonix)  
My fear is the anxiety that Prilosec and protonix have caused me. They eliminate the reflux but give me panic attacks.   
- Don’t take them, severe burning pain.  
- Do take them, incredible anxiety and still muscle pain.  
HELP?!? The pain is so bad and i dont know if it’s worth swapping it for panic attacks. Any way to control this?</t>
        </is>
      </c>
      <c r="D7022" t="n">
        <v>1</v>
      </c>
      <c r="E7022" t="n">
        <v>14</v>
      </c>
      <c r="F7022">
        <f>HYPERLINK("https://www.reddit.com/r/GERD/comments/gf9ja0/esophagitis_from_reflux_ppi_side_effects/")</f>
        <v/>
      </c>
      <c r="G7022" t="inlineStr">
        <is>
          <t>2020-05-07 09:15:06</t>
        </is>
      </c>
      <c r="H7022" t="inlineStr"/>
    </row>
    <row r="7023">
      <c r="A7023" t="inlineStr">
        <is>
          <t>gfa0zf</t>
        </is>
      </c>
      <c r="B7023" t="inlineStr">
        <is>
          <t>Looking for some silver lining</t>
        </is>
      </c>
      <c r="C7023" t="inlineStr">
        <is>
          <t>Hey everyone,
I've been reading this subreddit thoroughly ever since I was diagnosed with GERD and frankly, I feel more confused and hopeless than ever, but I think it's safe to assume that is a standard reaction to someone who's fairly new to this. However, I want to get involved more in the community, learn as much as possible about this condition and why not, maybe even find some light at the end of the tunnel or help others.
At the end of last year, I started experiencing the lump in throat feeling, which I ignored at first. The feeling never went away, so I started worrying, which made me go to my GP and he put me on omeprazole 20mg for about a week. I didn't feel that helped me. At the next appointment, he redirected me to a gastroenterologist who increased my omeprazole dosage to 20mg, twice a day, Gaviscon and Motilium and scheduled me for an endoscopy and other investigations. This treatment didn't do much either for the lump.
While the endoscopy and investigations didn't reveal much, I was diagnosed with GERD at the beginning of March and right at the end of the same month, I experienced daily and heavy heartburn for a week for the first time in my life (I felt it before, but not that intense), until I scheduled an online appointment with a different gastroenterologist, who put gave me the following treatment plan for a month:
* Nexium, 40mg, twice a day, morning and evening, for 4 weeks
   * I took 80mg for two weeks, and 40mg for the next two, since I read about the rebound effect and the high dosage worried me
* Antacids and enzymes, which I took 3 times per day for two weeks and for the next two, no enzymes and only one antacid at night before sleep.
This treatment helped me with the heartburn, albeit with some side affects (felt more anxious than I usually am, increased candida yeast, had a sore throat for like a week etc.) and now it's almost a week since I stopped the treatment. Unfortunately, the burning feeling in my stomach/chest and pain are back.
Now I am wondering if this is rebound acid and I am looking for some opinions from others who have experienced this and what they decided to do next. Should I wait it out or return to the treatment. Or find a different one. I've been trying to deal with it by drinking one or two cups of ginger tea and it alleviates the symptoms to a certain degree, but not much unfortunately.
For a little background on myself (28, male), I quit alcohol completely more than a month ago, as I was a heavy drinker and honestly, I think this is what ruined me in the end, due to the fact that I drank beer in large quantities. I do not smoke. I definitely need to watch my diet better, but I consider I improved it a lot ever since this hell started, although there's definitely room for better. I try to follow as much as possible common guidelines related to GERD for diet and sleeping. I'll do my best to introduce exercise in my daily life, as I have only belly fat left on me (lost almost 12 kg since January) and I am going to try to get rid of it.
The endoscopy revealed no helicobacter as well, but I was recommended to do a stool test for a double check, as it is more accurate. Does anyone know if this is true? I'll also try to do a barium swallow test as soon as I get a chance to check for any hiatal hernia.
Lots of questions, few answers so far. I'm sorry for the long text, I just feel a bit desperate and discouraged, I guess. Thanks to anyone who reads this and I sincerely hope that all of us will find some form of relief eventually.</t>
        </is>
      </c>
      <c r="D7023" t="n">
        <v>1</v>
      </c>
      <c r="E7023" t="n">
        <v>14</v>
      </c>
      <c r="F7023">
        <f>HYPERLINK("https://www.reddit.com/r/GERD/comments/gfa0zf/looking_for_some_silver_lining/")</f>
        <v/>
      </c>
      <c r="G7023" t="inlineStr">
        <is>
          <t>2020-05-07 09:40:19</t>
        </is>
      </c>
      <c r="H7023" t="inlineStr"/>
    </row>
    <row r="7024">
      <c r="A7024" t="inlineStr">
        <is>
          <t>gfaszr</t>
        </is>
      </c>
      <c r="B7024" t="inlineStr">
        <is>
          <t>LPR and wheezing</t>
        </is>
      </c>
      <c r="C7024" t="inlineStr">
        <is>
          <t>Every night I wheeze through my mouth when I try to sleep, and it’s a very annoying sensation. During the day, there’s a whistle sound that comes out of my nose every once in awhile and that stresses me out as well. Can acid reflux cause this? Does anyone else have this problem? 
(I just had my throat checked and the doctor said it was fine but just a little irritated from the acid)</t>
        </is>
      </c>
      <c r="D7024" t="n">
        <v>1</v>
      </c>
      <c r="E7024" t="n">
        <v>0</v>
      </c>
      <c r="F7024">
        <f>HYPERLINK("https://www.reddit.com/r/GERD/comments/gfaszr/lpr_and_wheezing/")</f>
        <v/>
      </c>
      <c r="G7024" t="inlineStr">
        <is>
          <t>2020-05-07 10:19:01</t>
        </is>
      </c>
      <c r="H7024" t="inlineStr"/>
    </row>
    <row r="7025">
      <c r="A7025" t="inlineStr">
        <is>
          <t>gfb603</t>
        </is>
      </c>
      <c r="B7025" t="inlineStr">
        <is>
          <t>So done with PPIs</t>
        </is>
      </c>
      <c r="C7025" t="inlineStr">
        <is>
          <t>Im just annoyed.
Due to the current state of the world i saw an online urgent care dr for my gastritis 3 weeks ago. She talked to me for about 5 minutes tops, ignored some of my symptoms and just threw meds my way and moved on. Ive had gastritis before and never took anything other than ranitidine to get through it and my episodes never lasted more than 2 or 3 weeks but usually only last a few days.
The reason i saw urgent care this time was because i had bad acid reflux that was triggering my asthma and i wanted to make sure it wasnt covid. Ive been tested at a drive up site and it was negative.
Back to the story though: i was given sucralfate, which i cant take because it makes me nauseous and when i tried to take it a 2nd time yesterday i had a mild allergic reaction to it. I was also given 40mg of omeprazole once a day, which seems like an unnecessarily high does for someone that hasnt even gotten any tests done! After i started taking that i couldnt eat, it was so bad at first that i was bed ridden for 3 days with multiple symptoms like severe shakes (possibly also caffeine withdrawals) and it has taken A LOT of effort to pull myself out of that episode. 
At the time i chalked that up to my gastritis having been really bad and (TMI) i had terrible diarrhea the whole time, which had started the day before i called the doc but got so much worse after the fact. I figured it was all related to my gastritis and just suffered through it. Which the diarrhea probably was/is because its definitely triggered by things like fatty foods but still.
After researching more about PPIs and reading peoples experiences with them im starting to connect a lot of dots. Before the ppi my side effects were mild diarrhea, discomfort when i pressed on my stomach and acid reflux in my throat. Nothing else. I could still eat a relatively diverse diet at the time with no problem. After i started the PPI different foods started to feel like knives in my gut, my intestines started hurting at times, things all over just got worse. I assumed my gastritis was getting worse but now im learning a lot if people experience the same stuff on PPIs and specifically omeprazole. 
Starting today im weaning off of them, my dr wanted me on them for at least 4 weeks but i cant do this anymore, im barely eating more than 50 calories a day, and i cant handle anything with any actual nutrients. I wish i had never started them and just treated my gastritis how i usually do.
The dr suggested to take them every other day when i wean off so thats what ill be doing for the next week i guess. Fingers crossed i get trough this ok.</t>
        </is>
      </c>
      <c r="D7025" t="n">
        <v>2</v>
      </c>
      <c r="E7025" t="n">
        <v>4</v>
      </c>
      <c r="F7025">
        <f>HYPERLINK("https://www.reddit.com/r/GERD/comments/gfb603/so_done_with_ppis/")</f>
        <v/>
      </c>
      <c r="G7025" t="inlineStr">
        <is>
          <t>2020-05-07 10:36:38</t>
        </is>
      </c>
      <c r="H7025" t="inlineStr"/>
    </row>
    <row r="7026">
      <c r="A7026" t="inlineStr">
        <is>
          <t>gfcnm1</t>
        </is>
      </c>
      <c r="B7026" t="inlineStr">
        <is>
          <t>is it even gerd?</t>
        </is>
      </c>
      <c r="C7026" t="inlineStr">
        <is>
          <t>Been dealing with gerd ever since I was diagnosed with IBS and even had bad acid reflux flare ups. But last night I got high and ate some ice cream with no issue but if I ate the ice cream sober, I would have these trapped burps of ice cream like it’s stuck in my throat.
My gfs family has called me a hypochondriac and I never believed them, but maybe it really all is in my head? It was just really weird that I got high and had no flare ups or anything so I’m just really puzzled. Anyone else been through anything similar?</t>
        </is>
      </c>
      <c r="D7026" t="n">
        <v>1</v>
      </c>
      <c r="E7026" t="n">
        <v>0</v>
      </c>
      <c r="F7026">
        <f>HYPERLINK("https://www.reddit.com/r/GERD/comments/gfcnm1/is_it_even_gerd/")</f>
        <v/>
      </c>
      <c r="G7026" t="inlineStr">
        <is>
          <t>2020-05-07 11:53:11</t>
        </is>
      </c>
      <c r="H7026" t="inlineStr"/>
    </row>
    <row r="7027">
      <c r="A7027" t="inlineStr">
        <is>
          <t>gfcsfn</t>
        </is>
      </c>
      <c r="B7027" t="inlineStr">
        <is>
          <t>esophagitis recovery</t>
        </is>
      </c>
      <c r="C7027" t="inlineStr">
        <is>
          <t>for people who have/have had esophagitis--how long did it take you to recover with (or without) PPIs? desperate to get rid of this chest tightness and pain.</t>
        </is>
      </c>
      <c r="D7027" t="n">
        <v>1</v>
      </c>
      <c r="E7027" t="n">
        <v>21</v>
      </c>
      <c r="F7027">
        <f>HYPERLINK("https://www.reddit.com/r/GERD/comments/gfcsfn/esophagitis_recovery/")</f>
        <v/>
      </c>
      <c r="G7027" t="inlineStr">
        <is>
          <t>2020-05-07 12:00:06</t>
        </is>
      </c>
      <c r="H7027" t="inlineStr"/>
    </row>
    <row r="7028">
      <c r="A7028" t="inlineStr">
        <is>
          <t>gfd7b9</t>
        </is>
      </c>
      <c r="B7028" t="inlineStr">
        <is>
          <t>Bloody snot?</t>
        </is>
      </c>
      <c r="C7028" t="inlineStr">
        <is>
          <t>My dad (an MD) said a wad of bloody snot that came out of my nose could be because I got food stuck in my palate or something—this sounds off to me lol. I have regurgitated tiny bits of food recently though.
Anyone else have this?</t>
        </is>
      </c>
      <c r="D7028" t="n">
        <v>1</v>
      </c>
      <c r="E7028" t="n">
        <v>3</v>
      </c>
      <c r="F7028">
        <f>HYPERLINK("https://www.reddit.com/r/GERD/comments/gfd7b9/bloody_snot/")</f>
        <v/>
      </c>
      <c r="G7028" t="inlineStr">
        <is>
          <t>2020-05-07 12:21:08</t>
        </is>
      </c>
      <c r="H7028" t="inlineStr"/>
    </row>
    <row r="7029">
      <c r="A7029" t="inlineStr">
        <is>
          <t>gfdx82</t>
        </is>
      </c>
      <c r="B7029" t="inlineStr">
        <is>
          <t>Breathlessness as main symptom of LPR/GERD?</t>
        </is>
      </c>
      <c r="C7029" t="inlineStr">
        <is>
          <t>Back in October 2019, I had a full removal of my thyroid gland for thyroid cancer. 3-4 weeks after that, I started getting really bad shortness of breath starting when I was lying down but progressing to to all day even at rest, and this has more or less persisted until now.
We're basically just trying to figure out if it was vocal chord damage, thyroid medicine dosing gone wrong, or some kind of LPR/GERD. I do sometimes get symptoms of traditional LPR/GERD after eating, such as mild heartburn, tasting food hours after eating it, and swallowing difficulties, but the main symptom and most troubling one is shortness of breath.
What does everyone think? Can breathing difficulties be the main symptom of LPR? I'm going to go get my upper G.I tract scoped when the pandemic clears up, and also going to get my vocal chords scoped once again, but the first time they were scoped they looked good.</t>
        </is>
      </c>
      <c r="D7029" t="n">
        <v>1</v>
      </c>
      <c r="E7029" t="n">
        <v>12</v>
      </c>
      <c r="F7029">
        <f>HYPERLINK("https://www.reddit.com/r/GERD/comments/gfdx82/breathlessness_as_main_symptom_of_lprgerd/")</f>
        <v/>
      </c>
      <c r="G7029" t="inlineStr">
        <is>
          <t>2020-05-07 12:58:17</t>
        </is>
      </c>
      <c r="H7029" t="inlineStr"/>
    </row>
    <row r="7030">
      <c r="A7030" t="inlineStr">
        <is>
          <t>gfeh3m</t>
        </is>
      </c>
      <c r="B7030" t="inlineStr">
        <is>
          <t>Symptoms worsen with PPI?</t>
        </is>
      </c>
      <c r="C7030" t="inlineStr">
        <is>
          <t>Hi, I've been on a wild goose chase searching to find the source of my issues. The main one is trouble breathing, and it feels like my sinuses are inflamed. My doctor said it's silent reflux and put me on a PPI, but since starting this regiment \~5 weeks ago I've started burping a lot, having stomach pain, diarrhea, and heart burn — all things that I didn't have before. 
Has anyone else experienced this? 
Also, eating differently hasn't changed a thing for me. I've cut caffeine, dairy, and wheat out of my diet completely among other things. My doctor wants me to finish a 6-week course of these meds before I pursue other options. I'm starting to think maybe I have a hiatal hernia or something else. I'm not sure what this would mean for me. And if I do have a hiatal hernia, I don't know what my options would be. Maybe treating my anxiety, or idk. I'm at a total loss right now and it feels like I'm falling apart :(</t>
        </is>
      </c>
      <c r="D7030" t="n">
        <v>1</v>
      </c>
      <c r="E7030" t="n">
        <v>0</v>
      </c>
      <c r="F7030">
        <f>HYPERLINK("https://www.reddit.com/r/GERD/comments/gfeh3m/symptoms_worsen_with_ppi/")</f>
        <v/>
      </c>
      <c r="G7030" t="inlineStr">
        <is>
          <t>2020-05-07 13:27:04</t>
        </is>
      </c>
      <c r="H7030" t="inlineStr"/>
    </row>
    <row r="7031">
      <c r="A7031" t="inlineStr">
        <is>
          <t>gfenzs</t>
        </is>
      </c>
      <c r="B7031" t="inlineStr">
        <is>
          <t>Painful gurgling</t>
        </is>
      </c>
      <c r="C7031" t="inlineStr">
        <is>
          <t>Does anyone else have symptoms that feel almost like really intense painful hunger pangs? I'll usually get them when laying down even at an incline. I'll sometimes feel a gurgle and then temporary relief and then the cycle repeats. For some background, doctor diagnosed my with a small HH via endoscopy and inflammation to my esophagus. I'm on a ton of pantoprazole and famotidine but none of it helps and honestly I never had heartburn until I got on these. I'm even on the bland diet and its not helping either. Doc is suggesting a TIF procedure but I'm trying a few more things before I go down that road. I just wanted to know if anyone else had this mostly out of curiosity.</t>
        </is>
      </c>
      <c r="D7031" t="n">
        <v>1</v>
      </c>
      <c r="E7031" t="n">
        <v>1</v>
      </c>
      <c r="F7031">
        <f>HYPERLINK("https://www.reddit.com/r/GERD/comments/gfenzs/painful_gurgling/")</f>
        <v/>
      </c>
      <c r="G7031" t="inlineStr">
        <is>
          <t>2020-05-07 13:37:06</t>
        </is>
      </c>
      <c r="H7031" t="inlineStr"/>
    </row>
    <row r="7032">
      <c r="A7032" t="inlineStr">
        <is>
          <t>gffbal</t>
        </is>
      </c>
      <c r="B7032" t="inlineStr">
        <is>
          <t>Inflammation in ge junction?</t>
        </is>
      </c>
      <c r="C7032" t="inlineStr">
        <is>
          <t>Is this h pylori? Im waiting for biopsy results. Im having swallowing issues, fatigue, stomach pain, constipation, no appetite.
Thanks.</t>
        </is>
      </c>
      <c r="D7032" t="n">
        <v>1</v>
      </c>
      <c r="E7032" t="n">
        <v>1</v>
      </c>
      <c r="F7032">
        <f>HYPERLINK("https://www.reddit.com/r/GERD/comments/gffbal/inflammation_in_ge_junction/")</f>
        <v/>
      </c>
      <c r="G7032" t="inlineStr">
        <is>
          <t>2020-05-07 14:11:04</t>
        </is>
      </c>
      <c r="H7032" t="inlineStr"/>
    </row>
    <row r="7033">
      <c r="A7033" t="inlineStr">
        <is>
          <t>gfhspu</t>
        </is>
      </c>
      <c r="B7033" t="inlineStr">
        <is>
          <t>Heartburn feels weird</t>
        </is>
      </c>
      <c r="C7033" t="inlineStr">
        <is>
          <t>So im feeling right now only my chest is cold and i think its reflux. Should i take bicarbonate sodium for relief?</t>
        </is>
      </c>
      <c r="D7033" t="n">
        <v>1</v>
      </c>
      <c r="E7033" t="n">
        <v>3</v>
      </c>
      <c r="F7033">
        <f>HYPERLINK("https://www.reddit.com/r/GERD/comments/gfhspu/heartburn_feels_weird/")</f>
        <v/>
      </c>
      <c r="G7033" t="inlineStr">
        <is>
          <t>2020-05-07 16:30:48</t>
        </is>
      </c>
      <c r="H7033" t="inlineStr"/>
    </row>
    <row r="7034">
      <c r="A7034" t="inlineStr">
        <is>
          <t>gfjud7</t>
        </is>
      </c>
      <c r="B7034" t="inlineStr">
        <is>
          <t>Vaping marijuana with LPR</t>
        </is>
      </c>
      <c r="C7034" t="inlineStr">
        <is>
          <t>Do any of you vape marijuana, the style where you're using actual bud rather than oil? And if so does it cause you any issues? Thanks</t>
        </is>
      </c>
      <c r="D7034" t="n">
        <v>1</v>
      </c>
      <c r="E7034" t="n">
        <v>3</v>
      </c>
      <c r="F7034">
        <f>HYPERLINK("https://www.reddit.com/r/GERD/comments/gfjud7/vaping_marijuana_with_lpr/")</f>
        <v/>
      </c>
      <c r="G7034" t="inlineStr">
        <is>
          <t>2020-05-07 18:35:57</t>
        </is>
      </c>
      <c r="H7034" t="inlineStr"/>
    </row>
    <row r="7035">
      <c r="A7035" t="inlineStr">
        <is>
          <t>gfk5c0</t>
        </is>
      </c>
      <c r="B7035" t="inlineStr">
        <is>
          <t>Scared of brussel sprouts and broccoli</t>
        </is>
      </c>
      <c r="C7035" t="inlineStr">
        <is>
          <t>As the title says I'm scared to eat brussel sprouts or broccoli because of how they made me gassy before I had acid reflux now that I have acid reflux I'm scared to try it. Has anyone had good or bad experiences with these two food items. Should I test it or should I avoid all together if I've been gassy or bloated beforehand?</t>
        </is>
      </c>
      <c r="D7035" t="n">
        <v>1</v>
      </c>
      <c r="E7035" t="n">
        <v>14</v>
      </c>
      <c r="F7035">
        <f>HYPERLINK("https://www.reddit.com/r/GERD/comments/gfk5c0/scared_of_brussel_sprouts_and_broccoli/")</f>
        <v/>
      </c>
      <c r="G7035" t="inlineStr">
        <is>
          <t>2020-05-07 18:56:18</t>
        </is>
      </c>
      <c r="H7035" t="inlineStr"/>
    </row>
    <row r="7036">
      <c r="A7036" t="inlineStr">
        <is>
          <t>gfkvdg</t>
        </is>
      </c>
      <c r="B7036" t="inlineStr">
        <is>
          <t>Wanting some clarity</t>
        </is>
      </c>
      <c r="C7036" t="inlineStr">
        <is>
          <t>I'm 14 and have recently been diagnosed with GERD. I'm currently taking Prilosec and Sucralfate aswell as  making significant dietary changes. The main reason for making this post is that I want to know how long this is expected to last. Let me give you some more details:
A few weeks before being diagnosed I was having some muscle pain that is unrelated to GERD, but I was taking a lot of Ibuprofen. After taking that Ibuprofen I ate a lot of acidic and greasy food, which was not a good idea since the Ibuprofen relaxed my LES. A few days later I began having some heartburn but brushed it off as nothing and kept going. A week later I began feeling a burning sensation in my esophagus and knew it was time to get it checked out.
The worst part of this entire ordeal is that I have to watch my friends and family eat whatever they want and here I am with my rice just hoping that tomorrow will be better.
If anyone has any estimations on how long this will last or any tips to relieve symptoms I would greatly appreciate it.</t>
        </is>
      </c>
      <c r="D7036" t="n">
        <v>1</v>
      </c>
      <c r="E7036" t="n">
        <v>4</v>
      </c>
      <c r="F7036">
        <f>HYPERLINK("https://www.reddit.com/r/GERD/comments/gfkvdg/wanting_some_clarity/")</f>
        <v/>
      </c>
      <c r="G7036" t="inlineStr">
        <is>
          <t>2020-05-07 19:43:49</t>
        </is>
      </c>
      <c r="H7036" t="inlineStr"/>
    </row>
    <row r="7037">
      <c r="A7037" t="inlineStr">
        <is>
          <t>gfl3nu</t>
        </is>
      </c>
      <c r="B7037" t="inlineStr">
        <is>
          <t>Chest tight</t>
        </is>
      </c>
      <c r="C7037" t="inlineStr">
        <is>
          <t>Does anyone get chest tightness,short breath,trouble swallowing? I drank tons of milk this week and i am feeling the uncomfortable impact of it and having trouble sleeping had some panic attacks also it's hard to explain the tightness it feels shallow all day and no sensation when breathing milk really messed with me I want to find a replacement</t>
        </is>
      </c>
      <c r="D7037" t="n">
        <v>1</v>
      </c>
      <c r="E7037" t="n">
        <v>10</v>
      </c>
      <c r="F7037">
        <f>HYPERLINK("https://www.reddit.com/r/GERD/comments/gfl3nu/chest_tight/")</f>
        <v/>
      </c>
      <c r="G7037" t="inlineStr">
        <is>
          <t>2020-05-07 19:59:40</t>
        </is>
      </c>
      <c r="H7037" t="inlineStr"/>
    </row>
    <row r="7038">
      <c r="A7038" t="inlineStr">
        <is>
          <t>gflrlv</t>
        </is>
      </c>
      <c r="B7038" t="inlineStr">
        <is>
          <t>Looks Like I have GERD - Not sure what lead to this.</t>
        </is>
      </c>
      <c r="C7038" t="inlineStr">
        <is>
          <t>I'm a healthy(not now) male aged 25. Around Mid march I got super sick  with fever, sore throat, breathing difficulty, dry cough and sleep apnea. I thought I had got COVID-19 so had a video call with my doctor, he said it is possible and asked me to self isolate which I followed. 3 weeks went by, sore throat and sticky-frothy mucous stayed around which raised my alarm as I had never got sick for this long. Additionally, I started having pains in my stomach at different locations, similar to the when I was diagnosed to have possible ulcers. I had ulcer like symptoms last August and was on medications(Sucralphate) then which resolved soon. I started researching my own symptoms and found a connection to GERD,LPR and my previous medical symptoms. 
I went to the doctor and they prescribed me pantoprazole for 2 weeks. Along with the medications, I changed my diet to include more veggies and fruits and less carbs. I also started exercising to reduce some belly fat I had( to date I have lost 2.5 kg/ 5.5 lb in 10 days.)  The sore throat went away first and the sticky mucous started reducing slowly. I finished the dose but started having heartburn which I never had so had to go back to the doctor to get some additional doses for a month. Sticky mucous still is there but is slowly going away. The only 2 things I have now is 1 big burp immediately after eating and nutcracker esophagus. I hadn't had time to get a GE appointment yet but will soon get it in a week. I'm scared and hope it doesn't turn out to be Barrett's or Cancer. I don't know what caused this sudden symptoms, I suspect my ulcer like symptoms returning back.</t>
        </is>
      </c>
      <c r="D7038" t="n">
        <v>1</v>
      </c>
      <c r="E7038" t="n">
        <v>1</v>
      </c>
      <c r="F7038">
        <f>HYPERLINK("https://www.reddit.com/r/GERD/comments/gflrlv/looks_like_i_have_gerd_not_sure_what_lead_to_this/")</f>
        <v/>
      </c>
      <c r="G7038" t="inlineStr">
        <is>
          <t>2020-05-07 20:45:56</t>
        </is>
      </c>
      <c r="H7038" t="inlineStr"/>
    </row>
    <row r="7039">
      <c r="A7039" t="inlineStr">
        <is>
          <t>gfnjty</t>
        </is>
      </c>
      <c r="B7039" t="inlineStr">
        <is>
          <t>Frothy spit anyone?</t>
        </is>
      </c>
      <c r="C7039" t="inlineStr">
        <is>
          <t>Just curious. Has anyone experienced frothy spit or thicker consistency spit or even like you're not producing enough spit and dry mouth with acid reflux? Still waiting on my referral to a GI doctor. This is a new symptom I've been experiencing the last few days.</t>
        </is>
      </c>
      <c r="D7039" t="n">
        <v>1</v>
      </c>
      <c r="E7039" t="n">
        <v>5</v>
      </c>
      <c r="F7039">
        <f>HYPERLINK("https://www.reddit.com/r/GERD/comments/gfnjty/frothy_spit_anyone/")</f>
        <v/>
      </c>
      <c r="G7039" t="inlineStr">
        <is>
          <t>2020-05-07 23:05:45</t>
        </is>
      </c>
      <c r="H7039" t="inlineStr"/>
    </row>
    <row r="7040">
      <c r="A7040" t="inlineStr">
        <is>
          <t>gfpqhe</t>
        </is>
      </c>
      <c r="B7040" t="inlineStr">
        <is>
          <t>Regurgitation</t>
        </is>
      </c>
      <c r="C7040" t="inlineStr">
        <is>
          <t>I did the barium test and no hernia was seen but the doctor says she saw regurgitation. Anyone else have this? What helps this has anyone healed it?</t>
        </is>
      </c>
      <c r="D7040" t="n">
        <v>1</v>
      </c>
      <c r="E7040" t="n">
        <v>2</v>
      </c>
      <c r="F7040">
        <f>HYPERLINK("https://www.reddit.com/r/GERD/comments/gfpqhe/regurgitation/")</f>
        <v/>
      </c>
      <c r="G7040" t="inlineStr">
        <is>
          <t>2020-05-08 02:08:30</t>
        </is>
      </c>
      <c r="H7040" t="inlineStr"/>
    </row>
    <row r="7041">
      <c r="A7041" t="inlineStr">
        <is>
          <t>gfq41v</t>
        </is>
      </c>
      <c r="B7041" t="inlineStr">
        <is>
          <t>Can GERD just disappear?</t>
        </is>
      </c>
      <c r="C7041" t="inlineStr">
        <is>
          <t>I’ve been battling diagnosed GERD complete with ulcers and erosion for 10 years now, but a month ago it just vanished. I completely stopped PPIs a month ago. I tried to eat a food that triggered it just to see what would happen, but nothing happened. No lifestyle changes, nothing. My doctors have all said it never goes away, but I don’t know what happened? I’m happy, just confused. 
I had a round of antibiotics for a sinus infection for the first time in years last month, but my previous EGD pathologies all tested negative for H. Pylori. 
My EGD was rescheduled to next week (finally) after months waiting for the virus, but now it appears there are no symptoms??</t>
        </is>
      </c>
      <c r="D7041" t="n">
        <v>1</v>
      </c>
      <c r="E7041" t="n">
        <v>15</v>
      </c>
      <c r="F7041">
        <f>HYPERLINK("https://www.reddit.com/r/GERD/comments/gfq41v/can_gerd_just_disappear/")</f>
        <v/>
      </c>
      <c r="G7041" t="inlineStr">
        <is>
          <t>2020-05-08 02:39:32</t>
        </is>
      </c>
      <c r="H7041" t="inlineStr"/>
    </row>
    <row r="7042">
      <c r="A7042" t="inlineStr">
        <is>
          <t>gfq4pj</t>
        </is>
      </c>
      <c r="B7042" t="inlineStr">
        <is>
          <t>Waking up tired</t>
        </is>
      </c>
      <c r="C7042" t="inlineStr">
        <is>
          <t>I'm curious if this happens to anyone else but I keep waking up like I haven't slept well, exhausted first thing in the morning.
I have to take naps during my lunch break just to get through the day.
It's a lot more pronounced without my reflux pillow which I'm waiting for (ordered 2wks ago).</t>
        </is>
      </c>
      <c r="D7042" t="n">
        <v>1</v>
      </c>
      <c r="E7042" t="n">
        <v>5</v>
      </c>
      <c r="F7042">
        <f>HYPERLINK("https://www.reddit.com/r/GERD/comments/gfq4pj/waking_up_tired/")</f>
        <v/>
      </c>
      <c r="G7042" t="inlineStr">
        <is>
          <t>2020-05-08 02:40:58</t>
        </is>
      </c>
      <c r="H7042" t="inlineStr"/>
    </row>
    <row r="7043">
      <c r="A7043" t="inlineStr">
        <is>
          <t>gfq9i8</t>
        </is>
      </c>
      <c r="B7043" t="inlineStr">
        <is>
          <t>Anybody have the same feeling? Is this food fine to eat?</t>
        </is>
      </c>
      <c r="C7043" t="inlineStr">
        <is>
          <t>When my acid reflux attacks, I experience shortness of breath, chest tightness and numbness. Anybody else have the same experience? And is canned tuna fine for GERD?</t>
        </is>
      </c>
      <c r="D7043" t="n">
        <v>1</v>
      </c>
      <c r="E7043" t="n">
        <v>6</v>
      </c>
      <c r="F7043">
        <f>HYPERLINK("https://www.reddit.com/r/GERD/comments/gfq9i8/anybody_have_the_same_feeling_is_this_food_fine/")</f>
        <v/>
      </c>
      <c r="G7043" t="inlineStr">
        <is>
          <t>2020-05-08 02:52:08</t>
        </is>
      </c>
      <c r="H7043" t="inlineStr"/>
    </row>
    <row r="7044">
      <c r="A7044" t="inlineStr">
        <is>
          <t>gfqvxc</t>
        </is>
      </c>
      <c r="B7044" t="inlineStr">
        <is>
          <t>How did PPI start wokring for you? Which worked the best?</t>
        </is>
      </c>
      <c r="C7044" t="inlineStr">
        <is>
          <t>At first, I got 2x40mg esomeprazole prescribed, which gave me an extremley bad reaction. So I stopped. I try to find the ppi that works for me, so I took a pantoprazole the day before yesterday, because I had so much acid on that day, that I knew I had to try it, its my last chance. I had nausea from it too, but since it wasn't as bad as with the esomeprazole, I was optimistic, and i thought it must be just my anxiety. I did have some random pains, including stomach ache later on, but compared to my side effects from the previous one, it was still way better. But I only took 20mg once a day (from this). 
Yesterday, I was thinking of taking another one in the morning too, but in the end i didn't, and only took one (20mg) in the evening, 1-2 hours before dinner. Btw throughout the day, i had way less acid than the day before (maybe just coincidence), but overall, i still had many other gerd symptoms. But from the pill in the evening, I felt really nauseaus for the rest of the night. And it felt like, that i had more acid from it. But i didnt have any random pain, nor stomachache, just some bloating. I am really confused, because now i know its not my anxiety, but I only take 20mg a day, so I shouldn't have side effects? 
(previously I have tried H2 medication, which worked perfectly for a week, but then I had my symptoms all over again, especially after stopping it. If anyone had a similar experience with them, i would love to read them too)
But its still much better than the previous one, so I dont know if I should keep taking it, and the side effects will improve. Btw im on a very organic and acid-free diet, I dont dare to eat anything worse because I would have such bad nausea from it. Did you have some side effects in the beginning of taking PPI? How long did it take for them to disappear, if they did at all? Or do you have any strategie to take them, to avoid side effects?</t>
        </is>
      </c>
      <c r="D7044" t="n">
        <v>1</v>
      </c>
      <c r="E7044" t="n">
        <v>1</v>
      </c>
      <c r="F7044">
        <f>HYPERLINK("https://www.reddit.com/r/GERD/comments/gfqvxc/how_did_ppi_start_wokring_for_you_which_worked/")</f>
        <v/>
      </c>
      <c r="G7044" t="inlineStr">
        <is>
          <t>2020-05-08 03:42:19</t>
        </is>
      </c>
      <c r="H7044" t="inlineStr"/>
    </row>
    <row r="7045">
      <c r="A7045" t="inlineStr">
        <is>
          <t>gfrbdk</t>
        </is>
      </c>
      <c r="B7045" t="inlineStr">
        <is>
          <t>Venting helps my GERD symptoms...</t>
        </is>
      </c>
      <c r="C7045" t="inlineStr">
        <is>
          <t>Hi everyone,
Not really seeking advice here. I just want to vent and also thought it would be useful to share my experience. Especially because I have posted a few comments about how you don't ever really get rid of GERD, you just learn to live with it, but still you will get symptoms and the ocassional panic attack from time to time. Today is one of those days for me, I am on the verge of a panic attack and I can feel my heart beating. I have my GERD, very controlled, but still I will have days like today. I can't sit still. When I breathe deeply I feel a jump in my chest that quickly feels like it is your heart if you don't know better. If I bend over just a little bit I can feel the food I just ate coming up my esophagus (kind of like a toothpaste tube).
Throughout all of these years I have noticed that people with GERD very often have anxiety disorders, or people with anxiety disorders have GERD? Who knows what causes what... It must be interconnected. Also, if you have suffered from GERD for as long as I have you get the whole package. My esophagus is destroyed, many times I get acid reflux from drinking water. I get acid reflux from laughing. 😂😂😂😂 No, but for real I cannot even laugh too hard.
You do get to know yourself a lot throughout the years of having GERD. We are all different, so triggers are very different. Get to know yourself, learn what triggers you, adopt a less fatalist approach and power through the moments you feel like you are about to die. Discipline, don't cause yourself any harm, eat well and on time and in the right quantities. Everything will be fine.
Whoever reads this, thank you for your time! I am still on the verge of the panic attack, but it is much better now that I have taken this feeling out of my chest.</t>
        </is>
      </c>
      <c r="D7045" t="n">
        <v>1</v>
      </c>
      <c r="E7045" t="n">
        <v>9</v>
      </c>
      <c r="F7045">
        <f>HYPERLINK("https://www.reddit.com/r/GERD/comments/gfrbdk/venting_helps_my_gerd_symptoms/")</f>
        <v/>
      </c>
      <c r="G7045" t="inlineStr">
        <is>
          <t>2020-05-08 04:15:39</t>
        </is>
      </c>
      <c r="H7045" t="inlineStr"/>
    </row>
    <row r="7046">
      <c r="A7046" t="inlineStr">
        <is>
          <t>gfrodx</t>
        </is>
      </c>
      <c r="B7046" t="inlineStr">
        <is>
          <t>Why isn't surgery more often given to people with GERD?</t>
        </is>
      </c>
      <c r="C7046" t="inlineStr">
        <is>
          <t>I'm really confused why every online search and this sub comes back with drugs, diet changes to 'manage' this. If there's a surgery that can actually fix the PROBLEM (not the symptom), why aren't most of us having it?
Do doctors try to avoid treating this with surgery? Why? (Obviously there are risks to surgery, but the alternative is life time of issues + maybe cancer)
I am in my early twenties and have had GERD symptoms for a few years now. I'm only now starting to get concerned after I learned many die from cancer leaving their acid reflux unchecked.
I really don't like the idea of having to take anti-acids or PPIs for the rest of my life. Should I go in and ask for this surgery?</t>
        </is>
      </c>
      <c r="D7046" t="n">
        <v>1</v>
      </c>
      <c r="E7046" t="n">
        <v>9</v>
      </c>
      <c r="F7046">
        <f>HYPERLINK("https://www.reddit.com/r/GERD/comments/gfrodx/why_isnt_surgery_more_often_given_to_people_with/")</f>
        <v/>
      </c>
      <c r="G7046" t="inlineStr">
        <is>
          <t>2020-05-08 04:43:24</t>
        </is>
      </c>
      <c r="H7046" t="inlineStr"/>
    </row>
    <row r="7047">
      <c r="A7047" t="inlineStr">
        <is>
          <t>gfslu9</t>
        </is>
      </c>
      <c r="B7047" t="inlineStr">
        <is>
          <t>GERD changing to LPR?</t>
        </is>
      </c>
      <c r="C7047" t="inlineStr">
        <is>
          <t>I’ve had GERD for nearly two years now, usually my symptoms have always been a painful pressure behind my breastbone in between my pecs. Recently I’ve been having no problems with heartburn, suddenly it’s all in my throat and my lungs. I’m waking up the driest, sore throat and my lungs feel like they’re on fire. How can this happen? 
I’m still taking nexium everyday, and I’ve implemented most lifestyle changes over the course of the past year. Honestly it felt like my GERD was getting better, now this. I can’t wrap my head around how i’m getting the symptoms in my throat but not my chest all of a sudden.</t>
        </is>
      </c>
      <c r="D7047" t="n">
        <v>1</v>
      </c>
      <c r="E7047" t="n">
        <v>23</v>
      </c>
      <c r="F7047">
        <f>HYPERLINK("https://www.reddit.com/r/GERD/comments/gfslu9/gerd_changing_to_lpr/")</f>
        <v/>
      </c>
      <c r="G7047" t="inlineStr">
        <is>
          <t>2020-05-08 05:49:18</t>
        </is>
      </c>
      <c r="H7047" t="inlineStr"/>
    </row>
    <row r="7048">
      <c r="A7048" t="inlineStr">
        <is>
          <t>gfsy6h</t>
        </is>
      </c>
      <c r="B7048" t="inlineStr">
        <is>
          <t>Inclined bed and circulation</t>
        </is>
      </c>
      <c r="C7048" t="inlineStr">
        <is>
          <t>I got a mattress wedge (flat incline, not hinged) a few months ago and it has done wonders for my GERD. But I feel like in the mornings my feet are a little tingly. They're never swollen, yet they feel a little full. Does this happen to anyone else? Could sleeping like this be bad for circulation?</t>
        </is>
      </c>
      <c r="D7048" t="n">
        <v>1</v>
      </c>
      <c r="E7048" t="n">
        <v>0</v>
      </c>
      <c r="F7048">
        <f>HYPERLINK("https://www.reddit.com/r/GERD/comments/gfsy6h/inclined_bed_and_circulation/")</f>
        <v/>
      </c>
      <c r="G7048" t="inlineStr">
        <is>
          <t>2020-05-08 06:10:57</t>
        </is>
      </c>
      <c r="H7048" t="inlineStr"/>
    </row>
    <row r="7049">
      <c r="A7049" t="inlineStr">
        <is>
          <t>gfuxd1</t>
        </is>
      </c>
      <c r="B7049" t="inlineStr">
        <is>
          <t>Tama Galactica's "reflux reboot" caused me physical harm after a week and she refused a refund. Don't buy this! It's a scam and she's not actually a licenced professional to give out this doctor level type of advice. Be warned!</t>
        </is>
      </c>
      <c r="C7049" t="inlineStr">
        <is>
          <t>Whatever you do, don't spend money on Tama Galactica's 'reflux reboot.'  This program and supplements caused me to relapse in SIBO. It was overpriced for what came with it, and within ten days I had relapsed SIBO that took me 8 months to heal with my doctor 5 years ago. The diet tells you to eat squash, coconut yogurt, and broccoli and nothing else for weeks on end as you 'heal.' I felt a little better the first couple of days, then SIBO came in full force and dirupted my entire life. I've used MANY of these 'online class mastermind' things and I've never spent so much money on one before. I'm absolutely frustrated and am heading back to my doctor to fix my SIBO, that this program essentially caused. If someone isn't a registered dietician they shouldn't be giving nutrition advice, much less charging $700 for it. Go see a naturopath if you have reflux. You have a unique body, unique to you, and a unique history. Someone off the INternet isn't going to know that and could REALLY SCREW UP YOUR BODY.
Additionally, I quit the program after a week when it made me ill, and Tama was awful to work with. She wouldn’t even honor a partial refund, which says a lot about her. The program at $697 compares to other programs at 1/3 the price. I completed a week of her 8 week program and she refused to return my payment after the program made me super sick. I NEVER signed a contract, the program caused me harm, and I did NOT complete the '8 weeks' promised in the program. Yet, she is denying a refund.  ?  Ethics? 
I highly recommend against this awful program. My health was harmed, I never signed a contract for it, other people in her 'private support group' (that she provided zero support in) messaged me constantly that they also felt sick and bloated and worse on the program, and now she's disputing it in paypal.  My business attorney said he can not find a business license for her, she isn't even a legit business. Just no. No no no. It needs to be shut down by paypal - she doesn't have the right licenses to even be giving the supplement and diet advice she's giving.  R U N !!!!!!!!!!!!!!</t>
        </is>
      </c>
      <c r="D7049" t="n">
        <v>1</v>
      </c>
      <c r="E7049" t="n">
        <v>4</v>
      </c>
      <c r="F7049">
        <f>HYPERLINK("https://www.reddit.com/r/GERD/comments/gfuxd1/tama_galacticas_reflux_reboot_caused_me_physical/")</f>
        <v/>
      </c>
      <c r="G7049" t="inlineStr">
        <is>
          <t>2020-05-08 08:11:27</t>
        </is>
      </c>
      <c r="H7049" t="inlineStr"/>
    </row>
    <row r="7050">
      <c r="A7050" t="inlineStr">
        <is>
          <t>gfv1w5</t>
        </is>
      </c>
      <c r="B7050" t="inlineStr">
        <is>
          <t>Alcohol and GERD/Heartburn?</t>
        </is>
      </c>
      <c r="C7050" t="inlineStr">
        <is>
          <t>I am really confused with effects of alcohol and GERD/Acid reflex/heartburn. Seems like I get hearburn when I do not drink wine/beer, like I stopped drinking for a week and was getting really bad heartburn for some reason. Is this common? will it go away after a while? What is science behind all this?</t>
        </is>
      </c>
      <c r="D7050" t="n">
        <v>2</v>
      </c>
      <c r="E7050" t="n">
        <v>6</v>
      </c>
      <c r="F7050">
        <f>HYPERLINK("https://www.reddit.com/r/GERD/comments/gfv1w5/alcohol_and_gerdheartburn/")</f>
        <v/>
      </c>
      <c r="G7050" t="inlineStr">
        <is>
          <t>2020-05-08 08:18:51</t>
        </is>
      </c>
      <c r="H7050" t="inlineStr"/>
    </row>
    <row r="7051">
      <c r="A7051" t="inlineStr">
        <is>
          <t>gfvs0g</t>
        </is>
      </c>
      <c r="B7051" t="inlineStr">
        <is>
          <t>Can i workout with gerd?</t>
        </is>
      </c>
      <c r="C7051" t="inlineStr">
        <is>
          <t>i am 19 m and i have been diagnosed with gerd...i have this condition for about 6months, i experience  constant burping and mild burning sensation in my upper abdominal region...im currently not on any medications. i play football and do some body weight exercises, mainly i do some core workouts. Is it advisable to do the above ?.sometimes while playing i experience burning sensation and sometimes i have this feeling of burping and sore throat. should i sacrifice my outdoor routine or can i continue ?,please help me guys.
i am sorry for my english and  typing</t>
        </is>
      </c>
      <c r="D7051" t="n">
        <v>1</v>
      </c>
      <c r="E7051" t="n">
        <v>36</v>
      </c>
      <c r="F7051">
        <f>HYPERLINK("https://www.reddit.com/r/GERD/comments/gfvs0g/can_i_workout_with_gerd/")</f>
        <v/>
      </c>
      <c r="G7051" t="inlineStr">
        <is>
          <t>2020-05-08 08:59:03</t>
        </is>
      </c>
      <c r="H7051" t="inlineStr"/>
    </row>
    <row r="7052">
      <c r="A7052" t="inlineStr">
        <is>
          <t>gfw5o0</t>
        </is>
      </c>
      <c r="B7052" t="inlineStr">
        <is>
          <t>GERD diagnosis</t>
        </is>
      </c>
      <c r="C7052" t="inlineStr">
        <is>
          <t>So i havent been officially diagnosed with gerd but i have almost all the symptoms, heartburn multiple times a day, excessive belching, chest pains, coughing after eating anything, you know, tbe usual, but i havent been able to get to the doctors due to the current pandemic, would you guys say i have a strong case to get tested for gerd?</t>
        </is>
      </c>
      <c r="D7052" t="n">
        <v>1</v>
      </c>
      <c r="E7052" t="n">
        <v>1</v>
      </c>
      <c r="F7052">
        <f>HYPERLINK("https://www.reddit.com/r/GERD/comments/gfw5o0/gerd_diagnosis/")</f>
        <v/>
      </c>
      <c r="G7052" t="inlineStr">
        <is>
          <t>2020-05-08 09:19:28</t>
        </is>
      </c>
      <c r="H7052" t="inlineStr"/>
    </row>
    <row r="7053">
      <c r="A7053" t="inlineStr">
        <is>
          <t>gfwg0e</t>
        </is>
      </c>
      <c r="B7053" t="inlineStr">
        <is>
          <t>Can anyone relate? If so what did you do to help?</t>
        </is>
      </c>
      <c r="C7053" t="inlineStr">
        <is>
          <t>Hey guys so I just started my GERD journey within these past 2/3 weeks (definitely felt all the symptoms since a little more than 2 weeks ago but I felt like it was a strange but stubborn heartburn that wouldnt go away) until I got really frustrated with it and looked it up and saw it was most likely GERD. I just got a telehealth appointment on Monday and got diagnosed with GERD and since then I’ve started meds (Omeprazole). I know everyone’s symptoms range from mild to severe, but since there’s different symptoms of everyone’s experiences with GERD, I’d like to see if anyone’s experiences are similar to mine? At first everything I ate (and still happens to me despite being on meds) just made my esophagus burn. Doesn’t burn as much now, but after the burn would somewhat subside, I still get this feeling of my food being stuck in my chest, like if it all won’t go completely down to my stomach. This feeling won’t go away for like 3/4 hours. I reached out to this girl on IG who said she treated it naturally after being on meds for so long and she said she cut out bread and sugar for a month and was basically back to normal so I’ve since also started this trend too. However sorry for the tmi but my 💩 is coming out pale like light brown! I’ve cut back dairy, bread and sugar but I’m not sure if the combo of meds and my diet are affecting the color. All I’ve eaten so far are eggs, oatmeal with banana and apple and unsweetened coconut milk, beans, and rice. I’ve seen some websites say this feeling of having food in your chest and light poop are either uncommon side effects or are a big cause for concern and to reach out to your doctor ASAP but I’m not really sure which idea is right or wrong? So I just wanted to see if anyone here has dealt with this and how you helped yourself with this. Online info can be so overwhelming and just so unhelpful. I feel like every time I get sick I look up everything and can pinpoint what to do and what is normal, just not GERD. I’m hoping you guys can shed some light on your experiences if possible, that would help a lot! Thank you!</t>
        </is>
      </c>
      <c r="D7053" t="n">
        <v>1</v>
      </c>
      <c r="E7053" t="n">
        <v>6</v>
      </c>
      <c r="F7053">
        <f>HYPERLINK("https://www.reddit.com/r/GERD/comments/gfwg0e/can_anyone_relate_if_so_what_did_you_do_to_help/")</f>
        <v/>
      </c>
      <c r="G7053" t="inlineStr">
        <is>
          <t>2020-05-08 09:35:04</t>
        </is>
      </c>
      <c r="H7053" t="inlineStr"/>
    </row>
    <row r="7054">
      <c r="A7054" t="inlineStr">
        <is>
          <t>gfwp9d</t>
        </is>
      </c>
      <c r="B7054" t="inlineStr">
        <is>
          <t>Female, 35. What is your diet like with GERD?</t>
        </is>
      </c>
      <c r="C7054" t="inlineStr">
        <is>
          <t>I've heard and read a lot about alkaline diets and how it helps GERD. Has anyone had any experience with this and. if so, can you tell me what has been helping you in your diet?</t>
        </is>
      </c>
      <c r="D7054" t="n">
        <v>1</v>
      </c>
      <c r="E7054" t="n">
        <v>23</v>
      </c>
      <c r="F7054">
        <f>HYPERLINK("https://www.reddit.com/r/GERD/comments/gfwp9d/female_35_what_is_your_diet_like_with_gerd/")</f>
        <v/>
      </c>
      <c r="G7054" t="inlineStr">
        <is>
          <t>2020-05-08 09:48:53</t>
        </is>
      </c>
      <c r="H7054" t="inlineStr"/>
    </row>
    <row r="7055">
      <c r="A7055" t="inlineStr">
        <is>
          <t>gfxlna</t>
        </is>
      </c>
      <c r="B7055" t="inlineStr">
        <is>
          <t>Influence of prucalopride on esophageal motility? what did we know today?</t>
        </is>
      </c>
      <c r="C7055" t="inlineStr">
        <is>
          <t>can prucolopride give a relief to people with esophageal dysmotility? can it relief dysphagia? 
what is the effect off prucalopride on the LES sphincter? what did we know about on prucalopride on esophageal motility?
can it helps with esophageal sensivity for the "second" swallow? 
prucalopride a gastroprokinetica with strungle points.</t>
        </is>
      </c>
      <c r="D7055" t="n">
        <v>1</v>
      </c>
      <c r="E7055" t="n">
        <v>0</v>
      </c>
      <c r="F7055">
        <f>HYPERLINK("https://www.reddit.com/r/GERD/comments/gfxlna/influence_of_prucalopride_on_esophageal_motility/")</f>
        <v/>
      </c>
      <c r="G7055" t="inlineStr">
        <is>
          <t>2020-05-08 10:36:26</t>
        </is>
      </c>
      <c r="H7055" t="inlineStr"/>
    </row>
    <row r="7056">
      <c r="A7056" t="inlineStr">
        <is>
          <t>gfxtrd</t>
        </is>
      </c>
      <c r="B7056" t="inlineStr">
        <is>
          <t>Reflux issue</t>
        </is>
      </c>
      <c r="C7056" t="inlineStr">
        <is>
          <t>Hi Everyone, I know we are all dealing with this Gerd in our own way and appreciate this forum.  It helps with ideas on what you can do to help when GI Doctors don't have the answers.  I've Done test and taking every PPI out there.  I changed my diet and it seems a little better but there's not one day goes by when I feel like this.  I eat or drink and 1 hour later it feels like it's sitting in my chest.  If I eat again it goes away and 1hr later it happens again.  Can anyone relate? and it there anything I can do for this?  
Thanks in advance, much appreciated</t>
        </is>
      </c>
      <c r="D7056" t="n">
        <v>1</v>
      </c>
      <c r="E7056" t="n">
        <v>2</v>
      </c>
      <c r="F7056">
        <f>HYPERLINK("https://www.reddit.com/r/GERD/comments/gfxtrd/reflux_issue/")</f>
        <v/>
      </c>
      <c r="G7056" t="inlineStr">
        <is>
          <t>2020-05-08 10:48:04</t>
        </is>
      </c>
      <c r="H7056" t="inlineStr"/>
    </row>
    <row r="7057">
      <c r="A7057" t="inlineStr">
        <is>
          <t>gfxu1s</t>
        </is>
      </c>
      <c r="B7057" t="inlineStr">
        <is>
          <t>refractory GERD/LPR/vagal neuropathy ; welcome " hypersensitivity esophageal "</t>
        </is>
      </c>
      <c r="C7057" t="inlineStr">
        <is>
          <t>Reflux hypersensitivity is primarily treated with esophageal neuromodulators, such as tricyclic anti-depressants and selective serotonin reuptake inhibitors among others. Surgical anti-reflux management may also play an important role in the treatment of reflux hypersensitivity</t>
        </is>
      </c>
      <c r="D7057" t="n">
        <v>1</v>
      </c>
      <c r="E7057" t="n">
        <v>0</v>
      </c>
      <c r="F7057">
        <f>HYPERLINK("https://www.reddit.com/r/GERD/comments/gfxu1s/refractory_gerdlprvagal_neuropathy_welcome/")</f>
        <v/>
      </c>
      <c r="G7057" t="inlineStr">
        <is>
          <t>2020-05-08 10:48:28</t>
        </is>
      </c>
      <c r="H7057" t="inlineStr"/>
    </row>
    <row r="7058">
      <c r="A7058" t="inlineStr">
        <is>
          <t>gfyomp</t>
        </is>
      </c>
      <c r="B7058" t="inlineStr">
        <is>
          <t>Esophagus spasm? Could use some help/opinions</t>
        </is>
      </c>
      <c r="C7058" t="inlineStr">
        <is>
          <t>Hi, i have had a bit of a rough time lately with some pretty bad anxiety. I am used to having some heart palps and tight, sometimes painful chest, but right now i'm experiencing something different. About 2 weeks ago i started having days with bad acid reflux, especially if i ate spicy food or had a beer or some whiskey. I also started having what i thought was "skipped beats" palpitations. But they felt so strange and it really scared me, the feeling was more like fluttering/squeezing for a few sec. Today i also feel like there is someting stuck at the back of my throat and it bothers me when i swallow. I have been burping alot more then normal too. 
I was just eating and the fluttering feeling in my chest got so bad i had a panic attack and was so close to go to the hospital thinking that it was the heart. Instead i did some googling and found out about something called esophagus spasm and it just fits so well. 
Does any one have any experince with esophagus spasm? Can you get them without any significant pain? do you think i'm on the right track here? 
I feel like i'm on the verge of solving something that have been bothering me for quite some time now. I'm 34 with no history of heart disease, had an EKG about a year ago and all was fine. 
Thanks for reading.</t>
        </is>
      </c>
      <c r="D7058" t="n">
        <v>1</v>
      </c>
      <c r="E7058" t="n">
        <v>7</v>
      </c>
      <c r="F7058">
        <f>HYPERLINK("https://www.reddit.com/r/GERD/comments/gfyomp/esophagus_spasm_could_use_some_helpopinions/")</f>
        <v/>
      </c>
      <c r="G7058" t="inlineStr">
        <is>
          <t>2020-05-08 11:31:49</t>
        </is>
      </c>
      <c r="H7058" t="inlineStr"/>
    </row>
    <row r="7059">
      <c r="A7059" t="inlineStr">
        <is>
          <t>gfyuoy</t>
        </is>
      </c>
      <c r="B7059" t="inlineStr">
        <is>
          <t>What helped your breathlessness symptom go away?</t>
        </is>
      </c>
      <c r="C7059" t="inlineStr">
        <is>
          <t>I’m seeing a GI as soon as I can but in meantime, what helps that awful symptom of GERD go away?</t>
        </is>
      </c>
      <c r="D7059" t="n">
        <v>1</v>
      </c>
      <c r="E7059" t="n">
        <v>20</v>
      </c>
      <c r="F7059">
        <f>HYPERLINK("https://www.reddit.com/r/GERD/comments/gfyuoy/what_helped_your_breathlessness_symptom_go_away/")</f>
        <v/>
      </c>
      <c r="G7059" t="inlineStr">
        <is>
          <t>2020-05-08 11:40:22</t>
        </is>
      </c>
      <c r="H7059" t="inlineStr"/>
    </row>
    <row r="7060">
      <c r="A7060" t="inlineStr">
        <is>
          <t>gfz5gv</t>
        </is>
      </c>
      <c r="B7060" t="inlineStr">
        <is>
          <t>Too much mucus and congestion in throat and nose. What can I do?</t>
        </is>
      </c>
      <c r="C7060" t="inlineStr">
        <is>
          <t>I have LPR and today I just have a lot of congestion in my chest and throat and nose and it’s making it really uncomfortable for me to do anything. What are some tips to help get rid of this feeling?</t>
        </is>
      </c>
      <c r="D7060" t="n">
        <v>1</v>
      </c>
      <c r="E7060" t="n">
        <v>4</v>
      </c>
      <c r="F7060">
        <f>HYPERLINK("https://www.reddit.com/r/GERD/comments/gfz5gv/too_much_mucus_and_congestion_in_throat_and_nose/")</f>
        <v/>
      </c>
      <c r="G7060" t="inlineStr">
        <is>
          <t>2020-05-08 11:56:09</t>
        </is>
      </c>
      <c r="H7060" t="inlineStr"/>
    </row>
    <row r="7061">
      <c r="A7061" t="inlineStr">
        <is>
          <t>gg1cbu</t>
        </is>
      </c>
      <c r="B7061" t="inlineStr">
        <is>
          <t>Pain towards bottom of rib cage</t>
        </is>
      </c>
      <c r="C7061" t="inlineStr">
        <is>
          <t>I was diagnosed with LPR about a year ago after an endoscopy. After taking medication, symptoms went away for a while until the pandemic hit and I started eating like shit again. The past week and a half I’ve been eating small meals, all bland foods. I was having chest tightness and constipation. Sometimes even a weird pressure on the side of my neck as well as the typical globus sensation. Today I’ve started having random sharp pains where I believe my xyphoid process is. I’ve ate a bowl of oatmeal today and maybe a cup of lettuce and a quarter of a chicken breast just to note. Is this normal? I’ve never felt that sensation before. 
I must also note I’ve had some pretty bad anxiety since all this started, but this doesn’t feel like a typical anxiety symptom.</t>
        </is>
      </c>
      <c r="D7061" t="n">
        <v>1</v>
      </c>
      <c r="E7061" t="n">
        <v>17</v>
      </c>
      <c r="F7061">
        <f>HYPERLINK("https://www.reddit.com/r/GERD/comments/gg1cbu/pain_towards_bottom_of_rib_cage/")</f>
        <v/>
      </c>
      <c r="G7061" t="inlineStr">
        <is>
          <t>2020-05-08 13:48:43</t>
        </is>
      </c>
      <c r="H7061" t="inlineStr"/>
    </row>
    <row r="7062">
      <c r="A7062" t="inlineStr">
        <is>
          <t>gg1x60</t>
        </is>
      </c>
      <c r="B7062" t="inlineStr">
        <is>
          <t>GERD/Hernia guy wfh, anyone else's poops have been affected?</t>
        </is>
      </c>
      <c r="C7062" t="inlineStr">
        <is>
          <t>I'm a programmer with GERD/Hernia working from home (so sitting  most of the day). Been eating vegan and only protonix for about a month now.
However, I'm pooping like once a week and having to strain while pooping, causing pain around my butt. The backup is also making my GERD symptoms worse, such as actually making me feel nauseous (which never happened before). 
Anyone else experiencing this?</t>
        </is>
      </c>
      <c r="D7062" t="n">
        <v>1</v>
      </c>
      <c r="E7062" t="n">
        <v>10</v>
      </c>
      <c r="F7062">
        <f>HYPERLINK("https://www.reddit.com/r/GERD/comments/gg1x60/gerdhernia_guy_wfh_anyone_elses_poops_have_been/")</f>
        <v/>
      </c>
      <c r="G7062" t="inlineStr">
        <is>
          <t>2020-05-08 14:19:08</t>
        </is>
      </c>
      <c r="H7062" t="inlineStr"/>
    </row>
    <row r="7063">
      <c r="A7063" t="inlineStr">
        <is>
          <t>gg1yrt</t>
        </is>
      </c>
      <c r="B7063" t="inlineStr">
        <is>
          <t>Sharp pain inch under the armpit? Comes &amp;amp; goes</t>
        </is>
      </c>
      <c r="C7063" t="inlineStr">
        <is>
          <t>I’ve had a sharp pain in my back, an inch under my right arm pit, all morning. It’s a pinchy feeling, but was scary sharp when walking at one point.
If I sit I don’t feel it usually, but it comes and goes when I walk or lay down.
Could this be a GERD thing? Worries about PE.</t>
        </is>
      </c>
      <c r="D7063" t="n">
        <v>1</v>
      </c>
      <c r="E7063" t="n">
        <v>11</v>
      </c>
      <c r="F7063">
        <f>HYPERLINK("https://www.reddit.com/r/GERD/comments/gg1yrt/sharp_pain_inch_under_the_armpit_comes_goes/")</f>
        <v/>
      </c>
      <c r="G7063" t="inlineStr">
        <is>
          <t>2020-05-08 14:21:25</t>
        </is>
      </c>
      <c r="H7063" t="inlineStr"/>
    </row>
    <row r="7064">
      <c r="A7064" t="inlineStr">
        <is>
          <t>gg3au0</t>
        </is>
      </c>
      <c r="B7064" t="inlineStr">
        <is>
          <t>Do you think GERD research/treatment will get any better within the next 10-15 years? Or is this one of those conditions that no one really cares about?</t>
        </is>
      </c>
      <c r="C7064" t="inlineStr">
        <is>
          <t>I don’t really see any ongoing research or anything for this tbh but maybe I’m not looking hard enough? 
It’s kind of baffling that the only main treatment we have for this simple condition (loose GE junction) is a primitive ass surgery where you tie the stomach around itself ...</t>
        </is>
      </c>
      <c r="D7064" t="n">
        <v>1</v>
      </c>
      <c r="E7064" t="n">
        <v>56</v>
      </c>
      <c r="F7064">
        <f>HYPERLINK("https://www.reddit.com/r/GERD/comments/gg3au0/do_you_think_gerd_researchtreatment_will_get_any/")</f>
        <v/>
      </c>
      <c r="G7064" t="inlineStr">
        <is>
          <t>2020-05-08 15:35:45</t>
        </is>
      </c>
      <c r="H7064" t="inlineStr"/>
    </row>
    <row r="7065">
      <c r="A7065" t="inlineStr">
        <is>
          <t>gg48b7</t>
        </is>
      </c>
      <c r="B7065" t="inlineStr">
        <is>
          <t>IBS or GERD? Different symptoms as an adult</t>
        </is>
      </c>
      <c r="C7065" t="inlineStr">
        <is>
          <t>Hello all. Thank you for being here. I'm sorry we all struggle with this, but I'm glad we can be here for each other. Strap yourself in cuz this is a looong post.
I am a 25F, fairly overweight but losing more every day, and I have had IBS since I was in sixth grade. I used to struggle with IBS-D and bloating, but now I more so deal with what appears to be GERD-like symptoms. I have issues with nausea, acid, some reflux/presence of something in the back of my throat, intermittent constipation, and occasional quick satiety. I have generalized anxiety disorder and PTSD from childhood abuse. I am working through it in therapy at present, have been since April of last year. I was also tested and diagnosed with numerous minor food and environmental allergies as a kid; they don't really manifest like they used to (I was most allergic to milk and pineapple [?!]) where they used to give me what was effectively insta-diarrhea. 
My biggest issue is that my symptoms, chiefly nausea, are interfering with my ability to sleep through the night. This only really started when the current pandemic began, which leads me to believe some of this is stress-related. I take Prilosec, birth control, vitamin D, iodine, Prozac, Pepcid, and Zyrtec. I have elevated the head of my bed with stands on the bottom and some big blankets (doubled because they sink down). I keep saltines and water near my bed. I drink ginger ale and/or coke occasionally, but also sometimes not because they're inherently acidic. I love me some Gaviscon. I exercise for 45-60 mins most days (at least 5 days a week, usually more). I have Zofran and even Phenergen. I should also mention I am terrified of throwing up!!  Haha...ahh...yeah it's a lot I know. It's funny because I usually don't throw up from nausea. I haven't thrown up in years (weird flex but okay).
What else could I do, or what things could I look into to better my situation? I presently work with a psychiatrist, a therapist, and am now seeing my OBGYN regularly again. I'm open to all information and suggestions. Even if you aren't sure, with all sincerity, thank you for even just taking the time to read this. I hope things are going well for you!</t>
        </is>
      </c>
      <c r="D7065" t="n">
        <v>1</v>
      </c>
      <c r="E7065" t="n">
        <v>1</v>
      </c>
      <c r="F7065">
        <f>HYPERLINK("https://www.reddit.com/r/GERD/comments/gg48b7/ibs_or_gerd_different_symptoms_as_an_adult/")</f>
        <v/>
      </c>
      <c r="G7065" t="inlineStr">
        <is>
          <t>2020-05-08 16:29:26</t>
        </is>
      </c>
      <c r="H7065" t="inlineStr"/>
    </row>
    <row r="7066">
      <c r="A7066" t="inlineStr">
        <is>
          <t>gg4eta</t>
        </is>
      </c>
      <c r="B7066" t="inlineStr">
        <is>
          <t>Chicken before the egg? Case study of asthma causing GERD symptoms</t>
        </is>
      </c>
      <c r="C7066" t="inlineStr">
        <is>
          <t>I have been struggling with GERD and dyspnea that is unresponsive to treatment. I came across this case study https://www.ncbi.nlm.nih.gov/pmc/articles/PMC4316114/ which seemed interested. A patient’s asthma treatment seems to have cured his GERD symptoms. Anyone hear anything about this? I know there is a lot of literature about GERD causing asthma, but I haven’t seen much addressing the inverse.</t>
        </is>
      </c>
      <c r="D7066" t="n">
        <v>1</v>
      </c>
      <c r="E7066" t="n">
        <v>1</v>
      </c>
      <c r="F7066">
        <f>HYPERLINK("https://www.reddit.com/r/GERD/comments/gg4eta/chicken_before_the_egg_case_study_of_asthma/")</f>
        <v/>
      </c>
      <c r="G7066" t="inlineStr">
        <is>
          <t>2020-05-08 16:39:56</t>
        </is>
      </c>
      <c r="H7066" t="inlineStr"/>
    </row>
    <row r="7067">
      <c r="A7067" t="inlineStr">
        <is>
          <t>gg5r7z</t>
        </is>
      </c>
      <c r="B7067" t="inlineStr">
        <is>
          <t>GERD relief NEEDED please help</t>
        </is>
      </c>
      <c r="C7067" t="inlineStr">
        <is>
          <t>I've had a consistent gotrot pain in my diaphragm for the past 3 days. I'm losing sleep over it and tums only help for about 3 hours. I try not to take tums often so something else would be great help</t>
        </is>
      </c>
      <c r="D7067" t="n">
        <v>1</v>
      </c>
      <c r="E7067" t="n">
        <v>1</v>
      </c>
      <c r="F7067">
        <f>HYPERLINK("https://www.reddit.com/r/GERD/comments/gg5r7z/gerd_relief_needed_please_help/")</f>
        <v/>
      </c>
      <c r="G7067" t="inlineStr">
        <is>
          <t>2020-05-08 18:03:30</t>
        </is>
      </c>
      <c r="H7067" t="inlineStr"/>
    </row>
    <row r="7068">
      <c r="A7068" t="inlineStr">
        <is>
          <t>gg7pkt</t>
        </is>
      </c>
      <c r="B7068" t="inlineStr">
        <is>
          <t>Carbonated water works for me?</t>
        </is>
      </c>
      <c r="C7068" t="inlineStr">
        <is>
          <t>When I feel symptoms like bloating, and stomach stuff I drink bubbly or some non sugar carbonated water which causes me to burp a lot which relives my symptoms. Is this recommended?</t>
        </is>
      </c>
      <c r="D7068" t="n">
        <v>1</v>
      </c>
      <c r="E7068" t="n">
        <v>5</v>
      </c>
      <c r="F7068">
        <f>HYPERLINK("https://www.reddit.com/r/GERD/comments/gg7pkt/carbonated_water_works_for_me/")</f>
        <v/>
      </c>
      <c r="G7068" t="inlineStr">
        <is>
          <t>2020-05-08 20:14:43</t>
        </is>
      </c>
      <c r="H7068" t="inlineStr"/>
    </row>
    <row r="7069">
      <c r="A7069" t="inlineStr">
        <is>
          <t>gg7vhf</t>
        </is>
      </c>
      <c r="B7069" t="inlineStr">
        <is>
          <t>Skin problems?</t>
        </is>
      </c>
      <c r="C7069" t="inlineStr">
        <is>
          <t>I started having some pretty horrible digestive issues when I started drinking 12 years ago. In addition to that I also started experiencing some very uncomfortable skin problems. My skin is often dry and itchy (particularly my scalp) and I am extremely sensitive to touch and temperature, so much so that it often makes me anxious and panicky. I also get tingling sensations that spread across my body, triggered by touch.
In the last few years I’ve made some pretty solid attempts to get sober (months without a drop) but my skin problems did not improve.
My skin feels noticeably more uncomfortable if I consume sugary stuff, which is why I now avoid it as much as possible. Sugar and sweetener are my worst GERD triggers.
Has anyone else experienced skin problems that may be caused by GERD?</t>
        </is>
      </c>
      <c r="D7069" t="n">
        <v>1</v>
      </c>
      <c r="E7069" t="n">
        <v>0</v>
      </c>
      <c r="F7069">
        <f>HYPERLINK("https://www.reddit.com/r/GERD/comments/gg7vhf/skin_problems/")</f>
        <v/>
      </c>
      <c r="G7069" t="inlineStr">
        <is>
          <t>2020-05-08 20:26:04</t>
        </is>
      </c>
      <c r="H7069" t="inlineStr"/>
    </row>
    <row r="7070">
      <c r="A7070" t="inlineStr">
        <is>
          <t>gg8rt9</t>
        </is>
      </c>
      <c r="B7070" t="inlineStr">
        <is>
          <t>Any advice on someone that doesn't want to take meds?</t>
        </is>
      </c>
      <c r="C7070" t="inlineStr">
        <is>
          <t>Is there anyone that has been able to manage their GERD/acid reflux without having to take meds? Or anyone that was on meds, but isn't on them anymore and are fine now?</t>
        </is>
      </c>
      <c r="D7070" t="n">
        <v>1</v>
      </c>
      <c r="E7070" t="n">
        <v>23</v>
      </c>
      <c r="F7070">
        <f>HYPERLINK("https://www.reddit.com/r/GERD/comments/gg8rt9/any_advice_on_someone_that_doesnt_want_to_take/")</f>
        <v/>
      </c>
      <c r="G7070" t="inlineStr">
        <is>
          <t>2020-05-08 21:28:39</t>
        </is>
      </c>
      <c r="H7070" t="inlineStr"/>
    </row>
    <row r="7071">
      <c r="A7071" t="inlineStr">
        <is>
          <t>gg8su6</t>
        </is>
      </c>
      <c r="B7071" t="inlineStr">
        <is>
          <t>Have any of you gotten better on meds then suddenly get worse while still on meds?</t>
        </is>
      </c>
      <c r="C7071" t="inlineStr">
        <is>
          <t>I'm taking protonix for esophagitis that I got from acid reflux due to a fungal infection. I've taken the meds for nearly two months and I got better  (ie no sore throat for a week but / no reflux feelings) but recently I've went back to the place I was before . I have recurring sore throats and can feel the acid reflux up my throat again. 
I know I don't have another fungal infection because it was confirmed with another endoscopy. We'd thought it (because I had the sore throat and reflux) come back at first a few months after the initial treatment of the infection.</t>
        </is>
      </c>
      <c r="D7071" t="n">
        <v>1</v>
      </c>
      <c r="E7071" t="n">
        <v>1</v>
      </c>
      <c r="F7071">
        <f>HYPERLINK("https://www.reddit.com/r/GERD/comments/gg8su6/have_any_of_you_gotten_better_on_meds_then/")</f>
        <v/>
      </c>
      <c r="G7071" t="inlineStr">
        <is>
          <t>2020-05-08 21:30:39</t>
        </is>
      </c>
      <c r="H7071" t="inlineStr"/>
    </row>
    <row r="7072">
      <c r="A7072" t="inlineStr">
        <is>
          <t>gg9mqi</t>
        </is>
      </c>
      <c r="B7072" t="inlineStr">
        <is>
          <t>ranitidine</t>
        </is>
      </c>
      <c r="C7072" t="inlineStr">
        <is>
          <t>Hi! Ummmm so ever since I stopped taking ranitidine I can’t seem to get my gerd under control. PPIs don’t seem to help. I take Pepcid everyday. I do not drink any soda, coffee, or alcohol and rarely eat fried things. Anyone else have experience with something that works as well for them as ranitidine? Thanks! Hope you and your family are well</t>
        </is>
      </c>
      <c r="D7072" t="n">
        <v>1</v>
      </c>
      <c r="E7072" t="n">
        <v>2</v>
      </c>
      <c r="F7072">
        <f>HYPERLINK("https://www.reddit.com/r/GERD/comments/gg9mqi/ranitidine/")</f>
        <v/>
      </c>
      <c r="G7072" t="inlineStr">
        <is>
          <t>2020-05-08 22:32:26</t>
        </is>
      </c>
      <c r="H7072" t="inlineStr"/>
    </row>
    <row r="7073">
      <c r="A7073" t="inlineStr">
        <is>
          <t>ggbftr</t>
        </is>
      </c>
      <c r="B7073" t="inlineStr">
        <is>
          <t>Has anyone on here completely 100% given up caffeine?</t>
        </is>
      </c>
      <c r="C7073" t="inlineStr">
        <is>
          <t>I've battled back &amp;amp; forth with caffeine addiction for a while. I'm currently on day four of zero caffeine &amp;amp; I truly hope that one of the benefits will be reduced gerd symptoms. So I'm just wondering if anyone on here has bitten the bullet &amp;amp; fully given up caffeine. And if so, has it had any affect on their symptoms. I know it's just one puzzle piece, but maybe it's one that makes a big impact.</t>
        </is>
      </c>
      <c r="D7073" t="n">
        <v>1</v>
      </c>
      <c r="E7073" t="n">
        <v>71</v>
      </c>
      <c r="F7073">
        <f>HYPERLINK("https://www.reddit.com/r/GERD/comments/ggbftr/has_anyone_on_here_completely_100_given_up/")</f>
        <v/>
      </c>
      <c r="G7073" t="inlineStr">
        <is>
          <t>2020-05-09 01:02:35</t>
        </is>
      </c>
      <c r="H7073" t="inlineStr"/>
    </row>
    <row r="7074">
      <c r="A7074" t="inlineStr">
        <is>
          <t>ggculj</t>
        </is>
      </c>
      <c r="B7074" t="inlineStr">
        <is>
          <t>Recommendations on how to not swallow air?</t>
        </is>
      </c>
      <c r="C7074" t="inlineStr">
        <is>
          <t>I swallow a ton of air and need to burp myself like a baby everyday, and if I forget I get bad gerd and lose sleep.  Exercise helps me burp as does running more than jumping rope interestingly, as does yoga and drinking a Coke versus say Sprite/soda water. But not swallowing in the first place is the million dollar question!</t>
        </is>
      </c>
      <c r="D7074" t="n">
        <v>1</v>
      </c>
      <c r="E7074" t="n">
        <v>8</v>
      </c>
      <c r="F7074">
        <f>HYPERLINK("https://www.reddit.com/r/GERD/comments/ggculj/recommendations_on_how_to_not_swallow_air/")</f>
        <v/>
      </c>
      <c r="G7074" t="inlineStr">
        <is>
          <t>2020-05-09 03:02:33</t>
        </is>
      </c>
      <c r="H7074" t="inlineStr"/>
    </row>
    <row r="7075">
      <c r="A7075" t="inlineStr">
        <is>
          <t>ggdazm</t>
        </is>
      </c>
      <c r="B7075" t="inlineStr">
        <is>
          <t>GERD new member</t>
        </is>
      </c>
      <c r="C7075" t="inlineStr">
        <is>
          <t>I suddenly started to have the worst heartburn ever this past week. I can't sleep, since I lay down on the bed, all my upper body start to burn like hell.  I tried to take antiacids but they work only for a few minutes to let me fall asleep but in the middle of the night I'm waking with the burn again. Yesterday for the first time I took Dexlansoprazole that works for some minutes too. I really don't know what to do. Especially now that doctors are refusing new patients and hospitals are packed with COVID cases.</t>
        </is>
      </c>
      <c r="D7075" t="n">
        <v>1</v>
      </c>
      <c r="E7075" t="n">
        <v>2</v>
      </c>
      <c r="F7075">
        <f>HYPERLINK("https://www.reddit.com/r/GERD/comments/ggdazm/gerd_new_member/")</f>
        <v/>
      </c>
      <c r="G7075" t="inlineStr">
        <is>
          <t>2020-05-09 03:41:06</t>
        </is>
      </c>
      <c r="H7075" t="inlineStr"/>
    </row>
    <row r="7076">
      <c r="A7076" t="inlineStr">
        <is>
          <t>gge0fc</t>
        </is>
      </c>
      <c r="B7076" t="inlineStr">
        <is>
          <t>I feel miserable</t>
        </is>
      </c>
      <c r="C7076" t="inlineStr">
        <is>
          <t>I'm really grateful to have found this community. It's a relief to know that I'm not alone in this fight. But these symptoms are wrecking my mental health.
I'm a 20 yo male and my symptoms are a dry throat for 5 months and constant burping (like 24/7). No heartburn. The burping started about a year ago, but it fluctuated. About a week and a half ago I fasted for 2 days and then started slowly introducing other food. During that time I was burping very little. I started drinking coffee again and nothing happened for 4 days, then I introduced rice and 2 days later the burping came back full force. I'm going to cut on both rice and coffee because burping 24/7 is horrible and I don't have the patience to test them one by one. I know coffee can cause reflux, but I spent years of my life drinking it every day with no issues.
For the dry throat, I've tried nearly everything. Since it's usually worse in the morning, I started sleeping with one of those reflux pillows yesterday and I really hope it'll help, but spending 5 months straight with this problem and no sign of it going away has sucked practically all the hope I had.
Anyway, I'm not sure what my problem is and the worst thing about it is I cannot go to the doctor because of the pandemic. It's just frustrating. Do I have a hiatal hernia? H. pylori? I don't know, and I'll have to wait months to know.
What also frustrates me is that I did *everything right*. During my teenage years, I had a very balanced diet (no fast food, no pop, almost no sweets, etc.), I exercised, I took supplements, I slept early, etc. I see other people that have totally unbalanced diets and lifestyles having zero issues and it just frustrates me. Like why? What did I do wrong?
Some times I just want to scream and cry to express all my frustration, but I don't want to behave like that in front of my family, so I suppress it. But it really really sucks. I keep wonder if all of this will end some day, because the idea of living with these symptoms for the rest of my life terrifies me.</t>
        </is>
      </c>
      <c r="D7076" t="n">
        <v>1</v>
      </c>
      <c r="E7076" t="n">
        <v>18</v>
      </c>
      <c r="F7076">
        <f>HYPERLINK("https://www.reddit.com/r/GERD/comments/gge0fc/i_feel_miserable/")</f>
        <v/>
      </c>
      <c r="G7076" t="inlineStr">
        <is>
          <t>2020-05-09 04:39:59</t>
        </is>
      </c>
      <c r="H7076" t="inlineStr"/>
    </row>
    <row r="7077">
      <c r="A7077" t="inlineStr">
        <is>
          <t>ggedby</t>
        </is>
      </c>
      <c r="B7077" t="inlineStr">
        <is>
          <t>Mastic for GERD (Chios Mastiha)</t>
        </is>
      </c>
      <c r="C7077" t="inlineStr">
        <is>
          <t>A few days ago I visited my second gastroenterologist. According to my symptoms she believes I have H.pylori (I had tested positive once, taken antibiotics but there was no improvement. Subsequent tests came back negative).I researched Chios Mastiha after my gastro recommended I take it, which caught me by surprise since it is not a drug but a natural supplement.
Mastiha (mastic) comes from the Greek island Chios and there are many scientific studies showing that it KILLS H.pylori and helps heal ulcers. It has also been found that it helps with dyspepsia, heartburn, excessive gas and even lessens bowel inflammation and reduces symptoms of Crohn's disease. Some studies found that it was significantly better than PPIs. The best part is that it is natural and does not have side effects.
 There is a lot of evidence that it works so I started taking it and I'm hoping I see results. I'm currently taking pills with 100% Mastiha powder but there is also Mastiha gum (which is the resin at it's pure form, not to be confused with artificial gums)
Has anyone tried Mastiha? If so what was your experience?
[I can link the scientific studies if anyone wants. I can also post updates if anyone is interested]</t>
        </is>
      </c>
      <c r="D7077" t="n">
        <v>1</v>
      </c>
      <c r="E7077" t="n">
        <v>1</v>
      </c>
      <c r="F7077">
        <f>HYPERLINK("https://www.reddit.com/r/GERD/comments/ggedby/mastic_for_gerd_chios_mastiha/")</f>
        <v/>
      </c>
      <c r="G7077" t="inlineStr">
        <is>
          <t>2020-05-09 05:08:54</t>
        </is>
      </c>
      <c r="H7077" t="inlineStr"/>
    </row>
    <row r="7078">
      <c r="A7078" t="inlineStr">
        <is>
          <t>ggfcr9</t>
        </is>
      </c>
      <c r="B7078" t="inlineStr">
        <is>
          <t>how much does beer affect gerd?</t>
        </is>
      </c>
      <c r="C7078" t="inlineStr">
        <is>
          <t>lot of times i get depressed and frustrated and i drink beer but i only have 1 or 2 max and i drink bud light cos its very light and only about 4.2% alcohol, and when I drink it i don't notice any gerd, but is it possible that beer that I have in the afternoon is giving me reflux in the middle of the night?</t>
        </is>
      </c>
      <c r="D7078" t="n">
        <v>1</v>
      </c>
      <c r="E7078" t="n">
        <v>11</v>
      </c>
      <c r="F7078">
        <f>HYPERLINK("https://www.reddit.com/r/GERD/comments/ggfcr9/how_much_does_beer_affect_gerd/")</f>
        <v/>
      </c>
      <c r="G7078" t="inlineStr">
        <is>
          <t>2020-05-09 06:23:20</t>
        </is>
      </c>
      <c r="H7078" t="inlineStr"/>
    </row>
    <row r="7079">
      <c r="A7079" t="inlineStr">
        <is>
          <t>gggyp3</t>
        </is>
      </c>
      <c r="B7079" t="inlineStr">
        <is>
          <t>How do you properly dissolve sodium alginate?</t>
        </is>
      </c>
      <c r="C7079" t="inlineStr">
        <is>
          <t>Ive got gerd and LPR. I’ve been taking gaviscon for years and it’s burning a hole in my wallet. So recently I bought the active ingredient in gaviscon which is sodium alginate (slightly cheaper alternative) , the only problem is I’m finding it hard to dissolve it just clumps up.</t>
        </is>
      </c>
      <c r="D7079" t="n">
        <v>1</v>
      </c>
      <c r="E7079" t="n">
        <v>1</v>
      </c>
      <c r="F7079">
        <f>HYPERLINK("https://www.reddit.com/r/GERD/comments/gggyp3/how_do_you_properly_dissolve_sodium_alginate/")</f>
        <v/>
      </c>
      <c r="G7079" t="inlineStr">
        <is>
          <t>2020-05-09 08:06:26</t>
        </is>
      </c>
      <c r="H7079" t="inlineStr"/>
    </row>
    <row r="7080">
      <c r="A7080" t="inlineStr">
        <is>
          <t>ggh6y8</t>
        </is>
      </c>
      <c r="B7080" t="inlineStr">
        <is>
          <t>Anyone get your reflux triggered just by talking to people?</t>
        </is>
      </c>
      <c r="C7080" t="inlineStr">
        <is>
          <t>Especially on Skype and the phone. It's getting to the point where I down a couple of gaviscon before the call even starts, and by the end I'm still just managing not to throw up or gag until the call ends. Any tips to manage this?</t>
        </is>
      </c>
      <c r="D7080" t="n">
        <v>1</v>
      </c>
      <c r="E7080" t="n">
        <v>28</v>
      </c>
      <c r="F7080">
        <f>HYPERLINK("https://www.reddit.com/r/GERD/comments/ggh6y8/anyone_get_your_reflux_triggered_just_by_talking/")</f>
        <v/>
      </c>
      <c r="G7080" t="inlineStr">
        <is>
          <t>2020-05-09 08:19:57</t>
        </is>
      </c>
      <c r="H7080" t="inlineStr"/>
    </row>
    <row r="7081">
      <c r="A7081" t="inlineStr">
        <is>
          <t>gghut3</t>
        </is>
      </c>
      <c r="B7081" t="inlineStr">
        <is>
          <t>Looking for anything that will make swallowing easier</t>
        </is>
      </c>
      <c r="C7081" t="inlineStr">
        <is>
          <t>I haven’t been officially diagnosed with anything but for the past 6 months I have had trouble swallowing solids (meat, bread, rice) and have been burping a lot. My difficulty swallowing has created a fear and dread of eating which is really taking a toll on my mental health. What I am curious about it anything anybody has tried or heard of that makes the process of swallowing food easier (throat moisturizer, medication, eating habits, etc). Thank you</t>
        </is>
      </c>
      <c r="D7081" t="n">
        <v>1</v>
      </c>
      <c r="E7081" t="n">
        <v>10</v>
      </c>
      <c r="F7081">
        <f>HYPERLINK("https://www.reddit.com/r/GERD/comments/gghut3/looking_for_anything_that_will_make_swallowing/")</f>
        <v/>
      </c>
      <c r="G7081" t="inlineStr">
        <is>
          <t>2020-05-09 08:57:34</t>
        </is>
      </c>
      <c r="H7081" t="inlineStr"/>
    </row>
    <row r="7082">
      <c r="A7082" t="inlineStr">
        <is>
          <t>ggirsd</t>
        </is>
      </c>
      <c r="B7082" t="inlineStr">
        <is>
          <t>Acid rebound or stomach flu? Help please</t>
        </is>
      </c>
      <c r="C7082" t="inlineStr">
        <is>
          <t>Hi guys I have been tapering off of 20mg of Prilosec for a little over two weeks now and it was going great! No symptoms at all and less bloating and burping. Then two days ago my stomach started feeling off with loose stools and yesterday full diarrhea which isn’t common for me. My husband had the exact same symptoms a few days prior so duh I thought stomach flu for the both of us. But today I woke up still feeling a bit off and now I can’t shake that this might be a acid rebound effect. I’m having major anxiety about it which of course isn’t helping. When does rebound effects usually show up? I wouldn’t think two days later at the same 15mg dose? And 20 to 15 seems like such a small jump. Please advise!</t>
        </is>
      </c>
      <c r="D7082" t="n">
        <v>1</v>
      </c>
      <c r="E7082" t="n">
        <v>0</v>
      </c>
      <c r="F7082">
        <f>HYPERLINK("https://www.reddit.com/r/GERD/comments/ggirsd/acid_rebound_or_stomach_flu_help_please/")</f>
        <v/>
      </c>
      <c r="G7082" t="inlineStr">
        <is>
          <t>2020-05-09 09:44:06</t>
        </is>
      </c>
      <c r="H7082" t="inlineStr"/>
    </row>
    <row r="7083">
      <c r="A7083" t="inlineStr">
        <is>
          <t>ggjdu3</t>
        </is>
      </c>
      <c r="B7083" t="inlineStr">
        <is>
          <t>Endoscopy when is one needed?</t>
        </is>
      </c>
      <c r="C7083" t="inlineStr">
        <is>
          <t>I have been getting hives and my throat feels so tight like it's closing up and sometimes shallow breathing . The biggest annoyance is the lump In throat my diet is terrible have GERD symptoms daily I think now i even have an allergic reaction to dairy so i am staying away for ever lol and it is ironic given my username idk any insight is appreciated</t>
        </is>
      </c>
      <c r="D7083" t="n">
        <v>1</v>
      </c>
      <c r="E7083" t="n">
        <v>2</v>
      </c>
      <c r="F7083">
        <f>HYPERLINK("https://www.reddit.com/r/GERD/comments/ggjdu3/endoscopy_when_is_one_needed/")</f>
        <v/>
      </c>
      <c r="G7083" t="inlineStr">
        <is>
          <t>2020-05-09 10:15:28</t>
        </is>
      </c>
      <c r="H7083" t="inlineStr"/>
    </row>
    <row r="7084">
      <c r="A7084" t="inlineStr">
        <is>
          <t>ggjpw3</t>
        </is>
      </c>
      <c r="B7084" t="inlineStr">
        <is>
          <t>See y'all on the other side: My Journey and Tips</t>
        </is>
      </c>
      <c r="C7084" t="inlineStr">
        <is>
          <t>First of, I want to thank everyone on this sub for being welcoming, allowing open discussions, and giving me solid advice when I needed it. It can be hard to talk to a doctor about the little things but here it feels a lot more natural.
I am a young "GERD-er" when compared to most of you. I was formally diagnosed in September of last year, but probably have had symptoms for 2-3 years before that. My GERD came with vengeance and was relentless. Couple that with stress, anxiety, and the like and there was literally time I felt like it was over. I struggled to sleep, I struggled to focus, even to breathe. Meds helped, at times. But not all the time. Trials of different meds, different regimes, different timing, it all sort of worked, half the time. The other half of the time I was pretty much in constant pain. But I tried everything, I lost about 40 pounds, went on walks, completely changed my diet, ate no more than 4 hours before bed, stopped drinking, smoking, etc. I was doing EVERYTHING by the book. 
My first GI doctor was a royal piece of shit. He did nothing to help me, and said, verbatim, "See you in 5 years, keep taking Tums!" But I felt like I had no other options. He misdiagnosed me with gastritis and told me my GERD wasn't that bad, yet did no pH study. 
I went abroad during Christmas as I always do, and was miserable the entire time. The flight threw off my body clock and my body seemed to kick into overdrive. Tums the entire day, medication twice a day, anything to get relief. There was a night when I was sitting in a bar (I don't drink) surrounded by my family and all I wanted to do was lay down and cry. It was that moment I knew I had to do something. What I was doing was not working for me. I didn't want more medication, I didn't want more waiting. I wanted to feel like a human being. 
On a whim, I googled GI surgeons in my city. I found a surgeon, in my insurance network, with really good reviews and success stories. He was even a co-inventor of some of the newer GI surgeries. But he had a 6 month wait. I called the office just to try, and maybe by some stroke of luck, someone had canceled their appointment the next day and there was an opening. 
From the meeting, we did a number of tests and studies and found that I have severe GERD (my DeMeester score was 65), a hill grade III hiatal hernia, severe esophageal spasms, and a pretty good case for surgery. We decided that TIF is the best option for me with my age, background, etc. He has done well over 1000 TIFs can believes that it is the best route for me, but we may need to adjust/re-do bits in 5-10 years. That's okay with me. I am willing to do anything and everything to make sure this works. 
I am having my TIF on this coming Wednesday. I know many people feel like surgery/procedures like this are too early for someone diagnosed less than a year ago. I am 23, and after having some long talks with parents, doctors, and friends, I realized that I could take control of my life now. No more pill popping, tums chewing. It is my life and I feel like this is the next step for me. 
TIF and surgery in general is not for everyone, I realize this. But for me and my doctor we deemed it the best option. I have made my decision and want to live a full, healthy, and happy life. I am very, very fortunate to be able to make this decision and recognize the privilege I have. 
I wish you all luck with your journey's. I hope if you are having a hard time, you find something to help you move forward. Life is a gift, and I intend to life it to the fullest. I hope you all do the same.</t>
        </is>
      </c>
      <c r="D7084" t="n">
        <v>1</v>
      </c>
      <c r="E7084" t="n">
        <v>34</v>
      </c>
      <c r="F7084">
        <f>HYPERLINK("https://www.reddit.com/r/GERD/comments/ggjpw3/see_yall_on_the_other_side_my_journey_and_tips/")</f>
        <v/>
      </c>
      <c r="G7084" t="inlineStr">
        <is>
          <t>2020-05-09 10:33:23</t>
        </is>
      </c>
      <c r="H7084" t="inlineStr"/>
    </row>
    <row r="7085">
      <c r="A7085" t="inlineStr">
        <is>
          <t>ggki7m</t>
        </is>
      </c>
      <c r="B7085" t="inlineStr">
        <is>
          <t>Sensitivity of Skin on Chest and Stomach -- Is that normal for GERD?</t>
        </is>
      </c>
      <c r="C7085" t="inlineStr">
        <is>
          <t>I've been having acid reflux and possibly gastritis for 9 months. The skin on my chest, stomach, and sometimes even my neck feel overly sensitive.  I'm overly aware of my shirt resting on my stomach and chest, and collars often irritate me. 
I'm wondering if this is normal for GERD, because I haven't heard anyone else report this sensation. 
Does too much acid cause this, or could the sensitivity actually be causing the sensation of acid reflux in the first place?</t>
        </is>
      </c>
      <c r="D7085" t="n">
        <v>1</v>
      </c>
      <c r="E7085" t="n">
        <v>3</v>
      </c>
      <c r="F7085">
        <f>HYPERLINK("https://www.reddit.com/r/GERD/comments/ggki7m/sensitivity_of_skin_on_chest_and_stomach_is_that/")</f>
        <v/>
      </c>
      <c r="G7085" t="inlineStr">
        <is>
          <t>2020-05-09 11:15:05</t>
        </is>
      </c>
      <c r="H7085" t="inlineStr"/>
    </row>
    <row r="7086">
      <c r="A7086" t="inlineStr">
        <is>
          <t>ggljz6</t>
        </is>
      </c>
      <c r="B7086" t="inlineStr">
        <is>
          <t>My journey with helpful tips (apologies, its not so structured)</t>
        </is>
      </c>
      <c r="C7086" t="inlineStr">
        <is>
          <t>I hope this can help :)
My main problem is hoarseness which leads me to having social anxiety at times which is worse in my case because im a very talkative person. Here are some tips that helped me, i’ve tried everything from DGL, Bethaine HCL, Mastic Gum, Celery Juice, Cabbage Juice, Probiotics, Etc
Short Story:
PPI, pantoprazole 20mg 30mins before dinner. Prescribed for a month but continued taking it for 6 months because i needed an escape i was so happy, finally back to drinking and smoking weed LOL. Then i started looking at the long run side effects so i stopped. Rebound was badd LPR came back and stuff i was just feeling like shit everyday but i go through each and everyday  and try to stay motivated even though i cry at times and ponder about life, u know how it goes (i started gymming at this point). During the rebound period i tried different diets and supplements having high hopes for each supplement, trying protocols as well, nothing helped at this time i was also not taking ppis anymore. Afterwards i gave chinese medicine a try like acupuncture which seemed to help, i went regularly like once every fortnight. Then i stopped going and flew to see my family , stress is less because i was  with them (at this time i was eating whatever and stopped giving a fuck and eat regularly), symptoms were less due to the relief of stress and anxiety and eating regularly as meals are regular at home breakfast lunch dinner. Then i flew back and stopped thinking about this whole thing and just eat regularly and hitting the gym  5x a week, i also try to walk everywhere and everytime a minor symptom is there im like whatever u know i’ll just sleep it off or take some throat lozenges. 
Sorry if the story is very unstructured but here are things that have  helped me:
PPIs but i dont recommend taking them nasty rebound
Stress relief, (dont masturbate too much just get a girlfriend or a boyfriend or be with family) STRESS IS REALLY IMPORTANT AND TAKES TIME TO RECOVER AS WELL.
Acupuncture it kinda purges out the bad shit from your body
Regular eating just whatever cos ur end goal is eating whatever anyway and limiting food will lead to overthinking when u start introducing food again, thus symptoms (been there)
Exercise lots of walk and intense exercise like lifting which increase appetite 
Oralbiotic or a ENT supplement which contains S.Salivarus 
Sleeping 8-10 Hours
Key takeaway from what i’ve experienced is i think its about balance. Anxiety triggers my symptoms pretty badly so try and avoid that by exercising or being with loved ones and then anxiety is out of the way then once it’s out of the way u can smash this shit out the window by trying supplements or try juicing try yoga or whatever that u think can make u feel better. 
I hope this helps, i know it’s a really dark place and it’s not easy but believe that you can the mind is really strong but remember to not rush things as it takes time to recover from the ptsd and anxiety we had or currently having. One day at a time also remember to breathe, that’s why exercising is important it forces u to breathe.</t>
        </is>
      </c>
      <c r="D7086" t="n">
        <v>1</v>
      </c>
      <c r="E7086" t="n">
        <v>5</v>
      </c>
      <c r="F7086">
        <f>HYPERLINK("https://www.reddit.com/r/GERD/comments/ggljz6/my_journey_with_helpful_tips_apologies_its_not_so/")</f>
        <v/>
      </c>
      <c r="G7086" t="inlineStr">
        <is>
          <t>2020-05-09 12:10:22</t>
        </is>
      </c>
      <c r="H7086" t="inlineStr"/>
    </row>
    <row r="7087">
      <c r="A7087" t="inlineStr">
        <is>
          <t>ggltnl</t>
        </is>
      </c>
      <c r="B7087" t="inlineStr">
        <is>
          <t>Weird symptoms on a PPI, how to get off.</t>
        </is>
      </c>
      <c r="C7087" t="inlineStr">
        <is>
          <t>In February, I started on a PPI. I was having bad acid reflux daily, lump in the throat feeling on/off, typical LPR symptoms. I was put on protonix 40 mg/day. I take it in the morning 30-60 minutes before I eat my first meal. So I’ve been on it now a total of 2 1/2 months. I feel like I have no more GERD symptoms at this point. Once in a while, I need to take a Pepcid but it’s very infrequent and that’s how it always was for me before. I have changed my diet to work for GERD, I was using an elevated pillow although I never had issues with sleeping. I had an endoscopy done back in March and it showed nothing really. I had some mild stomach irritation, but that was in. Nothing remarkable with my esophagus or stomach. I rarely had heartburn symptoms, like I said it was more LPR. I actually came to find out it was mostly allergies and allergies cleared up nearly everything. With my doctors approval, I’m now considering getting off PPI’s. I had a rough transition onto PPI’s and had bouts of both diarrhea and constipation. My poops haven’t been entirely normal since I went on PPI’s—sometimes they seem oily or like things haven’t gotten absorbed well into my system. It’s on and off. I’ve consistently had this hollow feeling in my stomach/chest since going on PPI’s, I’m not sure why. Finally, I’ve had this lightheaded type of feeling. I can’t pinpoint if it started from the PPI or not, but around that time. It could be anxiety related more than anything though or lack of eating enough. When my symptoms started, I had a very hard time eating...I was only getting 1000 calories. I’ve now worked my way to at least 1500 a day, but I don’t restrict myself and so if I go over that amount, that’s perfectly fine. But I force myself to eat 1500. 
I’m at the point where I’m thinking of going off the PPI and seeing if that resolves anything. Does anyone have experience with that or experienced similar symptoms to mine? I didn’t have the pooping type issues before PPI for sure.</t>
        </is>
      </c>
      <c r="D7087" t="n">
        <v>1</v>
      </c>
      <c r="E7087" t="n">
        <v>12</v>
      </c>
      <c r="F7087">
        <f>HYPERLINK("https://www.reddit.com/r/GERD/comments/ggltnl/weird_symptoms_on_a_ppi_how_to_get_off/")</f>
        <v/>
      </c>
      <c r="G7087" t="inlineStr">
        <is>
          <t>2020-05-09 12:24:31</t>
        </is>
      </c>
      <c r="H7087" t="inlineStr"/>
    </row>
    <row r="7088">
      <c r="A7088" t="inlineStr">
        <is>
          <t>ggmayj</t>
        </is>
      </c>
      <c r="B7088" t="inlineStr">
        <is>
          <t>Advice</t>
        </is>
      </c>
      <c r="C7088" t="inlineStr">
        <is>
          <t>Hi gerd fam,
I'm new in this group. I have a few questions,
I have extreme gerd. I burp the whole day no matter what i do or what i eat or drink. I'm having this since 2 months now. I'm even getting panic attacks and axienty because i can't breath problerly when there are burps stuck or feeling that i need to burp.
My doctor gave me 40mg pantoprazole and i've been using it since few days but no results yet. Any idea how long this might take and has anyone here used this and did it help?
I have a extreme lazy lifestyle mostly whole day home because of corona virus now... were on a complete lockdown and curfew here.
I stopped smoking because it started to worsen my gerd, I'm eating extreme healthy now like boiled chicken, brocolli and many other vegetables. I even stopped lying down after eating but i'm still suffering from it.
My bmi is 30, which is on the heavy side i know. I'm bringing that down now.</t>
        </is>
      </c>
      <c r="D7088" t="n">
        <v>1</v>
      </c>
      <c r="E7088" t="n">
        <v>1</v>
      </c>
      <c r="F7088">
        <f>HYPERLINK("https://www.reddit.com/r/GERD/comments/ggmayj/advice/")</f>
        <v/>
      </c>
      <c r="G7088" t="inlineStr">
        <is>
          <t>2020-05-09 12:50:42</t>
        </is>
      </c>
      <c r="H7088" t="inlineStr"/>
    </row>
    <row r="7089">
      <c r="A7089" t="inlineStr">
        <is>
          <t>ggn4qa</t>
        </is>
      </c>
      <c r="B7089" t="inlineStr">
        <is>
          <t>Pill-cutting esomeprazole to try and taper</t>
        </is>
      </c>
      <c r="C7089" t="inlineStr">
        <is>
          <t>I have been taking Nexium 20 mg for 4 years daily now. I wish to quit but every time I try it becomes too much for me. Does using a pill cutter inactivate the PPI? Has anyone on here done much reading in regards to this?
Cheers</t>
        </is>
      </c>
      <c r="D7089" t="n">
        <v>1</v>
      </c>
      <c r="E7089" t="n">
        <v>11</v>
      </c>
      <c r="F7089">
        <f>HYPERLINK("https://www.reddit.com/r/GERD/comments/ggn4qa/pillcutting_esomeprazole_to_try_and_taper/")</f>
        <v/>
      </c>
      <c r="G7089" t="inlineStr">
        <is>
          <t>2020-05-09 13:35:01</t>
        </is>
      </c>
      <c r="H7089" t="inlineStr"/>
    </row>
    <row r="7090">
      <c r="A7090" t="inlineStr">
        <is>
          <t>ggqg6r</t>
        </is>
      </c>
      <c r="B7090" t="inlineStr">
        <is>
          <t>Better to let out the puke or to hold it in?</t>
        </is>
      </c>
      <c r="C7090" t="inlineStr">
        <is>
          <t>I struggle with acid reflux and gerd more days than not. Often times it's a struggle to get food down and hold it down, but if i don't eat or don't eat enough the symptoms get even worse. I'm having a particularly difficult day and i'm struggling to hold back the pukes. I've already puked once today, but managed to hold back quite a few. I was able to get down a little bit of chicken noodle soup and some pretzels about thirty minutes ago but it is fighting its way back up. in the past holding the puke back seems like its the better (and more cost effective) option than letting them out and eating again. (i need to eat i felt pretty malnourished before the soup) is this the right thing to do? or am i hurting my stomach lining more by denying my puke?</t>
        </is>
      </c>
      <c r="D7090" t="n">
        <v>1</v>
      </c>
      <c r="E7090" t="n">
        <v>7</v>
      </c>
      <c r="F7090">
        <f>HYPERLINK("https://www.reddit.com/r/GERD/comments/ggqg6r/better_to_let_out_the_puke_or_to_hold_it_in/")</f>
        <v/>
      </c>
      <c r="G7090" t="inlineStr">
        <is>
          <t>2020-05-09 16:42:24</t>
        </is>
      </c>
      <c r="H7090" t="inlineStr"/>
    </row>
    <row r="7091">
      <c r="A7091" t="inlineStr">
        <is>
          <t>ggqkja</t>
        </is>
      </c>
      <c r="B7091" t="inlineStr">
        <is>
          <t>How long does it take for adverse effects from ppi's to reverse?</t>
        </is>
      </c>
      <c r="C7091" t="inlineStr">
        <is>
          <t>It's been a week since I tapered down to taking no pantoprazole. During my time when I was taking pantoprazole, I started having severe weakness, fatigue and constipation. It's been 8 days since I've left it. The rebound symptoms like acid regurgitation, heartburn are bearable, but fatigue, weakness and constipation are not. 
How long does it take to become normal?</t>
        </is>
      </c>
      <c r="D7091" t="n">
        <v>1</v>
      </c>
      <c r="E7091" t="n">
        <v>11</v>
      </c>
      <c r="F7091">
        <f>HYPERLINK("https://www.reddit.com/r/GERD/comments/ggqkja/how_long_does_it_take_for_adverse_effects_from/")</f>
        <v/>
      </c>
      <c r="G7091" t="inlineStr">
        <is>
          <t>2020-05-09 16:49:33</t>
        </is>
      </c>
      <c r="H7091" t="inlineStr"/>
    </row>
    <row r="7092">
      <c r="A7092" t="inlineStr">
        <is>
          <t>ggqkzi</t>
        </is>
      </c>
      <c r="B7092" t="inlineStr">
        <is>
          <t>Canned fish</t>
        </is>
      </c>
      <c r="C7092" t="inlineStr">
        <is>
          <t>So has canned tuna or other various types of canned fish set anyone else off really bad? 
I tried having a tuna sandwich and it gave me the worst reflux I've ever had in a while</t>
        </is>
      </c>
      <c r="D7092" t="n">
        <v>1</v>
      </c>
      <c r="E7092" t="n">
        <v>9</v>
      </c>
      <c r="F7092">
        <f>HYPERLINK("https://www.reddit.com/r/GERD/comments/ggqkzi/canned_fish/")</f>
        <v/>
      </c>
      <c r="G7092" t="inlineStr">
        <is>
          <t>2020-05-09 16:50:19</t>
        </is>
      </c>
      <c r="H7092" t="inlineStr"/>
    </row>
    <row r="7093">
      <c r="A7093" t="inlineStr">
        <is>
          <t>ggqq59</t>
        </is>
      </c>
      <c r="B7093" t="inlineStr">
        <is>
          <t>Can GERD cause sleep apnea?</t>
        </is>
      </c>
      <c r="C7093" t="inlineStr">
        <is>
          <t>Over the past month, I've been waking up at night constantly feeling like I can't breathe. It feels like my throat has closed and like there is a lump in my throat that gets worse when I lay down. It's really affecting my sleep because sometimes I wake up every two hours.</t>
        </is>
      </c>
      <c r="D7093" t="n">
        <v>1</v>
      </c>
      <c r="E7093" t="n">
        <v>8</v>
      </c>
      <c r="F7093">
        <f>HYPERLINK("https://www.reddit.com/r/GERD/comments/ggqq59/can_gerd_cause_sleep_apnea/")</f>
        <v/>
      </c>
      <c r="G7093" t="inlineStr">
        <is>
          <t>2020-05-09 16:58:53</t>
        </is>
      </c>
      <c r="H7093" t="inlineStr"/>
    </row>
    <row r="7094">
      <c r="A7094" t="inlineStr">
        <is>
          <t>ggrf55</t>
        </is>
      </c>
      <c r="B7094" t="inlineStr">
        <is>
          <t>Covid-19 patients who took a heartburn drug were more likely to survive but it's unclear if it was a coincidence, researchers say</t>
        </is>
      </c>
      <c r="C7094" t="inlineStr">
        <is>
          <t>[Covid-19 patients who took a heartburn drug were more likely to survive but it's unclear if it was a coincidence, researchers say](https://edition.cnn.com/world/live-news/coronavirus-pandemic-05-09-20-intl/h_5c90ea693b5313480e4f6cd932d0f6ad)</t>
        </is>
      </c>
      <c r="D7094" t="n">
        <v>1</v>
      </c>
      <c r="E7094" t="n">
        <v>1</v>
      </c>
      <c r="F7094">
        <f>HYPERLINK("https://www.reddit.com/r/GERD/comments/ggrf55/covid19_patients_who_took_a_heartburn_drug_were/")</f>
        <v/>
      </c>
      <c r="G7094" t="inlineStr">
        <is>
          <t>2020-05-09 17:40:55</t>
        </is>
      </c>
      <c r="H7094" t="inlineStr"/>
    </row>
    <row r="7095">
      <c r="A7095" t="inlineStr">
        <is>
          <t>ggrm9n</t>
        </is>
      </c>
      <c r="B7095" t="inlineStr">
        <is>
          <t>My experience with GERD</t>
        </is>
      </c>
      <c r="C7095" t="inlineStr">
        <is>
          <t>I have GERD and I feel like it’s not getting any better. For the past 2 years I’ve struggled with this. It’s only gotten worse. I had problems with greasy food when I was you get as well so this isn’t new. I saw my general doctor and she referred me to a Gastro doctor. They only thing he did was and upper endoscopy. He said I have mild GERD. 
When I first got diagnosed with it, I took Protonix max dose for about 6 months and it did nothing. After I saw my GI doctor which was maybe 7-8 months ago, he put me on Pepcid and when that didn’t work he put me on Protonix even though I said it didn’t work for me. They keep blaming it on stress and anxiety and while I do believe that plays a part, I don’t think that’s all of it. They refuse to look at it another way. I have very mild anxiety. But this is making it worse. I get times when I can’t stop coughing and it’s hard to catch my breath.
I’ve been having some abdominal problems, I have trouble swallowing and it all gets worse when I’m too hot which is very often, and sometimes it’s like I can feel my heart beat in my throat.
I’m not sure what to do at this point. I don’t want to be on medicine my whole life. I just want to get better. Any advice?</t>
        </is>
      </c>
      <c r="D7095" t="n">
        <v>1</v>
      </c>
      <c r="E7095" t="n">
        <v>3</v>
      </c>
      <c r="F7095">
        <f>HYPERLINK("https://www.reddit.com/r/GERD/comments/ggrm9n/my_experience_with_gerd/")</f>
        <v/>
      </c>
      <c r="G7095" t="inlineStr">
        <is>
          <t>2020-05-09 17:52:53</t>
        </is>
      </c>
      <c r="H7095" t="inlineStr"/>
    </row>
    <row r="7096">
      <c r="A7096" t="inlineStr">
        <is>
          <t>ggs5vq</t>
        </is>
      </c>
      <c r="B7096" t="inlineStr">
        <is>
          <t>According to this graphic, where your sore throat is located</t>
        </is>
      </c>
      <c r="C7096" t="inlineStr">
        <is>
          <t>And what are your other symptoms ? 
https://imgur.com/a/fwhGrf8</t>
        </is>
      </c>
      <c r="D7096" t="n">
        <v>1</v>
      </c>
      <c r="E7096" t="n">
        <v>0</v>
      </c>
      <c r="F7096">
        <f>HYPERLINK("https://www.reddit.com/r/GERD/comments/ggs5vq/according_to_this_graphic_where_your_sore_throat/")</f>
        <v/>
      </c>
      <c r="G7096" t="inlineStr">
        <is>
          <t>2020-05-09 18:26:54</t>
        </is>
      </c>
      <c r="H7096" t="inlineStr"/>
    </row>
    <row r="7097">
      <c r="A7097" t="inlineStr">
        <is>
          <t>ggs725</t>
        </is>
      </c>
      <c r="B7097" t="inlineStr">
        <is>
          <t>Insane Acid Reflux after Panic Attack</t>
        </is>
      </c>
      <c r="C7097" t="inlineStr">
        <is>
          <t>A few days ago I had a particularly bad panic attack that basically sent me to the ER. Once they deduced it was stress and not some sort of cardio disorder they discharged me and I went home. 
Despite me calming down, the insane amounts of heartburn and acid reflux continues to bother me all day. Even after calming down and taking antacid, by symptoms still persist. I've tried drinking more water and limiting foods that are considered irritatiting to the issue. 
Is there any chance of this going away? Or am I just stuck with a new way of life because of one panic attack?</t>
        </is>
      </c>
      <c r="D7097" t="n">
        <v>1</v>
      </c>
      <c r="E7097" t="n">
        <v>17</v>
      </c>
      <c r="F7097">
        <f>HYPERLINK("https://www.reddit.com/r/GERD/comments/ggs725/insane_acid_reflux_after_panic_attack/")</f>
        <v/>
      </c>
      <c r="G7097" t="inlineStr">
        <is>
          <t>2020-05-09 18:29:00</t>
        </is>
      </c>
      <c r="H7097" t="inlineStr"/>
    </row>
    <row r="7098">
      <c r="A7098" t="inlineStr">
        <is>
          <t>ggs7c9</t>
        </is>
      </c>
      <c r="B7098" t="inlineStr">
        <is>
          <t>Do any of you suffer from random flare ups?</t>
        </is>
      </c>
      <c r="C7098" t="inlineStr">
        <is>
          <t>I started to have really bad acid reflux early last year. Seen a doc and everything. Went in ppis and have been off for months! 
I have noticed my acid reflux comes in heavy waves. For months I’ll be absolutely fine and then BOOM, 1-2 week flare up and then fine again. My flare ups involve choking feelings, food coming back up, neck pain, etc.  
and I’m starting notice that around my mensural cycle,  my acid reflux seems to act up as well. 
Is this common? Do y’all have the same issues?</t>
        </is>
      </c>
      <c r="D7098" t="n">
        <v>1</v>
      </c>
      <c r="E7098" t="n">
        <v>7</v>
      </c>
      <c r="F7098">
        <f>HYPERLINK("https://www.reddit.com/r/GERD/comments/ggs7c9/do_any_of_you_suffer_from_random_flare_ups/")</f>
        <v/>
      </c>
      <c r="G7098" t="inlineStr">
        <is>
          <t>2020-05-09 18:29:25</t>
        </is>
      </c>
      <c r="H7098" t="inlineStr"/>
    </row>
    <row r="7099">
      <c r="A7099" t="inlineStr">
        <is>
          <t>ggsxu6</t>
        </is>
      </c>
      <c r="B7099" t="inlineStr">
        <is>
          <t>Has anyone had hair loss with omeprazole?</t>
        </is>
      </c>
      <c r="C7099" t="inlineStr">
        <is>
          <t>It's not listed anywhere I can find as a side effect, but I've been noticing lots of hair coming out over the last year or so when I was first prescribed the meds. Possibly it's just age and bad genes, but I haven't noticed my hairline receding so I don't know where it's coming from. Kinda curious also if hair loss is associated with GERD/LPR in general, *H pylori,* or vitamin deficiencies associated with PPIs. Just trying to cover my bases here. :)</t>
        </is>
      </c>
      <c r="D7099" t="n">
        <v>1</v>
      </c>
      <c r="E7099" t="n">
        <v>1</v>
      </c>
      <c r="F7099">
        <f>HYPERLINK("https://www.reddit.com/r/GERD/comments/ggsxu6/has_anyone_had_hair_loss_with_omeprazole/")</f>
        <v/>
      </c>
      <c r="G7099" t="inlineStr">
        <is>
          <t>2020-05-09 19:17:17</t>
        </is>
      </c>
      <c r="H7099" t="inlineStr"/>
    </row>
    <row r="7100">
      <c r="A7100" t="inlineStr">
        <is>
          <t>ggtgt0</t>
        </is>
      </c>
      <c r="B7100" t="inlineStr">
        <is>
          <t>Nasal Congestion from GERD/LPR</t>
        </is>
      </c>
      <c r="C7100" t="inlineStr">
        <is>
          <t>20 y/o male with GERD and recently diagnosed with LPR, I was just wondering if any of you guys get bad nasal congestion along with your condition. Mine sometimes make it difficult to breathe. I went to a pulmonologist and my lungs are fine btw.</t>
        </is>
      </c>
      <c r="D7100" t="n">
        <v>1</v>
      </c>
      <c r="E7100" t="n">
        <v>8</v>
      </c>
      <c r="F7100">
        <f>HYPERLINK("https://www.reddit.com/r/GERD/comments/ggtgt0/nasal_congestion_from_gerdlpr/")</f>
        <v/>
      </c>
      <c r="G7100" t="inlineStr">
        <is>
          <t>2020-05-09 19:51:46</t>
        </is>
      </c>
      <c r="H7100" t="inlineStr"/>
    </row>
    <row r="7101">
      <c r="A7101" t="inlineStr">
        <is>
          <t>ggwfys</t>
        </is>
      </c>
      <c r="B7101" t="inlineStr">
        <is>
          <t>reflux from not eating???</t>
        </is>
      </c>
      <c r="C7101" t="inlineStr">
        <is>
          <t>I haven't been eating much lately because I''m on a diet for my SIBO, and it's decreased my appetite a lot, and I've noticed my acid reflux getting way worse since my eating has decreased? Like today I  woke up too late to eat anything before work, so instead I didn't get to eat until around 1:00am, and my reflux was unbearable. I was barely able to stomach the small amount of food I made, and am struggling to keep it down, but all of it was reflux friendly. Does anyone else notice their reflux is worse after going extended periods of time without eating? Thanks!! :)</t>
        </is>
      </c>
      <c r="D7101" t="n">
        <v>1</v>
      </c>
      <c r="E7101" t="n">
        <v>3</v>
      </c>
      <c r="F7101">
        <f>HYPERLINK("https://www.reddit.com/r/GERD/comments/ggwfys/reflux_from_not_eating/")</f>
        <v/>
      </c>
      <c r="G7101" t="inlineStr">
        <is>
          <t>2020-05-09 23:37:27</t>
        </is>
      </c>
      <c r="H7101" t="inlineStr"/>
    </row>
    <row r="7102">
      <c r="A7102" t="inlineStr">
        <is>
          <t>ggxvwd</t>
        </is>
      </c>
      <c r="B7102" t="inlineStr">
        <is>
          <t>GERD - Potentially ruining my life</t>
        </is>
      </c>
      <c r="C7102" t="inlineStr">
        <is>
          <t>REDDIT
Hey guys, 
So.. I’m not sure where to start. I just want to start by saying how emotional it made me feel finding out that there’s a reddit page that has a bunch of people going through something so horrible. I’ll be honest, i’m not diagnosed with GERD; however, based on my symptoms and what the GI specialist has been telling me, there’s some possibility..
I’m awaiting a nuclear medicine small bowl follow through. Due to the current COVID-19, it looks like i’ll be waiting awhile as only urgent patients are being taken at the moment. 
I was originally supposed to see a specialist due to hem roids, before that was cancelled. I developed these heartburn symptoms only a few months ago. 
I can’t eat, i can’t sleep. I stay up at night... I’m on medication, one for the heartburn and the other for anxiety. This is not ideal when you have anxiety. I feel trapped inside my own body. I feel so depressed.... I’m only 24. 
I feel so alone... People are having a blast sleeping in, doing nothing all day, doing whatever they want, eating whatever they like, etc etc. To me, this is a nightmare because the progress to finding what is even wrong with me will take months I feel. It makes me think about depressing things I rather not share publicly. 
It made me cry seeing this because if this is even 1/8th of how anyone here feels, I feel so sorry because this is probably minor to how you feel and i’m already throwing in the towel, I can’t live like this... Especially at a young age, I didn’t think stuff like this was possible until you were at least 40+. 
Anyways, I don’t want to go on more than I already have. If you guys have any questions to ask, feel free.. I’ll be trying to do more reading on here.
Thank you for your time.</t>
        </is>
      </c>
      <c r="D7102" t="n">
        <v>1</v>
      </c>
      <c r="E7102" t="n">
        <v>25</v>
      </c>
      <c r="F7102">
        <f>HYPERLINK("https://www.reddit.com/r/GERD/comments/ggxvwd/gerd_potentially_ruining_my_life/")</f>
        <v/>
      </c>
      <c r="G7102" t="inlineStr">
        <is>
          <t>2020-05-10 01:42:34</t>
        </is>
      </c>
      <c r="H7102" t="inlineStr"/>
    </row>
    <row r="7103">
      <c r="A7103" t="inlineStr">
        <is>
          <t>ggzaon</t>
        </is>
      </c>
      <c r="B7103" t="inlineStr">
        <is>
          <t>GI doctor here - what is the #1 information you wished you got from your doctor</t>
        </is>
      </c>
      <c r="C7103" t="inlineStr">
        <is>
          <t>GI doctor here (I specialize in GERD). 
I am really curious as to what is the #1 information you wished you got from your doctor about GERD. I tend to see some frustration from patients and I am really curious as to where the disconnect is between doctors and patients with respect to GERD.</t>
        </is>
      </c>
      <c r="D7103" t="n">
        <v>1</v>
      </c>
      <c r="E7103" t="n">
        <v>119</v>
      </c>
      <c r="F7103">
        <f>HYPERLINK("https://www.reddit.com/r/GERD/comments/ggzaon/gi_doctor_here_what_is_the_1_information_you/")</f>
        <v/>
      </c>
      <c r="G7103" t="inlineStr">
        <is>
          <t>2020-05-10 03:44:43</t>
        </is>
      </c>
      <c r="H7103" t="inlineStr"/>
    </row>
    <row r="7104">
      <c r="A7104" t="inlineStr">
        <is>
          <t>gh0bff</t>
        </is>
      </c>
      <c r="B7104" t="inlineStr">
        <is>
          <t>Diagnosed with LPR - overwhelmed!</t>
        </is>
      </c>
      <c r="C7104" t="inlineStr">
        <is>
          <t>Hi everyone. New member here and hope you’re all safe at the moment. Spoke to my GP over the phone as I’d been having persistent ENT problems over the past few weeks. Allergies are a slight problem but limiting myself to allergens only made a marginal difference. 
My GP said it was likely to be LPR. I never actually get heartburn so it makes a lot of sense. I did some research into causes. I don’t smoke, drink alcohol, caffeine or fizzy drinks, eat nothing spicy and I’m not overweight. 
I rarely eat chocolate but I guess I like mints and some citrus (orange juice and tomato passata). I have a small snack in the evening because I get so hungry, (plus I’m underweight) but I make an effort to sit upright for 2 hours after that snack. But what stood out to me the most was the impact of stress on LPR. I have anxiety and IBS, and I’m generally not happy at the moment for many reasons. 
I was wondering if anyone else’s main trigger is stress? And how they have managed to control it. I get angry and irritated so easily. I’m feeling pretty overwhelmed and sad about the LPR and would appreciate any advice, thank you :)</t>
        </is>
      </c>
      <c r="D7104" t="n">
        <v>1</v>
      </c>
      <c r="E7104" t="n">
        <v>10</v>
      </c>
      <c r="F7104">
        <f>HYPERLINK("https://www.reddit.com/r/GERD/comments/gh0bff/diagnosed_with_lpr_overwhelmed/")</f>
        <v/>
      </c>
      <c r="G7104" t="inlineStr">
        <is>
          <t>2020-05-10 05:04:33</t>
        </is>
      </c>
      <c r="H7104" t="inlineStr"/>
    </row>
    <row r="7105">
      <c r="A7105" t="inlineStr">
        <is>
          <t>gh1k2y</t>
        </is>
      </c>
      <c r="B7105" t="inlineStr">
        <is>
          <t>GERD, white tongue and antibiotics - Looking for some advice or thoughts.</t>
        </is>
      </c>
      <c r="C7105" t="inlineStr">
        <is>
          <t>This started at end of last year when I caught a heavy case of strep throat and was prescribed an extended coarse of antibiotics. Shortly after the coarse I woke up one morning with a white tongue. When oral thrush treatment didn’t work I was diagnosed by two ENT doctors as having swollen taste buds caused by GERD. This was now late January. 
I was surprised that I had GERD because aside from occasional heart burn I never really dealt with any obvious reflux issues and the white tongue only arrived after the antibiotics (it seemed to me the white tongue happened because the antibiotics had wrecked the balance of good bacteria in my mouth).
I was prescribed Omeprazole along with the lifestyle/diet instructions I’m sure you are all aware of. I don’t drink coffee or smoke cigarettes. Over the past few months I have drunk alcohol maybe 3 times. I have increased my water intake. I have eaten spicy food maybe twice. I have avoided acidic foods like tomato and citrus completely. I have taken two full courses of Omeprazole. 
Over this period I have experienced no obvious GERD symptoms, yet I still have a white tongue. I also tested negative to a fungal infection. 
At the same time I have been trying to treat the white tongue with every natural remedy I can find, I’ve been taking oral probiotics, taking betaine HCI + pepsin, I’ve been brushing my tongue twice daily with diluted hydrogen peroxide and I even got it laser cleaned.
All this and I still have a white tongue.
Looking at the tongue you can see the papillae look white themselves rather than like they trapping any white material. 
Either way, the GERD treatment doesn’t appear to be doing anything after 3 months and neither is the topical treatment and cleaning.
Just looking for any insights from anyone who has experienced something like this.
Thanks.</t>
        </is>
      </c>
      <c r="D7105" t="n">
        <v>1</v>
      </c>
      <c r="E7105" t="n">
        <v>0</v>
      </c>
      <c r="F7105">
        <f>HYPERLINK("https://www.reddit.com/r/GERD/comments/gh1k2y/gerd_white_tongue_and_antibiotics_looking_for/")</f>
        <v/>
      </c>
      <c r="G7105" t="inlineStr">
        <is>
          <t>2020-05-10 06:31:55</t>
        </is>
      </c>
      <c r="H7105" t="inlineStr"/>
    </row>
    <row r="7106">
      <c r="A7106" t="inlineStr">
        <is>
          <t>gh3kmq</t>
        </is>
      </c>
      <c r="B7106" t="inlineStr">
        <is>
          <t>Aluminum Hydroxide - Yea or Nay?</t>
        </is>
      </c>
      <c r="C7106" t="inlineStr">
        <is>
          <t>I found a cheaper alternative to the non-American Gaviscon (the French or British version is apparently far superior but pricey) but it doesn't have the sodium alginate, just aluminum hydroxide and some variety of magnesium. Does this sound like it would be effective? And is aluminum bad news or potentially harmful? Thanks.</t>
        </is>
      </c>
      <c r="D7106" t="n">
        <v>1</v>
      </c>
      <c r="E7106" t="n">
        <v>0</v>
      </c>
      <c r="F7106">
        <f>HYPERLINK("https://www.reddit.com/r/GERD/comments/gh3kmq/aluminum_hydroxide_yea_or_nay/")</f>
        <v/>
      </c>
      <c r="G7106" t="inlineStr">
        <is>
          <t>2020-05-10 08:33:19</t>
        </is>
      </c>
      <c r="H7106" t="inlineStr"/>
    </row>
    <row r="7107">
      <c r="A7107" t="inlineStr">
        <is>
          <t>gh4zdo</t>
        </is>
      </c>
      <c r="B7107" t="inlineStr">
        <is>
          <t>GERD feels better but I have barrets</t>
        </is>
      </c>
      <c r="C7107" t="inlineStr">
        <is>
          <t>Hello, I have just discovered this subreddit and I'm looking for some information.
To keep things short I felt ill for years, and after lots of "its nothing" from my doctors I got an endoscopy and they found a segment of barrets esophagus, which was surprising for a 22 year old. This was a few years ago and since then I've identified and removed some trigger foods like tomatoes, spicy foods, strong meats (like chorizo etc).
Now I rarely have any acid reflux. When I do its fairly mild and taking some omeprazole fixes it up. The thing is I still have various foods that upset others like coffee (admittedly weak), bread, and dairy, and still feel fine (which makes me very lucky after seeing how bad some of you have it).
My question is am I still doing damage despite feeling okay? Is still having these foods a bad idea? Or am I only making things worse if I can feel something is wrong? I want to avoid antagonizing the barrets, although I'm aware the chance is low I still worry about it becoming cancer.
Thank you!</t>
        </is>
      </c>
      <c r="D7107" t="n">
        <v>1</v>
      </c>
      <c r="E7107" t="n">
        <v>5</v>
      </c>
      <c r="F7107">
        <f>HYPERLINK("https://www.reddit.com/r/GERD/comments/gh4zdo/gerd_feels_better_but_i_have_barrets/")</f>
        <v/>
      </c>
      <c r="G7107" t="inlineStr">
        <is>
          <t>2020-05-10 09:53:45</t>
        </is>
      </c>
      <c r="H7107" t="inlineStr"/>
    </row>
    <row r="7108">
      <c r="A7108" t="inlineStr">
        <is>
          <t>gh5mqn</t>
        </is>
      </c>
      <c r="B7108" t="inlineStr">
        <is>
          <t>When should i go see my doctor about reflux?</t>
        </is>
      </c>
      <c r="C7108" t="inlineStr">
        <is>
          <t xml:space="preserve">
27F
When should i go see my doctor about reflux?
I’ve had acid reflux and burning stomach for the past 5 days, all day and night.. i think i ruined my stomach by drinking too much lemon water and eating breads/rich foods. trying to eat a bland diet to see if it gets any better. Taking tums, chewing gum and gavescon. Not having much relief. 
2 years ago i had similar symptoms - took ppi’s and went for an endoscopy showed nothing but very mild gastritis. Healed within a few months. 
I’m wondering if i should wait another week to see if there’s changes before consulting my doctor or call her as soon as possible? 
Please help</t>
        </is>
      </c>
      <c r="D7108" t="n">
        <v>1</v>
      </c>
      <c r="E7108" t="n">
        <v>3</v>
      </c>
      <c r="F7108">
        <f>HYPERLINK("https://www.reddit.com/r/GERD/comments/gh5mqn/when_should_i_go_see_my_doctor_about_reflux/")</f>
        <v/>
      </c>
      <c r="G7108" t="inlineStr">
        <is>
          <t>2020-05-10 10:30:19</t>
        </is>
      </c>
      <c r="H7108" t="inlineStr"/>
    </row>
    <row r="7109">
      <c r="A7109" t="inlineStr">
        <is>
          <t>gh6fr7</t>
        </is>
      </c>
      <c r="B7109" t="inlineStr">
        <is>
          <t>Any GERD/LPR friednly sources of caffeine?</t>
        </is>
      </c>
      <c r="C7109" t="inlineStr">
        <is>
          <t>I'm kinda a caffeine addict, I'm wondering if there are any sources at all that are typically friendly to people like us.</t>
        </is>
      </c>
      <c r="D7109" t="n">
        <v>1</v>
      </c>
      <c r="E7109" t="n">
        <v>6</v>
      </c>
      <c r="F7109">
        <f>HYPERLINK("https://www.reddit.com/r/GERD/comments/gh6fr7/any_gerdlpr_friednly_sources_of_caffeine/")</f>
        <v/>
      </c>
      <c r="G7109" t="inlineStr">
        <is>
          <t>2020-05-10 11:16:09</t>
        </is>
      </c>
      <c r="H7109" t="inlineStr"/>
    </row>
    <row r="7110">
      <c r="A7110" t="inlineStr">
        <is>
          <t>gh6out</t>
        </is>
      </c>
      <c r="B7110" t="inlineStr">
        <is>
          <t>How do you know how much PPI is the best for you?</t>
        </is>
      </c>
      <c r="C7110" t="inlineStr">
        <is>
          <t>My doctor first prescribed me 2x40 esomparazol. It made me extremly sick. Since its lockdown, I couldnt get a real appointment to her, but one through telephone. And its really expensive. And there aren't free appointments left, so I couldn't get one. Instead I could send an email to her, to discuss what to take instead. But she didnt really give me a fulfilling reply. Instead of esomparazol i can try pantoprazole to find out what works for me, but she didnt tell me how much. And I havent gotten an answer to my further questions.
I only take 20mg pantoprazole 1 hour before dinner. This is my 4th day on it. First two time I had more nausea and bloating from it. I dont have it now as much, just to a lesser extent. But even on day  one, i felt that i didnt have that extreme amount of acid, that I used to have before the ppi every single day. And on the 3rd day i felt so much better! I actually felt almost normal. In the afternoon i didnt really feel good again. Took the 3rd one. Today, on day 4 i still felt better than usual, but in the afternoon I had some major nausea and had more acid for the rest of the day.
Im so happy that finally something is finally somewhat working. Not perfectly, but i know I have to be patient. I also think I might have to increase the amount I take, so I should take 20mg in the morning as well.
What do you think? How do you know if the amount you take is not enough, and how do you know if its too much? Im afraid that if i take more, my stomach will get used to it, and will always need more and more ppi. But at the same time, everyone takes at least 40mgs a week, so i shouldnt be scared of that..
( Also when it really starts to work completly, do you still have like fallbacks, and phases when your symptoms return, or do they vanish completely? How was it for you starting PPI?)</t>
        </is>
      </c>
      <c r="D7110" t="n">
        <v>2</v>
      </c>
      <c r="E7110" t="n">
        <v>0</v>
      </c>
      <c r="F7110">
        <f>HYPERLINK("https://www.reddit.com/r/GERD/comments/gh6out/how_do_you_know_how_much_ppi_is_the_best_for_you/")</f>
        <v/>
      </c>
      <c r="G7110" t="inlineStr">
        <is>
          <t>2020-05-10 11:30:01</t>
        </is>
      </c>
      <c r="H7110" t="inlineStr"/>
    </row>
    <row r="7111">
      <c r="A7111" t="inlineStr">
        <is>
          <t>gh6t2b</t>
        </is>
      </c>
      <c r="B7111" t="inlineStr">
        <is>
          <t>Burning skin/cartilage associated with GERD</t>
        </is>
      </c>
      <c r="C7111" t="inlineStr">
        <is>
          <t>Right now I take pantaprazole 80mg a day and famotidine 80mg a day, while still taking tums and sometimes mylanta. 27f. I've had this feeling of burning in my chest for the past couple days just when I think I got my GERD under control, but I'm not sure if it's my esophagus that's burning, maybe more superficial? 
The skin above it is hot to the touch, it feels like I was in the sun all day, and sometimes it radiates to the rest of my chest and neck. My heartburn is usually very painful with no burning sensation and in my throat, so this is really confusing me. Maybe I don't know what mild heartburn is but I've never felt this before. 
I'll be calling my doctor tomorrow after I finish with my obligations, but I don't know if it's GI related or not right now. Other than that my symptoms include lump in throat, besides the burning I am pain free. 
Does anyone else experience burning skin/cartilage above the esophagus?</t>
        </is>
      </c>
      <c r="D7111" t="n">
        <v>1</v>
      </c>
      <c r="E7111" t="n">
        <v>2</v>
      </c>
      <c r="F7111">
        <f>HYPERLINK("https://www.reddit.com/r/GERD/comments/gh6t2b/burning_skincartilage_associated_with_gerd/")</f>
        <v/>
      </c>
      <c r="G7111" t="inlineStr">
        <is>
          <t>2020-05-10 11:36:05</t>
        </is>
      </c>
      <c r="H7111" t="inlineStr"/>
    </row>
    <row r="7112">
      <c r="A7112" t="inlineStr">
        <is>
          <t>gh6zix</t>
        </is>
      </c>
      <c r="B7112" t="inlineStr">
        <is>
          <t>Sour breath no matter what?</t>
        </is>
      </c>
      <c r="C7112" t="inlineStr">
        <is>
          <t>I’m stuck. I don’t understand what’s wrong. Currently 20 and have had GERD and IBS for as long as I remember. It’s taking a toll on my mental health and self esteem. I notice people backing away or wiping their noses a lot.
I watch what I eat and stay hydrated. PPIs and antacids don’t seem to work for me, so I take a manuka honey and ACV (apple cider vinegar) mixture by ManukaGuard. I also make sure to brush my teeth and tongue, floss, and use mouth wash twice a day.
Does anyone have tips to get rid of sour breath? Seems like the taste in my mouth doesn’t go away no matter what I do. I can’t afford to visit a doctor because I don’t have insurance.</t>
        </is>
      </c>
      <c r="D7112" t="n">
        <v>1</v>
      </c>
      <c r="E7112" t="n">
        <v>5</v>
      </c>
      <c r="F7112">
        <f>HYPERLINK("https://www.reddit.com/r/GERD/comments/gh6zix/sour_breath_no_matter_what/")</f>
        <v/>
      </c>
      <c r="G7112" t="inlineStr">
        <is>
          <t>2020-05-10 11:45:44</t>
        </is>
      </c>
      <c r="H7112" t="inlineStr"/>
    </row>
    <row r="7113">
      <c r="A7113" t="inlineStr">
        <is>
          <t>gh7hfk</t>
        </is>
      </c>
      <c r="B7113" t="inlineStr">
        <is>
          <t>Anyone else? Is this GERD?</t>
        </is>
      </c>
      <c r="C7113" t="inlineStr">
        <is>
          <t>A tickle in the chest/throat and clearing throat a lot? I struggle with indigestion but lately this is a new symptom. I force myself to cough but doesn’t help</t>
        </is>
      </c>
      <c r="D7113" t="n">
        <v>3</v>
      </c>
      <c r="E7113" t="n">
        <v>6</v>
      </c>
      <c r="F7113">
        <f>HYPERLINK("https://www.reddit.com/r/GERD/comments/gh7hfk/anyone_else_is_this_gerd/")</f>
        <v/>
      </c>
      <c r="G7113" t="inlineStr">
        <is>
          <t>2020-05-10 12:12:28</t>
        </is>
      </c>
      <c r="H7113" t="inlineStr"/>
    </row>
    <row r="7114">
      <c r="A7114" t="inlineStr">
        <is>
          <t>gh80su</t>
        </is>
      </c>
      <c r="B7114" t="inlineStr">
        <is>
          <t>Can anybody tell me if Nexium is an Anticholinergic drug?</t>
        </is>
      </c>
      <c r="C7114" t="inlineStr">
        <is>
          <t>I was diagnosed with sjogrens and I’m not supposed to be on these kind of drugs. Anybody know ?</t>
        </is>
      </c>
      <c r="D7114" t="n">
        <v>1</v>
      </c>
      <c r="E7114" t="n">
        <v>5</v>
      </c>
      <c r="F7114">
        <f>HYPERLINK("https://www.reddit.com/r/GERD/comments/gh80su/can_anybody_tell_me_if_nexium_is_an/")</f>
        <v/>
      </c>
      <c r="G7114" t="inlineStr">
        <is>
          <t>2020-05-10 12:42:15</t>
        </is>
      </c>
      <c r="H7114" t="inlineStr"/>
    </row>
    <row r="7115">
      <c r="A7115" t="inlineStr">
        <is>
          <t>gh9qsa</t>
        </is>
      </c>
      <c r="B7115" t="inlineStr">
        <is>
          <t>Been having a clicking sensation in my throat when I swallow.. anyone else had this ?</t>
        </is>
      </c>
      <c r="C7115" t="inlineStr">
        <is>
          <t>Been stressing out about this for a while.. I’m 30 years old and relatively healthy but I recently noticed a grinding or clicking sensation when I swallow. There is no pain that goes along and this is the worst in the morning and when in a certain position. I’m going to go to the doctor but not during these covid 19 times.. if anyone could lend experience or insight it would be greatly appreciated. Thank you.</t>
        </is>
      </c>
      <c r="D7115" t="n">
        <v>2</v>
      </c>
      <c r="E7115" t="n">
        <v>13</v>
      </c>
      <c r="F7115">
        <f>HYPERLINK("https://www.reddit.com/r/GERD/comments/gh9qsa/been_having_a_clicking_sensation_in_my_throat/")</f>
        <v/>
      </c>
      <c r="G7115" t="inlineStr">
        <is>
          <t>2020-05-10 14:13:47</t>
        </is>
      </c>
      <c r="H7115" t="inlineStr"/>
    </row>
    <row r="7116">
      <c r="A7116" t="inlineStr">
        <is>
          <t>ghamzz</t>
        </is>
      </c>
      <c r="B7116" t="inlineStr">
        <is>
          <t>Feeling Cold All the Time: Question</t>
        </is>
      </c>
      <c r="C7116" t="inlineStr">
        <is>
          <t>I've been spending the last 7 months or so trying to figure out the root cause of my own, and others, GERD. I've spent so much time combing through studies of all kinds and attempting to connect the dots. Based on my current understanding, it seems a weakened LES has something to do with the relationship between the HPA and HPG axes.
Anyway, I was hoping those with GERD on here that they either know or suspect to be the result of a weak LES could tell me whether or not they tend to have a hard time maintaining a comfortable temperature. It would likely manifest as usually being too cold, but then occasionally being boiling hot, even when everyone else considers the temperature "normal." Additionally, if you could let me know whether or not you suffered from a lot of anxiety prior to the development of your GERD, and whether or not you experienced insomnia prior to developing GERD and if you still experience it, and if the severity of your insomnia correlates with the severity of your GERD and maybe let me know if it happens to be a positive or inverse correlation (worse GERD with worse insomnia, or worse GERD with less severe insomnia, and vice versa). Also, if you've noticed an association between the frequency of relaxing social interactions and frequency of GERD symptoms, and frequency of unpleasant or upsetting social interactions and GERD symptom frequency, on a roughly week to week basis.
Much obliged in advance for any responses.</t>
        </is>
      </c>
      <c r="D7116" t="n">
        <v>2</v>
      </c>
      <c r="E7116" t="n">
        <v>4</v>
      </c>
      <c r="F7116">
        <f>HYPERLINK("https://www.reddit.com/r/GERD/comments/ghamzz/feeling_cold_all_the_time_question/")</f>
        <v/>
      </c>
      <c r="G7116" t="inlineStr">
        <is>
          <t>2020-05-10 15:04:10</t>
        </is>
      </c>
      <c r="H7116" t="inlineStr"/>
    </row>
    <row r="7117">
      <c r="A7117" t="inlineStr">
        <is>
          <t>ghb1q1</t>
        </is>
      </c>
      <c r="B7117" t="inlineStr">
        <is>
          <t>Diarrhea from slippery elm?</t>
        </is>
      </c>
      <c r="C7117" t="inlineStr">
        <is>
          <t>About two months ago I think I damaged my esophageal lining or stomach lining with raw garlic. I spoke with a gastroenterologist and he recommended to me omiprazole.
I am a relatively young and healthy guy. I have never been overweight.
I was reluctant to take Omeprazole given the side effects.
I saw a herbalist and he recommended slippery elm.
The slippery elm I bout was the Swanson brand and every since I started taking it the diarrhea has been crazy and I'm losing more weight.
How much teaspoons of slippery elm powder do you guys mix in 8 oz of water and if so what brand do you use?
Maybe I'm using too much.</t>
        </is>
      </c>
      <c r="D7117" t="n">
        <v>1</v>
      </c>
      <c r="E7117" t="n">
        <v>2</v>
      </c>
      <c r="F7117">
        <f>HYPERLINK("https://www.reddit.com/r/GERD/comments/ghb1q1/diarrhea_from_slippery_elm/")</f>
        <v/>
      </c>
      <c r="G7117" t="inlineStr">
        <is>
          <t>2020-05-10 15:27:53</t>
        </is>
      </c>
      <c r="H7117" t="inlineStr"/>
    </row>
    <row r="7118">
      <c r="A7118" t="inlineStr">
        <is>
          <t>ghbvpc</t>
        </is>
      </c>
      <c r="B7118" t="inlineStr">
        <is>
          <t>H2 blockers and trouble swallowing</t>
        </is>
      </c>
      <c r="C7118" t="inlineStr">
        <is>
          <t>14M. Is it true h2 blockers aren’t as affective at helping inflammation in your throat/upper esophagus as ppis are? I’ve been taking famoditine for almost 3 months and no improvement with difficulty swallowing.</t>
        </is>
      </c>
      <c r="D7118" t="n">
        <v>1</v>
      </c>
      <c r="E7118" t="n">
        <v>10</v>
      </c>
      <c r="F7118">
        <f>HYPERLINK("https://www.reddit.com/r/GERD/comments/ghbvpc/h2_blockers_and_trouble_swallowing/")</f>
        <v/>
      </c>
      <c r="G7118" t="inlineStr">
        <is>
          <t>2020-05-10 16:15:08</t>
        </is>
      </c>
      <c r="H7118" t="inlineStr"/>
    </row>
    <row r="7119">
      <c r="A7119" t="inlineStr">
        <is>
          <t>ghcmwj</t>
        </is>
      </c>
      <c r="B7119" t="inlineStr">
        <is>
          <t>Can weight loss fix a mechanical problem causing GERD?</t>
        </is>
      </c>
      <c r="C7119" t="inlineStr">
        <is>
          <t>Hi all
So I’ve been dealing with GERD for about 4 years now. Initially, I was having nausea &amp;amp; burning in the chest/ throat. Had an endoscopy &amp;amp; GI doc diagnosed me with GERD, put me on PPI &amp;amp; advised to lose weight. PPI worked great &amp;amp; no more problems. 
Fast forward to about 8 months ago &amp;amp; I start to get more symptoms. Especially regurgitation, but also the typical burning in the throat, unable to lay down anytime soon after eat/drinking, etc. Docs have rotated me through 2 new PPIs, but its just not helping. I am pushing to get a new endoscopy &amp;amp; a pH study at the same time &amp;amp; maybe a Barium swallow after that to confirm if my LES is just not functioning. In the mean time, I am following the advice &amp;amp; eating small meals, eating clean, exercising, I’ve lost 35+ pounds, etc. Still no help really. 
So my question is this: if my problem is mechanical in that my LES just wont close right, can further weight loss make anything better? My Doc’s PA says to continue because it can help, but I dont see how new PPIs or further weight loss will fix an anatomical problem? Any insight here? I’d appreciate it.</t>
        </is>
      </c>
      <c r="D7119" t="n">
        <v>1</v>
      </c>
      <c r="E7119" t="n">
        <v>10</v>
      </c>
      <c r="F7119">
        <f>HYPERLINK("https://www.reddit.com/r/GERD/comments/ghcmwj/can_weight_loss_fix_a_mechanical_problem_causing/")</f>
        <v/>
      </c>
      <c r="G7119" t="inlineStr">
        <is>
          <t>2020-05-10 16:58:56</t>
        </is>
      </c>
      <c r="H7119" t="inlineStr"/>
    </row>
    <row r="7120">
      <c r="A7120" t="inlineStr">
        <is>
          <t>ghcssn</t>
        </is>
      </c>
      <c r="B7120" t="inlineStr">
        <is>
          <t>Gerd symptom or gnawing hunger</t>
        </is>
      </c>
      <c r="C7120" t="inlineStr">
        <is>
          <t>Quick history. I’ve had gerd for probably 20 years and on esomeprazole to control most of my symptoms which have run the gamut. 
Last week I’ve been feeling a dull ache in my stomach that feels really similar to hunger pangs. It’s disconcerting as I’m feeling “hungry” immediately after eating a meal and constantly throughout the day and at night disrupting my sleep. This of course has caused me to be concerned it’s a new issue unrelated to gerd (diabetes, parasite, something worse). 
Anyone have a symptom that feels similar to stomach hunger pain?  Anything that helps to eliminate it?</t>
        </is>
      </c>
      <c r="D7120" t="n">
        <v>1</v>
      </c>
      <c r="E7120" t="n">
        <v>4</v>
      </c>
      <c r="F7120">
        <f>HYPERLINK("https://www.reddit.com/r/GERD/comments/ghcssn/gerd_symptom_or_gnawing_hunger/")</f>
        <v/>
      </c>
      <c r="G7120" t="inlineStr">
        <is>
          <t>2020-05-10 17:08:52</t>
        </is>
      </c>
      <c r="H7120" t="inlineStr"/>
    </row>
    <row r="7121">
      <c r="A7121" t="inlineStr">
        <is>
          <t>ghe5x2</t>
        </is>
      </c>
      <c r="B7121" t="inlineStr">
        <is>
          <t>Not much helping for silent acid reflux</t>
        </is>
      </c>
      <c r="C7121" t="inlineStr">
        <is>
          <t>Have tried a ppi for about a month and used Gaviscon for another month. Getting annoyed with constant throat clearing and mucus in throat and nose. Not sure what my other option are or I have to try these for longer. 
Symptoms: throat clearing, mucus in nose, hoarse voice, can’t talk loud unless I clear my throat, popping ears.</t>
        </is>
      </c>
      <c r="D7121" t="n">
        <v>1</v>
      </c>
      <c r="E7121" t="n">
        <v>11</v>
      </c>
      <c r="F7121">
        <f>HYPERLINK("https://www.reddit.com/r/GERD/comments/ghe5x2/not_much_helping_for_silent_acid_reflux/")</f>
        <v/>
      </c>
      <c r="G7121" t="inlineStr">
        <is>
          <t>2020-05-10 18:33:08</t>
        </is>
      </c>
      <c r="H7121" t="inlineStr"/>
    </row>
    <row r="7122">
      <c r="A7122" t="inlineStr">
        <is>
          <t>ghehk8</t>
        </is>
      </c>
      <c r="B7122" t="inlineStr">
        <is>
          <t>So what exactly causes GERD/LPR breathlessness and is there a way to diagnose if it is indeed caused by GERD/LPR?</t>
        </is>
      </c>
      <c r="C7122" t="inlineStr">
        <is>
          <t>I am relatively new to researching GERD, but not to the symptoms. I have breathlessness that I think may be caused by reflux. I'm curious, like how could reflux even cause breathing problems, mechanically, and is there a test I can get to see whether or not reflux is indeed the source of my ills?</t>
        </is>
      </c>
      <c r="D7122" t="n">
        <v>1</v>
      </c>
      <c r="E7122" t="n">
        <v>20</v>
      </c>
      <c r="F7122">
        <f>HYPERLINK("https://www.reddit.com/r/GERD/comments/ghehk8/so_what_exactly_causes_gerdlpr_breathlessness_and/")</f>
        <v/>
      </c>
      <c r="G7122" t="inlineStr">
        <is>
          <t>2020-05-10 18:54:06</t>
        </is>
      </c>
      <c r="H7122" t="inlineStr"/>
    </row>
    <row r="7123">
      <c r="A7123" t="inlineStr">
        <is>
          <t>ghfkn0</t>
        </is>
      </c>
      <c r="B7123" t="inlineStr">
        <is>
          <t>Throwing everything at it</t>
        </is>
      </c>
      <c r="C7123" t="inlineStr">
        <is>
          <t>Anyone ever taken aloe vera, zinc carnosine, and digestive enzymes at the same time? I'm assuming it should be safe, however with my other medication I'll be taking about 9 pills per day at least. Kinda crazy.</t>
        </is>
      </c>
      <c r="D7123" t="n">
        <v>1</v>
      </c>
      <c r="E7123" t="n">
        <v>0</v>
      </c>
      <c r="F7123">
        <f>HYPERLINK("https://www.reddit.com/r/GERD/comments/ghfkn0/throwing_everything_at_it/")</f>
        <v/>
      </c>
      <c r="G7123" t="inlineStr">
        <is>
          <t>2020-05-10 20:05:54</t>
        </is>
      </c>
      <c r="H7123" t="inlineStr"/>
    </row>
    <row r="7124">
      <c r="A7124" t="inlineStr">
        <is>
          <t>ghfllm</t>
        </is>
      </c>
      <c r="B7124" t="inlineStr">
        <is>
          <t>Irregularity in mucosa of z line? Can someone help me understand my biopsy report? My gi didn't explain anything to me.</t>
        </is>
      </c>
      <c r="C7124" t="inlineStr">
        <is>
          <t>http://imgur.com/a/tgJSUvO</t>
        </is>
      </c>
      <c r="D7124" t="n">
        <v>1</v>
      </c>
      <c r="E7124" t="n">
        <v>0</v>
      </c>
      <c r="F7124">
        <f>HYPERLINK("https://www.reddit.com/r/GERD/comments/ghfllm/irregularity_in_mucosa_of_z_line_can_someone_help/")</f>
        <v/>
      </c>
      <c r="G7124" t="inlineStr">
        <is>
          <t>2020-05-10 20:07:32</t>
        </is>
      </c>
      <c r="H7124" t="inlineStr"/>
    </row>
    <row r="7125">
      <c r="A7125" t="inlineStr">
        <is>
          <t>ghfq4d</t>
        </is>
      </c>
      <c r="B7125" t="inlineStr">
        <is>
          <t>"Localized continous Irregularity of the mucousa with no bleeding" can someone help me understand my biopsy report? My Gi said nothing about this and I'm scared.</t>
        </is>
      </c>
      <c r="C7125" t="inlineStr">
        <is>
          <t>http://imgur.com/a/tgJSUv
Can someone help explain these results? My gi literally didn't even mention any of this on our video follow up appointment.
I had to ask for my biopsy report from my general practitioner! I'm glad I did! What is this?
My gi put me on omeprazole at our first appointment but I haven't been taking it because I'm waiting to get tested for h pylori and other infections.
I had a colonoscopy and endoscopy. I was diagnosed with ulcerative proctitis.
I had no symptoms of gerd until a month ago. I have constant nausea, I can't east most foods without causing more nausea and feeling really "full", and I'm burping loudly constantly.
I was eating a very acidic diet for the past year (literally pasta sauce / pizza / seltzer water / soda / hot sauce / spicy foods daily)</t>
        </is>
      </c>
      <c r="D7125" t="n">
        <v>1</v>
      </c>
      <c r="E7125" t="n">
        <v>4</v>
      </c>
      <c r="F7125">
        <f>HYPERLINK("https://www.reddit.com/r/GERD/comments/ghfq4d/localized_continous_irregularity_of_the_mucousa/")</f>
        <v/>
      </c>
      <c r="G7125" t="inlineStr">
        <is>
          <t>2020-05-10 20:16:26</t>
        </is>
      </c>
      <c r="H7125" t="inlineStr"/>
    </row>
    <row r="7126">
      <c r="A7126" t="inlineStr">
        <is>
          <t>ghgmzi</t>
        </is>
      </c>
      <c r="B7126" t="inlineStr">
        <is>
          <t>Advice For My Gerd Situation</t>
        </is>
      </c>
      <c r="C7126" t="inlineStr">
        <is>
          <t>I'm stuck and need guidance. 
I've always had gerd but it was always minor and never something I couldn't just say "oh I know tomatoes trigger it, no more of those in my diet." But now since February I've had the absolute worst Gerd ever in my life. Super crazy bad gerd. To the point that foods that never bothered me like Turkey meat and rice now give me hell if I eat them. I went on an elimination diet and pretty much found I can only eat salmon, chicken, sweet potatoes, green beans, egg whites, spinach and kale, watermelon, carrots, and almonds/almond milk. That's it. And even then I eat them in small meals 5-6 times a day. This was great for about two weeks until I started losing tons of weight within the last 1-2 months. I was at 156 in January, I'm at 117 today in May. This is not good. I hate how skinny I've become. 
But the more I eat, the worst I feel with the gerd so increasing my intake is hard. I tried pepsid and it patched me up but didn't cover my symptoms all the way so if I had like a 9 or 10 gerd attack I would drop to a 5-6 with pepsid so it just made it okay but very much present. My doctor wants me to go on a PPI for 6 weeks and after reading your reviews and stories of any PPI I'm scared shitless to try it. I'm always having a hard time with medications. So I try not to take meds when I don't have to. 
I did my CT scan and Endoscopy and everything came back normal, doctor says I'm stressed out and I know that. Great now what? What do I do with that information? Do I go to the Himalayan Mountains and pray to Buddha for a stress-free life? This situation with Covid-19 sucks and I'm a new father so of course I'm stressed. I exercise daily after eating by slow walking and I do deep breathing exercises. The only thing I'm short of trying is marijuana and/or cbd and at this rate I might try it. I'm just scared of the paranoia it has induced in me in the past and being in quarantine doesn't help that. 
I also had a concussion in December 2019 and still have post concussion syndrome, chronic migraines from before the concussion, and anxiety from my childhood. I take Topamax and it sucks I'm Titrating off it but it's causing more anxiety to be honest. So trying anything new sucks. 
I had been trying Aloe Vera and it was working but then it made my Topamax symptoms horrible because it increases the effectiveness of medications in your body so that sucked when my head started spinning and I started getting pins and needles everywhere.
I've had to incorporate flaxseed into my smoothies so that I can poop because of the bad constipation I get from the gerd and stress even though my food is so fiber rich. Not sure if that is contributing to my weight loss or is helping it. 
My question is this: should I get on the PPI or back on pepsid to try to increase my caloric intake or should I vaporize marijuana or cbd and see if that helps while eating more?
What do you all think I should do?</t>
        </is>
      </c>
      <c r="D7126" t="n">
        <v>1</v>
      </c>
      <c r="E7126" t="n">
        <v>13</v>
      </c>
      <c r="F7126">
        <f>HYPERLINK("https://www.reddit.com/r/GERD/comments/ghgmzi/advice_for_my_gerd_situation/")</f>
        <v/>
      </c>
      <c r="G7126" t="inlineStr">
        <is>
          <t>2020-05-10 21:20:16</t>
        </is>
      </c>
      <c r="H7126" t="inlineStr"/>
    </row>
    <row r="7127">
      <c r="A7127" t="inlineStr">
        <is>
          <t>ghi6ik</t>
        </is>
      </c>
      <c r="B7127" t="inlineStr">
        <is>
          <t>Reading about symptoms on the internet has me thoroughly worried.</t>
        </is>
      </c>
      <c r="C7127" t="inlineStr">
        <is>
          <t>Hi all,
I’m a male(15, so fairly young) and as of late I’ve have extreme nausea when laying down/trying to sleep but nothing throughout the day. In fact, I’ve felt as good as ever. I’ve never experienced anything like this, but it’s happened twice within a week and it almost entirely prevented my sleep when it has occurred. It’s currently 2am for me as I write this and I’m experiencing the nausea again to the point where I absolutely cannot sleep; Is this cause for concern and should I try to see a doctor once I can?
(I haven’t experienced heartburn, but some google searches lead me to try and seek some advice here.)</t>
        </is>
      </c>
      <c r="D7127" t="n">
        <v>1</v>
      </c>
      <c r="E7127" t="n">
        <v>7</v>
      </c>
      <c r="F7127">
        <f>HYPERLINK("https://www.reddit.com/r/GERD/comments/ghi6ik/reading_about_symptoms_on_the_internet_has_me/")</f>
        <v/>
      </c>
      <c r="G7127" t="inlineStr">
        <is>
          <t>2020-05-10 23:19:16</t>
        </is>
      </c>
      <c r="H7127" t="inlineStr"/>
    </row>
    <row r="7128">
      <c r="A7128" t="inlineStr">
        <is>
          <t>ghirds</t>
        </is>
      </c>
      <c r="B7128" t="inlineStr">
        <is>
          <t>Can't put anything down my throat and it's depressing</t>
        </is>
      </c>
      <c r="C7128" t="inlineStr">
        <is>
          <t>I have been following this community for a few months now (since November last year). It's been comforting to know that I'm not alone with these symptoms. 
Since Nov last year, I have been experiencing this lump in throat sensation. My heart rate increases to 90-100 whenever I eat (perhaps from the anxiety because I have to force food down my throat despite feeling like I'm choking all the time). I feel breathless from thinking that my throat is going to close up any time. And I feel bloated and nauseated all day. And some nasal congestion/shallow breathing. It's just awful. 
The ENT doctor did a nose endoscopy and saw a lump in my throat but didn't see anything about the nasal congestion. "It might be reflux" was what he said. I was prescribed with omeprazole for 2 months. Later, because of the pandemic, the doctor prescribed me more omeprazoles without actually seeing him and postponed my appointment. 
I have since changed my diet to eating bland food: rice porridge every meal and occasional bread. (I am underweight which makes me very, very depressed) Only eating 2 meals a day because that's all I could take in. 
There have been slight improvements over the months. I have been on and off omeprazole, replacing them with antacids. I used to take 20mg omeprazole in the morning and night, but slowly reduced to 20mg every other day. And slowly began to eat normal foods like rice, meat, vegetables but the symptoms come back at random times and I just can't figure out why. I did gastroscopy 2 years ago because of gastric pains and it came back fine. 
I'm just afraid to eat now. Each time I eat, I kept asking myself if my throat is alright, if it's going to close up, if I'm going to throw up, kept checking if I'm able to breathe properly and my heartrate. I ask myself these questions even when I'm not eating. Yesterday, I was feeling fine until I asked myself these questions (because I stopped omeprazole for 2 days) and the lump in throat &amp;amp; rapid heartrate came back. The symptoms haven't left until now. 
Now I have to fight off this reflux and anxiety at the same time. It's depressing, especially when I'm trying hard to gain weight.. but it's just impossible. I've heard that omeprazole is making my weight gain harder so I'm trying to stop taking them. And it's been more than 6 months since... Just why have I not recovered? 
Is it better for me to continue seeing the ENT or return to my GI doctor instead (would take months to get an appointment with GI)?  Any advice or tips to overcome this and gain weight despite this? Has the ENT doctors helped you effectively? Please help :(</t>
        </is>
      </c>
      <c r="D7128" t="n">
        <v>1</v>
      </c>
      <c r="E7128" t="n">
        <v>17</v>
      </c>
      <c r="F7128">
        <f>HYPERLINK("https://www.reddit.com/r/GERD/comments/ghirds/cant_put_anything_down_my_throat_and_its/")</f>
        <v/>
      </c>
      <c r="G7128" t="inlineStr">
        <is>
          <t>2020-05-11 00:07:10</t>
        </is>
      </c>
      <c r="H7128" t="inlineStr"/>
    </row>
    <row r="7129">
      <c r="A7129" t="inlineStr">
        <is>
          <t>ghklfe</t>
        </is>
      </c>
      <c r="B7129" t="inlineStr">
        <is>
          <t>Creon or other digestive enzymes</t>
        </is>
      </c>
      <c r="C7129" t="inlineStr">
        <is>
          <t>I've been put on creon recently as I was told digestive enzymes could help with my chronic burping/excess gas. It's day 2 and I've noticed increased headaches, insomnia and muscle soreness. I've burped a bit less after meals but still feel moments of breathlessness at night. That's usually remedied by burping excess gas out throughout the night which also interrupts sleep. Any one else on creon experience these side effects or have tried other digestive enzymes? I may consider stopping if the creon side effects persist. Thanks!</t>
        </is>
      </c>
      <c r="D7129" t="n">
        <v>1</v>
      </c>
      <c r="E7129" t="n">
        <v>1</v>
      </c>
      <c r="F7129">
        <f>HYPERLINK("https://www.reddit.com/r/GERD/comments/ghklfe/creon_or_other_digestive_enzymes/")</f>
        <v/>
      </c>
      <c r="G7129" t="inlineStr">
        <is>
          <t>2020-05-11 02:47:01</t>
        </is>
      </c>
      <c r="H7129" t="inlineStr"/>
    </row>
    <row r="7130">
      <c r="A7130" t="inlineStr">
        <is>
          <t>ghl3v0</t>
        </is>
      </c>
      <c r="B7130" t="inlineStr">
        <is>
          <t>Suspected Barrett's, biopsies clear, still anxious</t>
        </is>
      </c>
      <c r="C7130" t="inlineStr">
        <is>
          <t>Hi /r/GERD,
Male, age 27, mild GERD symptoms \~3-4 years. I have seen the doctor a couple of times about it and finally pushed for an edoscopy about 6 months ago. It was all clear except for a tongue-like lesion (1.5cm) that the scopist labeled as "suspected Barrett's". The biopsies, however, showed no signs of Barrett's, only some mild inflammation of the esophagus and something the pathologist called "gastric heterotopia". (Looked it up and [gastric hetrotopia](https://www.endoskopiebilder.de/en/endoscopy-pictures/oesophagus/metaplasie-oesophagus/) is visually basically indistinguishable from [Barrett's](https://www.endoskopiebilder.de/en/endoscopy-pictures/oesophagus/barrett/), but according to [some sources](https://www.ncbi.nlm.nih.gov/pmc/articles/PMC4224247/) progression to cancer is "exceedingly rare".)
I'm a highly health-anxious person and the fact that they even suspected Barrett's has been pretty tough. What I fear of course, is that I actually have it and they simply missed it in biopsies. Or that the pathologist misdiagnosed the tissue. Or that \[insert an increasingly paranoid theory here\]. Every time I get the slightest burning in the throat, my mood is seriously affected.
The doctors are laid back about this. They say I don't even need a maintenance PPI therapy if I can keep my symptoms under control with lifestyle changes. I asked whether I should be rescoped and they said I could consider that in 5 years or so if I was very worried. Never learned more about gastric heterotopia from them.
Having typed this, I feel pretty silly for worrying so much, but these ARE scary things. Something I'd like to ask from the Barrett patients of this sub is that how consistently does your Barrett show up in the biopsies? Do you think I should get rescoped just in case?</t>
        </is>
      </c>
      <c r="D7130" t="n">
        <v>1</v>
      </c>
      <c r="E7130" t="n">
        <v>3</v>
      </c>
      <c r="F7130">
        <f>HYPERLINK("https://www.reddit.com/r/GERD/comments/ghl3v0/suspected_barretts_biopsies_clear_still_anxious/")</f>
        <v/>
      </c>
      <c r="G7130" t="inlineStr">
        <is>
          <t>2020-05-11 03:31:25</t>
        </is>
      </c>
      <c r="H7130" t="inlineStr"/>
    </row>
    <row r="7131">
      <c r="A7131" t="inlineStr">
        <is>
          <t>ghmsvv</t>
        </is>
      </c>
      <c r="B7131" t="inlineStr">
        <is>
          <t>My experience as an underweight GERD/LPR Sufferer // What's really To Blame for Widespread GERD in Modern Life?</t>
        </is>
      </c>
      <c r="C7131" t="inlineStr">
        <is>
          <t>**I've experienced heartburn, indigestion, phlegm and vocal difficulties on and off over the past 10 years. All of those symptoms boomed over the past 3 years, leaving me to take it seriously (to the point where I left work to pursue a cure full-time). I've always been skinny, so the focus on overweight patients has been a frustration through this time. In fact, the overloading of my stomach through years in the gym trying to bulk may be the cause of my malfunctioning LES.**
*I tried PPIs - Omeprazole/Lansoprazole. Omeprazole had no effect on my heartburn but Lansoprazole did stop the heartburn. However after realising my dependence on them after forgetting them on holiday, I began to research their darker side and detoxed from them gradually. Naturally, the heartburn returned so I embarked on a 4 week elimination diet. I'm a vegan, so I was eating just wholefood vegetables really, a staple was sweet potato with beans/lentils, mushrooms and spinach, for example.*
*I gradually reintroduced, soy, processed foods, nuts, wheat and coffee, and their were no adverse effects. However as I began to eat them with substantial meals, the symptoms returned... to the point where water could cause reflux. It was in this period that my voice started really suffering, I couldn't sing through shows or even talk in restaurants without discomfort and hoarseness. I was also suddenly aware of a constant lump in my throat.*
*I initially tried the supplement route, using ACV and digestive enzymes but there was no improvement.*
&amp;amp;#x200B;
**NOW**
3 days ago I began a low acid/low fat/small portion diet to eradicate the reflux and give my esophagus, larnyx and airways time to heal. So far I have little reflux and no heartburn but my issues with phlegm and voice remain.
However, there's a sense of futility to all this, because I feel like I'm pushing through the diet and lifestyle of a healing period that will just turn into a reality for my everyday life in the future.
That might seem okay if I always had control of my cooking and if I wasn't very skinny. I tend to drop to 9st13 at 6'1 (186cm) on anything less than 3 substantial meals a day and, ultimately, when my reflux is avoided - my weight suffers greatly.
&amp;amp;#x200B;
***So I'm reaching out to find others in a similar position who might be able to give me advice.***
***But also looking to discuss whether being underweight/overweight is a cause or just something that encourages the symptoms of a condition.***
***Also maybe to start a discussion about WHY this is endemic to our society in the first place. Do indigenous people suffer from this? Is there a statement to be made on eating habits/processed food? Thanks!***</t>
        </is>
      </c>
      <c r="D7131" t="n">
        <v>1</v>
      </c>
      <c r="E7131" t="n">
        <v>9</v>
      </c>
      <c r="F7131">
        <f>HYPERLINK("https://www.reddit.com/r/GERD/comments/ghmsvv/my_experience_as_an_underweight_gerdlpr_sufferer/")</f>
        <v/>
      </c>
      <c r="G7131" t="inlineStr">
        <is>
          <t>2020-05-11 05:40:39</t>
        </is>
      </c>
      <c r="H7131" t="inlineStr"/>
    </row>
    <row r="7132">
      <c r="A7132" t="inlineStr">
        <is>
          <t>ghnnad</t>
        </is>
      </c>
      <c r="B7132" t="inlineStr">
        <is>
          <t>GERD and white tongue - Looking for some advice or thoughts.</t>
        </is>
      </c>
      <c r="C7132" t="inlineStr">
        <is>
          <t>This started at the end of last year when I caught a heavy case of strep throat and was prescribed an extended coarse of antibiotics. Shortly after the coarse I woke up one morning with a white tongue. When oral thrush treatment didn’t work I was diagnosed by two ENT doctors as having swollen taste buds caused by GERD. This was now late January. 
I was surprised that I had GERD because aside from occasional heart burn I never really dealt with any obvious reflux issues and the white tongue only arrived after the antibiotics (it seemed to me the white tongue happened because the antibiotics had wrecked the balance of good bacteria in my mouth).
I was prescribed Omeprazole along with the lifestyle/diet instructions I’m sure you are all familiar with. I don’t drink coffee or smoke cigarettes. Over the past few months I have drunk alcohol maybe 3 times. I have increased my water intake. I have eaten spicy food maybe twice. I have avoided acidic foods. I have taken two full courses of Omeprazole. 
Over this period I have experienced no obvious GERD symptoms, yet I still have a white tongue. I also tested negative to a fungal infection. 
At the same time I have been trying to treat the white tongue with every natural remedy I can find, I’ve been taking oral probiotics, taking betaine HCI + pepsin, I’ve been brushing my tongue twice daily with diluted hydrogen peroxide and I even got it laser cleaned.
All this and I still have a white tongue.
Looking at the tongue you can see the papillae look white themselves rather than like they trapping any white material. 
Either way, the GERD treatment doesn’t appear to be doing anything after 3 months and neither is the topical treatment and cleaning.
Just looking for any insights from anyone who has experienced something like this.
Thanks.</t>
        </is>
      </c>
      <c r="D7132" t="n">
        <v>1</v>
      </c>
      <c r="E7132" t="n">
        <v>2</v>
      </c>
      <c r="F7132">
        <f>HYPERLINK("https://www.reddit.com/r/GERD/comments/ghnnad/gerd_and_white_tongue_looking_for_some_advice_or/")</f>
        <v/>
      </c>
      <c r="G7132" t="inlineStr">
        <is>
          <t>2020-05-11 06:35:38</t>
        </is>
      </c>
      <c r="H7132" t="inlineStr"/>
    </row>
    <row r="7133">
      <c r="A7133" t="inlineStr">
        <is>
          <t>ghnng4</t>
        </is>
      </c>
      <c r="B7133" t="inlineStr">
        <is>
          <t>Who else gets a cold brain freeze feeling in your chest</t>
        </is>
      </c>
      <c r="C7133" t="inlineStr">
        <is>
          <t>When you swallow cold liquids. It can last for hours, the cold feeling radiates to my back/spine area. I also can feel it in my mouth, like I am breathing in cold air. Recently had a chest X-ray and it’s normal.</t>
        </is>
      </c>
      <c r="D7133" t="n">
        <v>1</v>
      </c>
      <c r="E7133" t="n">
        <v>10</v>
      </c>
      <c r="F7133">
        <f>HYPERLINK("https://www.reddit.com/r/GERD/comments/ghnng4/who_else_gets_a_cold_brain_freeze_feeling_in_your/")</f>
        <v/>
      </c>
      <c r="G7133" t="inlineStr">
        <is>
          <t>2020-05-11 06:35:56</t>
        </is>
      </c>
      <c r="H7133" t="inlineStr"/>
    </row>
    <row r="7134">
      <c r="A7134" t="inlineStr">
        <is>
          <t>ghnxji</t>
        </is>
      </c>
      <c r="B7134" t="inlineStr">
        <is>
          <t>Identification of silent reflux? Or GERD?</t>
        </is>
      </c>
      <c r="C7134" t="inlineStr">
        <is>
          <t>Hey everyone. Over the past couple of months I've had some GERD-like symptoms and I was wondering if I could solicit any advice/perspective. 
Nearly every morning I become nauseous after breakfast. This nausea is accompanied with (or caused by) Globus, burping, and occasionally leads to vomiting. However, I never have chest pain or any traditional heart burn symptoms.
At first, I thought these symptoms were perhaps being caused by stress or anxiety, or maybe my diet (I usually eat eggs, oatmeal, and/or yogurt for breakfast), but as time has gone on, they have only continued pretty consistently.
Has anyone experienced something similar? Any advice on how to subdue these symptoms?</t>
        </is>
      </c>
      <c r="D7134" t="n">
        <v>1</v>
      </c>
      <c r="E7134" t="n">
        <v>3</v>
      </c>
      <c r="F7134">
        <f>HYPERLINK("https://www.reddit.com/r/GERD/comments/ghnxji/identification_of_silent_reflux_or_gerd/")</f>
        <v/>
      </c>
      <c r="G7134" t="inlineStr">
        <is>
          <t>2020-05-11 06:53:27</t>
        </is>
      </c>
      <c r="H7134" t="inlineStr"/>
    </row>
    <row r="7135">
      <c r="A7135" t="inlineStr">
        <is>
          <t>ghoi33</t>
        </is>
      </c>
      <c r="B7135" t="inlineStr">
        <is>
          <t>Has anyone taken anxiety medication for reflux and/ or with their ppi meds?</t>
        </is>
      </c>
      <c r="C7135" t="inlineStr">
        <is>
          <t>I feel like my anxiety is making my symptoms worse...</t>
        </is>
      </c>
      <c r="D7135" t="n">
        <v>1</v>
      </c>
      <c r="E7135" t="n">
        <v>5</v>
      </c>
      <c r="F7135">
        <f>HYPERLINK("https://www.reddit.com/r/GERD/comments/ghoi33/has_anyone_taken_anxiety_medication_for_reflux/")</f>
        <v/>
      </c>
      <c r="G7135" t="inlineStr">
        <is>
          <t>2020-05-11 07:25:24</t>
        </is>
      </c>
      <c r="H7135" t="inlineStr"/>
    </row>
    <row r="7136">
      <c r="A7136" t="inlineStr">
        <is>
          <t>ghowvh</t>
        </is>
      </c>
      <c r="B7136" t="inlineStr">
        <is>
          <t>Gerd, lpr and anxiety. Stupid brain</t>
        </is>
      </c>
      <c r="C7136" t="inlineStr">
        <is>
          <t>So I am getting my LPR under control with eating better and taking my meds properly. Last night I am ok, I eat what I thought was safe, a sandwich with sour dough bread. Ends up getting stuck in my throat and leaves the right side of my throat sore all night. And of course my anxiety kicks in thinking maybe its a sore throat from covid and Im going to start getting sick next. And that keeps going through my head all night which gives me no rest all night. So I decided to post here and get it out of my head. Sorry for the dump. Throat is feeling a little better this morning. Just need to get ahead of my anxiety. Good luck to all of you!</t>
        </is>
      </c>
      <c r="D7136" t="n">
        <v>1</v>
      </c>
      <c r="E7136" t="n">
        <v>35</v>
      </c>
      <c r="F7136">
        <f>HYPERLINK("https://www.reddit.com/r/GERD/comments/ghowvh/gerd_lpr_and_anxiety_stupid_brain/")</f>
        <v/>
      </c>
      <c r="G7136" t="inlineStr">
        <is>
          <t>2020-05-11 07:47:45</t>
        </is>
      </c>
      <c r="H7136" t="inlineStr"/>
    </row>
    <row r="7137">
      <c r="A7137" t="inlineStr">
        <is>
          <t>ghphkv</t>
        </is>
      </c>
      <c r="B7137" t="inlineStr">
        <is>
          <t>GERD since baby, anxiety and alcohol</t>
        </is>
      </c>
      <c r="C7137" t="inlineStr">
        <is>
          <t>Not the best combo! Feel like I might die!</t>
        </is>
      </c>
      <c r="D7137" t="n">
        <v>1</v>
      </c>
      <c r="E7137" t="n">
        <v>2</v>
      </c>
      <c r="F7137">
        <f>HYPERLINK("https://www.reddit.com/r/GERD/comments/ghphkv/gerd_since_baby_anxiety_and_alcohol/")</f>
        <v/>
      </c>
      <c r="G7137" t="inlineStr">
        <is>
          <t>2020-05-11 08:18:20</t>
        </is>
      </c>
      <c r="H7137" t="inlineStr"/>
    </row>
    <row r="7138">
      <c r="A7138" t="inlineStr">
        <is>
          <t>ghqq0c</t>
        </is>
      </c>
      <c r="B7138" t="inlineStr">
        <is>
          <t>What meds do you guys take for anxiety?</t>
        </is>
      </c>
      <c r="C7138" t="inlineStr">
        <is>
          <t>I was prescribed Buspar the other day to help treat my anxiety which is likely causing my GERD. I take famotidine at night and it seems to be kinda helping.</t>
        </is>
      </c>
      <c r="D7138" t="n">
        <v>1</v>
      </c>
      <c r="E7138" t="n">
        <v>10</v>
      </c>
      <c r="F7138">
        <f>HYPERLINK("https://www.reddit.com/r/GERD/comments/ghqq0c/what_meds_do_you_guys_take_for_anxiety/")</f>
        <v/>
      </c>
      <c r="G7138" t="inlineStr">
        <is>
          <t>2020-05-11 09:21:56</t>
        </is>
      </c>
      <c r="H7138" t="inlineStr"/>
    </row>
    <row r="7139">
      <c r="A7139" t="inlineStr">
        <is>
          <t>ghqr4s</t>
        </is>
      </c>
      <c r="B7139" t="inlineStr">
        <is>
          <t>Does gas clog up your sinuses?</t>
        </is>
      </c>
      <c r="C7139" t="inlineStr">
        <is>
          <t>Often times I can't breathe that well through my nose. But my nose is clear of mucus and boogers (sorry I couldn't think of the scientific term). There's nothing blocking my nasal passages. 
It's like this pressure in my upper nose that feels stuffy. Could it be gas? It usually coincides with belching, but when am I ever not belching.</t>
        </is>
      </c>
      <c r="D7139" t="n">
        <v>1</v>
      </c>
      <c r="E7139" t="n">
        <v>8</v>
      </c>
      <c r="F7139">
        <f>HYPERLINK("https://www.reddit.com/r/GERD/comments/ghqr4s/does_gas_clog_up_your_sinuses/")</f>
        <v/>
      </c>
      <c r="G7139" t="inlineStr">
        <is>
          <t>2020-05-11 09:23:30</t>
        </is>
      </c>
      <c r="H7139" t="inlineStr"/>
    </row>
    <row r="7140">
      <c r="A7140" t="inlineStr">
        <is>
          <t>ghr6uo</t>
        </is>
      </c>
      <c r="B7140" t="inlineStr">
        <is>
          <t>Chest/Stomach Tightness only when standing?</t>
        </is>
      </c>
      <c r="C7140" t="inlineStr">
        <is>
          <t>I’ve had this on/off sensation of chest tightness/ shortness of breath only when standing. Usually it comes after a few minutes of being up. I tapered off Lexapro about 2 months ago. I’m taking Omeprazole and Antiacids for gastritis issues. 25 year old male, have been to a cardiologist and had bloodwork done. All tests came back normal. I had this same issue arise in December while on Lexapro and I believe it lasted for a month. At this point I’ve got past the fear it’s heart related. It’s just become annoying now. I take daily multivitamins, not sure if I’m deficient at all. To describe the sensation it feels like my stomach is sucked in and I don’t breathe normally. Any suggestions on what this could be? Trapped gas? Anxiety? Lack of physical activity causing tight muscles? Thank you.</t>
        </is>
      </c>
      <c r="D7140" t="n">
        <v>3</v>
      </c>
      <c r="E7140" t="n">
        <v>0</v>
      </c>
      <c r="F7140">
        <f>HYPERLINK("https://www.reddit.com/r/GERD/comments/ghr6uo/cheststomach_tightness_only_when_standing/")</f>
        <v/>
      </c>
      <c r="G7140" t="inlineStr">
        <is>
          <t>2020-05-11 09:45:09</t>
        </is>
      </c>
      <c r="H7140" t="inlineStr"/>
    </row>
    <row r="7141">
      <c r="A7141" t="inlineStr">
        <is>
          <t>ghrfc8</t>
        </is>
      </c>
      <c r="B7141" t="inlineStr">
        <is>
          <t>Did my doctor give me bad advice?</t>
        </is>
      </c>
      <c r="C7141" t="inlineStr">
        <is>
          <t>Hi there.
I went to an ENT specialist about 2 months ago and was diagnosed with LPR. I was immediately put on 40 mg Omeprazole daily for 2 weeks and 20 mg daily thereafter. The 40 mg was way too strong and gave me headaches and stomach discomfort so I switched to 20 mg 2 days early. A few weeks later on 20 mg I started experiencing more headaches, anxiety and general mind fog during the day. Some stomach discomfort and indigestion noted too. My specialist told me these are not known effects and I should consult my gp about this.
I am scared PPIs are not working for me (or are too stong) so I asked her if I could get off it by tapering.
She said I should stop cold turkey.
Is this good advice or would tapering prevent a rebound reflux? Did any of you experience these side effects on omeprazole?</t>
        </is>
      </c>
      <c r="D7141" t="n">
        <v>2</v>
      </c>
      <c r="E7141" t="n">
        <v>9</v>
      </c>
      <c r="F7141">
        <f>HYPERLINK("https://www.reddit.com/r/GERD/comments/ghrfc8/did_my_doctor_give_me_bad_advice/")</f>
        <v/>
      </c>
      <c r="G7141" t="inlineStr">
        <is>
          <t>2020-05-11 09:56:45</t>
        </is>
      </c>
      <c r="H7141" t="inlineStr"/>
    </row>
    <row r="7142">
      <c r="A7142" t="inlineStr">
        <is>
          <t>ghspv3</t>
        </is>
      </c>
      <c r="B7142" t="inlineStr">
        <is>
          <t>Anyone get numbness or tingling as a side effect of PPI?</t>
        </is>
      </c>
      <c r="C7142" t="inlineStr">
        <is>
          <t>I am going to cross post this on r/GERD and r/Gastritis since I know a lot of people on both subs use PPI.
I am going to try and keep this short- I was diagnosed with gastritis from an endoscopy about two years ago and it never was bad enough for meds. I was unofficially diagnosed with GERD probably four years ago just based on symptoms and took ranitidine at bedtime until that was recalled and switched to famotidine. In April of this year I got a gastritis flare up that was bad so my doctor prescribed pantoprazole and it helped my symptoms pretty much immediately. I started that on April 25. I was having shortness of breath, too but my oxygen levels were normal, so my doctor assumed it was caused by the acid. 
I ordered CBD oil for anxiety before I started the pantoprazole so I got that in and used it (about 10-20mg a day) for less than a week because I thought it was causing side effects. I hadn’t taken any CBD oil in three or four days and I still had the side effects- aches, numbness, and tingling in my arms and legs. It wasn’t constant and it wasn’t severe but I got a headache too and I got worried so I went to the ER. Chest X-ray was normal, cat scan of my head was normal, and COVID-19 test came back negative. I have a follow up with my pcp in a few days but I just started wondering if the numbness was a side effect of the ppi? 
I googled it and it seems like long term use of ppi might cause neuropathy but I have only been using it for a little over two weeks. I doubt there’s any CBD left in me. I will of course talk about it with my doc but just curious if anyone else had that side effect? If it only lasts as long as I take the ppi I can live with it for the 60 or 90 days my doc suggested I be on it for. I think the headache is unrelated as I do get tension headaches semi-regularly. Thanks for any input you can offer!</t>
        </is>
      </c>
      <c r="D7142" t="n">
        <v>1</v>
      </c>
      <c r="E7142" t="n">
        <v>16</v>
      </c>
      <c r="F7142">
        <f>HYPERLINK("https://www.reddit.com/r/GERD/comments/ghspv3/anyone_get_numbness_or_tingling_as_a_side_effect/")</f>
        <v/>
      </c>
      <c r="G7142" t="inlineStr">
        <is>
          <t>2020-05-11 10:59:58</t>
        </is>
      </c>
      <c r="H7142" t="inlineStr"/>
    </row>
    <row r="7143">
      <c r="A7143" t="inlineStr">
        <is>
          <t>ghxc9n</t>
        </is>
      </c>
      <c r="B7143" t="inlineStr">
        <is>
          <t>I was having a good day, then decided Al Pastor tacos with raw onion and habanero salsa was a good idea</t>
        </is>
      </c>
      <c r="C7143" t="inlineStr">
        <is>
          <t>Learn from my mistake. I haven’t had the barking cough in a while. 
I haven’t been diagnosed yet but sent my GP a request for an H.P test. What can I expect from the test?</t>
        </is>
      </c>
      <c r="D7143" t="n">
        <v>5</v>
      </c>
      <c r="E7143" t="n">
        <v>28</v>
      </c>
      <c r="F7143">
        <f>HYPERLINK("https://www.reddit.com/r/GERD/comments/ghxc9n/i_was_having_a_good_day_then_decided_al_pastor/")</f>
        <v/>
      </c>
      <c r="G7143" t="inlineStr">
        <is>
          <t>2020-05-11 14:53:20</t>
        </is>
      </c>
      <c r="H7143" t="inlineStr"/>
    </row>
    <row r="7144">
      <c r="A7144" t="inlineStr">
        <is>
          <t>ghxh0l</t>
        </is>
      </c>
      <c r="B7144" t="inlineStr">
        <is>
          <t>Will a humidifier help to relieve symptoms of GERD?</t>
        </is>
      </c>
      <c r="C7144" t="inlineStr">
        <is>
          <t>I’ve suffered from it for a few years now but lately it’s become more of a problem for the past 5 weeks the cough is becoming unbearable. Mostly active at night but sometimes throughout the day and gaviscon has been a real help however some nights it doesn’t work 
I’ve tried finding out what’s triggering it but no matter what I eat or don’t eat it’s still happening 
So I’m wondering if maybe I need to purchase a humidifier to help as I read somewhere that it relieves cough especially for when gaviscon doesn’t work or I’ve run out 
What do you guys think?
Edit:- sorry for poor grammar and spelling</t>
        </is>
      </c>
      <c r="D7144" t="n">
        <v>5</v>
      </c>
      <c r="E7144" t="n">
        <v>8</v>
      </c>
      <c r="F7144">
        <f>HYPERLINK("https://www.reddit.com/r/GERD/comments/ghxh0l/will_a_humidifier_help_to_relieve_symptoms_of_gerd/")</f>
        <v/>
      </c>
      <c r="G7144" t="inlineStr">
        <is>
          <t>2020-05-11 15:00:20</t>
        </is>
      </c>
      <c r="H7144" t="inlineStr"/>
    </row>
    <row r="7145">
      <c r="A7145" t="inlineStr">
        <is>
          <t>ghzrl6</t>
        </is>
      </c>
      <c r="B7145" t="inlineStr">
        <is>
          <t>Difficulty swallowing</t>
        </is>
      </c>
      <c r="C7145" t="inlineStr">
        <is>
          <t>Hey does anyone here experience difficulty swallowing in their upper neck/throat area rather then their chest? I’ve had what I think is gerd for a while and wanted to know if anyone else’s difficulty swallowing is in their upper neck right when they swallow. Also can famoditine cure an inflamed throat or is ppis sometimes the only way to cure it.</t>
        </is>
      </c>
      <c r="D7145" t="n">
        <v>2</v>
      </c>
      <c r="E7145" t="n">
        <v>14</v>
      </c>
      <c r="F7145">
        <f>HYPERLINK("https://www.reddit.com/r/GERD/comments/ghzrl6/difficulty_swallowing/")</f>
        <v/>
      </c>
      <c r="G7145" t="inlineStr">
        <is>
          <t>2020-05-11 17:04:42</t>
        </is>
      </c>
      <c r="H7145" t="inlineStr"/>
    </row>
    <row r="7146">
      <c r="A7146" t="inlineStr">
        <is>
          <t>ghzyq6</t>
        </is>
      </c>
      <c r="B7146" t="inlineStr">
        <is>
          <t>Keep stopping and starting PPIs</t>
        </is>
      </c>
      <c r="C7146" t="inlineStr">
        <is>
          <t>I've been using dexilant and more recently Nexium (20 mg) for the past five years to help control GERD symptoms. The medicine does help but I'm worried about side effects long term.  I've been trying to taper off the medicine (substituting an h2 blocker) for the last three years. The problem is that I can go about a month after the taper finishes before things get bad enough that I need to start the PPI again. I'm worried now that stopping and starting the PPI may also be detrimental. Does anyone know of any research that supports this? Feeling stuck between damned if I do and damned if I don't.</t>
        </is>
      </c>
      <c r="D7146" t="n">
        <v>2</v>
      </c>
      <c r="E7146" t="n">
        <v>2</v>
      </c>
      <c r="F7146">
        <f>HYPERLINK("https://www.reddit.com/r/GERD/comments/ghzyq6/keep_stopping_and_starting_ppis/")</f>
        <v/>
      </c>
      <c r="G7146" t="inlineStr">
        <is>
          <t>2020-05-11 17:16:35</t>
        </is>
      </c>
      <c r="H7146" t="inlineStr"/>
    </row>
    <row r="7147">
      <c r="A7147" t="inlineStr">
        <is>
          <t>gi1d8c</t>
        </is>
      </c>
      <c r="B7147" t="inlineStr">
        <is>
          <t>Water with meals</t>
        </is>
      </c>
      <c r="C7147" t="inlineStr">
        <is>
          <t>If drinking water with meals gives you horrible reflux, does that indicate that you have too little stomach acid rather than too much?</t>
        </is>
      </c>
      <c r="D7147" t="n">
        <v>1</v>
      </c>
      <c r="E7147" t="n">
        <v>5</v>
      </c>
      <c r="F7147">
        <f>HYPERLINK("https://www.reddit.com/r/GERD/comments/gi1d8c/water_with_meals/")</f>
        <v/>
      </c>
      <c r="G7147" t="inlineStr">
        <is>
          <t>2020-05-11 18:38:37</t>
        </is>
      </c>
      <c r="H7147" t="inlineStr"/>
    </row>
    <row r="7148">
      <c r="A7148" t="inlineStr">
        <is>
          <t>gi1m1c</t>
        </is>
      </c>
      <c r="B7148" t="inlineStr">
        <is>
          <t>Safe condoments/sauces/dips?</t>
        </is>
      </c>
      <c r="C7148" t="inlineStr">
        <is>
          <t>I tend to eat fairly basic whole foods, in small meals, as that seems to allow me to feel good, but it'd be nice to add extra flavor!
I love aioli, but I'm not sure if garlic is safe.
Ketchup/tomato is a common thing people say to avoid.</t>
        </is>
      </c>
      <c r="D7148" t="n">
        <v>1</v>
      </c>
      <c r="E7148" t="n">
        <v>3</v>
      </c>
      <c r="F7148">
        <f>HYPERLINK("https://www.reddit.com/r/GERD/comments/gi1m1c/safe_condomentssaucesdips/")</f>
        <v/>
      </c>
      <c r="G7148" t="inlineStr">
        <is>
          <t>2020-05-11 18:53:13</t>
        </is>
      </c>
      <c r="H7148" t="inlineStr"/>
    </row>
    <row r="7149">
      <c r="A7149" t="inlineStr">
        <is>
          <t>gi271x</t>
        </is>
      </c>
      <c r="B7149" t="inlineStr">
        <is>
          <t>Wondering if I might have acid reflux or lpr</t>
        </is>
      </c>
      <c r="C7149" t="inlineStr">
        <is>
          <t>Hi, I am an 18 yr old male and I have been struggling with the same symptoms for about 6-7 months. I do have a history of vaping but rarely ever drink and I never smoke (I also quit vaping 6 months ago). 
Symptoms:
I experience a rawness and irritated feeling in my throat pretty much every single day. This is also accompanied by hoarseness or a scratchy throat feeling taht comes and goes. I also tend to have this choking sensation in my throat which seems to be tight, but goes away when eating and comes back afterwards. I have what I believe to be esophagus pain which leads down into the middle of my chest. I experience shortness of breath occasionally because my throat and chest are irritated. A few months ago I even had a chest x ray to see if anything was wrong with my lungs, since I have breathing issues. The results came back perfectly fine, as no damage was seen by my doctor anywhere in my chest. Sometimes this irritating feeling in my throat seems to prevent me from getting a full inhale in. I sometimes have heartburn (maybe once a week if that). I have also found about 5 months ago what seems to be a swollen lymph node (no greater than 1cm) in the front of my throat that has not grown at all and is moveable.  On top of all that, I have chronic post nasal drip which I cant seem to improve even with the use of nasal sprays. I’d say the worst symptoms of whatever I have are the choking feeling (almost like a lump in throat), rawness or irritated feeling in throat, and occasionally shortness of breath. These symptoms have really bothered me and taken away my quality of life. 
Possible Causes:
- Pectus Excavatum
- Acid reflux or LPR
- I have chronic post nasal drip every day
- Seasonal allergies like pollen (however I started having these symptoms over the winter where there isnt much pollen around)
- Health anxiety (constantly googling things)
- other
I’d appreciate if anyone who can relate to this or knows anything about what I might be dealing with, share your story. Thank you for your help.</t>
        </is>
      </c>
      <c r="D7149" t="n">
        <v>1</v>
      </c>
      <c r="E7149" t="n">
        <v>1</v>
      </c>
      <c r="F7149">
        <f>HYPERLINK("https://www.reddit.com/r/GERD/comments/gi271x/wondering_if_i_might_have_acid_reflux_or_lpr/")</f>
        <v/>
      </c>
      <c r="G7149" t="inlineStr">
        <is>
          <t>2020-05-11 19:28:10</t>
        </is>
      </c>
      <c r="H7149" t="inlineStr"/>
    </row>
    <row r="7150">
      <c r="A7150" t="inlineStr">
        <is>
          <t>gi2ekj</t>
        </is>
      </c>
      <c r="B7150" t="inlineStr">
        <is>
          <t>do you ever get gurgling in your throat?</t>
        </is>
      </c>
      <c r="C7150" t="inlineStr">
        <is>
          <t>For about a year before my real symptoms started, I had this.  Often when I swallow soon afterward, my throat gurgles.  It's like bubbles are going up my throat.  I feel it, and I hear it.  There's a buildup of pressure, and then... bubble bubble bubble.  It's the same noise your stomach makes, except it's in your throat.
Not sure if this is related to everything else but when I googled it I didn't find much.</t>
        </is>
      </c>
      <c r="D7150" t="n">
        <v>1</v>
      </c>
      <c r="E7150" t="n">
        <v>15</v>
      </c>
      <c r="F7150">
        <f>HYPERLINK("https://www.reddit.com/r/GERD/comments/gi2ekj/do_you_ever_get_gurgling_in_your_throat/")</f>
        <v/>
      </c>
      <c r="G7150" t="inlineStr">
        <is>
          <t>2020-05-11 19:41:02</t>
        </is>
      </c>
      <c r="H7150" t="inlineStr"/>
    </row>
    <row r="7151">
      <c r="A7151" t="inlineStr">
        <is>
          <t>gi3mk0</t>
        </is>
      </c>
      <c r="B7151" t="inlineStr">
        <is>
          <t>Wisdom teeth removal, liquid meal suggestions?</t>
        </is>
      </c>
      <c r="C7151" t="inlineStr">
        <is>
          <t>I have my wisdom teeth pulled on Friday and won’t be able to eat solids for a couple of days. I was diagnosed with LPR and I’m currently having a bad flare up from my increased anxiety level. Any suggestions on liquids that are filling that I could eat? The past two weeks I’ve lost 10 pounds from not being able to eat hardly anything. I’m overweight by like 70 pounds so not a big deal, but I’m starving already lol.</t>
        </is>
      </c>
      <c r="D7151" t="n">
        <v>1</v>
      </c>
      <c r="E7151" t="n">
        <v>0</v>
      </c>
      <c r="F7151">
        <f>HYPERLINK("https://www.reddit.com/r/GERD/comments/gi3mk0/wisdom_teeth_removal_liquid_meal_suggestions/")</f>
        <v/>
      </c>
      <c r="G7151" t="inlineStr">
        <is>
          <t>2020-05-11 21:00:05</t>
        </is>
      </c>
      <c r="H7151" t="inlineStr"/>
    </row>
    <row r="7152">
      <c r="A7152" t="inlineStr">
        <is>
          <t>gi3r6u</t>
        </is>
      </c>
      <c r="B7152" t="inlineStr">
        <is>
          <t>Anxiety because of likely BE. What to do?</t>
        </is>
      </c>
      <c r="C7152" t="inlineStr">
        <is>
          <t>Hi there. I'm Male, 33 yo. In February (first week) I experienced upper GI pain and had an endoscopy. The doctor found esophagitis grade A and likely Barrett's esophagus. He didn't perform a biopsy because of the inflammation. Send me Ezomeprazole for a month and scheduled a new endoscopy in April to check his suspicion of BE. I've improved with the treatment, although still have some cough after eating, but I haven't been able to get an endoscopy because of the Covid19 lockdown. Now I am really anxious about this, I've compared the pics of my esophagus with the ones of BE in the internet and they are basically the same, with those irregular red patches around the junction. I want to ask those with BE around here if you consider given your experience that should I try pushing for an endoscopy/biopsy asap even with the covid risk, or it's better to wait (if it's unlikely for this to become something serious soon). Thanks for your advice.</t>
        </is>
      </c>
      <c r="D7152" t="n">
        <v>1</v>
      </c>
      <c r="E7152" t="n">
        <v>2</v>
      </c>
      <c r="F7152">
        <f>HYPERLINK("https://www.reddit.com/r/GERD/comments/gi3r6u/anxiety_because_of_likely_be_what_to_do/")</f>
        <v/>
      </c>
      <c r="G7152" t="inlineStr">
        <is>
          <t>2020-05-11 21:08:50</t>
        </is>
      </c>
      <c r="H7152" t="inlineStr"/>
    </row>
    <row r="7153">
      <c r="A7153" t="inlineStr">
        <is>
          <t>gi46e9</t>
        </is>
      </c>
      <c r="B7153" t="inlineStr">
        <is>
          <t>Feeling of food stuck in the chest</t>
        </is>
      </c>
      <c r="C7153" t="inlineStr">
        <is>
          <t>Hi folks
Im 32 y.o Female. I have a history of GERD ( bad episode 2 years ago, came out of the blue after drinking some orange juice). My mom has it , uncle has it, and my grandfather had esophageal cancer in his 70s ( he survived). 
So 2 years ago I got my first attack of acid reflux, which lasted several months. I saw a GI, and after am endoscopy she found some inflammation in the stomach lining. Esophagus was otherwise normal. I stopped seeing the GI, continued suffering from acid reflux and finally went to a natural therapy retreat to treat the reflux issues. The "stuck in chest" feeling went away after going there, but something strange happened. Every morning when I would wake up since the last 2 years, I would have a sour taste in my mouth. It quickly goes away after waking up, but I notice that it's there first thing in the morning. 
Fast forward 2 years later, and suddenly a week ago, I decelop full blown acid reflux episodes. Everytime I swallow food/air, it feels like something is stuck in my chest. It's a horrible feeling. I'm currently taking pepcid complete ac , but I'm too scared to get on PPIs because I've heard of all of the I'll effects. 
Long story short: this feeling of "stuck in chest', is it common among acid reflux sufferers? Will taking PPIs make me hooked ? What natural options have worked for folks out here ?</t>
        </is>
      </c>
      <c r="D7153" t="n">
        <v>1</v>
      </c>
      <c r="E7153" t="n">
        <v>0</v>
      </c>
      <c r="F7153">
        <f>HYPERLINK("https://www.reddit.com/r/GERD/comments/gi46e9/feeling_of_food_stuck_in_the_chest/")</f>
        <v/>
      </c>
      <c r="G7153" t="inlineStr">
        <is>
          <t>2020-05-11 21:38:09</t>
        </is>
      </c>
      <c r="H7153" t="inlineStr"/>
    </row>
    <row r="7154">
      <c r="A7154" t="inlineStr">
        <is>
          <t>gi4e6g</t>
        </is>
      </c>
      <c r="B7154" t="inlineStr">
        <is>
          <t>How bad is my AR?</t>
        </is>
      </c>
      <c r="C7154" t="inlineStr">
        <is>
          <t>I read the top post mention surgery??? That SCARES the hell out of me. Its been bad for me tho, i feel it started maybe 2 month ago? Just feel super bloated belching all the time and some burning feeling in upper center stomach when i burp. My throat feels a bit odd, it’s not sore, just this “fullness” of something there. Like if il full of gas all the way up to my throat. My nose has been stuffed since then. Im scared because of that top post :( im rly not tryna make another one of my famous check in to the er for every thing scene.</t>
        </is>
      </c>
      <c r="D7154" t="n">
        <v>1</v>
      </c>
      <c r="E7154" t="n">
        <v>3</v>
      </c>
      <c r="F7154">
        <f>HYPERLINK("https://www.reddit.com/r/GERD/comments/gi4e6g/how_bad_is_my_ar/")</f>
        <v/>
      </c>
      <c r="G7154" t="inlineStr">
        <is>
          <t>2020-05-11 21:53:11</t>
        </is>
      </c>
      <c r="H7154" t="inlineStr"/>
    </row>
    <row r="7155">
      <c r="A7155" t="inlineStr">
        <is>
          <t>gi4mit</t>
        </is>
      </c>
      <c r="B7155" t="inlineStr">
        <is>
          <t>Are Bagels generally considered to be GERD/LPR friendly</t>
        </is>
      </c>
      <c r="C7155" t="inlineStr">
        <is>
          <t>I'm not sure where bagels fall</t>
        </is>
      </c>
      <c r="D7155" t="n">
        <v>1</v>
      </c>
      <c r="E7155" t="n">
        <v>5</v>
      </c>
      <c r="F7155">
        <f>HYPERLINK("https://www.reddit.com/r/GERD/comments/gi4mit/are_bagels_generally_considered_to_be_gerdlpr/")</f>
        <v/>
      </c>
      <c r="G7155" t="inlineStr">
        <is>
          <t>2020-05-11 22:10:31</t>
        </is>
      </c>
      <c r="H7155" t="inlineStr"/>
    </row>
    <row r="7156">
      <c r="A7156" t="inlineStr">
        <is>
          <t>gi7cug</t>
        </is>
      </c>
      <c r="B7156" t="inlineStr">
        <is>
          <t>Had some food I should not have had.. I am now wheezing and feel short of breath</t>
        </is>
      </c>
      <c r="C7156" t="inlineStr">
        <is>
          <t>So for the last 6/7 days since I’ve been diagnosed with lpr I’ve been eating really good and cutting out all of the bad food from my diet. Today, I decided that since I’ve been eating well I could have something that’s not too healthy because I didn’t think it would hurt me this bad. Well.. it did. It’s now 1am and I’m wheezing a lot and just feel short of breath. What can I do to stop wheezing and feeling like this so I can sleep? Any tips help. Thank you</t>
        </is>
      </c>
      <c r="D7156" t="n">
        <v>1</v>
      </c>
      <c r="E7156" t="n">
        <v>2</v>
      </c>
      <c r="F7156">
        <f>HYPERLINK("https://www.reddit.com/r/GERD/comments/gi7cug/had_some_food_i_should_not_have_had_i_am_now/")</f>
        <v/>
      </c>
      <c r="G7156" t="inlineStr">
        <is>
          <t>2020-05-12 01:41:03</t>
        </is>
      </c>
      <c r="H7156" t="inlineStr"/>
    </row>
    <row r="7157">
      <c r="A7157" t="inlineStr">
        <is>
          <t>gi88de</t>
        </is>
      </c>
      <c r="B7157" t="inlineStr">
        <is>
          <t>Reflux after toastie</t>
        </is>
      </c>
      <c r="C7157" t="inlineStr">
        <is>
          <t>Anyone else get reflux from a toasted sandwich? I’m thinking it’s the fat content. I had multigrain bread with butter, chicken, avocado, cheese, rocket.</t>
        </is>
      </c>
      <c r="D7157" t="n">
        <v>1</v>
      </c>
      <c r="E7157" t="n">
        <v>4</v>
      </c>
      <c r="F7157">
        <f>HYPERLINK("https://www.reddit.com/r/GERD/comments/gi88de/reflux_after_toastie/")</f>
        <v/>
      </c>
      <c r="G7157" t="inlineStr">
        <is>
          <t>2020-05-12 02:53:08</t>
        </is>
      </c>
      <c r="H7157" t="inlineStr"/>
    </row>
    <row r="7158">
      <c r="A7158" t="inlineStr">
        <is>
          <t>gi8wtv</t>
        </is>
      </c>
      <c r="B7158" t="inlineStr">
        <is>
          <t>Palate inflammation because of reflux?</t>
        </is>
      </c>
      <c r="C7158" t="inlineStr">
        <is>
          <t>Hello,I have a red area on my palate for 11 days now, went to 2 oral surgeon and 1  ENT and all of them told me its not oral cancer  and maybe my reflux
&amp;amp;#x200B;
is it possible for gerd to cause tthat ? or  I have to push for a biopsy to rule out oral cancer</t>
        </is>
      </c>
      <c r="D7158" t="n">
        <v>1</v>
      </c>
      <c r="E7158" t="n">
        <v>1</v>
      </c>
      <c r="F7158">
        <f>HYPERLINK("https://www.reddit.com/r/GERD/comments/gi8wtv/palate_inflammation_because_of_reflux/")</f>
        <v/>
      </c>
      <c r="G7158" t="inlineStr">
        <is>
          <t>2020-05-12 03:48:45</t>
        </is>
      </c>
      <c r="H7158" t="inlineStr"/>
    </row>
    <row r="7159">
      <c r="A7159" t="inlineStr">
        <is>
          <t>gi9dy8</t>
        </is>
      </c>
      <c r="B7159" t="inlineStr">
        <is>
          <t>When does PPI start to REALLY work?</t>
        </is>
      </c>
      <c r="C7159" t="inlineStr">
        <is>
          <t>Tomorrow is the end of week one of me taking pantoprazol. My GERD symptoms are constant nausea and sickness, and feeling the acid wanting to come back, (which ended up making me unable to sleep more than an hour).
I started taking 20 mg of pantoprazole every night before dinner. And even after one day, I felt like didnt have that EXTREME amount of acid, I had the day before. And on day 3, i actually felt pretty good considering what I felt like before. But it wasn't perfect. Next day, I had some relapse, and felt more sick at night, next day the same thing happened, I felt sick the whole evening. So during the day I felt way better than before, but it was still not perfect. Some things still caused me nausea, at times i still felt like i had more acid, and it was still hard to eat because of the the sick feeling GERD gives me. 
Today I took a 20mg ppi in the morning as well, because once a day seems to be too little. But so far, it doesnt feel like it would work better. We are trying to find the best amount of ppi that would help me, but I just dont know, if this means that I should increase the amount i take even more? Or should i just wait more? Because its working, but definetly not enough (but at least i can sleep at night).  And im just not sure if this is the most effect i can get from this amount, or ppi in general? Because i am waiting for complete "symptom-ness".
(Of course i am happy to just feel better as well, because it was hell before ppi, but I would love to be able to eat without nausea, and just do anything without nausea, and having to be extremly careful everytime, and even the smallest stress giving me a huge flare-up)</t>
        </is>
      </c>
      <c r="D7159" t="n">
        <v>1</v>
      </c>
      <c r="E7159" t="n">
        <v>15</v>
      </c>
      <c r="F7159">
        <f>HYPERLINK("https://www.reddit.com/r/GERD/comments/gi9dy8/when_does_ppi_start_to_really_work/")</f>
        <v/>
      </c>
      <c r="G7159" t="inlineStr">
        <is>
          <t>2020-05-12 04:25:31</t>
        </is>
      </c>
      <c r="H7159" t="inlineStr"/>
    </row>
    <row r="7160">
      <c r="A7160" t="inlineStr">
        <is>
          <t>gi9u88</t>
        </is>
      </c>
      <c r="B7160" t="inlineStr">
        <is>
          <t>Drinking water before bed and regurgitation.</t>
        </is>
      </c>
      <c r="C7160" t="inlineStr">
        <is>
          <t>Does anyone regurgitate if they drink water right after they lie down?  I sometimes wake up thirsty in the middle of the night and take a few big sips of water and have a mostly water reflux since my  stomach is emtpy.  It is not severe, feels like a sour tasting water that came up within a minute or two of lying back down.</t>
        </is>
      </c>
      <c r="D7160" t="n">
        <v>1</v>
      </c>
      <c r="E7160" t="n">
        <v>12</v>
      </c>
      <c r="F7160">
        <f>HYPERLINK("https://www.reddit.com/r/GERD/comments/gi9u88/drinking_water_before_bed_and_regurgitation/")</f>
        <v/>
      </c>
      <c r="G7160" t="inlineStr">
        <is>
          <t>2020-05-12 04:58:16</t>
        </is>
      </c>
      <c r="H7160" t="inlineStr"/>
    </row>
    <row r="7161">
      <c r="A7161" t="inlineStr">
        <is>
          <t>gia79x</t>
        </is>
      </c>
      <c r="B7161" t="inlineStr">
        <is>
          <t>Last day on PPI</t>
        </is>
      </c>
      <c r="C7161" t="inlineStr">
        <is>
          <t>So tomorrow, I start the day without PPI. It’s been a month on taking the meds 30 mins before me and I feel better than ever but I still have a bit symptoms lingering around like the acid taste in the mouth, popping ears and a bit of congested sinuses. What I’m afraid of is going back to the chest pains, headaches and all the other symptoms. GERD has definitely traumatized me. I’m afraid of getting off the PPIs.</t>
        </is>
      </c>
      <c r="D7161" t="n">
        <v>1</v>
      </c>
      <c r="E7161" t="n">
        <v>12</v>
      </c>
      <c r="F7161">
        <f>HYPERLINK("https://www.reddit.com/r/GERD/comments/gia79x/last_day_on_ppi/")</f>
        <v/>
      </c>
      <c r="G7161" t="inlineStr">
        <is>
          <t>2020-05-12 05:23:04</t>
        </is>
      </c>
      <c r="H7161" t="inlineStr"/>
    </row>
    <row r="7162">
      <c r="A7162" t="inlineStr">
        <is>
          <t>gialyq</t>
        </is>
      </c>
      <c r="B7162" t="inlineStr">
        <is>
          <t>Heartburn makes me gag ew</t>
        </is>
      </c>
      <c r="C7162" t="inlineStr">
        <is>
          <t>Why does your gag reflux go into overdrive during GERD? I don’t actually gag properly I just feel like something is in my chest and throat anyone else get that</t>
        </is>
      </c>
      <c r="D7162" t="n">
        <v>1</v>
      </c>
      <c r="E7162" t="n">
        <v>4</v>
      </c>
      <c r="F7162">
        <f>HYPERLINK("https://www.reddit.com/r/GERD/comments/gialyq/heartburn_makes_me_gag_ew/")</f>
        <v/>
      </c>
      <c r="G7162" t="inlineStr">
        <is>
          <t>2020-05-12 05:50:49</t>
        </is>
      </c>
      <c r="H7162" t="inlineStr"/>
    </row>
    <row r="7163">
      <c r="A7163" t="inlineStr">
        <is>
          <t>gicvzu</t>
        </is>
      </c>
      <c r="B7163" t="inlineStr">
        <is>
          <t>Worsening side effects while weaning off omeprazole?</t>
        </is>
      </c>
      <c r="C7163" t="inlineStr">
        <is>
          <t>24f. I've been dealing with gerd since I was 18-19 (at least what I remember). It was manageable until a few months ago when I'd get stomach pains very frequently, which I think were flare ups. I was still eating what I wanted and was kind of in denial I think. 
~3 months ago I started omeprazole, and it's time to wean off it now. It definitely helped, I've been able to eat what I want without much consequence. I've learned some of my triggers and have been working on staying away from those.
Here's my question: has anyone ever gotten worse side effects from omeprazole while weaning off? I'm going the every other day route since that's what my doctor suggested, but it's been giving me rebound reflux (going to start some pepcid to see if that helps control it). Not only that, but I've been noticing headaches a little more, I've been more gassy, dizzy, fatigued, and generally just not feeling great no matter how much I sleep. I also have an odd sore on my lip that looks like a pimple but I read omeprazole could possibly cause this. It's all just super weird since the only real side effect I noticed the past 3 months has been headaches (I also got a concussion in that time which contributed lol I'm a mess). 
I'm going to call my doctor if things don't get better in a couple weeks to see what my options are. I was thinking about switching to lowering my dose every day instead of doing every other day, but I just want to be off of it at this point. I've also been due to get an endoscopy but put it off out of fear and now I can't get one anyway because of covid. I honestly think it's just food related but who knows. 
Thanks for reading if you made it this far! I'm so thankful for this subreddit. I think my health anxiety would've killed me by now if I didn't have this resource.</t>
        </is>
      </c>
      <c r="D7163" t="n">
        <v>1</v>
      </c>
      <c r="E7163" t="n">
        <v>25</v>
      </c>
      <c r="F7163">
        <f>HYPERLINK("https://www.reddit.com/r/GERD/comments/gicvzu/worsening_side_effects_while_weaning_off/")</f>
        <v/>
      </c>
      <c r="G7163" t="inlineStr">
        <is>
          <t>2020-05-12 08:04:06</t>
        </is>
      </c>
      <c r="H7163" t="inlineStr"/>
    </row>
    <row r="7164">
      <c r="A7164" t="inlineStr">
        <is>
          <t>gidobf</t>
        </is>
      </c>
      <c r="B7164" t="inlineStr">
        <is>
          <t>Digestive Bitters?</t>
        </is>
      </c>
      <c r="C7164" t="inlineStr">
        <is>
          <t>Has anyone tried this?  and did it help?  Can't seem to find anything to help with food in chest feeling and sometimes burning too.  Any advice out there? and anyone else experience this?
Thanks for much</t>
        </is>
      </c>
      <c r="D7164" t="n">
        <v>1</v>
      </c>
      <c r="E7164" t="n">
        <v>1</v>
      </c>
      <c r="F7164">
        <f>HYPERLINK("https://www.reddit.com/r/GERD/comments/gidobf/digestive_bitters/")</f>
        <v/>
      </c>
      <c r="G7164" t="inlineStr">
        <is>
          <t>2020-05-12 08:44:42</t>
        </is>
      </c>
      <c r="H7164" t="inlineStr"/>
    </row>
    <row r="7165">
      <c r="A7165" t="inlineStr">
        <is>
          <t>giejqg</t>
        </is>
      </c>
      <c r="B7165" t="inlineStr">
        <is>
          <t>PPI Dosage Timing</t>
        </is>
      </c>
      <c r="C7165" t="inlineStr">
        <is>
          <t>Hello,
I am currently prescribed pantoprazole 40MG twice daily.
I take the first one around 8:00 AM and eat breakfast at 8:30 AM.
I have been taking the second one around 5 PM and eating around 5:30-6 PM.
&amp;amp;#x200B;
I am wondering if the timing if the second dose matters, or if anyone has any experience in what works best?
&amp;amp;#x200B;
I've been on it for a month today, and it is helping a bit</t>
        </is>
      </c>
      <c r="D7165" t="n">
        <v>1</v>
      </c>
      <c r="E7165" t="n">
        <v>9</v>
      </c>
      <c r="F7165">
        <f>HYPERLINK("https://www.reddit.com/r/GERD/comments/giejqg/ppi_dosage_timing/")</f>
        <v/>
      </c>
      <c r="G7165" t="inlineStr">
        <is>
          <t>2020-05-12 09:27:45</t>
        </is>
      </c>
      <c r="H7165" t="inlineStr"/>
    </row>
    <row r="7166">
      <c r="A7166" t="inlineStr">
        <is>
          <t>gif3dm</t>
        </is>
      </c>
      <c r="B7166" t="inlineStr">
        <is>
          <t>Left side of soft palate dry/ hurts...</t>
        </is>
      </c>
      <c r="C7166" t="inlineStr">
        <is>
          <t>Hey guys,
So I ate some candy like caramel chocolate (milk duds) and like some other candy before sleeping a day ago.( Stupid IK) When I woke yesterday morning it felt like the left side of my soft palate was dry and it felt so uncomfortable I had to drink water. Also I was laying flat without my head elevated and if I'm not mistaken I was lying on my left side. Today morning still the same feeling the left side of the roof of my mouth, its like its dry and if swallow my saliva it doesn't hurt much, like how a sore throat would normally.
Did anyone else experienced this? 
Could it be possible that I had acid flowing back up and hit my throat.
Please advise.
Thank you fellas</t>
        </is>
      </c>
      <c r="D7166" t="n">
        <v>1</v>
      </c>
      <c r="E7166" t="n">
        <v>0</v>
      </c>
      <c r="F7166">
        <f>HYPERLINK("https://www.reddit.com/r/GERD/comments/gif3dm/left_side_of_soft_palate_dry_hurts/")</f>
        <v/>
      </c>
      <c r="G7166" t="inlineStr">
        <is>
          <t>2020-05-12 09:54:57</t>
        </is>
      </c>
      <c r="H7166" t="inlineStr"/>
    </row>
    <row r="7167">
      <c r="A7167" t="inlineStr">
        <is>
          <t>gigota</t>
        </is>
      </c>
      <c r="B7167" t="inlineStr">
        <is>
          <t>Bitter taste</t>
        </is>
      </c>
      <c r="C7167" t="inlineStr">
        <is>
          <t>How do you get rid of the bitter taste and constant burning because right now I can’t get rid of it. I think  just stressed and worked myself up</t>
        </is>
      </c>
      <c r="D7167" t="n">
        <v>1</v>
      </c>
      <c r="E7167" t="n">
        <v>10</v>
      </c>
      <c r="F7167">
        <f>HYPERLINK("https://www.reddit.com/r/GERD/comments/gigota/bitter_taste/")</f>
        <v/>
      </c>
      <c r="G7167" t="inlineStr">
        <is>
          <t>2020-05-12 11:07:07</t>
        </is>
      </c>
      <c r="H7167" t="inlineStr"/>
    </row>
    <row r="7168">
      <c r="A7168" t="inlineStr">
        <is>
          <t>gigrl9</t>
        </is>
      </c>
      <c r="B7168" t="inlineStr">
        <is>
          <t>Diet food for LPR (thought it might be helpful)</t>
        </is>
      </c>
      <c r="C7168" t="inlineStr">
        <is>
          <t>[https://www.ktph.com.sg/uploads/1436256874Laryngopharyngeal%20Reflux%20(food%20advice)%20-%20English%20-%20ENT.TS.11.0914.pdf](https://www.ktph.com.sg/uploads/1436256874Laryngopharyngeal%20Reflux%20(food%20advice)%20-%20English%20-%20ENT.TS.11.0914.pdf)
Hi ya'll! Found this on the inter webs and thought I'd share. Hope its helpful to you!</t>
        </is>
      </c>
      <c r="D7168" t="n">
        <v>1</v>
      </c>
      <c r="E7168" t="n">
        <v>0</v>
      </c>
      <c r="F7168">
        <f>HYPERLINK("https://www.reddit.com/r/GERD/comments/gigrl9/diet_food_for_lpr_thought_it_might_be_helpful/")</f>
        <v/>
      </c>
      <c r="G7168" t="inlineStr">
        <is>
          <t>2020-05-12 11:10:30</t>
        </is>
      </c>
      <c r="H7168" t="inlineStr"/>
    </row>
    <row r="7169">
      <c r="A7169" t="inlineStr">
        <is>
          <t>gii1gv</t>
        </is>
      </c>
      <c r="B7169" t="inlineStr">
        <is>
          <t>Chest is sore, only symptom</t>
        </is>
      </c>
      <c r="C7169" t="inlineStr">
        <is>
          <t>Does anyone else have this issue? I rarely actually get “heartburn” even with GERD. It’s just as if my chest is always sore, what could this be from? Is it from food/acid coming up my throat?</t>
        </is>
      </c>
      <c r="D7169" t="n">
        <v>1</v>
      </c>
      <c r="E7169" t="n">
        <v>2</v>
      </c>
      <c r="F7169">
        <f>HYPERLINK("https://www.reddit.com/r/GERD/comments/gii1gv/chest_is_sore_only_symptom/")</f>
        <v/>
      </c>
      <c r="G7169" t="inlineStr">
        <is>
          <t>2020-05-12 12:09:12</t>
        </is>
      </c>
      <c r="H7169" t="inlineStr"/>
    </row>
    <row r="7170">
      <c r="A7170" t="inlineStr">
        <is>
          <t>gijc2n</t>
        </is>
      </c>
      <c r="B7170" t="inlineStr">
        <is>
          <t>What to take for headache?</t>
        </is>
      </c>
      <c r="C7170" t="inlineStr">
        <is>
          <t>I heard ibuprofen is bad. I have a caffeine headache cuz i cut coffee out. Is tylenol ok?</t>
        </is>
      </c>
      <c r="D7170" t="n">
        <v>1</v>
      </c>
      <c r="E7170" t="n">
        <v>2</v>
      </c>
      <c r="F7170">
        <f>HYPERLINK("https://www.reddit.com/r/GERD/comments/gijc2n/what_to_take_for_headache/")</f>
        <v/>
      </c>
      <c r="G7170" t="inlineStr">
        <is>
          <t>2020-05-12 13:12:20</t>
        </is>
      </c>
      <c r="H7170" t="inlineStr"/>
    </row>
    <row r="7171">
      <c r="A7171" t="inlineStr">
        <is>
          <t>gikzyb</t>
        </is>
      </c>
      <c r="B7171" t="inlineStr">
        <is>
          <t>Can't believe I've only just found this sub! Please help me out here.</t>
        </is>
      </c>
      <c r="C7171" t="inlineStr">
        <is>
          <t>Well, like everyone here, I have GERD or GORD as we say in the UK.
I have been on omeprazole for a loooong time but the past few months I fear it may have lost its effects on me.
I have acid reflux constantly and tried all the OTC meds and pretty much any home remedies that I've found (besides apple cider vinigear)
My relative, also has Gord, says that mixing toothpaste in warm-ish water and stirring very well makes a 'makeshift gaviscon' if you will.
I kinda get the idea, toothpaste is rich in calcium carbonate which is in most reflux meds.
Just want to know if anyone else has done this and how is it go?
TLDR does toothpaste cure acid reflux</t>
        </is>
      </c>
      <c r="D7171" t="n">
        <v>1</v>
      </c>
      <c r="E7171" t="n">
        <v>3</v>
      </c>
      <c r="F7171">
        <f>HYPERLINK("https://www.reddit.com/r/GERD/comments/gikzyb/cant_believe_ive_only_just_found_this_sub_please/")</f>
        <v/>
      </c>
      <c r="G7171" t="inlineStr">
        <is>
          <t>2020-05-12 14:36:28</t>
        </is>
      </c>
      <c r="H7171" t="inlineStr"/>
    </row>
    <row r="7172">
      <c r="A7172" t="inlineStr">
        <is>
          <t>gil3km</t>
        </is>
      </c>
      <c r="B7172" t="inlineStr">
        <is>
          <t>GERD feels like the beginning of food poisioning</t>
        </is>
      </c>
      <c r="C7172" t="inlineStr">
        <is>
          <t>Does anyone ever get GERD that feels like the early onset of food poisoning but goes away after 4-6 hours?</t>
        </is>
      </c>
      <c r="D7172" t="n">
        <v>1</v>
      </c>
      <c r="E7172" t="n">
        <v>0</v>
      </c>
      <c r="F7172">
        <f>HYPERLINK("https://www.reddit.com/r/GERD/comments/gil3km/gerd_feels_like_the_beginning_of_food_poisioning/")</f>
        <v/>
      </c>
      <c r="G7172" t="inlineStr">
        <is>
          <t>2020-05-12 14:41:47</t>
        </is>
      </c>
      <c r="H7172" t="inlineStr"/>
    </row>
    <row r="7173">
      <c r="A7173" t="inlineStr">
        <is>
          <t>gil94o</t>
        </is>
      </c>
      <c r="B7173" t="inlineStr">
        <is>
          <t>Issues with gerd</t>
        </is>
      </c>
      <c r="C7173" t="inlineStr">
        <is>
          <t>I was in the hospital in April for not being able to breathe good and chest pains and I was diagnosed with acid reflux/gerd I've been on ppi for a month and my symptoms are bad still have issues with breathing now I'm extra uneasy has me over thinking.... thinking I'm finna die and I have anxiety really bad I can't sleep a certain way and I don't wanna eat because I'm scared I've only drunk water what should I do my ppi makes me sick and weak and dizzy and it's to the point I'm not able to function with my kids how I use too and my anxiety is going into overdrive I have panic attacks more often now</t>
        </is>
      </c>
      <c r="D7173" t="n">
        <v>1</v>
      </c>
      <c r="E7173" t="n">
        <v>7</v>
      </c>
      <c r="F7173">
        <f>HYPERLINK("https://www.reddit.com/r/GERD/comments/gil94o/issues_with_gerd/")</f>
        <v/>
      </c>
      <c r="G7173" t="inlineStr">
        <is>
          <t>2020-05-12 14:50:08</t>
        </is>
      </c>
      <c r="H7173" t="inlineStr"/>
    </row>
    <row r="7174">
      <c r="A7174" t="inlineStr">
        <is>
          <t>gillw7</t>
        </is>
      </c>
      <c r="B7174" t="inlineStr">
        <is>
          <t>Anxiety? Or something else?</t>
        </is>
      </c>
      <c r="C7174" t="inlineStr">
        <is>
          <t>Hi everyone, I am new to reddit. I’ve posted my story on "askdocs" and "anxiety", but have not really gotten any response or feedback :( I tried my best to cut down my post and make it easy to read. 
**Physical Symptoms:**
My symptoms started about 7 weeks ago: constant nausea, weird feeling in my throat like the muscles are tight all the time, a bit of a dry cough, post nasal phlegm feeling in my throat, loss of appetite and in turn have lost a lot weight, dry mouth in the mornings, I also have had a consistent low grade fever usually between 99.2-99.8. I also developed some red spots on the roof of my mouth on April 15th and they have been coming and going since then (they don’t hurt). Also pregnancy has been ruled out with a blood test.
I've never had this type of weird nausea before, when it started at the end of March this year, it felt like a weird wave/pulsating sensation in my throat/far back nasal cavity that made me almost dry heave and feel very gaggy and nauseous. The nausea is not as intense as it was a few weeks ago now. I am starting to feel better for the first time during these past 7 weeks, but not at all recovered.
I’d like to add that i've had anxiety pretty much all of my adult life and I know what it feels like to have physical symptoms that are caused by my anxiety. I’ve experienced anxiety nausea before (the anxiety I describe above feels very different). 
**The doctors:**
I’ve seen two internal medicine doctors for these recent symptoms. First doctor presumed it was GERD and prescribed pepcid. I was skeptical of trying pepcid because I wasn't having classic heartburn. The third time I called this doc, her assistant spoke with me and told me the doc has already spoken with me multiple times regarding this issue and that if I don't want to try the medicine to get a second opinion from a different doc, (this was upsetting to hear that my doc did not want to speak with me) so I made an appt with a second doc per the request of my first original doc.
The second doctor presumed it to be more likely anxiety or LPR than GERD and told me not to take pepcid and try Tums instead. I never tried pepcid and finally worked up the courage to try Tums for 3 days and it didn’t do anything at all. I also ate at home and avoided acidic foods, but there was no change. 
When I told my doctor I dropped in weight as low as 88lbs (originally 100lbs 7 weeks ago, height 4’11”), she ordered blood work to be done and a chest x ray. They all came back clear and normal, but the thermometers at the clinic entrance read I had a fever and I ended up having to wait 10min for my temp to go down below 100.4 for them to let me in. I mentioned this to my doctor and she referred me to get tested for COVID-19 this past Thursday (5/7/20) (that test came back negative).
Throughout the 7 weeks, I spoke with this second doctor 5 times and my last appt with her was on 5/8/20, where she called me 10min early for the appt (So I wasn’t expecting her quite yet) and I was in the bathroom when she called and told her I'm in the bathroom if I can mute her for 1min lol She said “sorry I have a full schedule today” and hung up on me.. without rescheduling or anything.. and she called me 10min early! I felt very unimportant.
It affected me a lot. I started crying because I felt like the doctors I have spoken to were not taking me seriously. I ended calling the front desk and told them what happened and they scheduled me an appt with another doc, but my doc ended up calling me back instead!... I was freaking out because I was still crying a bit when I answered the phone and she said that the way I reacted to her hanging up the phone is not a “normal response”..and that she believes everything I’ve been feeling has been psychological. She said the symptoms that I am feeling are real, but they are being caused by my anxiety….I felt like I was backed into a wall and I couldn’t say anything. It was a tough phone call.
I completely understand that anxiety can cause debilitating physical symptoms, and if what I have been experiencing these past 7 weeks is just anxiety alone, I don’t believe my doctor handled the situation very well...Part of me is trying my hardest to get on board with the anxiety diagnosis, but I truly believe that my anxiety alone is not causing this. I know my body and I know my anxiety pretty well. Things don’t add up..Something isn’t right, but doctors don’t seem to hear me and I feel labeled because of the GAD that I have marked on my health record..
**Positives:**
However, the positive thing is that I think I am starting to finally kick whatever I had these past 7 weeks (I hope). The food I am eating now is healthier. I am realizing that I may need to start focusing on healing and not so much on the diagnosis. The mental health therapist I spoke with believes I should get a second opinion from a different doctor and that if what I am experiencing is anxiety alone, then it is categorized as severe because of the weight loss, etc. This is why the therapist recommended an intensive outpatient therapy program (IOP) for the next 2-3 weeks.
Thank you for reading :)</t>
        </is>
      </c>
      <c r="D7174" t="n">
        <v>1</v>
      </c>
      <c r="E7174" t="n">
        <v>11</v>
      </c>
      <c r="F7174">
        <f>HYPERLINK("https://www.reddit.com/r/GERD/comments/gillw7/anxiety_or_something_else/")</f>
        <v/>
      </c>
      <c r="G7174" t="inlineStr">
        <is>
          <t>2020-05-12 15:09:11</t>
        </is>
      </c>
      <c r="H7174" t="inlineStr"/>
    </row>
    <row r="7175">
      <c r="A7175" t="inlineStr">
        <is>
          <t>gilz2e</t>
        </is>
      </c>
      <c r="B7175" t="inlineStr">
        <is>
          <t>Running with GERD + when is the time for another doctor check in</t>
        </is>
      </c>
      <c r="C7175" t="inlineStr">
        <is>
          <t>So I was diagnosed with GERD about 7 years ago (technically when I was a baby but after infancy it didn’t become a problem again until about high school age). I was on pantoprazole for about two years and then Dexilant for another three years. I have been medication free for about two years. My symptoms are fairly mild, worse than someone without GERD when they eat typical “trigger” foods but not nearly as bad as it once was (horrible nausea with any food). I enjoy pizza and burgers probably at least once a week and even indulge in super greasy food once and a while. They cause symptoms for a couple of hours/to the end of the day but nothing terrible beyond some nausea and reflux. I’ve cut out most alcohol and only drink small doses of caffeine which I usually do well with. 
My biggest issues are that I have to exercise because I’m in the military and in a year I’ll be tested on physical fitness, specifically running and ab work which are my two biggest triggers while exercising. I was training before COVID on the treadmill and really struggled to run without feeling absolutely horrible. I finally ran a mile without walking (I need to run two in 20 minutes to pass my PT test) and I almost puked afterwards. I know it’s best to do it when you haven’t had food but if I go first thing in the morning I get light headed and if I go later in the day I still get symptoms. Any tips for fighting the running induced reflux besides just powering through? 
Also unrelated to running but I haven’t had an endoscopy since my initial diagnosis 7 years ago and haven’t had any GI intervention for a few years either. Is there a point at which I should go back and get scoped again or just check in with a GI to see what they think? I’m 22 and relatively healthy beyond my GERD but don’t want to risk missing a hernia, ulcer, or Barrett’s esophagus.</t>
        </is>
      </c>
      <c r="D7175" t="n">
        <v>1</v>
      </c>
      <c r="E7175" t="n">
        <v>0</v>
      </c>
      <c r="F7175">
        <f>HYPERLINK("https://www.reddit.com/r/GERD/comments/gilz2e/running_with_gerd_when_is_the_time_for_another/")</f>
        <v/>
      </c>
      <c r="G7175" t="inlineStr">
        <is>
          <t>2020-05-12 15:29:06</t>
        </is>
      </c>
      <c r="H7175" t="inlineStr"/>
    </row>
    <row r="7176">
      <c r="A7176" t="inlineStr">
        <is>
          <t>ginhap</t>
        </is>
      </c>
      <c r="B7176" t="inlineStr">
        <is>
          <t>Lump in throar sensation? Try this!</t>
        </is>
      </c>
      <c r="C7176" t="inlineStr">
        <is>
          <t>I have had GERD for quite some time and have controlled it mostly with PPI's staying alert for trigger foods, however in the last 4 weeks i have developed the irritating sensations of having a lump in my throat, feels like i need to clear my throat all the dam time.
Anyway to cut to the chase i came across the following video of a massage in the throat area , it really eased the feeling of the lump in the throat id urge you to give it try especially if your quite sure anxiety is enhancing the sensation
[lump in throat](https://youtu.be/rMoj1vdMPlo)
The tutorial is after about 11 minites.
It doesnt stop GERD or anything but i found it so useful for the panic. 
Let me know how you get on</t>
        </is>
      </c>
      <c r="D7176" t="n">
        <v>1</v>
      </c>
      <c r="E7176" t="n">
        <v>14</v>
      </c>
      <c r="F7176">
        <f>HYPERLINK("https://www.reddit.com/r/GERD/comments/ginhap/lump_in_throar_sensation_try_this/")</f>
        <v/>
      </c>
      <c r="G7176" t="inlineStr">
        <is>
          <t>2020-05-12 16:52:51</t>
        </is>
      </c>
      <c r="H7176" t="inlineStr"/>
    </row>
    <row r="7177">
      <c r="A7177" t="inlineStr">
        <is>
          <t>ginxr6</t>
        </is>
      </c>
      <c r="B7177" t="inlineStr">
        <is>
          <t>Is this gerd or hiatal hernia please help</t>
        </is>
      </c>
      <c r="C7177" t="inlineStr">
        <is>
          <t>•acid reflux attack (not having heartburn at all times, just trouble swallowing, wheezing, burping, and nausaeted) for a week then it’s gone for 3 weeks then another attack again for a week 
•i got this weird feeling of pressure or tight stomach/ lump in a stomach but there’s no pain when i lay down at night
•i get symptomatic when doing diaphragmatic breathing</t>
        </is>
      </c>
      <c r="D7177" t="n">
        <v>1</v>
      </c>
      <c r="E7177" t="n">
        <v>1</v>
      </c>
      <c r="F7177">
        <f>HYPERLINK("https://www.reddit.com/r/GERD/comments/ginxr6/is_this_gerd_or_hiatal_hernia_please_help/")</f>
        <v/>
      </c>
      <c r="G7177" t="inlineStr">
        <is>
          <t>2020-05-12 17:19:26</t>
        </is>
      </c>
      <c r="H7177" t="inlineStr"/>
    </row>
    <row r="7178">
      <c r="A7178" t="inlineStr">
        <is>
          <t>ginz5o</t>
        </is>
      </c>
      <c r="B7178" t="inlineStr">
        <is>
          <t>new at this! could use some advice</t>
        </is>
      </c>
      <c r="C7178" t="inlineStr">
        <is>
          <t>hi guys! I’m a 20 year old female, 4 days ago i started suffering from strange chest and abdominal pain, so today I went to the doctor and they told me I have Esophagitis :( they didn’t ask for any tests, they just valued my symptoms and listened to my chest and abdomen with a stethoscope and gave me that diagnosis. I’m gonna be 15 days on omeprazol and magaldrate, and some paracetamol for the chest discomfort.  Im not even sure if esophagitis is the same as GERD? I looked it up and sometimes they appear as synonyms. 
Anyways I just wanted to ask for some advice, also reassurance that my symptoms are normal. Sometimes I have abdominal pain but the chest one is really annoying, it’s like a tension/pressure that can sometimes bring a very light cough. I’ve totally cut caffeine, alcohol and spicy stuff since my symptoms started, but is there anything else u guys suggest I should cut off? Any advice is appreciated :) I’m just a little anxious and want to get over this as soon and as best as I can
Thank u for reading!</t>
        </is>
      </c>
      <c r="D7178" t="n">
        <v>1</v>
      </c>
      <c r="E7178" t="n">
        <v>1</v>
      </c>
      <c r="F7178">
        <f>HYPERLINK("https://www.reddit.com/r/GERD/comments/ginz5o/new_at_this_could_use_some_advice/")</f>
        <v/>
      </c>
      <c r="G7178" t="inlineStr">
        <is>
          <t>2020-05-12 17:21:35</t>
        </is>
      </c>
      <c r="H7178" t="inlineStr"/>
    </row>
    <row r="7179">
      <c r="A7179" t="inlineStr">
        <is>
          <t>gip1jt</t>
        </is>
      </c>
      <c r="B7179" t="inlineStr">
        <is>
          <t>Has anyone experienced burning sensations in the abdomen only after eating?</t>
        </is>
      </c>
      <c r="C7179" t="inlineStr">
        <is>
          <t>I've been experiencing them for a couple of days now. I feel it esepcially when I go to sleep at night (I definitely don't go to bed right after eating either). Is there any way to reduce this kinda feeling? I've been taking PPI for the last 3 months. It's been going fine until this last week or so that I've felt this way. 😔</t>
        </is>
      </c>
      <c r="D7179" t="n">
        <v>1</v>
      </c>
      <c r="E7179" t="n">
        <v>5</v>
      </c>
      <c r="F7179">
        <f>HYPERLINK("https://www.reddit.com/r/GERD/comments/gip1jt/has_anyone_experienced_burning_sensations_in_the/")</f>
        <v/>
      </c>
      <c r="G7179" t="inlineStr">
        <is>
          <t>2020-05-12 18:24:44</t>
        </is>
      </c>
      <c r="H7179" t="inlineStr"/>
    </row>
    <row r="7180">
      <c r="A7180" t="inlineStr">
        <is>
          <t>gipkfi</t>
        </is>
      </c>
      <c r="B7180" t="inlineStr">
        <is>
          <t>Bravo capsule pain?</t>
        </is>
      </c>
      <c r="C7180" t="inlineStr">
        <is>
          <t>I had my endoscopy yesterday and they implanted the Bravo capsule on my esophagus. It is so uncomfortable in my chest and slightly painful when swallowing. I can definitely feel it there when I eat. How long does it take to detach? Is there anything I can do to encourage it to detach once the 48 hours of monitoring is up tomorrow?</t>
        </is>
      </c>
      <c r="D7180" t="n">
        <v>1</v>
      </c>
      <c r="E7180" t="n">
        <v>7</v>
      </c>
      <c r="F7180">
        <f>HYPERLINK("https://www.reddit.com/r/GERD/comments/gipkfi/bravo_capsule_pain/")</f>
        <v/>
      </c>
      <c r="G7180" t="inlineStr">
        <is>
          <t>2020-05-12 18:57:01</t>
        </is>
      </c>
      <c r="H7180" t="inlineStr"/>
    </row>
    <row r="7181">
      <c r="A7181" t="inlineStr">
        <is>
          <t>gipxvt</t>
        </is>
      </c>
      <c r="B7181" t="inlineStr">
        <is>
          <t>Bubbly feeling in throat</t>
        </is>
      </c>
      <c r="C7181" t="inlineStr">
        <is>
          <t>So I was recently diagnosed with GERD. My doctor has me on Prilosec right now which has been fine. I still throw up occasionally but I can mostly keep my food down. However I have this nearly constant feeling of like bubbles in my throat? It doesn’t burn or anything it’s just annoying. Does anyone else have this? How do I make it stop or will it go away when I’m off Prilosec?</t>
        </is>
      </c>
      <c r="D7181" t="n">
        <v>1</v>
      </c>
      <c r="E7181" t="n">
        <v>1</v>
      </c>
      <c r="F7181">
        <f>HYPERLINK("https://www.reddit.com/r/GERD/comments/gipxvt/bubbly_feeling_in_throat/")</f>
        <v/>
      </c>
      <c r="G7181" t="inlineStr">
        <is>
          <t>2020-05-12 19:20:27</t>
        </is>
      </c>
      <c r="H7181" t="inlineStr"/>
    </row>
    <row r="7182">
      <c r="A7182" t="inlineStr">
        <is>
          <t>gir9qg</t>
        </is>
      </c>
      <c r="B7182" t="inlineStr">
        <is>
          <t>Lots of phlegm in throat &amp;amp; hacked my throat raw</t>
        </is>
      </c>
      <c r="C7182" t="inlineStr">
        <is>
          <t>Does this happen to anyone else?! I have had so much phlegm (from what I believe is a combination of gerd &amp;amp; allergies and it’s NOT fun!!) I coughed up so much phlegm that now my throat feels raw, kinda like I swallowed something super sharp, it’s horrible. 
Anyone have any suggestions on how to soothe the throat pain (or get rid of phlegm??) Has anyone ever done this or am I alone!? :(
***allergic to most Allergy meds, so that’s ruled out, &amp;amp; currently on PPIs - have been for 8 years.</t>
        </is>
      </c>
      <c r="D7182" t="n">
        <v>1</v>
      </c>
      <c r="E7182" t="n">
        <v>2</v>
      </c>
      <c r="F7182">
        <f>HYPERLINK("https://www.reddit.com/r/GERD/comments/gir9qg/lots_of_phlegm_in_throat_hacked_my_throat_raw/")</f>
        <v/>
      </c>
      <c r="G7182" t="inlineStr">
        <is>
          <t>2020-05-12 20:46:37</t>
        </is>
      </c>
      <c r="H7182" t="inlineStr"/>
    </row>
    <row r="7183">
      <c r="A7183" t="inlineStr">
        <is>
          <t>girvap</t>
        </is>
      </c>
      <c r="B7183" t="inlineStr">
        <is>
          <t>Stopping PPIs after 20+ years!</t>
        </is>
      </c>
      <c r="C7183" t="inlineStr">
        <is>
          <t>So my doctor and I decided i need to stop my PPIs after over 20 years of taking them twice a day due to my malabsorption issues I have now. Apparently this happens when you are on them for extreme length of time. I don’t absorb any vitamins and minerals or food anymore so I gain weight have to take tons of supplements and vitamins with digestive enzymes and get IVs. So hence I’m stopping PPIs so see if my body will recover and I can absorb nutrients again. Does anyone have experience with this? How long does it take? Is the damage even reversible?</t>
        </is>
      </c>
      <c r="D7183" t="n">
        <v>1</v>
      </c>
      <c r="E7183" t="n">
        <v>3</v>
      </c>
      <c r="F7183">
        <f>HYPERLINK("https://www.reddit.com/r/GERD/comments/girvap/stopping_ppis_after_20_years/")</f>
        <v/>
      </c>
      <c r="G7183" t="inlineStr">
        <is>
          <t>2020-05-12 21:26:47</t>
        </is>
      </c>
      <c r="H7183" t="inlineStr"/>
    </row>
    <row r="7184">
      <c r="A7184" t="inlineStr">
        <is>
          <t>girx6l</t>
        </is>
      </c>
      <c r="B7184" t="inlineStr">
        <is>
          <t>Connection between GERD &amp;amp; Seasonal Allergies?</t>
        </is>
      </c>
      <c r="C7184" t="inlineStr">
        <is>
          <t>Hello! I was just wondering if anyone knew whether increased seasonal allergies may cause GERD flairs? 
I have been successfully managing my GERD the last 6 months with 40mg omeprazole daily and change and diet. Up until this past friday, I have been basically symptom free for 2.5 months. All of a sudden my spring allergies with the peak of allergy season arriving has gotten significantly worse, and for the first time in 6 months I am experiencing my worst GERD symptoms (shortness of breath, chest pressure, heart clenching feeling, dry coughing) and a new symptom (severe pangs of pain in my stomach). My fiance who suffers from spring allergies and GERD has noticed the same thing the last few days. 
Is it  possible that spring allergies can cause your GERD to suddenly worsen. I suspect I have post nasal drip which is not helping, but I feel so lost now that the GERD symptoms are back. I can't think of another reason why my omeprazole would suddenly stop working.</t>
        </is>
      </c>
      <c r="D7184" t="n">
        <v>1</v>
      </c>
      <c r="E7184" t="n">
        <v>13</v>
      </c>
      <c r="F7184">
        <f>HYPERLINK("https://www.reddit.com/r/GERD/comments/girx6l/connection_between_gerd_seasonal_allergies/")</f>
        <v/>
      </c>
      <c r="G7184" t="inlineStr">
        <is>
          <t>2020-05-12 21:30:25</t>
        </is>
      </c>
      <c r="H7184" t="inlineStr"/>
    </row>
    <row r="7185">
      <c r="A7185" t="inlineStr">
        <is>
          <t>gisf0p</t>
        </is>
      </c>
      <c r="B7185" t="inlineStr">
        <is>
          <t>Elevated Head</t>
        </is>
      </c>
      <c r="C7185" t="inlineStr">
        <is>
          <t>I’m trying to get a handle on my LPR and from my time here the only time I’ve seen comments about elevating the head of the bed they’ve been negative.
I’m curious, for those who have systematically assessed what has worked and what hasn’t, do you recommend elevation? And if so, what height worked? Any products or companies you’d recommend?</t>
        </is>
      </c>
      <c r="D7185" t="n">
        <v>1</v>
      </c>
      <c r="E7185" t="n">
        <v>6</v>
      </c>
      <c r="F7185">
        <f>HYPERLINK("https://www.reddit.com/r/GERD/comments/gisf0p/elevated_head/")</f>
        <v/>
      </c>
      <c r="G7185" t="inlineStr">
        <is>
          <t>2020-05-12 22:05:45</t>
        </is>
      </c>
      <c r="H7185" t="inlineStr"/>
    </row>
    <row r="7186">
      <c r="A7186" t="inlineStr">
        <is>
          <t>gisznr</t>
        </is>
      </c>
      <c r="B7186" t="inlineStr">
        <is>
          <t>Blood when I spit in the morning</t>
        </is>
      </c>
      <c r="C7186" t="inlineStr">
        <is>
          <t>Who else spit out little tiny blood in the morning? It happens maybe 3/week and it goes away soon after.</t>
        </is>
      </c>
      <c r="D7186" t="n">
        <v>1</v>
      </c>
      <c r="E7186" t="n">
        <v>9</v>
      </c>
      <c r="F7186">
        <f>HYPERLINK("https://www.reddit.com/r/GERD/comments/gisznr/blood_when_i_spit_in_the_morning/")</f>
        <v/>
      </c>
      <c r="G7186" t="inlineStr">
        <is>
          <t>2020-05-12 22:48:22</t>
        </is>
      </c>
      <c r="H7186" t="inlineStr"/>
    </row>
    <row r="7187">
      <c r="A7187" t="inlineStr">
        <is>
          <t>gitzij</t>
        </is>
      </c>
      <c r="B7187" t="inlineStr">
        <is>
          <t>Quarantine flare up</t>
        </is>
      </c>
      <c r="C7187" t="inlineStr">
        <is>
          <t>I am one of the few who is lucky enough to have less severe symptoms and more LPR. Since quarantine I have been eating a lot of things I shouldn’t be because I’m at home with my family. Even drinking wine way more than I ever would. 
It’s starting to get pretty bad again, getting my dry cough, my throat feels inflamed, post nasal drip and a bit of regurg at night. I think it’s time to go back on the Pepcid for a week and try to get back to avoiding triggers</t>
        </is>
      </c>
      <c r="D7187" t="n">
        <v>1</v>
      </c>
      <c r="E7187" t="n">
        <v>4</v>
      </c>
      <c r="F7187">
        <f>HYPERLINK("https://www.reddit.com/r/GERD/comments/gitzij/quarantine_flare_up/")</f>
        <v/>
      </c>
      <c r="G7187" t="inlineStr">
        <is>
          <t>2020-05-13 00:07:16</t>
        </is>
      </c>
      <c r="H7187" t="inlineStr"/>
    </row>
    <row r="7188">
      <c r="A7188" t="inlineStr">
        <is>
          <t>giv0va</t>
        </is>
      </c>
      <c r="B7188" t="inlineStr">
        <is>
          <t>Symptoms worsen after taking PPIs.</t>
        </is>
      </c>
      <c r="C7188" t="inlineStr">
        <is>
          <t>Here is my story:</t>
        </is>
      </c>
      <c r="D7188" t="n">
        <v>1</v>
      </c>
      <c r="E7188" t="n">
        <v>0</v>
      </c>
      <c r="F7188">
        <f>HYPERLINK("https://www.reddit.com/r/GERD/comments/giv0va/symptoms_worsen_after_taking_ppis/")</f>
        <v/>
      </c>
      <c r="G7188" t="inlineStr">
        <is>
          <t>2020-05-13 01:30:41</t>
        </is>
      </c>
      <c r="H7188" t="inlineStr"/>
    </row>
    <row r="7189">
      <c r="A7189" t="inlineStr">
        <is>
          <t>givkgu</t>
        </is>
      </c>
      <c r="B7189" t="inlineStr">
        <is>
          <t>Symptoms get worse after taking PPIs (pantoprozale 40mg) twice a day (Urgent)</t>
        </is>
      </c>
      <c r="C7189" t="inlineStr">
        <is>
          <t>Here is my story:
        Recently, I have some back pain, neck pain and chest tightness. And I have some numbness on my chest and also some swallowing difficulties at the same time. The day after these symptoms appeared. My throat started generated some white formy bubbles that I needed to spit it out. And my mouth also producing lots of saliva. And even some breathing difficulties.
          2 days later, I can't stand with it. And I went to the ER room. They did lots of examination on my chest, stomach and heart ECG, x-ways. And they check up with my nose and throat. The results come out is reassuring I am not having a emergency. And they sent me as a referral case to the GI department and tell me to take fa. My primary care provider contacted me the next days after my ER visit. And I made an appointment the same day. 
     My doctor said I maybe got some anxiety problem. And prescribed me with nortriptyline and some ibuprofen. Took it around a week. And I started developed the side effect of it. My doctor said I should stop taking it. The follow up visit said I got some allegic rhinitis. And I got prescribed with cetrizine. Few days after the treatment, got dizziness issue and then stopped the medicine.
     Next day, the GI department contact me and conduct a online appointment. The doctor think my symptoms are largely caused by g.e.r.d. I should take the pantoprozale 40mg twice a day, one before breakfast, one before dinner.
      After a week. Just now, my symptoms got worse. I started to have an urge to vomit up some white formy bubbles and my mouth is producing excessive amount of salvia. And I also got some numbness around my chest. My stomach are stuffy. Not sure is that the side effects of the pantoprozale or I don't even have g.e.r.d? I heard taking PPIs will cause B12 deficiency. Is that related to my symptoms? Might be the PPIs causing ndigestion? My muscle between the lungs and the stomach are having spasms. I'm tired to breath in since the muscle strain.
I also know the PPIs will cause some delay in stomach. It makes me wonder it might not actually the acid reflux issue, might be I have some nerve and spine problems? But the X-ways and CT scan can't find anything abnormal. Have anyone experienced this before?
TLDR: I just went to the bathroom and spit out those white formy again. I started to have some wheezing breathing sounds when I inhale and experiencing some kind of breathing issue. I already send out the stopping request on pantoprozale to my doctor.</t>
        </is>
      </c>
      <c r="D7189" t="n">
        <v>1</v>
      </c>
      <c r="E7189" t="n">
        <v>2</v>
      </c>
      <c r="F7189">
        <f>HYPERLINK("https://www.reddit.com/r/GERD/comments/givkgu/symptoms_get_worse_after_taking_ppis_pantoprozale/")</f>
        <v/>
      </c>
      <c r="G7189" t="inlineStr">
        <is>
          <t>2020-05-13 02:16:11</t>
        </is>
      </c>
      <c r="H7189" t="inlineStr"/>
    </row>
    <row r="7190">
      <c r="A7190" t="inlineStr">
        <is>
          <t>gixkw6</t>
        </is>
      </c>
      <c r="B7190" t="inlineStr">
        <is>
          <t>I have bad panic attacks from GERD</t>
        </is>
      </c>
      <c r="C7190" t="inlineStr">
        <is>
          <t>So my anxiety is really heightened by GERD. I have suffered from GERD a while now since January and I’m on 20mg of omeprazole. I take it nearly everyday. More days on then off, so I had three weeks off work with major panic attacks. I went back on Saturday and was fine but then Sunday I started having a horrible taste in my mouth and lump in my throat. At first I thought it was just dairy intolerance because i know dairy can make you have a horrid taste in your mouth. But it’s been four days now of constant burning in my throat and crappy taste in my mouth. That now I’m starting to develop some bad panic attacks because the GERD is making me proper uncomfortable as I feel like it’s gonna make me sick. (Phobia of being sick aswell) 
Does anyone get heightened anxiety from GERD and then the GERD makes the anxiety worse?</t>
        </is>
      </c>
      <c r="D7190" t="n">
        <v>1</v>
      </c>
      <c r="E7190" t="n">
        <v>27</v>
      </c>
      <c r="F7190">
        <f>HYPERLINK("https://www.reddit.com/r/GERD/comments/gixkw6/i_have_bad_panic_attacks_from_gerd/")</f>
        <v/>
      </c>
      <c r="G7190" t="inlineStr">
        <is>
          <t>2020-05-13 04:55:23</t>
        </is>
      </c>
      <c r="H7190" t="inlineStr"/>
    </row>
    <row r="7191">
      <c r="A7191" t="inlineStr">
        <is>
          <t>gj0y8k</t>
        </is>
      </c>
      <c r="B7191" t="inlineStr">
        <is>
          <t>Following acid watchers diet for 3 weeks now and still have LPR symptoms</t>
        </is>
      </c>
      <c r="C7191" t="inlineStr">
        <is>
          <t>Following Dr Aviv's acid watchers diet for 3 weeks now and I still get the feeling like something is stuck in my throat after eating. I have to reach for gaviscon advanced to get relief then and to stop me from clearing my throat. Wondering if anyone else has had similar issues.</t>
        </is>
      </c>
      <c r="D7191" t="n">
        <v>1</v>
      </c>
      <c r="E7191" t="n">
        <v>2</v>
      </c>
      <c r="F7191">
        <f>HYPERLINK("https://www.reddit.com/r/GERD/comments/gj0y8k/following_acid_watchers_diet_for_3_weeks_now_and/")</f>
        <v/>
      </c>
      <c r="G7191" t="inlineStr">
        <is>
          <t>2020-05-13 08:14:19</t>
        </is>
      </c>
      <c r="H7191" t="inlineStr"/>
    </row>
    <row r="7192">
      <c r="A7192" t="inlineStr">
        <is>
          <t>gj1qx1</t>
        </is>
      </c>
      <c r="B7192" t="inlineStr">
        <is>
          <t>Does anyone know how to heal the les naturally?</t>
        </is>
      </c>
      <c r="C7192" t="inlineStr">
        <is>
          <t>I have been having gerd/gastritis for almost a year. I have been able to tolerate more foods but it seems I always can feel acid or liquid going into my esophagus. I originally have these problems because I kept taking pain killers. I also have a lot of anxiety. I have never gotten an endoscopy and my doctors think I’m too young to get one. I would like to know how to fix the les without having to do surgery.</t>
        </is>
      </c>
      <c r="D7192" t="n">
        <v>1</v>
      </c>
      <c r="E7192" t="n">
        <v>6</v>
      </c>
      <c r="F7192">
        <f>HYPERLINK("https://www.reddit.com/r/GERD/comments/gj1qx1/does_anyone_know_how_to_heal_the_les_naturally/")</f>
        <v/>
      </c>
      <c r="G7192" t="inlineStr">
        <is>
          <t>2020-05-13 08:58:11</t>
        </is>
      </c>
      <c r="H7192" t="inlineStr"/>
    </row>
    <row r="7193">
      <c r="A7193" t="inlineStr">
        <is>
          <t>gj207q</t>
        </is>
      </c>
      <c r="B7193" t="inlineStr">
        <is>
          <t>Vibration/rattling in chest when inhaling deeply?</t>
        </is>
      </c>
      <c r="C7193" t="inlineStr">
        <is>
          <t>I have this once a night after Ive been sleeping a few hours but can only feel it whwn I take a very deep breath (like when yawning). Has anyone ever experience this? I dont have a cough. Thanks!</t>
        </is>
      </c>
      <c r="D7193" t="n">
        <v>1</v>
      </c>
      <c r="E7193" t="n">
        <v>14</v>
      </c>
      <c r="F7193">
        <f>HYPERLINK("https://www.reddit.com/r/GERD/comments/gj207q/vibrationrattling_in_chest_when_inhaling_deeply/")</f>
        <v/>
      </c>
      <c r="G7193" t="inlineStr">
        <is>
          <t>2020-05-13 09:10:54</t>
        </is>
      </c>
      <c r="H7193" t="inlineStr"/>
    </row>
    <row r="7194">
      <c r="A7194" t="inlineStr">
        <is>
          <t>gj2123</t>
        </is>
      </c>
      <c r="B7194" t="inlineStr">
        <is>
          <t>GERD friendly meal plan</t>
        </is>
      </c>
      <c r="C7194" t="inlineStr">
        <is>
          <t>Anybody has GERD friendly meal plans/recipes,but not some papaya/bat ears/snake legs exotic stuff,rather regular food I can cook at home and buy at my local store?</t>
        </is>
      </c>
      <c r="D7194" t="n">
        <v>1</v>
      </c>
      <c r="E7194" t="n">
        <v>3</v>
      </c>
      <c r="F7194">
        <f>HYPERLINK("https://www.reddit.com/r/GERD/comments/gj2123/gerd_friendly_meal_plan/")</f>
        <v/>
      </c>
      <c r="G7194" t="inlineStr">
        <is>
          <t>2020-05-13 09:12:03</t>
        </is>
      </c>
      <c r="H7194" t="inlineStr"/>
    </row>
    <row r="7195">
      <c r="A7195" t="inlineStr">
        <is>
          <t>gj2t3t</t>
        </is>
      </c>
      <c r="B7195" t="inlineStr">
        <is>
          <t>7 days of full night sleeping. Anti-histamine!</t>
        </is>
      </c>
      <c r="C7195" t="inlineStr">
        <is>
          <t>Heartburn since 15, I am 28 now. Worst problem, waking up with strong heartburn in the middle of the night. Tried all common medications, nothing has worked never. 
I started taking desloratadine 2 weeks ago for stuffy nose (doctor prescribed it for aparent allergy).
I have been sleeping full night for a week, I don't remember a record like that since this started. I barely feel heartburn in the day and here I am writing without a stuffy nose and barely feeling my stomach. 
I don't know the logic of this or if it just luck and heartburn will come back as hard as always later. But I will keep taking desloratadine daily while I feel this improvement.
Wanted to share with you because I am exited and maybe some disturbed soul could give this a shot (I am not a doctor or anything, consult first please). 
I will let the time goes and see and maybe update this after some more time. Sorry if my english is not perfect (not my native language) and if the post is not very well written, just wanted to share as soon as possible. (I actually wrote it twice because it looked too long the first time and now is longer lol...) 
Good luck for everyone!</t>
        </is>
      </c>
      <c r="D7195" t="n">
        <v>1</v>
      </c>
      <c r="E7195" t="n">
        <v>1</v>
      </c>
      <c r="F7195">
        <f>HYPERLINK("https://www.reddit.com/r/GERD/comments/gj2t3t/7_days_of_full_night_sleeping_antihistamine/")</f>
        <v/>
      </c>
      <c r="G7195" t="inlineStr">
        <is>
          <t>2020-05-13 09:50:40</t>
        </is>
      </c>
      <c r="H7195" t="inlineStr"/>
    </row>
    <row r="7196">
      <c r="A7196" t="inlineStr">
        <is>
          <t>gj3bre</t>
        </is>
      </c>
      <c r="B7196" t="inlineStr">
        <is>
          <t>Gaviscon advance makes me feel normal again....why? Idk....</t>
        </is>
      </c>
      <c r="C7196" t="inlineStr">
        <is>
          <t>After hearing how the uk version of this product has more of the secret sauce as compared to the US version, I ended up ordering a 6 pack of this stuff. I have been suffering for years from anxiety, chest pains,, elevated or more pronounced heart beating after eating, ear fullness and itching, last but not least unexplained mucus production while eating. I was diagnosed with gerd and given a ppi but it didn't do anything. I just learned to live with the random chest pains and learned how to calm myself down when I felt anxiety creep in on me. After chewing two of these tablets before I go to bed I wake up feeling great. My anxiety is gone. I honestly think its protecting my vagus nerve from being irritated if thats even possible. My theory is, in order for something to heal you have to remove what's causing the inflammation, so maybe the protective coating this is giving me, is  finally allowing my body to heal. It could all be in my brain though, but considering how at this very moment I'm trying to consciously listen for my bounding heartbeat......for the first time in 7 years.....i can't tell that its there.</t>
        </is>
      </c>
      <c r="D7196" t="n">
        <v>1</v>
      </c>
      <c r="E7196" t="n">
        <v>32</v>
      </c>
      <c r="F7196">
        <f>HYPERLINK("https://www.reddit.com/r/GERD/comments/gj3bre/gaviscon_advance_makes_me_feel_normal_againwhy_idk/")</f>
        <v/>
      </c>
      <c r="G7196" t="inlineStr">
        <is>
          <t>2020-05-13 10:20:10</t>
        </is>
      </c>
      <c r="H7196" t="inlineStr"/>
    </row>
    <row r="7197">
      <c r="A7197" t="inlineStr">
        <is>
          <t>gj3h0k</t>
        </is>
      </c>
      <c r="B7197" t="inlineStr">
        <is>
          <t>What would happen if I stop taking PPIs?</t>
        </is>
      </c>
      <c r="C7197" t="inlineStr">
        <is>
          <t>I'm taking it for like a week or so. What would happen if I stop taking it. Or just my condition is acceptable for me to stop it or my doctor tell me so?
Would I have some stomach acid production rebound?</t>
        </is>
      </c>
      <c r="D7197" t="n">
        <v>1</v>
      </c>
      <c r="E7197" t="n">
        <v>2</v>
      </c>
      <c r="F7197">
        <f>HYPERLINK("https://www.reddit.com/r/GERD/comments/gj3h0k/what_would_happen_if_i_stop_taking_ppis/")</f>
        <v/>
      </c>
      <c r="G7197" t="inlineStr">
        <is>
          <t>2020-05-13 10:29:51</t>
        </is>
      </c>
      <c r="H7197" t="inlineStr"/>
    </row>
    <row r="7198">
      <c r="A7198" t="inlineStr">
        <is>
          <t>gj3s71</t>
        </is>
      </c>
      <c r="B7198" t="inlineStr">
        <is>
          <t>can you completely damage your throat?</t>
        </is>
      </c>
      <c r="C7198" t="inlineStr">
        <is>
          <t>I have a sore throat rn due to allergies I have dealt with this for three years but just decided to get treatment recently but I literally cant feel my sore throat but i know that it is swollen and there is a clicking sound as usual but i feel like myt throat is damaged and i have trouble swallowing saliva,water but i can swallow pills just fine idk if anyone else can relate i have a dr appointment on friday. Hoping to get this resolved as well as my hernia</t>
        </is>
      </c>
      <c r="D7198" t="n">
        <v>1</v>
      </c>
      <c r="E7198" t="n">
        <v>1</v>
      </c>
      <c r="F7198">
        <f>HYPERLINK("https://www.reddit.com/r/GERD/comments/gj3s71/can_you_completely_damage_your_throat/")</f>
        <v/>
      </c>
      <c r="G7198" t="inlineStr">
        <is>
          <t>2020-05-13 10:46:56</t>
        </is>
      </c>
      <c r="H7198" t="inlineStr"/>
    </row>
    <row r="7199">
      <c r="A7199" t="inlineStr">
        <is>
          <t>gj415o</t>
        </is>
      </c>
      <c r="B7199" t="inlineStr">
        <is>
          <t>Tired</t>
        </is>
      </c>
      <c r="C7199" t="inlineStr">
        <is>
          <t>After having this condition not act up during most of my life it chose to act up after I turned 17 🙁</t>
        </is>
      </c>
      <c r="D7199" t="n">
        <v>1</v>
      </c>
      <c r="E7199" t="n">
        <v>0</v>
      </c>
      <c r="F7199">
        <f>HYPERLINK("https://www.reddit.com/r/GERD/comments/gj415o/tired/")</f>
        <v/>
      </c>
      <c r="G7199" t="inlineStr">
        <is>
          <t>2020-05-13 10:59:15</t>
        </is>
      </c>
      <c r="H7199" t="inlineStr"/>
    </row>
    <row r="7200">
      <c r="A7200" t="inlineStr">
        <is>
          <t>gj48n4</t>
        </is>
      </c>
      <c r="B7200" t="inlineStr">
        <is>
          <t>Easiest Toothpaste for stomach?</t>
        </is>
      </c>
      <c r="C7200" t="inlineStr">
        <is>
          <t>Hello. The toothpaste I normally use causes an increase in my symptoms afterwards. What's the most natural toothpaste I can find that won't bother my stomach? Thanks</t>
        </is>
      </c>
      <c r="D7200" t="n">
        <v>1</v>
      </c>
      <c r="E7200" t="n">
        <v>7</v>
      </c>
      <c r="F7200">
        <f>HYPERLINK("https://www.reddit.com/r/GERD/comments/gj48n4/easiest_toothpaste_for_stomach/")</f>
        <v/>
      </c>
      <c r="G7200" t="inlineStr">
        <is>
          <t>2020-05-13 11:09:26</t>
        </is>
      </c>
      <c r="H7200" t="inlineStr"/>
    </row>
    <row r="7201">
      <c r="A7201" t="inlineStr">
        <is>
          <t>gj5bnf</t>
        </is>
      </c>
      <c r="B7201" t="inlineStr">
        <is>
          <t>Funny Shortness of breath while eating ( first time experience)</t>
        </is>
      </c>
      <c r="C7201" t="inlineStr">
        <is>
          <t>So its been more than a month since I first experienced Acid reflux symptoms, super painful heartburn, cough and post nasal drip.
And all this while I've only experienced shortness of breath while eating too close to bedtime and laying flat on my back while watching the tv. But yesterday I experienced shortness of breath twice while eating my lunch and dinner. All i was eating was rice and steamed and chicken and noodles for my dinner.
The shortness of breath wasn't like I had to breath really deeply at times but it was rather more like my lungs collapsing for like a second or maybe my heart sinking. It only happened for like 2-3 times while eating/ chewing.I've never experienced such thing before. Thankfully I managed to calm myself as most of gerd sufferers have anxiety hence I didn't want to make things worse for me and the shortness of breath was gone after eating. Now I also wake up morning with a mild cough and no cough throughout the entire day except while eating or after a meal. Damn you!
Did any of y'all experienced such a feeling before or is it just me. 
Please lmk.</t>
        </is>
      </c>
      <c r="D7201" t="n">
        <v>1</v>
      </c>
      <c r="E7201" t="n">
        <v>3</v>
      </c>
      <c r="F7201">
        <f>HYPERLINK("https://www.reddit.com/r/GERD/comments/gj5bnf/funny_shortness_of_breath_while_eating_first_time/")</f>
        <v/>
      </c>
      <c r="G7201" t="inlineStr">
        <is>
          <t>2020-05-13 12:02:29</t>
        </is>
      </c>
      <c r="H7201" t="inlineStr"/>
    </row>
    <row r="7202">
      <c r="A7202" t="inlineStr">
        <is>
          <t>gj5g32</t>
        </is>
      </c>
      <c r="B7202" t="inlineStr">
        <is>
          <t>Does anyone else have GERD with no obvious reflux issues?</t>
        </is>
      </c>
      <c r="C7202" t="inlineStr">
        <is>
          <t>I've been diagnosed with GERD because of swallow taste buds, but I seldom feel anything coming up my esophagus?</t>
        </is>
      </c>
      <c r="D7202" t="n">
        <v>1</v>
      </c>
      <c r="E7202" t="n">
        <v>1</v>
      </c>
      <c r="F7202">
        <f>HYPERLINK("https://www.reddit.com/r/GERD/comments/gj5g32/does_anyone_else_have_gerd_with_no_obvious_reflux/")</f>
        <v/>
      </c>
      <c r="G7202" t="inlineStr">
        <is>
          <t>2020-05-13 12:08:43</t>
        </is>
      </c>
      <c r="H7202" t="inlineStr"/>
    </row>
    <row r="7203">
      <c r="A7203" t="inlineStr">
        <is>
          <t>gj5xbo</t>
        </is>
      </c>
      <c r="B7203" t="inlineStr">
        <is>
          <t>LPR and Underweight, Please Help</t>
        </is>
      </c>
      <c r="C7203" t="inlineStr">
        <is>
          <t xml:space="preserve"> 
Hi everyone,
I am 27/F, 95 pounds (was 105 before all this started), 5'0. I'm sorry this is super long, but I would really appreciate some feedback and support. I am at a loss.
My doctor keeps insisting I have LPR and has had me continue to maintain an acid reflux diet since the very beginning of February (3.5 months at this point total). The diet is low-carb, low sugar, and avoids all the acid trigger foods (chocolate, soda, carbonated drinks, caffeine, alcohol, tomatoes, spicy foods and spices, citrus, etc.), So I basically can only eat natural, gluten free, lean meats like turkey and chicken,  fresh fruits and veggies, some crackers or certain granola, but butters, rices, beans, and bread here and there. Now when I started this and they first suspected I was suffering from LPR, I weighed 105 pounds..this diet has caused me to lose 10 pounds in 3.5 months (understandable since it seems to be a diet for people who need to lose weight in my opinion).I have a history of an eating disorder (anorexia nervosa) when I was younger, so this is highly concerning to me as I am now underweight and feel I am falling back into old ways of eating, I.e not eating what my body actually wants, watching carbs and sugar, and struggling with calories, and I also find myself reading labels to make sure ingredients and carbs are low enough and good enough that I can eat something which is a huge thing I did with my eating disordered ways. I have addressed this numerous times with my doctor and she just tells me to eat healthy fats such as natural peanut and almond butter, certain nuts, avocado, olive oil on meals for extra fat, and fish. Everything she suggested I have tried and have kept doing, but I have also been informed by family and friends who have a history of dieting to lose weight that these foods are what their doctors had them eat to lose weight, not gain weight. This is all very confusing and concerning for me since I continue to lose weight and my eating disorder treatment consisted of learning that if my body wants a certain type of food, it needs to have it and now I am fighting cravings daily to stick to this diet and my weight is now more concerning than lpr in my opinion. Very contradictory to my past treatment and I feel harmful to me. Of note, I have asked to be referred to a dietitian too if I need to eat like this, and my doctor doesn't think it's necessary. Anyone have any advice here? 
In addition to all of that, my other big concern is that I am not even sure I actually have LPR as I have now been on Pantoprazole for 7 weeks and before that had been on Prilosec, Pepcid, and Claritin all daily for just over a month; all this in addition to being on the very clean reflux diet and engaging in all needed behavioral changes (wedging the head of the bed, not eating 3 hours before bed, etc.) this whole time. In addition, I am also hesitant about this LPR diagnosis because my doctor has not done any kind of exam (scope, barium swallow, or anything else) to actually examine inside my throat and esophagus to verify this diagnosis, which I am told by friends in the medical field this is the main way to actually diagnose LPR and should have been done after the first round of PPIs not working months ago. My friends in the medical field also tell me my symptoms are consistent with other diagnoses and LPR should not be the immediate assumption, which believe me I have advocated to my doctor. I had to basically beg my doctor for a referral to an ENT today to have a scope done as she wanted to just continue on the PPI indefinitely basically despite no change in sptoms for 3.5 months, which many of you may know PPIs can have long-term detrimental effects. I do have a scope finally next week due to consistently asking my doctor for this, but I am curious about Reddit user experiences and thoughts with LPR/my diagnosis being right or wrong? 
  \--My symptoms are a feeling of tightness in my throat (pretty much always there, although some days are better than others), some hoarseness in my voice usually after talking a lot(I work in the field of mental health and talk all day every day), throat clearing, and some post nasal drip/mucous in my throat sometimes (this is more there after I would work out or go outside for a walk or run and is otherwise not really a problem; haven't been really working out either anyway due to the weight loss concerns). Since I am strictly following this diet and behavioral changes daily, I am doing the same things daily and cannot pin point what would even be causing all this at this point if it is reflux related, especially since some days it is worse than others but, again, I do the same things daily for the past few months! (another reason I am hesitant) - the symptoms also are not worse and do not show up after eating, and I feel great in the morning and just before bed typically, which from what I've been told and have researched about lpr, symptoms are worse after eating, in the mornings, and/or at night so it doesn't seem to line up. I also began using a saline nasal spray and prescribed ear drops for ear itchiness that started the end of last month, and since starting both of these daily the past couple weeks, there has been improvement in my symptoms and I relate it purely to these things given the length of my treatment and there being no change until starting those things. 
I should note also that I do have a history of seasonal allergies, and most of my family has year round allergies that also cause the symptoms I am experiencing. Doctor will not refer me to an allergist, but the ENT does do allergy testing so I am hoping to try to get tested for this as well. 
Laslty, my doctor has completed all kinds of labs: h. pylori, esophagitis, laryngitis, pharyngitis, cbc, metabolic panels, thyroid, diabetes, STDs, yeast cultures, and overall full blood work to check functioning of cells and liver, kidney etc. She also sent me for an ultrasound in March on my neck/thyroid because of some swollen lymph nodes I had back then on the right side of my neck, under the skin and not physically visible. All labs and the ultrasound came back normal and healthy, no abnormalities or concerns. Ultrasound did show a small thyroid nodule on left thyroid but it is normal and not of concerning nature. Would reflux damage show up in ultrasound? One of my friends in the field directed me to some research indicating it can, so I am curious. 
Does anyone have any feedback 1) on my diet and how to help gain/maintain healthy weight and eating, and 2) thoughts on potential misdiagnosis at this point, or 3) if not misdiagnosis of LPR, how can I get better? 
I appreciate anyone's feedback and advice. </t>
        </is>
      </c>
      <c r="D7203" t="n">
        <v>1</v>
      </c>
      <c r="E7203" t="n">
        <v>0</v>
      </c>
      <c r="F7203">
        <f>HYPERLINK("https://www.reddit.com/r/GERD/comments/gj5xbo/lpr_and_underweight_please_help/")</f>
        <v/>
      </c>
      <c r="G7203" t="inlineStr">
        <is>
          <t>2020-05-13 12:32:25</t>
        </is>
      </c>
      <c r="H7203" t="inlineStr"/>
    </row>
    <row r="7204">
      <c r="A7204" t="inlineStr">
        <is>
          <t>gj65xm</t>
        </is>
      </c>
      <c r="B7204" t="inlineStr">
        <is>
          <t>Tylenol x Pantoprazole?</t>
        </is>
      </c>
      <c r="C7204" t="inlineStr">
        <is>
          <t>Hey guys,
I’ve been in the sun a lot today, and i need some tylenol... my head is pounding. Is it alright to be taking Tylenol while on Pantoprazole? I take 80mg of Pantoprazole a day, and I’m having dinner in a couple hours, so i’ll have to take my next dosage shortly.</t>
        </is>
      </c>
      <c r="D7204" t="n">
        <v>1</v>
      </c>
      <c r="E7204" t="n">
        <v>0</v>
      </c>
      <c r="F7204">
        <f>HYPERLINK("https://www.reddit.com/r/GERD/comments/gj65xm/tylenol_x_pantoprazole/")</f>
        <v/>
      </c>
      <c r="G7204" t="inlineStr">
        <is>
          <t>2020-05-13 12:44:26</t>
        </is>
      </c>
      <c r="H7204" t="inlineStr"/>
    </row>
    <row r="7205">
      <c r="A7205" t="inlineStr">
        <is>
          <t>gj7dhu</t>
        </is>
      </c>
      <c r="B7205" t="inlineStr">
        <is>
          <t>check if you have Anterior Pelvic Tilt (APT)</t>
        </is>
      </c>
      <c r="C7205" t="inlineStr">
        <is>
          <t>I recently realised that I have APT, from years of sitting down. Certain muscles weaken and your posture suffers dramatically. 
I have recently started doing a routine for this and I feel so much better. I have had no real reflux at all, only minor.
To check for APT: lie down on the floor, on your back and if you can put your left arm through a gap in your back then you have it.</t>
        </is>
      </c>
      <c r="D7205" t="n">
        <v>1</v>
      </c>
      <c r="E7205" t="n">
        <v>14</v>
      </c>
      <c r="F7205">
        <f>HYPERLINK("https://www.reddit.com/r/GERD/comments/gj7dhu/check_if_you_have_anterior_pelvic_tilt_apt/")</f>
        <v/>
      </c>
      <c r="G7205" t="inlineStr">
        <is>
          <t>2020-05-13 13:45:27</t>
        </is>
      </c>
      <c r="H7205" t="inlineStr"/>
    </row>
    <row r="7206">
      <c r="A7206" t="inlineStr">
        <is>
          <t>gj8tqz</t>
        </is>
      </c>
      <c r="B7206" t="inlineStr">
        <is>
          <t>Switching from Omeprazole to Nexium?</t>
        </is>
      </c>
      <c r="C7206" t="inlineStr">
        <is>
          <t>I've been taking omeprazole for quite a while, but I feel like it's not working very well. I bought some Nexium, and was just wondering if I can just start taking it right away? Or do I need to wean off of the omeprazole?</t>
        </is>
      </c>
      <c r="D7206" t="n">
        <v>1</v>
      </c>
      <c r="E7206" t="n">
        <v>3</v>
      </c>
      <c r="F7206">
        <f>HYPERLINK("https://www.reddit.com/r/GERD/comments/gj8tqz/switching_from_omeprazole_to_nexium/")</f>
        <v/>
      </c>
      <c r="G7206" t="inlineStr">
        <is>
          <t>2020-05-13 14:59:54</t>
        </is>
      </c>
      <c r="H7206" t="inlineStr"/>
    </row>
    <row r="7207">
      <c r="A7207" t="inlineStr">
        <is>
          <t>gj8vy2</t>
        </is>
      </c>
      <c r="B7207" t="inlineStr">
        <is>
          <t>Do you get heartburn in clusters?</t>
        </is>
      </c>
      <c r="C7207" t="inlineStr">
        <is>
          <t>I always get heartburn the day after I have heartburn. It doesn't matter what I eat. The next 2-3 meals must be super clean and small or else I will get heartburn again for a few hours after those meals.
Would love to know what's going on. 
I have been diagnosed with a small sliding hiatal hernia as well but not sure if this is related.</t>
        </is>
      </c>
      <c r="D7207" t="n">
        <v>1</v>
      </c>
      <c r="E7207" t="n">
        <v>0</v>
      </c>
      <c r="F7207">
        <f>HYPERLINK("https://www.reddit.com/r/GERD/comments/gj8vy2/do_you_get_heartburn_in_clusters/")</f>
        <v/>
      </c>
      <c r="G7207" t="inlineStr">
        <is>
          <t>2020-05-13 15:02:57</t>
        </is>
      </c>
      <c r="H7207" t="inlineStr"/>
    </row>
    <row r="7208">
      <c r="A7208" t="inlineStr">
        <is>
          <t>gja9uw</t>
        </is>
      </c>
      <c r="B7208" t="inlineStr">
        <is>
          <t>Should I take vitamins supplement while taking PPIs?</t>
        </is>
      </c>
      <c r="C7208" t="inlineStr">
        <is>
          <t>Took PPIs about a week or more. Started to develop some numbness and confusion. Muscle spasms on legs and lower stomach. I am not sure is that a early sign of vitamin b12 deficiency?
When will be the best to take it? Like after 4-5 hours of the PPIs pills? Or I can just take it one time day at any time spot?  Not sure should I take those supplement.</t>
        </is>
      </c>
      <c r="D7208" t="n">
        <v>1</v>
      </c>
      <c r="E7208" t="n">
        <v>5</v>
      </c>
      <c r="F7208">
        <f>HYPERLINK("https://www.reddit.com/r/GERD/comments/gja9uw/should_i_take_vitamins_supplement_while_taking/")</f>
        <v/>
      </c>
      <c r="G7208" t="inlineStr">
        <is>
          <t>2020-05-13 16:17:24</t>
        </is>
      </c>
      <c r="H7208" t="inlineStr"/>
    </row>
    <row r="7209">
      <c r="A7209" t="inlineStr">
        <is>
          <t>gjc3mx</t>
        </is>
      </c>
      <c r="B7209" t="inlineStr">
        <is>
          <t>gas stuck in throat</t>
        </is>
      </c>
      <c r="C7209" t="inlineStr">
        <is>
          <t>okay so tonight i can’t get all the gas out of my throat, i will burp and instantly feel a lump there, it’s really uncomfortable and is stopping me from sleeping, any advice on how to get it all out? i’ve already had some liquid peptac 
thanks</t>
        </is>
      </c>
      <c r="D7209" t="n">
        <v>1</v>
      </c>
      <c r="E7209" t="n">
        <v>11</v>
      </c>
      <c r="F7209">
        <f>HYPERLINK("https://www.reddit.com/r/GERD/comments/gjc3mx/gas_stuck_in_throat/")</f>
        <v/>
      </c>
      <c r="G7209" t="inlineStr">
        <is>
          <t>2020-05-13 18:01:53</t>
        </is>
      </c>
      <c r="H7209" t="inlineStr"/>
    </row>
    <row r="7210">
      <c r="A7210" t="inlineStr">
        <is>
          <t>gjc5xk</t>
        </is>
      </c>
      <c r="B7210" t="inlineStr">
        <is>
          <t>Really need help</t>
        </is>
      </c>
      <c r="C7210" t="inlineStr">
        <is>
          <t>I’m a 14 year old male. Really desperate because I’ve never had anxiety worse than this and every second of my life rn is health anxiety. My main symptoms are difficulty swallowing in my upper throat (pharynx/around the UES). To describe it better, it feels really uncomfortable to swallow and it hurts a small bit to be honest. Almost feels like there is not enough room for the food to go down. Liquids it’s the same thing. I also have normal reflux symptoms like burping up acid and a bitter taste. I’ve been having constant sore throat and constant throat clearing too. Also have a few swollen glands that have been there for 4 months now but my doctor said earlier this year it seems like it’s just reacting to my allergies. Literally all these signs point to throat cancer or esophageal cancer and I obviously can’t be seen by a doctor right now due to covid. It seems like there’s no benign conditions that are common that can cause dysphagia in the upper throat area, all these conditions like inflammation and strictures and motility issues are in the chest area. Basically what I want to get from this post are any tips to deal with this awful health anxiety. I also wanted to know if anyone with gerd or any type of issue similar has had dysphagia in their upper throat that isn’t food getting stuck, but going down slowly and hurting a bit. Also should add I’ve had these symptoms since January 1st exactly. Thanks for reading</t>
        </is>
      </c>
      <c r="D7210" t="n">
        <v>1</v>
      </c>
      <c r="E7210" t="n">
        <v>33</v>
      </c>
      <c r="F7210">
        <f>HYPERLINK("https://www.reddit.com/r/GERD/comments/gjc5xk/really_need_help/")</f>
        <v/>
      </c>
      <c r="G7210" t="inlineStr">
        <is>
          <t>2020-05-13 18:05:32</t>
        </is>
      </c>
      <c r="H7210" t="inlineStr"/>
    </row>
    <row r="7211">
      <c r="A7211" t="inlineStr">
        <is>
          <t>gjcx67</t>
        </is>
      </c>
      <c r="B7211" t="inlineStr">
        <is>
          <t>GERD and Camping/Traveling</t>
        </is>
      </c>
      <c r="C7211" t="inlineStr">
        <is>
          <t>Does anyone with GERD like to camp and travel frequently where you don’t have your wedge pillow (if you use one to sleep at night)? How do you manage when camping, say in a tent, or on vacation?</t>
        </is>
      </c>
      <c r="D7211" t="n">
        <v>1</v>
      </c>
      <c r="E7211" t="n">
        <v>0</v>
      </c>
      <c r="F7211">
        <f>HYPERLINK("https://www.reddit.com/r/GERD/comments/gjcx67/gerd_and_campingtraveling/")</f>
        <v/>
      </c>
      <c r="G7211" t="inlineStr">
        <is>
          <t>2020-05-13 18:52:47</t>
        </is>
      </c>
      <c r="H7211" t="inlineStr"/>
    </row>
    <row r="7212">
      <c r="A7212" t="inlineStr">
        <is>
          <t>gjdjrw</t>
        </is>
      </c>
      <c r="B7212" t="inlineStr">
        <is>
          <t>Food stuck/coming up from base of throat after eating? Anyone else?</t>
        </is>
      </c>
      <c r="C7212" t="inlineStr">
        <is>
          <t>So I’ve got GERD (maybe lpr) and I’ve had it for years, it’s been bad before but lately after I eat I keep feeling food come up my throat. I chug water and that helps and after about 10min it goes away and I’m all good, but it’s got me scared to eat because the thought of puking up the food I just ate (it doesn’t make me nauseous or anything) is terrifying. 
I have been taking Prilosec 20mg 1-2x daily and I while it helps with the pain it doesn’t make this sensation go away. 
If you’ve had this before, how long did it last? And do you have any suggestions on what I could do to make it go away? I am on the FODMAP diet for IBS (which had helped a lot with that) and I just recently cut out gluten as well.
I have been really stressed as it’s finals week, do you think after the stress goes away this will stop? I’d love to be able to eat normally again.....</t>
        </is>
      </c>
      <c r="D7212" t="n">
        <v>1</v>
      </c>
      <c r="E7212" t="n">
        <v>0</v>
      </c>
      <c r="F7212">
        <f>HYPERLINK("https://www.reddit.com/r/GERD/comments/gjdjrw/food_stuckcoming_up_from_base_of_throat_after/")</f>
        <v/>
      </c>
      <c r="G7212" t="inlineStr">
        <is>
          <t>2020-05-13 19:32:17</t>
        </is>
      </c>
      <c r="H7212" t="inlineStr"/>
    </row>
    <row r="7213">
      <c r="A7213" t="inlineStr">
        <is>
          <t>gjeube</t>
        </is>
      </c>
      <c r="B7213" t="inlineStr">
        <is>
          <t>I feel like I cannot breathe.</t>
        </is>
      </c>
      <c r="C7213" t="inlineStr">
        <is>
          <t>Back story: 
I have esophagitis and bad acid reflux.
I go to a GI specialist and have had two endoscopys in my life and a upper gi. 
I am on omeprozole, used to take 40mg a day now it’s 80mg. Been on it for a more than a year, the doctor cannot take me off of it.
-
So my rant: 
This pain in my chest and throat feels like it’s cutting off my airflow and I can’t breathe. Everything was SO good for a year unless I forgot to take my medication of course. No pain, I felt so free. Now it’s just been so bad. I can’t breathe and it is like hell. We talked to my doctor and he doubled my dosage and it hasn’t done anything. I just sit here in pain everyday lately because of this. 
I see him back in about 4 weeks but i can’t continue to go on in pain it hurts so bad. 
Anyone else get pain in their chest and throat, feels like an elephant is sitting on it?</t>
        </is>
      </c>
      <c r="D7213" t="n">
        <v>1</v>
      </c>
      <c r="E7213" t="n">
        <v>16</v>
      </c>
      <c r="F7213">
        <f>HYPERLINK("https://www.reddit.com/r/GERD/comments/gjeube/i_feel_like_i_cannot_breathe/")</f>
        <v/>
      </c>
      <c r="G7213" t="inlineStr">
        <is>
          <t>2020-05-13 20:57:57</t>
        </is>
      </c>
      <c r="H7213" t="inlineStr"/>
    </row>
    <row r="7214">
      <c r="A7214" t="inlineStr">
        <is>
          <t>gjf0q2</t>
        </is>
      </c>
      <c r="B7214" t="inlineStr">
        <is>
          <t>Has anyone gotten surgery in their early 20s?</t>
        </is>
      </c>
      <c r="C7214" t="inlineStr">
        <is>
          <t>Someone on Reddit told me it’s common for people in their early 20s to get surgery because it’s fairly successful and minimally invasive. To be honest, I was really skeptical about getting surgery at a young age, but I’ve been reaching my breaking point with how long I’ve been battling GERD. My doctor told me I’ve had a weak LES since I was even younger and I’m wondering if I should just ask my doctor about surgery. Has anyone that young gotten surgery and if so what’s your experiences? If you discourage against surgery too, can you tell me why?</t>
        </is>
      </c>
      <c r="D7214" t="n">
        <v>1</v>
      </c>
      <c r="E7214" t="n">
        <v>4</v>
      </c>
      <c r="F7214">
        <f>HYPERLINK("https://www.reddit.com/r/GERD/comments/gjf0q2/has_anyone_gotten_surgery_in_their_early_20s/")</f>
        <v/>
      </c>
      <c r="G7214" t="inlineStr">
        <is>
          <t>2020-05-13 21:10:17</t>
        </is>
      </c>
      <c r="H7214" t="inlineStr"/>
    </row>
    <row r="7215">
      <c r="A7215" t="inlineStr">
        <is>
          <t>gjfn9p</t>
        </is>
      </c>
      <c r="B7215" t="inlineStr">
        <is>
          <t>Weaning off PPIs after just 2 weeks of prescription?</t>
        </is>
      </c>
      <c r="C7215" t="inlineStr">
        <is>
          <t>My doctor advised me to take Pantoprazole for only 2 weeks. Im on my 10th day now and i feel good. The past 2 days i felt no symptoms and almost feeling normal. Im also on probiotics. Im eating slowly, having smaller meals, on low acid diet, and wedge pillow.
Do you think i should wean off them by taking the remaining 4 every other day?
This is my 2nd time taking PPIs. First one was prescribed for 1 week only around this April. I felt normal after stopping cold turkey and ate whatever i want. And after 3 weeks, here i am. I think i rebounded so hard (sudden chest pain, shortness of breath and panic attack) which brought me to the ER, so doctor put me on PPIs again.
I plan on weaning off by taking the remaining 4 pills every other day, start taking Gaviscon Advance before bed, continuing probiotics for 3 months, and keeping the low acid diet + eating habits for a while. Any advice? Cant rebound again.</t>
        </is>
      </c>
      <c r="D7215" t="n">
        <v>1</v>
      </c>
      <c r="E7215" t="n">
        <v>2</v>
      </c>
      <c r="F7215">
        <f>HYPERLINK("https://www.reddit.com/r/GERD/comments/gjfn9p/weaning_off_ppis_after_just_2_weeks_of/")</f>
        <v/>
      </c>
      <c r="G7215" t="inlineStr">
        <is>
          <t>2020-05-13 21:55:18</t>
        </is>
      </c>
      <c r="H7215" t="inlineStr"/>
    </row>
    <row r="7216">
      <c r="A7216" t="inlineStr">
        <is>
          <t>gjjizv</t>
        </is>
      </c>
      <c r="B7216" t="inlineStr">
        <is>
          <t>Burning sensation in my esophagus and burps.</t>
        </is>
      </c>
      <c r="C7216" t="inlineStr">
        <is>
          <t>I’ve trying something different for breakfast the last 3 days and it’s causing a burning sensation in my esophagus and makes me burp all the time. I mix 1 banana, 2-3 tablespoons of yogurt, 1 tablespoon of peanut butter and 2 tablespoons  of oats with water. I’ve had this before aswell when eating cereal with milk for breakfast so I just decided to eliminate it. Could the yogurt be the cause for this?</t>
        </is>
      </c>
      <c r="D7216" t="n">
        <v>1</v>
      </c>
      <c r="E7216" t="n">
        <v>7</v>
      </c>
      <c r="F7216">
        <f>HYPERLINK("https://www.reddit.com/r/GERD/comments/gjjizv/burning_sensation_in_my_esophagus_and_burps/")</f>
        <v/>
      </c>
      <c r="G7216" t="inlineStr">
        <is>
          <t>2020-05-14 03:09:02</t>
        </is>
      </c>
      <c r="H7216" t="inlineStr"/>
    </row>
    <row r="7217">
      <c r="A7217" t="inlineStr">
        <is>
          <t>gjjkvl</t>
        </is>
      </c>
      <c r="B7217" t="inlineStr">
        <is>
          <t>Pepcid AC extra strength?</t>
        </is>
      </c>
      <c r="C7217" t="inlineStr">
        <is>
          <t>I’ve been told by my doctor to take pepcid ac... hasn’t been working. I’ve been taking it at night after a meal. Does anyone have experience with this medication? 
Is it more effective if i take it before eating?</t>
        </is>
      </c>
      <c r="D7217" t="n">
        <v>1</v>
      </c>
      <c r="E7217" t="n">
        <v>0</v>
      </c>
      <c r="F7217">
        <f>HYPERLINK("https://www.reddit.com/r/GERD/comments/gjjkvl/pepcid_ac_extra_strength/")</f>
        <v/>
      </c>
      <c r="G7217" t="inlineStr">
        <is>
          <t>2020-05-14 03:13:02</t>
        </is>
      </c>
      <c r="H7217" t="inlineStr"/>
    </row>
    <row r="7218">
      <c r="A7218" t="inlineStr">
        <is>
          <t>gjl620</t>
        </is>
      </c>
      <c r="B7218" t="inlineStr">
        <is>
          <t>I had a stab at tomato-less tomato sauce/marinara - recipe</t>
        </is>
      </c>
      <c r="C7218" t="inlineStr">
        <is>
          <t>I had a go at tomato-less tomato sauce, so I can reintroduce pizza, lasagne and spaghetti bolognese back into my life, if it is of interest.
 [https://therefluxer.co.uk/2020/05/14/recipe-tomato-less-tomato-sauce-acid-reflux/](https://therefluxer.co.uk/2020/05/14/recipe-tomato-less-tomato-sauce-acid-reflux/) 
TLDR: Texture and smell - 10/10. Flavour - 8.5/10. On dishes where there are other flavours, such as pizza, I really don't think you'd notice the difference.</t>
        </is>
      </c>
      <c r="D7218" t="n">
        <v>1</v>
      </c>
      <c r="E7218" t="n">
        <v>26</v>
      </c>
      <c r="F7218">
        <f>HYPERLINK("https://www.reddit.com/r/GERD/comments/gjl620/i_had_a_stab_at_tomatoless_tomato_saucemarinara/")</f>
        <v/>
      </c>
      <c r="G7218" t="inlineStr">
        <is>
          <t>2020-05-14 05:12:41</t>
        </is>
      </c>
      <c r="H7218" t="inlineStr"/>
    </row>
    <row r="7219">
      <c r="A7219" t="inlineStr">
        <is>
          <t>gjmmwm</t>
        </is>
      </c>
      <c r="B7219" t="inlineStr">
        <is>
          <t>Tight stomach and need to burp</t>
        </is>
      </c>
      <c r="C7219" t="inlineStr">
        <is>
          <t>I have terrible anxiety regarding my stomach. I am constantly convinced that I have some serious illness.
My stomach is constantly tight and tense. Like a constant tendency to go "upwards". When I try to relax it with deep breathing the anxiety spreads allover my abdomen. I think it gets better when I lay down. 
I don't have any appetite. No pain and bowel movements are normal but "stressed".</t>
        </is>
      </c>
      <c r="D7219" t="n">
        <v>1</v>
      </c>
      <c r="E7219" t="n">
        <v>3</v>
      </c>
      <c r="F7219">
        <f>HYPERLINK("https://www.reddit.com/r/GERD/comments/gjmmwm/tight_stomach_and_need_to_burp/")</f>
        <v/>
      </c>
      <c r="G7219" t="inlineStr">
        <is>
          <t>2020-05-14 06:45:44</t>
        </is>
      </c>
      <c r="H7219" t="inlineStr"/>
    </row>
    <row r="7220">
      <c r="A7220" t="inlineStr">
        <is>
          <t>gjn3b9</t>
        </is>
      </c>
      <c r="B7220" t="inlineStr">
        <is>
          <t>Analysis of GERD should be expanded to consider all potential causes and treatments</t>
        </is>
      </c>
      <c r="C7220" t="inlineStr">
        <is>
          <t>GERD sucks!! 
I think everyone over here can agree on that. The worst thing about GERD is that the quality of life plummets as it becomes difficult to enjoy the most basic human necessity - Food.
Since GERD is so debilitating, I found that the current treatment to be highly inefficient. Currently the doctors simply assume that GERD is being caused by over production of Acid and then start prescribing PPI's etc. Given that there can be multiple causes of GERD, it is shocking that a Standard Systematic Approach to determine the root cause of GERD has not been established. By prescribing PPI's, the Doctors are just giving temporary relief. God Forbid that your GERD is being caused by something else other than over-production of Acid, your situation will keep on getting worse.
During the six months that I suffered with GERD, I did not come across any Standard Approach for evaluating the possible causes of GERD. Over here, I am listing the causes so that fellow sufferers can work with their Doctors to go through these. These causes have a basic underlying phenomenon that these causes are causing the LES ( lower esophageal sphincter ) to open at incorrect times so that there is the back-flow of acid into the esophagus. These causes which cause the LES problems can be: 
1. Over-production of Acid - The theory is that for some reason, Stomach acid production gets increased. Hence, it starts splashing back for some reason. But exact mechanism is not known. If Doctors are prescribing directly for Over-Production of Stomach Acid and you are not sure if that is the cause, you should discuss with the Doctor on how to test if the Stomach is actually over-producing the Stomach Acid. You must remember that in case your stomach was not over-producing acid, then taking Acid blockers will exacerbate your current problems because Acid is necessary for digestion. And lack of acid will lower your ability to digest food and cause a host of other problems needlessly.
2. Hiatal Hernia - This is one of main possible causes for making the LES open up at wrong times. Hence, it is recommended to check for this. But you should also note that not all people with Hiatal Hernia have GERD. Hence, even though you have Hiatal Hernia, you should definitely continue to look at the other potential causes to systematically rule them out.
3. Weakening of the LES: This is another potential causes which needs to be evaluated. If the LES is weak then the long term solution is possibly surgery.
4. Gas production in Stomach: This usually causes the infrequent Gastric reflux as when food is not emptied out of the stomach immediately, it sits around and gets fermented. Fermentation produces gas in the stomach, which pushes the LES to open and causes reflux. If you are mixing your diet too much, then this can become a more chronic problem. Changes in diet may help this situation.
5. SIBO: This is Small Intestine Bacterial Overgrowth. It causes the same issue as Gas production. Only this time, it is the overgrowth of Bacteria which produces this Gas. SIBO can be very difficult to get rid of as these bacteria are highly persistent. Even small food amounts of their taste and they will multiply happily. If your GERD has had a sudden onset, then SIBO could be a potential reason. As SIBO can be residual from a minor gastritis issue. Another symptom of SIBO is lack of MMC (Migrating Motor Complex). This is the last stage of digestion (gurgling sound in stomach when you feel hungry) where the food contents of the small intestine are emptied. With SIBO, MMC gets severely compromised. For treating SIBO, 15 days of antibiotic coupled with strict food restriction may be required.
These are the potential causes which I was able to list out. In case there are any more please list them out here. It can be of help to our fellow sufferers. 
My cause of GERD was SIBO and after treatment, I have been GERD free for 1 year and 2 months now.
Hope this is of help. Take care.</t>
        </is>
      </c>
      <c r="D7220" t="n">
        <v>3</v>
      </c>
      <c r="E7220" t="n">
        <v>29</v>
      </c>
      <c r="F7220">
        <f>HYPERLINK("https://www.reddit.com/r/GERD/comments/gjn3b9/analysis_of_gerd_should_be_expanded_to_consider/")</f>
        <v/>
      </c>
      <c r="G7220" t="inlineStr">
        <is>
          <t>2020-05-14 07:11:42</t>
        </is>
      </c>
      <c r="H7220" t="inlineStr"/>
    </row>
    <row r="7221">
      <c r="A7221" t="inlineStr">
        <is>
          <t>gjnpf5</t>
        </is>
      </c>
      <c r="B7221" t="inlineStr">
        <is>
          <t>Shortness of Breath</t>
        </is>
      </c>
      <c r="C7221" t="inlineStr">
        <is>
          <t>I haven't been to a doctor yet cause of the virus. But I realize I have gerd after I told my boyfriend my symptoms and he has some of my symptoms. It's weird how we both got gerd at the same year. It's rare for me to have stomach pain, it's mostly shortness of breath and if I eat a bit more or if I eat only after couple hours I will feel I cant breath as if I'm so full that I cant keep eating cause I cant breath. Also I have hiccups all the time I use to have them since I was a kid but now it's really high pitch hiccups. Also I'm trying to yawn and most of the time I fall, plus I feel I want to burp but I always fall as well. I stop eating chocolates I use to eat chocolates everyday. I just had watermelon and I'm starting to feel shortness of breath trying to yawn I feel air is stuck on my chest. It is gerd or it could be something else?</t>
        </is>
      </c>
      <c r="D7221" t="n">
        <v>3</v>
      </c>
      <c r="E7221" t="n">
        <v>8</v>
      </c>
      <c r="F7221">
        <f>HYPERLINK("https://www.reddit.com/r/GERD/comments/gjnpf5/shortness_of_breath/")</f>
        <v/>
      </c>
      <c r="G7221" t="inlineStr">
        <is>
          <t>2020-05-14 07:45:52</t>
        </is>
      </c>
      <c r="H7221" t="inlineStr"/>
    </row>
    <row r="7222">
      <c r="A7222" t="inlineStr">
        <is>
          <t>gjpbl8</t>
        </is>
      </c>
      <c r="B7222" t="inlineStr">
        <is>
          <t>Anyone in here has loud "esophageal burps" (only started after ppi use ) please help</t>
        </is>
      </c>
      <c r="C7222" t="inlineStr">
        <is>
          <t>They sound like uncloged sewer , like loud gas pressure scaping from the stomach , I can't find one single person with it, but I notice em when I suck air , like intentional but not intentional , its strange my manometry and endoscopy as ph impedance came back normal, but dont know why I still experiencing those issues that only started after ppi, my symptom is sore throat ,no heartburn at all, anyone can give me some advice in what this could be?</t>
        </is>
      </c>
      <c r="D7222" t="n">
        <v>1</v>
      </c>
      <c r="E7222" t="n">
        <v>11</v>
      </c>
      <c r="F7222">
        <f>HYPERLINK("https://www.reddit.com/r/GERD/comments/gjpbl8/anyone_in_here_has_loud_esophageal_burps_only/")</f>
        <v/>
      </c>
      <c r="G7222" t="inlineStr">
        <is>
          <t>2020-05-14 09:10:48</t>
        </is>
      </c>
      <c r="H7222" t="inlineStr"/>
    </row>
    <row r="7223">
      <c r="A7223" t="inlineStr">
        <is>
          <t>gjq5yk</t>
        </is>
      </c>
      <c r="B7223" t="inlineStr">
        <is>
          <t>Ok so I understand cutting out fried food but what's wrong with spicy food the Indians have the best health and their dishes are "indian hot" which is SUPER hot. I think I'm just eating too MUC food.</t>
        </is>
      </c>
      <c r="C7223" t="inlineStr">
        <is>
          <t>Guys what are your diets like, I just eat the standard American diet but spicy food makes me feel really good. My acid reflux is like 3 times a week though for last 10 years and it has just been draining last couple years.
What are your suggestions on spicy food, fried food, portion sizes and sugar?
I'm going to reduce my portion sizes, eat earlier and chew slowly. Goodbye fried food for a while and def alcohol and soda.</t>
        </is>
      </c>
      <c r="D7223" t="n">
        <v>1</v>
      </c>
      <c r="E7223" t="n">
        <v>6</v>
      </c>
      <c r="F7223">
        <f>HYPERLINK("https://www.reddit.com/r/GERD/comments/gjq5yk/ok_so_i_understand_cutting_out_fried_food_but/")</f>
        <v/>
      </c>
      <c r="G7223" t="inlineStr">
        <is>
          <t>2020-05-14 09:54:57</t>
        </is>
      </c>
      <c r="H7223" t="inlineStr"/>
    </row>
    <row r="7224">
      <c r="A7224" t="inlineStr">
        <is>
          <t>gjq8kw</t>
        </is>
      </c>
      <c r="B7224" t="inlineStr">
        <is>
          <t>Polls dont work on here unfortunately but what is the biggest contributor to GERD in your opinion?</t>
        </is>
      </c>
      <c r="C7224" t="inlineStr">
        <is>
          <t>1. Portion size of meals
2. Eating food too quickly
3. Fried food
4. Spicy food
5. Soda
6. Alcohol
7. Sugary foods
8. Lack of vitamin D</t>
        </is>
      </c>
      <c r="D7224" t="n">
        <v>3</v>
      </c>
      <c r="E7224" t="n">
        <v>26</v>
      </c>
      <c r="F7224">
        <f>HYPERLINK("https://www.reddit.com/r/GERD/comments/gjq8kw/polls_dont_work_on_here_unfortunately_but_what_is/")</f>
        <v/>
      </c>
      <c r="G7224" t="inlineStr">
        <is>
          <t>2020-05-14 09:58:34</t>
        </is>
      </c>
      <c r="H7224" t="inlineStr"/>
    </row>
    <row r="7225">
      <c r="A7225" t="inlineStr">
        <is>
          <t>gjqsjb</t>
        </is>
      </c>
      <c r="B7225" t="inlineStr">
        <is>
          <t>Newbie looking for advices</t>
        </is>
      </c>
      <c r="C7225" t="inlineStr">
        <is>
          <t>Hey everyone ! During last year I had major anxiety troubles caused by a lot of changes in my life. I had severe allergies since I was a kid so I did not worried when I began to have sore throat several month ago. I also have food allergies so I avoid these and everything is fine. But searching on google I've found that sore throat in the morning and excessive burping could also be caused by GERD, so I asked my GP and she told me to visit a specialist, which performed an endoscopy. He told me that I had a grade A oesophagitis, possibly caused by reflux (he performed biopsies to see if it was eosinophilic oesophagitis).
I've never taken any drugs as I thought my symptoms where caused by was food allergies . My specialist told me there is nothing to worry about, prescribed me PPI and told me to stop the occasional overeating and it'll be healed in a month.
When I look at the posts on this reddit and on the internet, I find a lot of people with debilitating symptoms so I wonder how could I had an oesophagitis with so little symptoms ? and in a short period of time ? (granted it's just grade A). If maybe I took OTC antiacids could I have avoided it ? I try to stay off internet for health as it just fuels my major anxiety disorder but I also want to know what I'm fighting with</t>
        </is>
      </c>
      <c r="D7225" t="n">
        <v>1</v>
      </c>
      <c r="E7225" t="n">
        <v>0</v>
      </c>
      <c r="F7225">
        <f>HYPERLINK("https://www.reddit.com/r/GERD/comments/gjqsjb/newbie_looking_for_advices/")</f>
        <v/>
      </c>
      <c r="G7225" t="inlineStr">
        <is>
          <t>2020-05-14 10:26:28</t>
        </is>
      </c>
      <c r="H7225" t="inlineStr"/>
    </row>
    <row r="7226">
      <c r="A7226" t="inlineStr">
        <is>
          <t>gjsreh</t>
        </is>
      </c>
      <c r="B7226" t="inlineStr">
        <is>
          <t>The Grimaces I make when I eat... Lol</t>
        </is>
      </c>
      <c r="C7226" t="inlineStr">
        <is>
          <t>Does anyone else commonly grimace in pain when swallowing food or drink, then wonder why no one in the lunchroom is asking why your face does that? 😜
I realize it's no one's problem but mine, but it still seems odd. If I saw someone I worked with struggling to swallow id ask them about it, probably. But then again, I'm observant of those kinds of symptoms because I share them.
Invisible diseases are hard! GERD sucks! Great to have a group to share the collective grief! Much love, y'all. ❤️</t>
        </is>
      </c>
      <c r="D7226" t="n">
        <v>2</v>
      </c>
      <c r="E7226" t="n">
        <v>3</v>
      </c>
      <c r="F7226">
        <f>HYPERLINK("https://www.reddit.com/r/GERD/comments/gjsreh/the_grimaces_i_make_when_i_eat_lol/")</f>
        <v/>
      </c>
      <c r="G7226" t="inlineStr">
        <is>
          <t>2020-05-14 12:06:35</t>
        </is>
      </c>
      <c r="H7226" t="inlineStr"/>
    </row>
    <row r="7227">
      <c r="A7227" t="inlineStr">
        <is>
          <t>gjt44c</t>
        </is>
      </c>
      <c r="B7227" t="inlineStr">
        <is>
          <t>So GERD/LPR action plan?</t>
        </is>
      </c>
      <c r="C7227" t="inlineStr">
        <is>
          <t>I'm new to treating my condition like its GERD or LPR or something. I get shortness of breath all day every day, tight chest, full feeling, tasting food hours after having eaten it, and lump in my throat feeling. I have been given omeprazole and am waiting to get in to see the doctor when pandemic concerns cool down. Basically, what is my action plan? How do I start getting relief? Its the breathing that causes me the most discomfort.</t>
        </is>
      </c>
      <c r="D7227" t="n">
        <v>1</v>
      </c>
      <c r="E7227" t="n">
        <v>5</v>
      </c>
      <c r="F7227">
        <f>HYPERLINK("https://www.reddit.com/r/GERD/comments/gjt44c/so_gerdlpr_action_plan/")</f>
        <v/>
      </c>
      <c r="G7227" t="inlineStr">
        <is>
          <t>2020-05-14 12:24:55</t>
        </is>
      </c>
      <c r="H7227" t="inlineStr"/>
    </row>
    <row r="7228">
      <c r="A7228" t="inlineStr">
        <is>
          <t>gjtsch</t>
        </is>
      </c>
      <c r="B7228" t="inlineStr">
        <is>
          <t>It's Sibo or Gerd? Gas/air</t>
        </is>
      </c>
      <c r="C7228" t="inlineStr">
        <is>
          <t>I have gas that usually goes under my left breast and bubbles there if I dont burp which is hard. My abdominal area has gas often. Shortness of breath and it makes me want to yawn to get the air but I cant yawn. Sometimes I wake up with a sore throat. I have hiccups all the freaking time with burping feeling. 
But heartburn almost never, I never felt the acid or food coming to my throat unless I lay on the bed after food. Also I have bad breath. When I'm eating sometimes I just feel theres no room while I ate just a little bit of food. 
My symptoms have more to do with air/gas. 
Anyone else have experience those and was diagnosed with gerd, sibo or something else?</t>
        </is>
      </c>
      <c r="D7228" t="n">
        <v>1</v>
      </c>
      <c r="E7228" t="n">
        <v>8</v>
      </c>
      <c r="F7228">
        <f>HYPERLINK("https://www.reddit.com/r/GERD/comments/gjtsch/its_sibo_or_gerd_gasair/")</f>
        <v/>
      </c>
      <c r="G7228" t="inlineStr">
        <is>
          <t>2020-05-14 12:59:36</t>
        </is>
      </c>
      <c r="H7228" t="inlineStr"/>
    </row>
    <row r="7229">
      <c r="A7229" t="inlineStr">
        <is>
          <t>gjur53</t>
        </is>
      </c>
      <c r="B7229" t="inlineStr">
        <is>
          <t>List of pH (acidic vs alkalinity of foods) **LINKS**</t>
        </is>
      </c>
      <c r="C7229" t="inlineStr">
        <is>
          <t>[https://nbihealth.com/top-alkaline-foods-to-eat-acid-foods-to-avoid/](https://nbihealth.com/top-alkaline-foods-to-eat-acid-foods-to-avoid/)
[https://www.clemson.edu/extension/food/food2market/documents/ph\_of\_common\_foods.pdf](https://www.clemson.edu/extension/food/food2market/documents/ph_of_common_foods.pdf)
Hope this helps!</t>
        </is>
      </c>
      <c r="D7229" t="n">
        <v>1</v>
      </c>
      <c r="E7229" t="n">
        <v>2</v>
      </c>
      <c r="F7229">
        <f>HYPERLINK("https://www.reddit.com/r/GERD/comments/gjur53/list_of_ph_acidic_vs_alkalinity_of_foods_links/")</f>
        <v/>
      </c>
      <c r="G7229" t="inlineStr">
        <is>
          <t>2020-05-14 13:49:27</t>
        </is>
      </c>
      <c r="H7229" t="inlineStr"/>
    </row>
    <row r="7230">
      <c r="A7230" t="inlineStr">
        <is>
          <t>gjx7r6</t>
        </is>
      </c>
      <c r="B7230" t="inlineStr">
        <is>
          <t>Lumps in throat and pain from lpr</t>
        </is>
      </c>
      <c r="C7230" t="inlineStr">
        <is>
          <t>I was told I have lpr and when the doctor saw my throat I had what look like blister which are extremely painful when I eat something acidic it’s been months and they haven’t gone away I believe they are called granulomas has any one had horrible pain in throat from lpr</t>
        </is>
      </c>
      <c r="D7230" t="n">
        <v>1</v>
      </c>
      <c r="E7230" t="n">
        <v>0</v>
      </c>
      <c r="F7230">
        <f>HYPERLINK("https://www.reddit.com/r/GERD/comments/gjx7r6/lumps_in_throat_and_pain_from_lpr/")</f>
        <v/>
      </c>
      <c r="G7230" t="inlineStr">
        <is>
          <t>2020-05-14 16:01:02</t>
        </is>
      </c>
      <c r="H7230" t="inlineStr"/>
    </row>
    <row r="7231">
      <c r="A7231" t="inlineStr">
        <is>
          <t>gjylwk</t>
        </is>
      </c>
      <c r="B7231" t="inlineStr">
        <is>
          <t>Nomato Sauce (brand)</t>
        </is>
      </c>
      <c r="C7231" t="inlineStr">
        <is>
          <t>Someone earlier posted about a tomato-free pasta sauce, which got me searching the web. There is a brand called Nomato that makes a ketchup and marinara-type sauce. Just wondering if anyone has purchased either of these, and your thoughts? I miss spaghetti, and pizza, and eggplant parm! I love tomatoes and it's so depressing not being able to eat my favorite foods.
[Nomato Products](https://nomato.com/shop/)</t>
        </is>
      </c>
      <c r="D7231" t="n">
        <v>1</v>
      </c>
      <c r="E7231" t="n">
        <v>3</v>
      </c>
      <c r="F7231">
        <f>HYPERLINK("https://www.reddit.com/r/GERD/comments/gjylwk/nomato_sauce_brand/")</f>
        <v/>
      </c>
      <c r="G7231" t="inlineStr">
        <is>
          <t>2020-05-14 17:18:28</t>
        </is>
      </c>
      <c r="H7231" t="inlineStr"/>
    </row>
    <row r="7232">
      <c r="A7232" t="inlineStr">
        <is>
          <t>gk2tbg</t>
        </is>
      </c>
      <c r="B7232" t="inlineStr">
        <is>
          <t>My Nightmare</t>
        </is>
      </c>
      <c r="C7232" t="inlineStr">
        <is>
          <t>This January as the clock stroke 2020 my life was turned upside down by whatever it is that is going on with me. After a night of light drinking, tasty food, a little bit of weed and later in the night an anxiety attack, I got food poisoning  (which I first mistook for a hangover) which lasted a couple of days. After this passed and I thought everything was good, I started feeling this globus sensation in my throat. It was driving me insane, at first I thought it had to do with the weed since it was so localized in my throat. This was then followed by a feeling of a "stuck burp", constant burping and regurgitating, lots of phlegm, and light nausea every morning. I researched these symptoms and the first thing that came up was GERD. Up to this point I had never had any issues with acid reflux or heartburn, also I am young and in good shape, and my symptoms did not get worse during nighttime which seems like most people's cases, in fact at times laying down made me feel better. I went to a primary care physician who immediately put me on 40mg of omeprazole a day which did absolutely nothing. I went to a GI, who immediately decided to do an endoscopy thinking I may have an esophagitis since so many of my issues were felt on my throat. The results showed that I had H-pylori. I went on anti-biotics for a couple of weeks, and things seemed to get better and I was able to eat almost normally, going on vacation also seemed to help my digestion. As soon as I got back, and the stress of life hit me, all of my symptoms came back and they got even worse. Constant burping, a feeling of something stuck in my throat, regurgitation and now a new one was heartburn (even though this entire time I had been on 40 mg of Pantoprazole) . At this point I thought the H-pylori may be back, but a breath test proved it was gone.  I saw another doctor (online this time because of COVID-19) and he said I may have gastroparesis. This diagnosis gave me insane amounts of anxiety and sent me spiraling down. He put me on erythromicin which was supposed to speed up my digestion. It did help a little bit, but most of my symptoms were still there. To be honest I was very skeptical of his diagnosis, since eating a fiber free diet did not make a difference, in fact all its did was make me constipated . This entire time I had been trying to mitigate things by changing my diet and exercising more, nothing seemed to make a significant difference. Funny thing, about a week ago I got a dietary supplement on Amazon that is supposed to treat SIBO as well as help with digestion and is the only thing that has made a significant difference, and given me some hope. 
At this point I have no idea as to what is wrong with me, since I am still very skeptical about the gastroparesis diagnosis, and it is difficult at this time to get any tests done. I am just trying to get this out there for anyone that may have similar issues. Not being sure as to what is wrong with me is kind of driving me a little crazy. I keep telling myself, soon this will be over and things will go back to normal, and I really hope they do!</t>
        </is>
      </c>
      <c r="D7232" t="n">
        <v>1</v>
      </c>
      <c r="E7232" t="n">
        <v>19</v>
      </c>
      <c r="F7232">
        <f>HYPERLINK("https://www.reddit.com/r/GERD/comments/gk2tbg/my_nightmare/")</f>
        <v/>
      </c>
      <c r="G7232" t="inlineStr">
        <is>
          <t>2020-05-14 21:59:27</t>
        </is>
      </c>
      <c r="H7232" t="inlineStr"/>
    </row>
    <row r="7233">
      <c r="A7233" t="inlineStr">
        <is>
          <t>gk3gjb</t>
        </is>
      </c>
      <c r="B7233" t="inlineStr">
        <is>
          <t>Anyone else experience constant burping the whole day?</t>
        </is>
      </c>
      <c r="C7233" t="inlineStr">
        <is>
          <t>I feel so nervous and scared. For the past two weeks, I’ve been burping a lot but today and yesterday was the worst. I burped every 2-3 minutes through out the whole day. It only dies down a bit when I keep myself busy. Or when I try not to think about what’s going on and do some meditation. I just got started today on sucralfate and omeprazole</t>
        </is>
      </c>
      <c r="D7233" t="n">
        <v>1</v>
      </c>
      <c r="E7233" t="n">
        <v>8</v>
      </c>
      <c r="F7233">
        <f>HYPERLINK("https://www.reddit.com/r/GERD/comments/gk3gjb/anyone_else_experience_constant_burping_the_whole/")</f>
        <v/>
      </c>
      <c r="G7233" t="inlineStr">
        <is>
          <t>2020-05-14 22:53:05</t>
        </is>
      </c>
      <c r="H7233" t="inlineStr"/>
    </row>
    <row r="7234">
      <c r="A7234" t="inlineStr">
        <is>
          <t>gk4gty</t>
        </is>
      </c>
      <c r="B7234" t="inlineStr">
        <is>
          <t>I dont know what to do, this is ruining my life</t>
        </is>
      </c>
      <c r="C7234" t="inlineStr">
        <is>
          <t>this might sound a bit jumbled because my brain is just gone right now
I'm a 21 healthy male and about a month ago i started to get a sorta fleamy cough that would come and go some days. this was when the lock down first started in our country so I sorta binge drink beer for almost a week straight and had a few days break and drank more after that which is more than i ever drink which is what i reckon set this all off.
the past week especially has been a horror, I cant eat anything without having a coughing fit for 20 minutes to the point where it feels like I cant breathe and its messing with my anxeity so bad im zoning out to the point where I just stare at my computer screen for half an hour.
iv been to the hospital 6 times because my GP's office was only doing phone appointments and they all thought it was just anxiety or my vaping etc bla bla but iv quit vaping for the past week. I had a gp appointment a couple days ago and she thinks its LPR or gerd. symptoms were as follows. Fleamy cough/post nasal drip feeling after eating, especially at night. and yup thats pretty much it. the cough would get super bad to the point where i got a chest xray just to make sure it wasnt a chest infection. I was put on PPI's omeprazole 20mg twice a day and a nasal spray for any post nasal drip and antibiotics since my GP reckons this might of been caused by a cold/flu but I havent had a flu/cold for about a year. 
when i first started taking the PPI's 2 days ago it was getting better but today especially after I got back from the gym I had a protein bar and I just started coughing and and almost wheezing. Decided it wasn't a good idea to have dinner which sucks because i cant get enough calories protein in and im going to lost weight and lose muscle. I did some research online and weight lifting might not be the best idea while im trying to recover from this. Il give the gym a break for a few days and see if it gets better.
not really sure why I posted this. I just feel so isolated and depressed, generally just zoned out and a feeling that something is seriously not right with me its just draining the life out of me. 
my worst fear is that this is going to be something that is not going to go away and or I will have to be on a super strict diet and not lift weights for the rest of my life oh and also be on PPI's. also having a fear that it might get so bad that I will be unable to breath or I keep coughing so much that i damage something etc. 
pretty sure the alcohol binge drinking set something off or maybe it was the weight lifting but doubt it. Saw that probiotics worked for alot of people when it came to getting their gut health back on track maybe il try that? 
any advice or if you want to tell me about your story and how you dealt with it would be greatly appreciated</t>
        </is>
      </c>
      <c r="D7234" t="n">
        <v>1</v>
      </c>
      <c r="E7234" t="n">
        <v>2</v>
      </c>
      <c r="F7234">
        <f>HYPERLINK("https://www.reddit.com/r/GERD/comments/gk4gty/i_dont_know_what_to_do_this_is_ruining_my_life/")</f>
        <v/>
      </c>
      <c r="G7234" t="inlineStr">
        <is>
          <t>2020-05-15 00:17:49</t>
        </is>
      </c>
      <c r="H7234" t="inlineStr"/>
    </row>
    <row r="7235">
      <c r="A7235" t="inlineStr">
        <is>
          <t>gk5n54</t>
        </is>
      </c>
      <c r="B7235" t="inlineStr">
        <is>
          <t>Gaviscon Advance confusion and questions</t>
        </is>
      </c>
      <c r="C7235" t="inlineStr">
        <is>
          <t>Ok. I have tried everything (medications, supplements, lifestyle changes, diet, etc) to help with my esophagitis and it has been 7 months now with no luck. I have been getting really worried about my esophagus and what will happen if this continues.
I kept hearing great things about Gaviscon Advance, both the liquid and chewables. I bought both.
The liquid actually burned my throat and made my symptoms a lot worse for days. I am completely baffled. What could be wrong with me? Every antacid medication I try seems to make me worse. Pepcid gives me heart burn. Has this happened with anybody else with Gaviscon?
Then I tried the chewable tablets a week later. I can't chew these things. I heard warnings that they get stuck in your teeth. I was in the bathroom for 30 minutes trying to pry pieces out of my teeth with various things, my toothbrush, my fingers, etc, etc. Then I just gave up. It actually changed my bite because it was like having fillings in my tooth. It was actually incredibly uncomfortable and I cannot do this 3 times a day or whenever. This is not an option for me.
So I cut up the pills and then swallowed the pills but I read online it is not recommended to swallow them. But why? Does anybody here just swallow them? In any case, I have not noticed any improvement with Gaviscon Advance.
I am really out of ideas and I have no idea what to do. I was supposed to have further testing on my esophagus done but COVID put a stop to those appointments. Meanwhile my throat is burning no matter what I do.</t>
        </is>
      </c>
      <c r="D7235" t="n">
        <v>1</v>
      </c>
      <c r="E7235" t="n">
        <v>13</v>
      </c>
      <c r="F7235">
        <f>HYPERLINK("https://www.reddit.com/r/GERD/comments/gk5n54/gaviscon_advance_confusion_and_questions/")</f>
        <v/>
      </c>
      <c r="G7235" t="inlineStr">
        <is>
          <t>2020-05-15 02:00:59</t>
        </is>
      </c>
      <c r="H7235" t="inlineStr"/>
    </row>
    <row r="7236">
      <c r="A7236" t="inlineStr">
        <is>
          <t>gk63o2</t>
        </is>
      </c>
      <c r="B7236" t="inlineStr">
        <is>
          <t>Anyone had pH testing in the UK?</t>
        </is>
      </c>
      <c r="C7236" t="inlineStr">
        <is>
          <t>Appreciate this might be more of an American forum, but thought I'd try. Have been given my third referral for next month, when my doctor said it would be likely I'd be having 'pH and pressure testing'. Has anyone had similar, and was it awful?! 
Thanks in advance.</t>
        </is>
      </c>
      <c r="D7236" t="n">
        <v>1</v>
      </c>
      <c r="E7236" t="n">
        <v>0</v>
      </c>
      <c r="F7236">
        <f>HYPERLINK("https://www.reddit.com/r/GERD/comments/gk63o2/anyone_had_ph_testing_in_the_uk/")</f>
        <v/>
      </c>
      <c r="G7236" t="inlineStr">
        <is>
          <t>2020-05-15 02:42:28</t>
        </is>
      </c>
      <c r="H7236" t="inlineStr"/>
    </row>
    <row r="7237">
      <c r="A7237" t="inlineStr">
        <is>
          <t>gk6twt</t>
        </is>
      </c>
      <c r="B7237" t="inlineStr">
        <is>
          <t>Slow digestion and fatigue after anything I eat. Does adding Betaine counterintuitive?</t>
        </is>
      </c>
      <c r="C7237" t="inlineStr">
        <is>
          <t>I think I might have some symptoms of GERD when waking up 50% voiceless for a while. Nothing major other than that. For a while I used Betaine HCL to help me digest food and it seemed to help.
I stopped with Betaine and now I get tired from almost anything I eat (I do IF &amp;amp; Keto to fight the fatigue).
What can I try to help my digestion? Is it feasible to consume more Betaine HCL with GERD? I never feel the reflux (unless I ate and did some kind of intense physical activity - even after 2 hours).</t>
        </is>
      </c>
      <c r="D7237" t="n">
        <v>1</v>
      </c>
      <c r="E7237" t="n">
        <v>3</v>
      </c>
      <c r="F7237">
        <f>HYPERLINK("https://www.reddit.com/r/GERD/comments/gk6twt/slow_digestion_and_fatigue_after_anything_i_eat/")</f>
        <v/>
      </c>
      <c r="G7237" t="inlineStr">
        <is>
          <t>2020-05-15 03:45:32</t>
        </is>
      </c>
      <c r="H7237" t="inlineStr"/>
    </row>
    <row r="7238">
      <c r="A7238" t="inlineStr">
        <is>
          <t>gk88ov</t>
        </is>
      </c>
      <c r="B7238" t="inlineStr">
        <is>
          <t>Rifaximin for GERD</t>
        </is>
      </c>
      <c r="C7238" t="inlineStr">
        <is>
          <t>Has rifaximin helped your GERD in any way?</t>
        </is>
      </c>
      <c r="D7238" t="n">
        <v>1</v>
      </c>
      <c r="E7238" t="n">
        <v>0</v>
      </c>
      <c r="F7238">
        <f>HYPERLINK("https://www.reddit.com/r/GERD/comments/gk88ov/rifaximin_for_gerd/")</f>
        <v/>
      </c>
      <c r="G7238" t="inlineStr">
        <is>
          <t>2020-05-15 05:30:51</t>
        </is>
      </c>
      <c r="H7238" t="inlineStr"/>
    </row>
    <row r="7239">
      <c r="A7239" t="inlineStr">
        <is>
          <t>gk8eaq</t>
        </is>
      </c>
      <c r="B7239" t="inlineStr">
        <is>
          <t>Can anyone recommend something to help with a dry throat at night and morning?</t>
        </is>
      </c>
      <c r="C7239" t="inlineStr">
        <is>
          <t>I wake up not being able to speak every morning and my throat is so dry, I was going to try a humidifier, but I have no idea if it would work. I use strepsils and always have a glass of water by bed, does anyone have any other suggestions to help?</t>
        </is>
      </c>
      <c r="D7239" t="n">
        <v>1</v>
      </c>
      <c r="E7239" t="n">
        <v>3</v>
      </c>
      <c r="F7239">
        <f>HYPERLINK("https://www.reddit.com/r/GERD/comments/gk8eaq/can_anyone_recommend_something_to_help_with_a_dry/")</f>
        <v/>
      </c>
      <c r="G7239" t="inlineStr">
        <is>
          <t>2020-05-15 05:41:31</t>
        </is>
      </c>
      <c r="H7239" t="inlineStr"/>
    </row>
    <row r="7240">
      <c r="A7240" t="inlineStr">
        <is>
          <t>gk8oip</t>
        </is>
      </c>
      <c r="B7240" t="inlineStr">
        <is>
          <t>Can anyone help with bloating due to a hiatus hernia?</t>
        </is>
      </c>
      <c r="C7240" t="inlineStr">
        <is>
          <t>I started to get major acid reflux at 8 years old but wasn't diagnosed with a hiatus hernia until 13, I'm 21 now and the bloating is causing some body image issues, I drink a lot of water and probiotic drinks and workout my core 3-4 times a week but there's no improvement at all, has anyone had any luck reducing the bloating through medication?</t>
        </is>
      </c>
      <c r="D7240" t="n">
        <v>1</v>
      </c>
      <c r="E7240" t="n">
        <v>13</v>
      </c>
      <c r="F7240">
        <f>HYPERLINK("https://www.reddit.com/r/GERD/comments/gk8oip/can_anyone_help_with_bloating_due_to_a_hiatus/")</f>
        <v/>
      </c>
      <c r="G7240" t="inlineStr">
        <is>
          <t>2020-05-15 06:00:50</t>
        </is>
      </c>
      <c r="H7240" t="inlineStr"/>
    </row>
    <row r="7241">
      <c r="A7241" t="inlineStr">
        <is>
          <t>gk8t1z</t>
        </is>
      </c>
      <c r="B7241" t="inlineStr">
        <is>
          <t>Gerd Blog/Pinterest</t>
        </is>
      </c>
      <c r="C7241" t="inlineStr">
        <is>
          <t>I did search this subreddit, but there isnt much in the way of Gerd Blogs. Im looking for pinterests or blogs dedicated to Gerd. Ive bought 2 books but love having a bunch of recipes. Ive been trying to get familiar with what you can eat for my boyfriends sake, but there is so much to take into consideration.  I feel for you all!</t>
        </is>
      </c>
      <c r="D7241" t="n">
        <v>1</v>
      </c>
      <c r="E7241" t="n">
        <v>2</v>
      </c>
      <c r="F7241">
        <f>HYPERLINK("https://www.reddit.com/r/GERD/comments/gk8t1z/gerd_blogpinterest/")</f>
        <v/>
      </c>
      <c r="G7241" t="inlineStr">
        <is>
          <t>2020-05-15 06:08:27</t>
        </is>
      </c>
      <c r="H7241" t="inlineStr"/>
    </row>
    <row r="7242">
      <c r="A7242" t="inlineStr">
        <is>
          <t>gk9u93</t>
        </is>
      </c>
      <c r="B7242" t="inlineStr">
        <is>
          <t>Can GERD/LPR be cured without surgery? Or will I have to take meds forever?</t>
        </is>
      </c>
      <c r="C7242" t="inlineStr">
        <is>
          <t>I used to have very severe reflux that I would have to spit out of my mouth constantly, and the only thing that has worked has been taking a proton pump inhibitor religiously. Lifestyle changes etc didn't make barely any difference. 
However, as my barium swallow didn't show anything too unusual, I was told it was probably psychosomatic and would go away on its own, and that surgery was unnecessary. 
Fast forward 3 years,and it hasn't gone away. In fact, I've had swollen tonsils or lymph nodes for two months straight now and I'm wondering if it may be related. 
So, I'm thinking if it won't go away with just time and meds, I need to look into other options. Obviously, surgery would be a last resort, so is there other treatments that actually fix the problem, rather than just adjustments to reduce the symptoms? 
Dr Google just says all the things I'm already doing, making diet changes, sleeping with my head raised, etc. 
If anyone has had successful treatments that have actually gotten rid of their reflux, I would be so so grateful to hear about it.</t>
        </is>
      </c>
      <c r="D7242" t="n">
        <v>1</v>
      </c>
      <c r="E7242" t="n">
        <v>6</v>
      </c>
      <c r="F7242">
        <f>HYPERLINK("https://www.reddit.com/r/GERD/comments/gk9u93/can_gerdlpr_be_cured_without_surgery_or_will_i/")</f>
        <v/>
      </c>
      <c r="G7242" t="inlineStr">
        <is>
          <t>2020-05-15 07:12:41</t>
        </is>
      </c>
      <c r="H7242" t="inlineStr"/>
    </row>
    <row r="7243">
      <c r="A7243" t="inlineStr">
        <is>
          <t>gkapfl</t>
        </is>
      </c>
      <c r="B7243" t="inlineStr">
        <is>
          <t>Silent reflux - Looking for anecdotes from people who have experienced this</t>
        </is>
      </c>
      <c r="C7243" t="inlineStr">
        <is>
          <t>I started experiencing a sore throat that wouldn’t go away in spring 2019. By September, I got to the point where speaking became pretty painful and when it flared up I developed a burning pain from my throat down to my chest, only when I would use my voice a lot. After seeing an ENT, I was referred to a laryngologist. He did a laryngoscope and diagnosed me with right vocal cord weakness and silent reflux. He gave me some dietary guidelines to follow for three months and referred me to speech therapy. 
After a couple weeks I got the dietary restrictions down, and I had a few sessions of voice therapy. I felt like I was gradually progressing. Then the pandemic hit, and I got lax on the weekends during virtual happy hours with friends.  This included drinking mixed drinks that included soda and eating foods that were definitely off-limits. After about a month of that, my symptoms came back with a vengeance, and last week was hell. 
I have re-committed to the diet and the laryngologist is having me start medications for three months: Protonix/pantoprazole 40 mg in the morning and Pepcid/famotidine 40mg at night. Has anyone had success treating silent reflux with these medications? I’m hoping that the next 90 days will give my vocal cords and throat a chance to heal, and that after that I will be able to taper off of the medications and re-introduce some things into my diet while being mindful of what I eat going forward.</t>
        </is>
      </c>
      <c r="D7243" t="n">
        <v>2</v>
      </c>
      <c r="E7243" t="n">
        <v>5</v>
      </c>
      <c r="F7243">
        <f>HYPERLINK("https://www.reddit.com/r/GERD/comments/gkapfl/silent_reflux_looking_for_anecdotes_from_people/")</f>
        <v/>
      </c>
      <c r="G7243" t="inlineStr">
        <is>
          <t>2020-05-15 08:02:02</t>
        </is>
      </c>
      <c r="H7243" t="inlineStr"/>
    </row>
    <row r="7244">
      <c r="A7244" t="inlineStr">
        <is>
          <t>gkb637</t>
        </is>
      </c>
      <c r="B7244" t="inlineStr">
        <is>
          <t>With raniditine (Zantac) no longer an option I switched to famoditine (Pepcid)</t>
        </is>
      </c>
      <c r="C7244" t="inlineStr">
        <is>
          <t>I was thinking it would no problem since it's in the same class of drugs. I was way off and have terrible rebound heartburn. Also on a PPI so can't just switch to those. Has anyone else experienced this? Going to also try cimetidine but not very hopeful.</t>
        </is>
      </c>
      <c r="D7244" t="n">
        <v>1</v>
      </c>
      <c r="E7244" t="n">
        <v>4</v>
      </c>
      <c r="F7244">
        <f>HYPERLINK("https://www.reddit.com/r/GERD/comments/gkb637/with_raniditine_zantac_no_longer_an_option_i/")</f>
        <v/>
      </c>
      <c r="G7244" t="inlineStr">
        <is>
          <t>2020-05-15 08:26:45</t>
        </is>
      </c>
      <c r="H7244" t="inlineStr"/>
    </row>
    <row r="7245">
      <c r="A7245" t="inlineStr">
        <is>
          <t>gkce4v</t>
        </is>
      </c>
      <c r="B7245" t="inlineStr">
        <is>
          <t>Pantoprazole x Carafate?</t>
        </is>
      </c>
      <c r="C7245" t="inlineStr">
        <is>
          <t>Hello everybody, 
So, I was advised by a friend here that I should consult my doctor regarding carafate. I’m currently on Pantoprazole, 80mg a day. My problem now is that my throat is very tight, as if somebody is lightly choking me.
When I asked my doctor about it, and asked about carafate, he said it may help with my symptoms. When I spoke to my GI, he just recommended that I take up to 80mg of Pantoprazole, since I was only doing 40mg. He said carafate wouldn’t be of use to
me, but I could try it if i’m desperate enough. He said he’s still waiting to hear from the government till he can book to do the camera procedure on me. 
I’ll be honest, the first couple days were amazing. It helped quite a bit going from 40 to 80mg. Then randomly one night after dinner, my throat got very tight again.. I resorted to the carafate last night.... It didn’t do anything. I woke up 3 times during the night, didn’t have any sort of anxiety, I was so tired from the lack of sleep every night, I managed to just pass out. 
I took the carafate again today, still no difference. My stomach is how it’s always been since i’ve been taking Pantoprazole... Some days i’m fine, some days i’m off... The normal, but literally now my throat is so tight, it feels like it’s closing, while my stomach still seems fine... I hate this. 
There’s a lot of people on here who use a PPi and carafate, i’m just not seeing any difference yet, mind you i’m only on my second dosage. 
This is ruining my relationship with my girlfriend, my parents are upset at the fact they can’t help me, i work from home but I can’t be consistent enough... I don’t know how to apply for sick benefit, and the rules are not clear (Canadian)...
Any insight?</t>
        </is>
      </c>
      <c r="D7245" t="n">
        <v>1</v>
      </c>
      <c r="E7245" t="n">
        <v>7</v>
      </c>
      <c r="F7245">
        <f>HYPERLINK("https://www.reddit.com/r/GERD/comments/gkce4v/pantoprazole_x_carafate/")</f>
        <v/>
      </c>
      <c r="G7245" t="inlineStr">
        <is>
          <t>2020-05-15 09:31:20</t>
        </is>
      </c>
      <c r="H7245" t="inlineStr"/>
    </row>
    <row r="7246">
      <c r="A7246" t="inlineStr">
        <is>
          <t>gke9sd</t>
        </is>
      </c>
      <c r="B7246" t="inlineStr">
        <is>
          <t>Anybody prescribed Omeprazole along with Sucralfate? What has been your experience?</t>
        </is>
      </c>
      <c r="C7246" t="inlineStr">
        <is>
          <t>Was able to see a G.I today. He wasn't the most personable to put it kindly but he prescribed the usual omeprazole. Sucralfate, however is new to me and instructions say take 3x daily as needed. Wasn't given an explanation on which drug to take first or how much time in-between</t>
        </is>
      </c>
      <c r="D7246" t="n">
        <v>2</v>
      </c>
      <c r="E7246" t="n">
        <v>48</v>
      </c>
      <c r="F7246">
        <f>HYPERLINK("https://www.reddit.com/r/GERD/comments/gke9sd/anybody_prescribed_omeprazole_along_with/")</f>
        <v/>
      </c>
      <c r="G7246" t="inlineStr">
        <is>
          <t>2020-05-15 11:10:14</t>
        </is>
      </c>
      <c r="H7246" t="inlineStr"/>
    </row>
    <row r="7247">
      <c r="A7247" t="inlineStr">
        <is>
          <t>gkg8h0</t>
        </is>
      </c>
      <c r="B7247" t="inlineStr">
        <is>
          <t>Any relief from gas build up?</t>
        </is>
      </c>
      <c r="C7247" t="inlineStr">
        <is>
          <t>So I’ve had GERD for about a year now. I was put on protonix 40mg and it worked up until about 2 months ago. Than I was put on nexium 40mg and I instantly started getting stomach cramps, nauseous, thrown up, bloated where my stomach was extremely hard to touch, gained a little weight etc. stopped taking it after 2-3 weeks. 
Now taking Pepcid and it’s working really well, I don’t feel nauseous after meals, I’m not bloated but this entire week I’ve had this throbbing/stabbing pain above my belly button. I work at a heart doctors office so I got an echo don’t forget free, and the tech said I have a massive amount of gas build up which explains the pain. Gallbladder was fine they said. 
I already take gas x, and it doesn’t seem to do anything for me. Is there anything you have found to help get rid of that gas? TMI lol but I don’t have to fart at all, and I use the restroom everyday so no problems there</t>
        </is>
      </c>
      <c r="D7247" t="n">
        <v>1</v>
      </c>
      <c r="E7247" t="n">
        <v>4</v>
      </c>
      <c r="F7247">
        <f>HYPERLINK("https://www.reddit.com/r/GERD/comments/gkg8h0/any_relief_from_gas_build_up/")</f>
        <v/>
      </c>
      <c r="G7247" t="inlineStr">
        <is>
          <t>2020-05-15 12:54:24</t>
        </is>
      </c>
      <c r="H7247" t="inlineStr"/>
    </row>
    <row r="7248">
      <c r="A7248" t="inlineStr">
        <is>
          <t>gkg9ro</t>
        </is>
      </c>
      <c r="B7248" t="inlineStr">
        <is>
          <t>For those of you who work physically demanding jobs, how do you manage GERD?</t>
        </is>
      </c>
      <c r="C7248" t="inlineStr">
        <is>
          <t>How do you manage GERD with all of that bending over? Lifting? And also less frequent eating and having to eat big meals to not be underweight and to have energy at work?</t>
        </is>
      </c>
      <c r="D7248" t="n">
        <v>5</v>
      </c>
      <c r="E7248" t="n">
        <v>14</v>
      </c>
      <c r="F7248">
        <f>HYPERLINK("https://www.reddit.com/r/GERD/comments/gkg9ro/for_those_of_you_who_work_physically_demanding/")</f>
        <v/>
      </c>
      <c r="G7248" t="inlineStr">
        <is>
          <t>2020-05-15 12:56:20</t>
        </is>
      </c>
      <c r="H7248" t="inlineStr"/>
    </row>
    <row r="7249">
      <c r="A7249" t="inlineStr">
        <is>
          <t>gkgixw</t>
        </is>
      </c>
      <c r="B7249" t="inlineStr">
        <is>
          <t>Emulating the routine of patients in a journal article.</t>
        </is>
      </c>
      <c r="C7249" t="inlineStr">
        <is>
          <t>[Here is the journal article.](https://sci-hub.tw/10.1111/j.1600-079X.2006.00359.x) It basically found that a certain combination of supplements were extremely effective for regression of GERD symptoms compared to omeprazole.
I am using [Vitamin Lab](https://getvitaminlab.com/) to create a supplement formula with the exact same dosages as those used in the article. However, the article did not specify a few things:
* Is the B12 in Methylcobalamin or Hydroxocobalamin form?
* Is the Betain "Betaine Hydrochloride" or "Betain Anhydrous"?
* Is the vitamin B6 as Pyridoxine HCl or Pyridoxal-5′-Phosphate?
* 10mg dosage of folic acid seems high. Is it correct? Vitamin Lab only goes up to 1000 mcg, so I wouldn't be able to get 10mg.
I did some research, and this is what I am guessing:
* Betain is Betaine Hydrochloride because that's what pops up when I google "Betain GERD"
* B12 is in Methylcobalamin form, because it is bioavailable but not too much (Hydroxocobalamin is apparently retained longer in the body, but the article says to take the dosages every day, so a more moderate bioavailability would make sense).
* B6 is Pyridoxine HCl, because it is largely considered the "normal" type of B6.
* Folic acid is indeed 10mg (not an error), because the article is in a journal and journals are peer-reviewed and peer-reviews helps catch errors.
Anyone have any ideas? If not, enjoy the article, it seems to be good work.</t>
        </is>
      </c>
      <c r="D7249" t="n">
        <v>2</v>
      </c>
      <c r="E7249" t="n">
        <v>8</v>
      </c>
      <c r="F7249">
        <f>HYPERLINK("https://www.reddit.com/r/GERD/comments/gkgixw/emulating_the_routine_of_patients_in_a_journal/")</f>
        <v/>
      </c>
      <c r="G7249" t="inlineStr">
        <is>
          <t>2020-05-15 13:10:14</t>
        </is>
      </c>
      <c r="H7249" t="inlineStr"/>
    </row>
    <row r="7250">
      <c r="A7250" t="inlineStr">
        <is>
          <t>gkha6n</t>
        </is>
      </c>
      <c r="B7250" t="inlineStr">
        <is>
          <t>Is this something I'm going to have to worry about for the rest of my life? (20m)</t>
        </is>
      </c>
      <c r="C7250" t="inlineStr">
        <is>
          <t>So about 8 weeks ago I woke up with shortness of breath. The week leading up to it I'd been having an abnormal amount of acid coming up into my mouth, thinking back this is very likely because I was being extremely unhealthy at the time (lots of alcohol, bad diet, weed, eating and drinking in bed lots. I'm being much much healthier now). At the time I was told it might be an upper respiratory tract infection so stopped drinking and smoking for two weeks with no relief then went back to it (I'm an idiot). 
Since then the shortness of breath hasn't really let up and unless I am focused on something and forget about it it is seemingly always present, and doesn't seem to get better with exertion. However, apart from a bit of mucus in my throat that isn't really bothersome this is my only symptom. Could this just be my esophagus still healing from that period of poor lifestyle choices or is it likely my reflux is now chronic and I'm going to have to avoid triggers and take PPIs for the rest of my life? 
I'm currently taking 20mg omeprazole a day and gaviscon after meals and before bed (sleeping on an incline) as well as using an inhaler (all prescribed by GP) to see if anything will help but if (hopefully when) my shortness of breath clears up does this sound like it could be a consistent problem? I've never struggled with reflux or shortness of breath before and all these horror stories online are making me anxious. 
I'm going to actively try and lead a healthier lifestyle whatever happens but it would be nice to go out drinking with mates or enjoy pizza without worrying about waking up short of breath for the rest of my days you know?
All help is appreciated.</t>
        </is>
      </c>
      <c r="D7250" t="n">
        <v>2</v>
      </c>
      <c r="E7250" t="n">
        <v>10</v>
      </c>
      <c r="F7250">
        <f>HYPERLINK("https://www.reddit.com/r/GERD/comments/gkha6n/is_this_something_im_going_to_have_to_worry_about/")</f>
        <v/>
      </c>
      <c r="G7250" t="inlineStr">
        <is>
          <t>2020-05-15 13:52:42</t>
        </is>
      </c>
      <c r="H7250" t="inlineStr"/>
    </row>
    <row r="7251">
      <c r="A7251" t="inlineStr">
        <is>
          <t>gkhrkc</t>
        </is>
      </c>
      <c r="B7251" t="inlineStr">
        <is>
          <t>Extreme bloating on intermittent fasting</t>
        </is>
      </c>
      <c r="C7251" t="inlineStr">
        <is>
          <t>Hi! Has this happened to anyone else? I’m trying to figure out why my bloating gets worse after fasting, maybe it will help me understand what causes the bloating in the first place. 
I decided to try fasting and after a week of doing 16:8 i started getting very bloated, especially after eating, even though my diet hasn’t changed. And i mean, i legitimately looked pregnant and it was very painful. I stopped fasting and it was back to normal in 3 days. My normal is constant bloating too but waaay milder. I’ve been diagnosed with gastritis and mild reflux, i suspect LPR because of post nasal drip, sore throat and being unresponsive to PPIs. I don’t take any meds</t>
        </is>
      </c>
      <c r="D7251" t="n">
        <v>2</v>
      </c>
      <c r="E7251" t="n">
        <v>5</v>
      </c>
      <c r="F7251">
        <f>HYPERLINK("https://www.reddit.com/r/GERD/comments/gkhrkc/extreme_bloating_on_intermittent_fasting/")</f>
        <v/>
      </c>
      <c r="G7251" t="inlineStr">
        <is>
          <t>2020-05-15 14:19:37</t>
        </is>
      </c>
      <c r="H7251" t="inlineStr"/>
    </row>
    <row r="7252">
      <c r="A7252" t="inlineStr">
        <is>
          <t>gkikau</t>
        </is>
      </c>
      <c r="B7252" t="inlineStr">
        <is>
          <t>Help! Lost 40 pounds and now I'm underweight</t>
        </is>
      </c>
      <c r="C7252" t="inlineStr">
        <is>
          <t>So I did an elimination diet three months ago and it helped but I still have some of the symptoms. I am now really skinny. My wife thinks I should supplement with Ensure Plus to gain weight do you guys have any recommendations? I don't eat until I'm super full and this hurts my calorie intake because if did I would get an acid attack. I eat hard boiled eggs, sweet potatoes, chicken, salmon all baked and spinach and bananas. I just started incorporating almond butter to get more calories any other recommendations?</t>
        </is>
      </c>
      <c r="D7252" t="n">
        <v>3</v>
      </c>
      <c r="E7252" t="n">
        <v>30</v>
      </c>
      <c r="F7252">
        <f>HYPERLINK("https://www.reddit.com/r/GERD/comments/gkikau/help_lost_40_pounds_and_now_im_underweight/")</f>
        <v/>
      </c>
      <c r="G7252" t="inlineStr">
        <is>
          <t>2020-05-15 15:04:47</t>
        </is>
      </c>
      <c r="H7252" t="inlineStr"/>
    </row>
    <row r="7253">
      <c r="A7253" t="inlineStr">
        <is>
          <t>gkip8v</t>
        </is>
      </c>
      <c r="B7253" t="inlineStr">
        <is>
          <t>Fresh GERD Reduction Strategies (that may or may not work, this is all theoretical currently)</t>
        </is>
      </c>
      <c r="C7253" t="inlineStr">
        <is>
          <t xml:space="preserve">I've been looking at some hormones lately, in my search for the root cause of GERD, and I found 2 that could be implicated in GERD (caused by a weak LES).
The two are glucagon-like peptide 1 and cholecystokinin. According to the sources I've read, there have been no known instances of having too much of either of these peptide hormones, but it's possible that very small differences in the levels of these hormones can throw off health in ways that haven't been discovered yet. So, the theory I've just thrown together is that excessive levels of these 2 hormones in the body decrease gastric emptying and can weaken the LES (on its own or perhaps due to gas build-up from the low rates of stomach emptying). So, another hormone that inhibits the release of both of these hormones, as well as a number of others, is somatostatin.
Somatostatin is a hormone produced by many tissues in the body, and is produced primarily in the nervous and digestive systems (which backs up my existing theory that the nervous system is heavily implicated in GERD). Somatostatin \*also\* acts as a neurotransmitter, which is quite interesting. And get this, somatostatin release is inhibited by the vagus nerve. Okay, so I won't drone on about the details of my theory, but basically, whenever you get stressed your blood-sugar levels spike, and then they need to be reduced because that can damage the body, so then your body releases insulin (which encourages glucose absorption by cells), which has its release encouraged by glucagon-like peptide 1. And cholecystokinin does some stuff too, I haven't had the time to look into it too much, but it definitely does a lot of stuff that relates to the connection between the GI tract and the nervous system. So anyway, what I think is happening in people with gastroparesis, or slow stomach emptying, (often linked to weak LES and therefore GERD) is chronic stress somehow suppresses somatostatin production. I think a possible way this might happen is since somatostatin levels kind of rely on a feedback loop with growth hormone to keep levels normal, so some sort of thing is going on there with stress hormones like cortisol affecting growth hormone levels. Like, if there are high growth hormone levels, more somatostatin will be produced to reduce growth hormone levels, but if there are low growth hormone levels, somatostatin production will go down because it's not needed. So, if I'm right, and chronic stress inhibits growth hormone production through some means other than somatostatin production, it's possible that somatostatin levels could go down as a result, but since there's no feedback loop for somatostatin production, since growth hormone production is being suppressed by some other means, somatostatin levels would just constantly remain low and allow for excess production of a lot of other hormones (such as glucagon-like peptide 1 and cholecystokinin) to ill effect. So, increasing somatostatin levels... I don't know. I think maybe a good place to start would be reducing carbs and sugary foods and actually eat a lot of capsaicin to reduce the effects of the cholecystokinin on the GI tract, if it doesn't worsen your reflux to eat spice. I also suggest eating one meal a day that's just plain, sugar-free, flavor-free protein powder and water, along with some supplements like vitamin D, DHA, B12, folate, and b6. I wish I was joking. You may have to drink a lot to feel full, and try to avoid whey and other dairy derived protein powders. Stick to pea protein or egg white protein (hemp and rice protein can also work for those sensitive to the other ones I listed). This could end up going a long way towards reducing cellular stress and hopefully restoring parasympathetic nervous system function. I know it's easier said than done, but for those of us with this condition, it is one that can rapidly progress, so everything that can be tried and stuck to should be. Additionally, try to get in at least an hour of walking a day, and bring a water bottle for reflux symptoms you might get from exercise. Meditate for at least 30 minutes a day (here's a good video to get you started:  [https://www.youtube.com/watch?v=4pLUleLdwY4&amp;amp;ab\_channel=YogaWithAdriene](https://www.youtube.com/watch?v=4pLUleLdwY4&amp;amp;ab_channel=YogaWithAdriene)). All these things done strictly and in conjunction may be our best chance without the use of medication that hasn't been developed yet. Also, try to minimize fatty foods and make sure all fats consumed are high in omega-3 fatty acids. Excessive consumption of omega-6 fats (any oil used for frying) is known to increase nervous system inflammation, and all fats delay gastric emptying, so be selective about fat consumption. Also, I do recommend Betaine HCl supplements, which will also speed up gastric emptying rates but also make reflux burn more, so try to take early in the day. </t>
        </is>
      </c>
      <c r="D7253" t="n">
        <v>2</v>
      </c>
      <c r="E7253" t="n">
        <v>3</v>
      </c>
      <c r="F7253">
        <f>HYPERLINK("https://www.reddit.com/r/GERD/comments/gkip8v/fresh_gerd_reduction_strategies_that_may_or_may/")</f>
        <v/>
      </c>
      <c r="G7253" t="inlineStr">
        <is>
          <t>2020-05-15 15:12:37</t>
        </is>
      </c>
      <c r="H7253" t="inlineStr"/>
    </row>
    <row r="7254">
      <c r="A7254" t="inlineStr">
        <is>
          <t>gkj5x8</t>
        </is>
      </c>
      <c r="B7254" t="inlineStr">
        <is>
          <t>Can carbs cause acid reflux?</t>
        </is>
      </c>
      <c r="C7254" t="inlineStr">
        <is>
          <t>Hello! 
I started my journey with acid reflux last year. It came out of nowhere and Now I spend my days trying to pinpoint what could be causing it. I think my anxiety has something to do with it but it’s definitely something I’m eating too.
My symptoms are usually - feeling like food is stuck in my throat, choking feeling, tight throat, neck pain, sometimes burning. Burping. NOT FUN. 
I had oatmeal, coffee, crackers, eggs, and chocolate today. I was FINE. Then I had Mac and cheese and BOOM, Started having acid symptoms.
I used to think I was carb intolerant because I’d bloat and get really sleepy after eating carbs. I felt like poop.
Yes I’m aware crackers and oatmeal are carbs. But I think it’s white carbs like noodles, bread, heavy carbs? Something of that sort. 
 Now I’m starting to think carbs are a culprit.
Anyone else? 
Or do any of you have an actual food group that causes your GERD?</t>
        </is>
      </c>
      <c r="D7254" t="n">
        <v>2</v>
      </c>
      <c r="E7254" t="n">
        <v>20</v>
      </c>
      <c r="F7254">
        <f>HYPERLINK("https://www.reddit.com/r/GERD/comments/gkj5x8/can_carbs_cause_acid_reflux/")</f>
        <v/>
      </c>
      <c r="G7254" t="inlineStr">
        <is>
          <t>2020-05-15 15:39:44</t>
        </is>
      </c>
      <c r="H7254" t="inlineStr"/>
    </row>
    <row r="7255">
      <c r="A7255" t="inlineStr">
        <is>
          <t>gkk2mx</t>
        </is>
      </c>
      <c r="B7255" t="inlineStr">
        <is>
          <t>Food</t>
        </is>
      </c>
      <c r="C7255" t="inlineStr">
        <is>
          <t>Hey team GERD,
Can anyone give me some meal ideas please?
What do you all usually eat for breakfast, lunch and dinner while trying to fight GERD?</t>
        </is>
      </c>
      <c r="D7255" t="n">
        <v>1</v>
      </c>
      <c r="E7255" t="n">
        <v>27</v>
      </c>
      <c r="F7255">
        <f>HYPERLINK("https://www.reddit.com/r/GERD/comments/gkk2mx/food/")</f>
        <v/>
      </c>
      <c r="G7255" t="inlineStr">
        <is>
          <t>2020-05-15 16:32:02</t>
        </is>
      </c>
      <c r="H7255" t="inlineStr"/>
    </row>
    <row r="7256">
      <c r="A7256" t="inlineStr">
        <is>
          <t>gkljzi</t>
        </is>
      </c>
      <c r="B7256" t="inlineStr">
        <is>
          <t>31yr old male - New Gerd/Acid Reflux symptoms</t>
        </is>
      </c>
      <c r="C7256" t="inlineStr">
        <is>
          <t>Hi Friends,   
I just got back from the Doc and he told me to take 20 mg of Omeprazole for the next 2 weeks before our next appt.    
Last Week i noticed i had some chest tightening and irritation in my throat while i was on a bike ride. I freaked and thought it was COVID19 - but later the symptoms died off, and even did some really nice workouts and felt great over the weekend. I didnt take note of any throat irritation until 4 days ago when I  took a bite out of my pizza sauce with a raw onion in it. After that i noticed all acidic food was making my throat flair up. I had cucumber and lime water and bam! Later had a delicious chickpea dinner with garlic spicy yogurt and sauce and boom!    
I took note of what i was eating and how i felt and everything seems to point to Acid Reflux/ GERD symptoms.   
TLDR:  Im healthish - I bike everywhere, run daily and keep a low fat diet (Usually). I actually believe that grad school  life style might have contributed to some bad habits ( stress eating and laying down immediately for a nap). I dont want to rely on Omeprazole - maybe this will all go away in time, but what are some sure fire things i can do to beat this without heavy reliance on meds.</t>
        </is>
      </c>
      <c r="D7256" t="n">
        <v>1</v>
      </c>
      <c r="E7256" t="n">
        <v>4</v>
      </c>
      <c r="F7256">
        <f>HYPERLINK("https://www.reddit.com/r/GERD/comments/gkljzi/31yr_old_male_new_gerdacid_reflux_symptoms/")</f>
        <v/>
      </c>
      <c r="G7256" t="inlineStr">
        <is>
          <t>2020-05-15 18:02:27</t>
        </is>
      </c>
      <c r="H7256" t="inlineStr"/>
    </row>
    <row r="7257">
      <c r="A7257" t="inlineStr">
        <is>
          <t>gkm2wj</t>
        </is>
      </c>
      <c r="B7257" t="inlineStr">
        <is>
          <t>Hey peeps at GERD. what helps your headaches?</t>
        </is>
      </c>
      <c r="C7257" t="inlineStr">
        <is>
          <t>I have esophagitis, been on lansoprazole for a week and the headaches suck. A lot. Any experiences you’d like to share or advice?  
Thanks for reading. Best of luck to everyone.</t>
        </is>
      </c>
      <c r="D7257" t="n">
        <v>1</v>
      </c>
      <c r="E7257" t="n">
        <v>2</v>
      </c>
      <c r="F7257">
        <f>HYPERLINK("https://www.reddit.com/r/GERD/comments/gkm2wj/hey_peeps_at_gerd_what_helps_your_headaches/")</f>
        <v/>
      </c>
      <c r="G7257" t="inlineStr">
        <is>
          <t>2020-05-15 18:35:21</t>
        </is>
      </c>
      <c r="H7257" t="inlineStr"/>
    </row>
    <row r="7258">
      <c r="A7258" t="inlineStr">
        <is>
          <t>gkmk4u</t>
        </is>
      </c>
      <c r="B7258" t="inlineStr">
        <is>
          <t>Greasy Burgers/Red Meat</t>
        </is>
      </c>
      <c r="C7258" t="inlineStr">
        <is>
          <t>Hello GERD peeps!   
Could a fast introduction to red meat have triggered my GERD symptoms?   
Last week i bought burger patties for the first time in YEARS. I even made a greasy burger with bacon. The lock down got me nostalgic for bar food. I pretty much had a burger everyday for 5 days. And one day last week my first GERD symptoms appeared. Tight chest, burning chest throat!   
Im wondering if this all of a sudden greasy burger binge mix with passing the F out shortly afterwards did this to me. I dont eat burgers on a regular, nor red meat, nor greasy food..i wonder if it was too much for my body to handle.   
I just got back from the DR and he gave me some Omeprazole...hoping this is a fast recovery - anyone else go through anything similar to this? Is this an ok assumption?</t>
        </is>
      </c>
      <c r="D7258" t="n">
        <v>1</v>
      </c>
      <c r="E7258" t="n">
        <v>6</v>
      </c>
      <c r="F7258">
        <f>HYPERLINK("https://www.reddit.com/r/GERD/comments/gkmk4u/greasy_burgersred_meat/")</f>
        <v/>
      </c>
      <c r="G7258" t="inlineStr">
        <is>
          <t>2020-05-15 19:06:17</t>
        </is>
      </c>
      <c r="H7258" t="inlineStr"/>
    </row>
    <row r="7259">
      <c r="A7259" t="inlineStr">
        <is>
          <t>gko5nu</t>
        </is>
      </c>
      <c r="B7259" t="inlineStr">
        <is>
          <t>Do you have chest pain all the time?</t>
        </is>
      </c>
      <c r="C7259" t="inlineStr">
        <is>
          <t>Hi guys. I‘m have just been diagnosed with GERD and I‘m just trying to understand it all, so pardon me if this question is obvious but basically my main sympton is chest pain while and after eating but I realized I also have a lot of chest pain while crying and while doing almost anything that requires effort. 
Crying is when I feel the most pain (lol) but I have a lot of chest discomfort in general. Do any of you experience this as well?</t>
        </is>
      </c>
      <c r="D7259" t="n">
        <v>1</v>
      </c>
      <c r="E7259" t="n">
        <v>26</v>
      </c>
      <c r="F7259">
        <f>HYPERLINK("https://www.reddit.com/r/GERD/comments/gko5nu/do_you_have_chest_pain_all_the_time/")</f>
        <v/>
      </c>
      <c r="G7259" t="inlineStr">
        <is>
          <t>2020-05-15 20:59:43</t>
        </is>
      </c>
      <c r="H7259" t="inlineStr"/>
    </row>
    <row r="7260">
      <c r="A7260" t="inlineStr">
        <is>
          <t>gkomit</t>
        </is>
      </c>
      <c r="B7260" t="inlineStr">
        <is>
          <t>Oesophagus issues</t>
        </is>
      </c>
      <c r="C7260" t="inlineStr">
        <is>
          <t>Hi. So years ago I was told I had GERD but dispite having very similar symptoms lots of stuff doesn't seem to fit my problems. Recently I was told that I have a permenantly dilated oesophagus which is what's causing lots of my symptoms. However was unsure if this is an issue in line with the GERD or apart from it. This was just before lock down and the person that realised this was a general ENT consultant and didn't know enough to give me much information. Obviously my referral on is delayed because of current world issues. Does anyone else have this problem? I also have Ehlers Danlos Syndrome Hypermobile Type so lots of collegen issues including problems with my sphincter muscles, ibs, vomiting in my sleep. Some of my symptoms are just terrifying and I'm at a loss right now. I'm 40 and have been having issues with my EDS, my gut and my breathing since I was a little girl.</t>
        </is>
      </c>
      <c r="D7260" t="n">
        <v>1</v>
      </c>
      <c r="E7260" t="n">
        <v>0</v>
      </c>
      <c r="F7260">
        <f>HYPERLINK("https://www.reddit.com/r/GERD/comments/gkomit/oesophagus_issues/")</f>
        <v/>
      </c>
      <c r="G7260" t="inlineStr">
        <is>
          <t>2020-05-15 21:34:24</t>
        </is>
      </c>
      <c r="H7260" t="inlineStr"/>
    </row>
    <row r="7261">
      <c r="A7261" t="inlineStr">
        <is>
          <t>gkpi72</t>
        </is>
      </c>
      <c r="B7261" t="inlineStr">
        <is>
          <t>Is this gerd? 17 year old male</t>
        </is>
      </c>
      <c r="C7261" t="inlineStr">
        <is>
          <t>Hi, I'm 17 and around 2 years ago in august 2018 it suddenly felt like there was like a 'bubble' trapped in my throat? or something I never went to the doctors as i thought it would pass. It has only gotten worse whenever i consume anything now I burp constantly and it tastes exactly like what i have consumed. The burps are extremely gassy and loud and daily life is becoming quite hard and its making me extremely depressed.
I can only describe it as it feels like gas is just rushing up my throat and out my mouth, but i dont get heartburn or any of the other symptoms, is this still gerd?</t>
        </is>
      </c>
      <c r="D7261" t="n">
        <v>1</v>
      </c>
      <c r="E7261" t="n">
        <v>4</v>
      </c>
      <c r="F7261">
        <f>HYPERLINK("https://www.reddit.com/r/GERD/comments/gkpi72/is_this_gerd_17_year_old_male/")</f>
        <v/>
      </c>
      <c r="G7261" t="inlineStr">
        <is>
          <t>2020-05-15 22:45:41</t>
        </is>
      </c>
      <c r="H7261" t="inlineStr"/>
    </row>
    <row r="7262">
      <c r="A7262" t="inlineStr">
        <is>
          <t>gktf60</t>
        </is>
      </c>
      <c r="B7262" t="inlineStr">
        <is>
          <t>The fact that there are people in their 20s that are getting Barrett's Esophagus should cause alarm for the medical community. Reflux is no joke (RANT)</t>
        </is>
      </c>
      <c r="C7262" t="inlineStr">
        <is>
          <t>For those who started getting reflux symptoms in their late 40s or 50s, consider yourself the lucky ones. Because there's a lot of us who started having symptoms in their early 20s and our life expectancy is pretty guaranteed to be decreased. Nothing good comes out of getting reflux issues from a young age. Honestly, I'm praying everyday that I at least get to live up to 65. That's all I ask for. I'm 25 and have been experiencing these symptoms since a few years ago, and it sucks because there's nothing that can be done besides surgery.
Honestly, I wouldn't mind surgery at all, but the process to get there is so long and tedious because most doctors don't take you seriously at all. And not only that, but surgery (fundoplication) always seems to have a 10 year effectiveness rate from a lot of studies I've read. I'd prefer LINX, but that's not available in Canada, so I'm fucked in that regard. 
Oh you have GERD? Take these PPIs for the rest of your life and pray your kidneys/liver doesn't die out first before the esophageal/throat cancer reaches you. Pray that you don't destroy your colon from long-term constipation from these meds. On top of the PPIs, eat an unrealistically low-acid diet for the rest of your life. Oh, and spread your meals to 5 small meals per day, EVERYDAY because that's such a realistic long-term plan right? Oh and forget getting exercise or playing most sports. Stick to light jogging for life. Anything more intensive will bring you one step closer to cancer. God, I'm in such a depressed state in my life. I never expected life to turn out like this.
For those of you who are getting reflux at a later age, your life expectancy will be similar to those of regular folks. But for those who got reflux in our 20s? "dOnT wOrRy gUys! iTs JuSt rEfLuX"</t>
        </is>
      </c>
      <c r="D7262" t="n">
        <v>1</v>
      </c>
      <c r="E7262" t="n">
        <v>66</v>
      </c>
      <c r="F7262">
        <f>HYPERLINK("https://www.reddit.com/r/GERD/comments/gktf60/the_fact_that_there_are_people_in_their_20s_that/")</f>
        <v/>
      </c>
      <c r="G7262" t="inlineStr">
        <is>
          <t>2020-05-16 04:52:18</t>
        </is>
      </c>
      <c r="H7262" t="inlineStr"/>
    </row>
    <row r="7263">
      <c r="A7263" t="inlineStr">
        <is>
          <t>gktks5</t>
        </is>
      </c>
      <c r="B7263" t="inlineStr">
        <is>
          <t>Vent post I guess.</t>
        </is>
      </c>
      <c r="C7263" t="inlineStr">
        <is>
          <t>So I was diagnosed with gerd a while ago. My doctor put me on Omeprazole in the morning and ranitidine at night. After a while, the ranitidine stopped working, so I called in and asked what to do because I was starting to see symptoms like when I was first diagnosed before I was medicated. I was told (I found out recently not by advice from my doctor, but I don't know who) to take nexium at night instead. I asked what to do about my Omeprazole, and they said keep taking it as I have been. 
I went in for an appointment recently to see how I'm doing and to hopefully refill my meds. Come to find out, I'm not supposed to be taking Omeprazole and nexium in the same day because they're the same type of meds! But I've been doing this for months! Based on the last time I called in! So she prescribed me a new couple types of meds to start taking, one of which is a new thing,  called dexilant I think, saying my shitty insurance should cover it. I go to the pharmacy afterwards, and then find out it's almost 300 dollars! For a thirty day supply! And even with goodrx it only brought it down a little! 
So understandably I'm upset, because there's no way I can afford that, my fiance and I have had to go into debt to pay bills before, and we're still nowhere near paying off that debt, and even if we were that's way too much! so I call the doctor's office and she's busy with a patient but I ask if they can have her give me a call or something because I'm freaking out and I need to know what I can do! The administrative person I was talking to says she definitely can't call me back but tried to give me advice on what to take and I tell her as politely as I can that the last time I listened to someone that wasn't my doctor they told me to do something that might have damaged my stomach a lot or will make things worse for me in the long run.
So she can pass along a message, so I give her a message and don't get a call back until the next day from another administrative person, I missed the call because I was sleeping, but I call the number back and leave another message and I haven't heard back since.
I'm so frustrated! I feel like I'm being given the runaround and I can't work properly unless my stomach is in order so I've just been doing what I was doing before with the Omeprazole and nexium and I'm scared that's gonna make things worse in the long run but I need to work and I'm frustrated and I needed someplace to vent.</t>
        </is>
      </c>
      <c r="D7263" t="n">
        <v>1</v>
      </c>
      <c r="E7263" t="n">
        <v>10</v>
      </c>
      <c r="F7263">
        <f>HYPERLINK("https://www.reddit.com/r/GERD/comments/gktks5/vent_post_i_guess/")</f>
        <v/>
      </c>
      <c r="G7263" t="inlineStr">
        <is>
          <t>2020-05-16 05:05:09</t>
        </is>
      </c>
      <c r="H7263" t="inlineStr"/>
    </row>
    <row r="7264">
      <c r="A7264" t="inlineStr">
        <is>
          <t>gktu29</t>
        </is>
      </c>
      <c r="B7264" t="inlineStr">
        <is>
          <t>Pantoprazole</t>
        </is>
      </c>
      <c r="C7264" t="inlineStr">
        <is>
          <t>Is anyone else on this medication? I just started it and I’m wondering if it helped even just a little bit I’m 17 and suffer everyday of my life basically so I’m hoping this will help thank you!</t>
        </is>
      </c>
      <c r="D7264" t="n">
        <v>1</v>
      </c>
      <c r="E7264" t="n">
        <v>24</v>
      </c>
      <c r="F7264">
        <f>HYPERLINK("https://www.reddit.com/r/GERD/comments/gktu29/pantoprazole/")</f>
        <v/>
      </c>
      <c r="G7264" t="inlineStr">
        <is>
          <t>2020-05-16 05:25:46</t>
        </is>
      </c>
      <c r="H7264" t="inlineStr"/>
    </row>
    <row r="7265">
      <c r="A7265" t="inlineStr">
        <is>
          <t>gktvcn</t>
        </is>
      </c>
      <c r="B7265" t="inlineStr">
        <is>
          <t>How to recover from the weakness GERD caused?</t>
        </is>
      </c>
      <c r="C7265" t="inlineStr">
        <is>
          <t>I was suffering from constant nausea for 8 months, nothing natural worked. Nor H2 blockers. I just started PPI over a week ago. It kinda works. I dont feel that extreme nausea now, but i still feel it a little. I guess my stomach has to heal, also i cant take more than 20mgs a day because of my weight, and because more makes me very sick. 
GERD made me very underweight, im close to being anorexic. GERD totally changed my lifestyle as well. I couldn't go out, most of the days I couldn't even get out of the bed because of the sick and nauseaus feeling I had all day long. Since this went on for 8 months, now it feels super weird to even feel a little better. I want to re-build myself, but it's stuck in my mind, how before I would feel sicker from anything. If i went for a walk, if i tried working out, or increasing my food intake, it all made even more sick. Just standing made me feel so sick, I had to get over even showering very quickly, couldn't care about my skin, or anything. So now I'm scared to do anything, because I still feel weak in my stomach, and just in general as well, and I'm scared that i will feel sicker or throw up if i make any changes. So now anxiety has joined the chat too.
But I want to be stronger, and feel better. I believe that besides the PPI not working completely (yet?), I also don't feel good even now, because I am so weak. I must lack some vitamins, Im very underweight, I have no muscles left, have anxiety as well. For starting its a step that at least i can sleep since the PPI, and feel good enough to get out of bed. I tried working out today, but my anxiety got bad, and also got extremely worn out and got little nausea and more acid after a few minutes. I had to go back to bed. I want control over my life again.  Eating and most food still makes me nauseaus. I want to be able to go out, and gain  weight with  acid-friendly but still high calorie foods. I want to have a good immune system again.
Do you have any tips, experience, with gaining back your strength? Or gaining weight healthily despite the sickness GERD causes?</t>
        </is>
      </c>
      <c r="D7265" t="n">
        <v>1</v>
      </c>
      <c r="E7265" t="n">
        <v>7</v>
      </c>
      <c r="F7265">
        <f>HYPERLINK("https://www.reddit.com/r/GERD/comments/gktvcn/how_to_recover_from_the_weakness_gerd_caused/")</f>
        <v/>
      </c>
      <c r="G7265" t="inlineStr">
        <is>
          <t>2020-05-16 05:28:40</t>
        </is>
      </c>
      <c r="H7265" t="inlineStr"/>
    </row>
    <row r="7266">
      <c r="A7266" t="inlineStr">
        <is>
          <t>gkw1n8</t>
        </is>
      </c>
      <c r="B7266" t="inlineStr">
        <is>
          <t>Heartburn without pain?</t>
        </is>
      </c>
      <c r="C7266" t="inlineStr">
        <is>
          <t>I don’t even know what it is. I would be trying to sleep at night and sometimes I feel discomfort in my upper stomach/middle chest. No pain, just discomfort. And I realize I can’t breathe well. Sometimes I wake myself up gasping for air because I can’t take deep breath and have to rely on shallow breathing to feel better. I also have unexplained sore throat and chest pain at times. Wonder if it’s a symptoms of gerd?</t>
        </is>
      </c>
      <c r="D7266" t="n">
        <v>1</v>
      </c>
      <c r="E7266" t="n">
        <v>5</v>
      </c>
      <c r="F7266">
        <f>HYPERLINK("https://www.reddit.com/r/GERD/comments/gkw1n8/heartburn_without_pain/")</f>
        <v/>
      </c>
      <c r="G7266" t="inlineStr">
        <is>
          <t>2020-05-16 08:02:51</t>
        </is>
      </c>
      <c r="H7266" t="inlineStr"/>
    </row>
    <row r="7267">
      <c r="A7267" t="inlineStr">
        <is>
          <t>gkw46c</t>
        </is>
      </c>
      <c r="B7267" t="inlineStr">
        <is>
          <t>Anyone have Silent Reflux?</t>
        </is>
      </c>
      <c r="C7267" t="inlineStr">
        <is>
          <t>I just started a low acid diet for what the ENT Dr thinks is silent reflux. My symptoms are a persistent sore throat, swollen glands and sometimes my ears hurt. This is the advice regarding food sent home: As far as diet goes this is the recommendation: Avoid spicy, acidic, tomato-based, or fatty foods like chocolate, citrus fruits and juices, cucumber, melons, peppermint, Dairy (milk, yogurt, cottage cheese, sour cream, cheese)  Watch to see what aggravates your stomach.   (which nothing bothers my stomach, so that will be interesting to see).
I'd happily eat salad, but I can't find any low acid dressing, and the thought of eating a plain salad is unappealing. Has anyone found a low acid, non dairy dressing?
Right now I'm at the healing part, but eventually I'll need to figure out what foods trigger it. But I'm concerned since my symptoms are consistent, how will I know? Anyone else out there have silent reflux where there aren't any immediate issues when you eat?</t>
        </is>
      </c>
      <c r="D7267" t="n">
        <v>1</v>
      </c>
      <c r="E7267" t="n">
        <v>13</v>
      </c>
      <c r="F7267">
        <f>HYPERLINK("https://www.reddit.com/r/GERD/comments/gkw46c/anyone_have_silent_reflux/")</f>
        <v/>
      </c>
      <c r="G7267" t="inlineStr">
        <is>
          <t>2020-05-16 08:07:01</t>
        </is>
      </c>
      <c r="H7267" t="inlineStr"/>
    </row>
    <row r="7268">
      <c r="A7268" t="inlineStr">
        <is>
          <t>gkwlwu</t>
        </is>
      </c>
      <c r="B7268" t="inlineStr">
        <is>
          <t>Anyone try lily of the desert aloe vera?</t>
        </is>
      </c>
      <c r="C7268" t="inlineStr">
        <is>
          <t>Looking through the sub came across this https://www.amazon.com/Lily-Desert-Herbal-Stomach-Formula/dp/B00014TKLA/ref=cm_cr_arp_d_product_top?ie=UTF8 has anyone tried it?</t>
        </is>
      </c>
      <c r="D7268" t="n">
        <v>2</v>
      </c>
      <c r="E7268" t="n">
        <v>11</v>
      </c>
      <c r="F7268">
        <f>HYPERLINK("https://www.reddit.com/r/GERD/comments/gkwlwu/anyone_try_lily_of_the_desert_aloe_vera/")</f>
        <v/>
      </c>
      <c r="G7268" t="inlineStr">
        <is>
          <t>2020-05-16 08:36:17</t>
        </is>
      </c>
      <c r="H7268" t="inlineStr"/>
    </row>
    <row r="7269">
      <c r="A7269" t="inlineStr">
        <is>
          <t>gkyl1l</t>
        </is>
      </c>
      <c r="B7269" t="inlineStr">
        <is>
          <t>Does this sound right</t>
        </is>
      </c>
      <c r="C7269" t="inlineStr">
        <is>
          <t>Good morning I just had a quick question I'm well aware this is no place to get formal medical advise from just looking to see if everyone here has experienced what I'm currently going through. For the past 3 months I havent been able to breathe very well it always feels like I have to take in a deeper breath every now and then as well as feeling like I have a pill stuck in the bottom of my throat. I've never had heartburn and never had any indigestion problems like burping up after eating until I was proscribed Prilosec 5 days ago which has helped ZERO. I've also taken a chest Xray which showed zero fluid and have been treated for Bronchitis and Phenoma now they have landed on GERD. Does this sound like anything anyone else has experienced. Also not sure if this matters but I can still run and I always wake up feeling like I'm better for about 30min then I'm back to breathing issues and burping up whatever I first drink in the morning.</t>
        </is>
      </c>
      <c r="D7269" t="n">
        <v>1</v>
      </c>
      <c r="E7269" t="n">
        <v>5</v>
      </c>
      <c r="F7269">
        <f>HYPERLINK("https://www.reddit.com/r/GERD/comments/gkyl1l/does_this_sound_right/")</f>
        <v/>
      </c>
      <c r="G7269" t="inlineStr">
        <is>
          <t>2020-05-16 10:30:50</t>
        </is>
      </c>
      <c r="H7269" t="inlineStr"/>
    </row>
    <row r="7270">
      <c r="A7270" t="inlineStr">
        <is>
          <t>gkytd9</t>
        </is>
      </c>
      <c r="B7270" t="inlineStr">
        <is>
          <t>This journey just got weirder</t>
        </is>
      </c>
      <c r="C7270" t="inlineStr">
        <is>
          <t xml:space="preserve">
Ive been eating totally normally for about 2 days now (ive even had mild tacos with salsa) and im having no side effects. I was advised by a dr that if im craving something i should eat it because im getting on average 400calories a day and have been for a month now. 
Heres the weird part, i went to urgent care a few days ago and something made the dr want to check my ac1(?) Lvls, twice, and they were too high to read. So he came in and just straight up said "so you're diabetic" which was news to me.
I go in for more bloodwork on monday and will also be starting to finally see a GP soon, hopefully it will be the same dr that i saw at urgent care (he does both) because he is the first dr to listen to my symptoms and actually figure something out with them other than "its your anxiety doing this" 
I think my journey ahead is going to have ups and downs, itll be bloodwork and tests and complete lifestyle changes but im ready because for the first time in a long time i want to get better and i want to take care of myself.</t>
        </is>
      </c>
      <c r="D7270" t="n">
        <v>2</v>
      </c>
      <c r="E7270" t="n">
        <v>2</v>
      </c>
      <c r="F7270">
        <f>HYPERLINK("https://www.reddit.com/r/GERD/comments/gkytd9/this_journey_just_got_weirder/")</f>
        <v/>
      </c>
      <c r="G7270" t="inlineStr">
        <is>
          <t>2020-05-16 10:43:48</t>
        </is>
      </c>
      <c r="H7270" t="inlineStr"/>
    </row>
    <row r="7271">
      <c r="A7271" t="inlineStr">
        <is>
          <t>gkz1qi</t>
        </is>
      </c>
      <c r="B7271" t="inlineStr">
        <is>
          <t>Keto Diet and GERD/LPR</t>
        </is>
      </c>
      <c r="C7271" t="inlineStr">
        <is>
          <t>Hello all!  Hoping to find some advice here or similar experiences.
Last October I started giving the keto diet a try for weight loss - I was three weeks into it and had gotten over the first adjustment period / learned to supplement properly to avoid any of the keto flu.  However, I ended up stopping because of a bad GERD/LPR flare up.
I'm trying to figure out how related the two are.  
When I first started the diet I was experiencing what I thought was just a cold or allergies - my voice was going, but no horrible acid symptoms.  
Three weeks in and I was having a BAD flare up - completely lost my voice, my acid and reflux was through the roof, just general misery.  I'm still getting my voice back, but the acid and my stomach has settled down - it took about 6 months on the dot.
I'm trying to figure out if the keto caused the flare up or simply made it worse or maybe had no impact at all.  I was liking the diet and seeing weight loss results at the time, but if it's the cause of 6 months of misery I will just accept that diet is not for me.
&amp;amp;#x200B;
Has anyone had any experiences eating a keto diet? How has it effected your GERD and/or LPR?</t>
        </is>
      </c>
      <c r="D7271" t="n">
        <v>1</v>
      </c>
      <c r="E7271" t="n">
        <v>9</v>
      </c>
      <c r="F7271">
        <f>HYPERLINK("https://www.reddit.com/r/GERD/comments/gkz1qi/keto_diet_and_gerdlpr/")</f>
        <v/>
      </c>
      <c r="G7271" t="inlineStr">
        <is>
          <t>2020-05-16 10:56:57</t>
        </is>
      </c>
      <c r="H7271" t="inlineStr"/>
    </row>
    <row r="7272">
      <c r="A7272" t="inlineStr">
        <is>
          <t>gkz5lp</t>
        </is>
      </c>
      <c r="B7272" t="inlineStr">
        <is>
          <t>Has anyone heard of Curcumin</t>
        </is>
      </c>
      <c r="C7272" t="inlineStr">
        <is>
          <t>I have been reading about Curcumin and it’s benefits for people with GERD. Do you guys believe it? Has anyone tried?</t>
        </is>
      </c>
      <c r="D7272" t="n">
        <v>2</v>
      </c>
      <c r="E7272" t="n">
        <v>6</v>
      </c>
      <c r="F7272">
        <f>HYPERLINK("https://www.reddit.com/r/GERD/comments/gkz5lp/has_anyone_heard_of_curcumin/")</f>
        <v/>
      </c>
      <c r="G7272" t="inlineStr">
        <is>
          <t>2020-05-16 11:03:09</t>
        </is>
      </c>
      <c r="H7272" t="inlineStr"/>
    </row>
    <row r="7273">
      <c r="A7273" t="inlineStr">
        <is>
          <t>gl3qe5</t>
        </is>
      </c>
      <c r="B7273" t="inlineStr">
        <is>
          <t>Currently hating life</t>
        </is>
      </c>
      <c r="C7273" t="inlineStr">
        <is>
          <t>I had my wisdom teeth pulled yesterday and they gave me ibuprofen. I took two yesterday and today my throat is so inflamed and raw and my chest is killing me. My heart rate is up to 100 but I had an EKG yesterday that looked fine besides high rate. Has anyone had theirs pulled and experience similar? Obviously I’m at a heightened anxiety level so I’m sure that doesn’t help. I couldn’t sleep at all last night because acid was causing pressure in my neck and ears and everything. I felt like if I fell asleep I would die.</t>
        </is>
      </c>
      <c r="D7273" t="n">
        <v>1</v>
      </c>
      <c r="E7273" t="n">
        <v>2</v>
      </c>
      <c r="F7273">
        <f>HYPERLINK("https://www.reddit.com/r/GERD/comments/gl3qe5/currently_hating_life/")</f>
        <v/>
      </c>
      <c r="G7273" t="inlineStr">
        <is>
          <t>2020-05-16 15:28:31</t>
        </is>
      </c>
      <c r="H7273" t="inlineStr"/>
    </row>
    <row r="7274">
      <c r="A7274" t="inlineStr">
        <is>
          <t>gl4tan</t>
        </is>
      </c>
      <c r="B7274" t="inlineStr">
        <is>
          <t>Is the choking feeling just a sensation?</t>
        </is>
      </c>
      <c r="C7274" t="inlineStr">
        <is>
          <t>We can all agree that the choking feeling that comes with acid reflux is horrible. But I’ve been trying to research because it’s scary. Is the choking feeling just a sensation??? Or does it mean there is actually something stuck in your throat?? No one can really clarify this for me. I’m just curious.</t>
        </is>
      </c>
      <c r="D7274" t="n">
        <v>1</v>
      </c>
      <c r="E7274" t="n">
        <v>7</v>
      </c>
      <c r="F7274">
        <f>HYPERLINK("https://www.reddit.com/r/GERD/comments/gl4tan/is_the_choking_feeling_just_a_sensation/")</f>
        <v/>
      </c>
      <c r="G7274" t="inlineStr">
        <is>
          <t>2020-05-16 16:33:44</t>
        </is>
      </c>
      <c r="H7274" t="inlineStr"/>
    </row>
    <row r="7275">
      <c r="A7275" t="inlineStr">
        <is>
          <t>gl56uw</t>
        </is>
      </c>
      <c r="B7275" t="inlineStr">
        <is>
          <t>Has anyone ever experienced a tremor after taking benzo for anxiety?</t>
        </is>
      </c>
      <c r="C7275" t="inlineStr">
        <is>
          <t>Hi new here.  Have been experiencing unusual symptoms and wondering if anyone else.  Has anyone ever experienced a tremor in core after taking benzo for anxiety?  Has it made nose run and throat sore?  Wondering if related to LPR.</t>
        </is>
      </c>
      <c r="D7275" t="n">
        <v>1</v>
      </c>
      <c r="E7275" t="n">
        <v>3</v>
      </c>
      <c r="F7275">
        <f>HYPERLINK("https://www.reddit.com/r/GERD/comments/gl56uw/has_anyone_ever_experienced_a_tremor_after_taking/")</f>
        <v/>
      </c>
      <c r="G7275" t="inlineStr">
        <is>
          <t>2020-05-16 16:57:25</t>
        </is>
      </c>
      <c r="H7275" t="inlineStr"/>
    </row>
    <row r="7276">
      <c r="A7276" t="inlineStr">
        <is>
          <t>gl63mw</t>
        </is>
      </c>
      <c r="B7276" t="inlineStr">
        <is>
          <t>Protonix</t>
        </is>
      </c>
      <c r="C7276" t="inlineStr">
        <is>
          <t>Has anyone had any success with protonix as a PPI for GERD/LPR? It seems like it’s helping but not enough. I’m still getting flare ups on the silliest foods I eat like yogart. And the nausea comes and goes which I take zophram and pepcin for. I also take sulfacate 4x a day. It’s been a few months I figure it should be healing by now. I got an appointment with a gastroenterologist tuesday so I hope something comes of that. 🙏</t>
        </is>
      </c>
      <c r="D7276" t="n">
        <v>3</v>
      </c>
      <c r="E7276" t="n">
        <v>21</v>
      </c>
      <c r="F7276">
        <f>HYPERLINK("https://www.reddit.com/r/GERD/comments/gl63mw/protonix/")</f>
        <v/>
      </c>
      <c r="G7276" t="inlineStr">
        <is>
          <t>2020-05-16 17:54:26</t>
        </is>
      </c>
      <c r="H7276" t="inlineStr"/>
    </row>
    <row r="7277">
      <c r="A7277" t="inlineStr">
        <is>
          <t>gl727o</t>
        </is>
      </c>
      <c r="B7277" t="inlineStr">
        <is>
          <t>Pollotarian Diet!</t>
        </is>
      </c>
      <c r="C7277" t="inlineStr">
        <is>
          <t>Is anyone else on the pollotarian diet (only meat eaten is poultry)? 
I stopped eating red meat and pork a few years ago because they made my GERD really bad. It’s really helped and that plus Omeprazole and Pepcid made me feel sooo much better. 
The one problem I’ve encountered is I run out of recipes to try because there’s only so much you can cook with chicken or turkey. Any suggestions?</t>
        </is>
      </c>
      <c r="D7277" t="n">
        <v>3</v>
      </c>
      <c r="E7277" t="n">
        <v>8</v>
      </c>
      <c r="F7277">
        <f>HYPERLINK("https://www.reddit.com/r/GERD/comments/gl727o/pollotarian_diet/")</f>
        <v/>
      </c>
      <c r="G7277" t="inlineStr">
        <is>
          <t>2020-05-16 18:57:38</t>
        </is>
      </c>
      <c r="H7277" t="inlineStr"/>
    </row>
    <row r="7278">
      <c r="A7278" t="inlineStr">
        <is>
          <t>gl7ds1</t>
        </is>
      </c>
      <c r="B7278" t="inlineStr">
        <is>
          <t>Digestive enzymes making it worse?</t>
        </is>
      </c>
      <c r="C7278" t="inlineStr">
        <is>
          <t>I tried digestive enzymes today (specifically these  [https://www.amazon.com/Essential-Stacks-Pure-Enzymes-Digestive/dp/B07DYKKYGZ/ref=cm\_cr\_arp\_d\_product\_top?ie=UTF8](https://www.amazon.com/Essential-Stacks-Pure-Enzymes-Digestive/dp/B07DYKKYGZ/ref=cm_cr_arp_d_product_top?ie=UTF8) , had a positive experience with the L-glutamine made by the same company) and they made the reflux a lot worse. I had trouble swallowing and had to drink water throughout the meal, followed by a burning feeling in the throat, lot of belching/burping afterward and additional mucus in the throat. No stomach pain however. Does anyone else have a worsening of symptoms from taking enzymes? Most of what I've seen on this sub about them only have positive comments and said that enzymes help. Is it possible that too many enzymes at once messed me up, and I should try a different brand?
Additionally, is reflux being intensified by enzymes a sign that my stomach acid level is too high or low?</t>
        </is>
      </c>
      <c r="D7278" t="n">
        <v>3</v>
      </c>
      <c r="E7278" t="n">
        <v>10</v>
      </c>
      <c r="F7278">
        <f>HYPERLINK("https://www.reddit.com/r/GERD/comments/gl7ds1/digestive_enzymes_making_it_worse/")</f>
        <v/>
      </c>
      <c r="G7278" t="inlineStr">
        <is>
          <t>2020-05-16 19:18:29</t>
        </is>
      </c>
      <c r="H7278" t="inlineStr"/>
    </row>
    <row r="7279">
      <c r="A7279" t="inlineStr">
        <is>
          <t>gl7wtk</t>
        </is>
      </c>
      <c r="B7279" t="inlineStr">
        <is>
          <t>New to this</t>
        </is>
      </c>
      <c r="C7279" t="inlineStr">
        <is>
          <t>Hi guys, so I dont know if this is acid reflux but wanting peoples opinion. I have never experienced heartburn or acid reflux or even stomach issues in my life. My bf on the other hand has dealt with it since he was a child. Last month I woke up around 4am feeling nauseous and uncomfortable, tossing a turning. By 8am I had a dry cough which made me throw up twice and felt weird until midday. This happened 3 days in a row. I put it down to cheap edibles I had that I was using to help with teeth pain. A month later, yesterday, same thing happened, hadnt had edibles, only had 2 beers. Again put it down to eating something bad, but happened again this morning. This time I threw up 3 times pretty bad, only bile. Didnt drink at all last night and ate a few hours before bed. I dont have heart burn or anything else during the day. Is this acid reflux? And why now? Sorry long post. Thanks!</t>
        </is>
      </c>
      <c r="D7279" t="n">
        <v>1</v>
      </c>
      <c r="E7279" t="n">
        <v>3</v>
      </c>
      <c r="F7279">
        <f>HYPERLINK("https://www.reddit.com/r/GERD/comments/gl7wtk/new_to_this/")</f>
        <v/>
      </c>
      <c r="G7279" t="inlineStr">
        <is>
          <t>2020-05-16 19:54:53</t>
        </is>
      </c>
      <c r="H7279" t="inlineStr"/>
    </row>
    <row r="7280">
      <c r="A7280" t="inlineStr">
        <is>
          <t>gl81en</t>
        </is>
      </c>
      <c r="B7280" t="inlineStr">
        <is>
          <t>Having trouble breathing with GERD/Lpr</t>
        </is>
      </c>
      <c r="C7280" t="inlineStr">
        <is>
          <t>Hey guys new to this just wondering if anyone of u have a lot of shortness of breath while dealing with gerd/Lpr all day every day I have trouble shortness of breath. I have ashtma so I don’t kno if that’s effecting me more but it’s really messing up my life like I can’t do anything and I’m not sure what food to even eat because everything seems like a trigger food I’ve been sticking to broccoli chicken and brown rice pleas if your dealing with something similar help me out !!</t>
        </is>
      </c>
      <c r="D7280" t="n">
        <v>1</v>
      </c>
      <c r="E7280" t="n">
        <v>19</v>
      </c>
      <c r="F7280">
        <f>HYPERLINK("https://www.reddit.com/r/GERD/comments/gl81en/having_trouble_breathing_with_gerdlpr/")</f>
        <v/>
      </c>
      <c r="G7280" t="inlineStr">
        <is>
          <t>2020-05-16 20:03:52</t>
        </is>
      </c>
      <c r="H7280" t="inlineStr"/>
    </row>
    <row r="7281">
      <c r="A7281" t="inlineStr">
        <is>
          <t>gl8d9p</t>
        </is>
      </c>
      <c r="B7281" t="inlineStr">
        <is>
          <t>Probiotics for GERD/LPR?</t>
        </is>
      </c>
      <c r="C7281" t="inlineStr">
        <is>
          <t>I'm sure this has been asked here before, but does anyone find any relief from probiotics? Which ones?
Supposedly probiotics for GERD may be useless since they're not necessarily doing anything in the stomach, killed in the stomach acid, etc. I've seen conflicting reports that they can help by making sure everything moving in the lower digestive tract keeps the GERD symptoms from the upper tract in check. I've also read that VERY specific strains, like two, are meant for the stomach and work great, like the ones in BioGaia.
The good ones are so expensive so I'm wondering if adding it to my monthly list of already expensive medications/supplements is worth it.</t>
        </is>
      </c>
      <c r="D7281" t="n">
        <v>2</v>
      </c>
      <c r="E7281" t="n">
        <v>13</v>
      </c>
      <c r="F7281">
        <f>HYPERLINK("https://www.reddit.com/r/GERD/comments/gl8d9p/probiotics_for_gerdlpr/")</f>
        <v/>
      </c>
      <c r="G7281" t="inlineStr">
        <is>
          <t>2020-05-16 20:27:06</t>
        </is>
      </c>
      <c r="H7281" t="inlineStr"/>
    </row>
    <row r="7282">
      <c r="A7282" t="inlineStr">
        <is>
          <t>gl8kni</t>
        </is>
      </c>
      <c r="B7282" t="inlineStr">
        <is>
          <t>GERD and Hiatus Hernia</t>
        </is>
      </c>
      <c r="C7282" t="inlineStr">
        <is>
          <t>I have GERD presumably caused by my recent hiatus hernia. I was wondering. I was doing hard yard work I had to hoe the ground through hard ironstone to get to a pipe. a little while alter after I was done, my throat and neck went completely numb and so weird feeling, I am wondering if the activity of hoeing the ground for about 2 hours with hard resistance may have caused this?</t>
        </is>
      </c>
      <c r="D7282" t="n">
        <v>2</v>
      </c>
      <c r="E7282" t="n">
        <v>0</v>
      </c>
      <c r="F7282">
        <f>HYPERLINK("https://www.reddit.com/r/GERD/comments/gl8kni/gerd_and_hiatus_hernia/")</f>
        <v/>
      </c>
      <c r="G7282" t="inlineStr">
        <is>
          <t>2020-05-16 20:41:51</t>
        </is>
      </c>
      <c r="H7282" t="inlineStr"/>
    </row>
    <row r="7283">
      <c r="A7283" t="inlineStr">
        <is>
          <t>gl90ct</t>
        </is>
      </c>
      <c r="B7283" t="inlineStr">
        <is>
          <t>What insurance covers the various types of surgeries for GERD/LPR?</t>
        </is>
      </c>
      <c r="C7283" t="inlineStr">
        <is>
          <t>I am just curious and preparing for the worst. I only have medi-cal and wondering if people with medi-cal would even be eligible for these types of surgeries. Any insight would help. I am most curious about Stretta and TIF.</t>
        </is>
      </c>
      <c r="D7283" t="n">
        <v>1</v>
      </c>
      <c r="E7283" t="n">
        <v>3</v>
      </c>
      <c r="F7283">
        <f>HYPERLINK("https://www.reddit.com/r/GERD/comments/gl90ct/what_insurance_covers_the_various_types_of/")</f>
        <v/>
      </c>
      <c r="G7283" t="inlineStr">
        <is>
          <t>2020-05-16 21:14:08</t>
        </is>
      </c>
      <c r="H7283" t="inlineStr"/>
    </row>
    <row r="7284">
      <c r="A7284" t="inlineStr">
        <is>
          <t>gl92p7</t>
        </is>
      </c>
      <c r="B7284" t="inlineStr">
        <is>
          <t>Throat feels “bruised” after acid reflux</t>
        </is>
      </c>
      <c r="C7284" t="inlineStr">
        <is>
          <t>I have had worsening acid reflux for a few years. I’ve never been formally diagnosed but it runs in the family and I have a lot of symptoms. My throat recently has been throbbing and has a “bruised” pain, not really a burn but an ache at the back of my throat. It’s usually accompanied by a globulous sensation that feels like choking or tightening in the throat. I’ve also had worsening burning stomach pain which I contributed to stress but I’m not sure. Is this normal for acid reflux? (I also have Graves’ disease, a thyroid condition, so I’m trying to rule out other possibilities.)</t>
        </is>
      </c>
      <c r="D7284" t="n">
        <v>1</v>
      </c>
      <c r="E7284" t="n">
        <v>15</v>
      </c>
      <c r="F7284">
        <f>HYPERLINK("https://www.reddit.com/r/GERD/comments/gl92p7/throat_feels_bruised_after_acid_reflux/")</f>
        <v/>
      </c>
      <c r="G7284" t="inlineStr">
        <is>
          <t>2020-05-16 21:19:11</t>
        </is>
      </c>
      <c r="H7284" t="inlineStr"/>
    </row>
    <row r="7285">
      <c r="A7285" t="inlineStr">
        <is>
          <t>gla9u3</t>
        </is>
      </c>
      <c r="B7285" t="inlineStr">
        <is>
          <t>Real bad Chest pain on your left side after drinking water before bed</t>
        </is>
      </c>
      <c r="C7285" t="inlineStr">
        <is>
          <t>I started getting real bad chest pain on the left side of my chest after I chugged a ton of water before bed and it almost feels like I’m having a heart attack. It’s like a pain that comes and goes but when it comes it feels like a gripping painful pain than the typical heartburn stuff. Any of you guys experiencing this right now?</t>
        </is>
      </c>
      <c r="D7285" t="n">
        <v>1</v>
      </c>
      <c r="E7285" t="n">
        <v>1</v>
      </c>
      <c r="F7285">
        <f>HYPERLINK("https://www.reddit.com/r/GERD/comments/gla9u3/real_bad_chest_pain_on_your_left_side_after/")</f>
        <v/>
      </c>
      <c r="G7285" t="inlineStr">
        <is>
          <t>2020-05-16 22:56:39</t>
        </is>
      </c>
      <c r="H7285" t="inlineStr"/>
    </row>
    <row r="7286">
      <c r="A7286" t="inlineStr">
        <is>
          <t>glanw4</t>
        </is>
      </c>
      <c r="B7286" t="inlineStr">
        <is>
          <t>How I'm curing my severe acid reflux (still going)</t>
        </is>
      </c>
      <c r="C7286" t="inlineStr">
        <is>
          <t>I've suffered acid reflux for almost 6 years. My main symptom was chronic cough. It kept me from talking with others. It really sucks.
Anyway, after a long trial, I've found some solutions and experiencing drastic recovery nowdays. Here's what I'm doing in detail. 
1. Eating dinner at least 3\~4 hours before going to bed.  It's really crucial to keep your stomach empty at night so that what you ate couldn't reflux while you're sleeping.  (+  Raise the upper part of the bed and sleep on your left side.)
2. There's a high chance that low acid leads to indigestion, and indigestion occurs acid reflux (If digest system doesn't work properly due to low acid,  anything you ate would stay still in your stomach for a long time and it definitely trigger reflux) So take a HCL or digestive enzyme before you take a meal. (I prefer capsule)
3. Please.. Please don't eat caffeine,  sour fruit, spicy food, sort of thing that would irritate your  esophagus. You have to give esophagus some time to recover itself.</t>
        </is>
      </c>
      <c r="D7286" t="n">
        <v>1</v>
      </c>
      <c r="E7286" t="n">
        <v>33</v>
      </c>
      <c r="F7286">
        <f>HYPERLINK("https://www.reddit.com/r/GERD/comments/glanw4/how_im_curing_my_severe_acid_reflux_still_going/")</f>
        <v/>
      </c>
      <c r="G7286" t="inlineStr">
        <is>
          <t>2020-05-16 23:30:45</t>
        </is>
      </c>
      <c r="H7286" t="inlineStr"/>
    </row>
    <row r="7287">
      <c r="A7287" t="inlineStr">
        <is>
          <t>glba1e</t>
        </is>
      </c>
      <c r="B7287" t="inlineStr">
        <is>
          <t>My doctor says I have GERD, but my dad doesn't think so ... Need some input from others' experiences</t>
        </is>
      </c>
      <c r="C7287" t="inlineStr">
        <is>
          <t>tldr: If you have GERD, is it also normal to NOT feel like the stomach acid is coming upwards your throat like you're about to vomit? Or have a bitter taste at the back of your throat?
&amp;amp;#x200B;
Long story not short: 
I've been having this tight throat, soreness and inflamed feeling stemming from the base of my neck for over a month. All the doctors I've visited speculate that I have GERD and gave me medications, though they don't seem to have much effect. But after that period of frantically visiting multiple doctors, it has been less worse than the initial week. Since then it was more of an on-and-off thing where in some days I feel like it's almost gone and other times where the soreness climbs back. The globus sensation stays and I've only been taking a tablet of lanzoprazole everyday. 
Recently, it's gotten much worse in the past week after spending a few days with my family. I think it's likely because we had big meal celebrations and I stuffed myself too much. Also, some of the dishes are spicy. But other than worsening symptoms, I started to have this tingling numb sensation in my tongue. I visited the nearest clinic doctor and he's still saying that it's GERD, but he doesn't know anything about numb tongues. 
Now my main concern is that I'm still skeevy and worried that what if it's not GERD, as I've been misdiagnosed before and would've ended up with something fatal if we hadn't dug out the root problem in the Emergency Room. I didn't want to take an endoscopy, so GERD is just based on speculation by the doctors instead of a 100% confirmation. As of now I'm still just taking that 1 lazoprazole everyday and hoping it gets better. Another thing is my dad is still very skeptical that I have GERD, and his main reason is that supposedly I should've felt the stomach acid going upwards my throat if I had acid reflux...or at least some taste. That only happened to me a few times as a kid, so I know that feeling and it's definitely not a symptom that I have. The new tingling tongue also doesn't help. I tried googling about whether it's possible to not feel the stomach acid going up, but it doesn't seem clear. From what I got is that you CAN experience these symptoms. Though what I want to know is if it's normal to not experience these and simply have this globus sensation and soreness? 
I'm just looking for support here because my mind can't be at peace after that misdiagnosis incident. Some confirmation from other fellow people with GERD may help</t>
        </is>
      </c>
      <c r="D7287" t="n">
        <v>1</v>
      </c>
      <c r="E7287" t="n">
        <v>13</v>
      </c>
      <c r="F7287">
        <f>HYPERLINK("https://www.reddit.com/r/GERD/comments/glba1e/my_doctor_says_i_have_gerd_but_my_dad_doesnt/")</f>
        <v/>
      </c>
      <c r="G7287" t="inlineStr">
        <is>
          <t>2020-05-17 00:26:07</t>
        </is>
      </c>
      <c r="H7287" t="inlineStr"/>
    </row>
    <row r="7288">
      <c r="A7288" t="inlineStr">
        <is>
          <t>gldgkp</t>
        </is>
      </c>
      <c r="B7288" t="inlineStr">
        <is>
          <t>Gas comes up through my throat, it is very uncomfortable</t>
        </is>
      </c>
      <c r="C7288" t="inlineStr">
        <is>
          <t>It seems like no matter what I eat, whether i avoid soda or other harsh gas causing foods, I always get severe gas. Like not just farting, but the gas comes up through my throat. It is very uncomfortable and usually lasts for about an hour or two. I feel pressure in my throat/esophagus and like something is in/blocking my airway, and it always makes it feel difficult/uncomfortable to breathe (not that I can't breathe at all, but it feels like I am suffocating sometimes even though I am not). Also if it happens alot my throat starts to hurt and get sore.. I know it won't kill me but it is annoying and it especially aggravates my anxiety because of the pressure I feel in my throat and the feeling of not being able to breathe properly. I take tums and gas x sometimes but they rarely ever help, although gas x sometimes makes it less intense and more easy to deal with. I have been dealing with this for years now and any help is appreciated. I forgot to mention when the gas comes up through my throat it feels a lot different from a burp and it makes a weird noise. Thanks!</t>
        </is>
      </c>
      <c r="D7288" t="n">
        <v>1</v>
      </c>
      <c r="E7288" t="n">
        <v>19</v>
      </c>
      <c r="F7288">
        <f>HYPERLINK("https://www.reddit.com/r/GERD/comments/gldgkp/gas_comes_up_through_my_throat_it_is_very/")</f>
        <v/>
      </c>
      <c r="G7288" t="inlineStr">
        <is>
          <t>2020-05-17 03:52:25</t>
        </is>
      </c>
      <c r="H7288" t="inlineStr"/>
    </row>
    <row r="7289">
      <c r="A7289" t="inlineStr">
        <is>
          <t>gle8yj</t>
        </is>
      </c>
      <c r="B7289" t="inlineStr">
        <is>
          <t>What did your endoscopy reveal?</t>
        </is>
      </c>
      <c r="C7289" t="inlineStr">
        <is>
          <t>I have been suffering from constant extreme nausea for 8 months. The doctors so far didn't want to do endoscopy on me, because of my age (19), but now I think I found one, who will. I am on PPI, but they sometimes help, sometimes not, and I just have this weak, nauseated feeling in my stomach all the time and cant eat. I can't imagine what the endoscopy will reveal? Reflux? Or something else causing the nausea? Or nothing at all?
What did the procedure reveal for you? And what was your main symptom, that made you do it?</t>
        </is>
      </c>
      <c r="D7289" t="n">
        <v>1</v>
      </c>
      <c r="E7289" t="n">
        <v>36</v>
      </c>
      <c r="F7289">
        <f>HYPERLINK("https://www.reddit.com/r/GERD/comments/gle8yj/what_did_your_endoscopy_reveal/")</f>
        <v/>
      </c>
      <c r="G7289" t="inlineStr">
        <is>
          <t>2020-05-17 05:02:27</t>
        </is>
      </c>
      <c r="H7289" t="inlineStr"/>
    </row>
    <row r="7290">
      <c r="A7290" t="inlineStr">
        <is>
          <t>gleivt</t>
        </is>
      </c>
      <c r="B7290" t="inlineStr">
        <is>
          <t>Lump in throat/chest..anybody have any remedies?</t>
        </is>
      </c>
      <c r="C7290" t="inlineStr">
        <is>
          <t>I know many have experienced this, I sometimes get it after simply brushing my teeth, after eating or it will just pop up when it feels like it.
I also have changed my diet to a gerd friendly one for over a month, no changes. Hoping someone knows any tricks or tips to ease this symptom at least</t>
        </is>
      </c>
      <c r="D7290" t="n">
        <v>1</v>
      </c>
      <c r="E7290" t="n">
        <v>1</v>
      </c>
      <c r="F7290">
        <f>HYPERLINK("https://www.reddit.com/r/GERD/comments/gleivt/lump_in_throatchestanybody_have_any_remedies/")</f>
        <v/>
      </c>
      <c r="G7290" t="inlineStr">
        <is>
          <t>2020-05-17 05:23:49</t>
        </is>
      </c>
      <c r="H7290" t="inlineStr"/>
    </row>
    <row r="7291">
      <c r="A7291" t="inlineStr">
        <is>
          <t>glg0db</t>
        </is>
      </c>
      <c r="B7291" t="inlineStr">
        <is>
          <t>Anyone else get gastroparesis symptoms when they take ppi's or h2 blockers?</t>
        </is>
      </c>
      <c r="C7291" t="inlineStr">
        <is>
          <t>I literally cannot take ppis because when I do after a few days it's like all the acid in my stomach dries up and when I eat food it just sits there in my stomach and hurts like heck.
Same with 20mg pepcid.
Thinking of trying the 10mg pepcid and hoping it will relieve my GERD without triggering that gastroparesis.
Anyone else experience this? What to do?</t>
        </is>
      </c>
      <c r="D7291" t="n">
        <v>1</v>
      </c>
      <c r="E7291" t="n">
        <v>8</v>
      </c>
      <c r="F7291">
        <f>HYPERLINK("https://www.reddit.com/r/GERD/comments/glg0db/anyone_else_get_gastroparesis_symptoms_when_they/")</f>
        <v/>
      </c>
      <c r="G7291" t="inlineStr">
        <is>
          <t>2020-05-17 07:10:40</t>
        </is>
      </c>
      <c r="H7291" t="inlineStr"/>
    </row>
    <row r="7292">
      <c r="A7292" t="inlineStr">
        <is>
          <t>glg2gn</t>
        </is>
      </c>
      <c r="B7292" t="inlineStr">
        <is>
          <t>Feeling overwhelmed and freaking out</t>
        </is>
      </c>
      <c r="C7292" t="inlineStr">
        <is>
          <t>Because of the corona crap my GI appointmnet got pushed back to the end of june and it was supposed to be last month! I'm freaking cos I don't know why my gerd is so bad and nothing helps.
I got an h pylori stool test and that tested neg. I am suspecting I have a hiatal hernia and i'm feeling stressed about how I can litearlly do nothing but wait until the end of june and hopefully be able to convince the GI specialist to get an endoscopy for me and who knows what that will show. 
My next appointment is June 18th and that will do a test where I gotta fast for 4 hours and then drink something and then they will scan my intestines I guess.
I'm so sick of this BS, I get horrible insomnia cos of my GERD and the medications give me insomnia too, i haven't slept well for years and my fatigue and everything is getting worse and everyone else gets to chase their dreams and I can't even make it to the starting line cos of this BS and now cos of corona I'm just in limbo!</t>
        </is>
      </c>
      <c r="D7292" t="n">
        <v>1</v>
      </c>
      <c r="E7292" t="n">
        <v>4</v>
      </c>
      <c r="F7292">
        <f>HYPERLINK("https://www.reddit.com/r/GERD/comments/glg2gn/feeling_overwhelmed_and_freaking_out/")</f>
        <v/>
      </c>
      <c r="G7292" t="inlineStr">
        <is>
          <t>2020-05-17 07:14:21</t>
        </is>
      </c>
      <c r="H7292" t="inlineStr"/>
    </row>
    <row r="7293">
      <c r="A7293" t="inlineStr">
        <is>
          <t>glgcdx</t>
        </is>
      </c>
      <c r="B7293" t="inlineStr">
        <is>
          <t>How do you deal with gas?</t>
        </is>
      </c>
      <c r="C7293" t="inlineStr">
        <is>
          <t>Gas isn't my most painful symptom physically but emotionally. It's killing me. I either look pregnant or fat, and absolutely no clothes fit me right because my stomach looks like I swallowed a bowling ball.  I'm all for loving yourself regardless of your weight and size but I look like a pregnant man, and none of my shirts fit right because shirts are not fitted to accommodate gas belly. 
So how do you folks handle this?</t>
        </is>
      </c>
      <c r="D7293" t="n">
        <v>1</v>
      </c>
      <c r="E7293" t="n">
        <v>6</v>
      </c>
      <c r="F7293">
        <f>HYPERLINK("https://www.reddit.com/r/GERD/comments/glgcdx/how_do_you_deal_with_gas/")</f>
        <v/>
      </c>
      <c r="G7293" t="inlineStr">
        <is>
          <t>2020-05-17 07:32:05</t>
        </is>
      </c>
      <c r="H7293" t="inlineStr"/>
    </row>
    <row r="7294">
      <c r="A7294" t="inlineStr">
        <is>
          <t>glgumd</t>
        </is>
      </c>
      <c r="B7294" t="inlineStr">
        <is>
          <t>LPR sufferers: does the way your throat feels ever change?</t>
        </is>
      </c>
      <c r="C7294" t="inlineStr">
        <is>
          <t>So I have GERD/LPR, and whenever I have a flare up, it feels like the way my throat feels changes. Sometimes, I’ll have an itchy, scratchy throat, sometimes I’ll have throat pain, sometimes, I’ll have  burning in my throat and shortness of breath, and sometimes it’s a combination of those symptoms. Does this happen to you all as well?
Thanks</t>
        </is>
      </c>
      <c r="D7294" t="n">
        <v>1</v>
      </c>
      <c r="E7294" t="n">
        <v>2</v>
      </c>
      <c r="F7294">
        <f>HYPERLINK("https://www.reddit.com/r/GERD/comments/glgumd/lpr_sufferers_does_the_way_your_throat_feels_ever/")</f>
        <v/>
      </c>
      <c r="G7294" t="inlineStr">
        <is>
          <t>2020-05-17 08:03:06</t>
        </is>
      </c>
      <c r="H7294" t="inlineStr"/>
    </row>
    <row r="7295">
      <c r="A7295" t="inlineStr">
        <is>
          <t>glizsw</t>
        </is>
      </c>
      <c r="B7295" t="inlineStr">
        <is>
          <t>Does anyone else just so angry during flares?</t>
        </is>
      </c>
      <c r="C7295" t="inlineStr">
        <is>
          <t>I am experiencing the first severe flair about 6 months after my worst onset with gerd, like I went to Er twice and broke down so bad for most of the fall season. I’m just so angry that I feel sick again. I wanna smash plates. I don’t know what I did wrong to cause the flair. I feel like I overate some Cheerios Tuesday morning and bam. I’ve over eaten accidentally before and it was fine. I’m moving in August and hope I’m ok for then. 2000 mile drive is no short feat. 
Yes, I go to therapy for this, before anyone asks.</t>
        </is>
      </c>
      <c r="D7295" t="n">
        <v>1</v>
      </c>
      <c r="E7295" t="n">
        <v>32</v>
      </c>
      <c r="F7295">
        <f>HYPERLINK("https://www.reddit.com/r/GERD/comments/glizsw/does_anyone_else_just_so_angry_during_flares/")</f>
        <v/>
      </c>
      <c r="G7295" t="inlineStr">
        <is>
          <t>2020-05-17 10:04:58</t>
        </is>
      </c>
      <c r="H7295" t="inlineStr"/>
    </row>
    <row r="7296">
      <c r="A7296" t="inlineStr">
        <is>
          <t>gljpy3</t>
        </is>
      </c>
      <c r="B7296" t="inlineStr">
        <is>
          <t>LPR Throat Scarring</t>
        </is>
      </c>
      <c r="C7296" t="inlineStr">
        <is>
          <t>For months now I’ve had scarring and bunch of reddish inflamed area on the upper part of the back of my throat. I’m just wondering if anyone has ever been able to fully get rid of them. I no longer experience any heartburn. I do occasionally still experience burping and stomach pressure. My most common symptom though is irritation in the back of my throat where the scarring is. Ive been following a lot of the advice on here like avoiding common trigger foods and drinks, not eating before bed, exercising more, eating smaller meals, and minimizing stress. For the last week or so I’ve been trying Pepcid before bed wand drinking some alkaline water since I’ve heard that can help deactivate pepsin. Haven’t noticed any great results. I’ve tried nexium and protonix before which helped eliminate my heartburn and that’s stayed away. But didn’t really make a difference with my throat irritation. Any tips or advice?</t>
        </is>
      </c>
      <c r="D7296" t="n">
        <v>1</v>
      </c>
      <c r="E7296" t="n">
        <v>2</v>
      </c>
      <c r="F7296">
        <f>HYPERLINK("https://www.reddit.com/r/GERD/comments/gljpy3/lpr_throat_scarring/")</f>
        <v/>
      </c>
      <c r="G7296" t="inlineStr">
        <is>
          <t>2020-05-17 10:44:22</t>
        </is>
      </c>
      <c r="H7296" t="inlineStr"/>
    </row>
    <row r="7297">
      <c r="A7297" t="inlineStr">
        <is>
          <t>glk2qo</t>
        </is>
      </c>
      <c r="B7297" t="inlineStr">
        <is>
          <t>Endoscopy or barium swallow test for diagnosing hiatal hernia?</t>
        </is>
      </c>
      <c r="C7297" t="inlineStr">
        <is>
          <t>Looks like i am scheduled for a barium swallow test next month and im just wondering is it good or should i tell my GI to do a endoscopy instead? I am suspecting i have a hiatal hernia since i tested neg in h pylori stool test, is barium swallow test good enough to diagnose hiatal hernia?</t>
        </is>
      </c>
      <c r="D7297" t="n">
        <v>1</v>
      </c>
      <c r="E7297" t="n">
        <v>16</v>
      </c>
      <c r="F7297">
        <f>HYPERLINK("https://www.reddit.com/r/GERD/comments/glk2qo/endoscopy_or_barium_swallow_test_for_diagnosing/")</f>
        <v/>
      </c>
      <c r="G7297" t="inlineStr">
        <is>
          <t>2020-05-17 11:04:05</t>
        </is>
      </c>
      <c r="H7297" t="inlineStr"/>
    </row>
    <row r="7298">
      <c r="A7298" t="inlineStr">
        <is>
          <t>glk7xg</t>
        </is>
      </c>
      <c r="B7298" t="inlineStr">
        <is>
          <t>Strange simptoms</t>
        </is>
      </c>
      <c r="C7298" t="inlineStr">
        <is>
          <t>I have been diagnosed with Gerd in 2015 and every year is worse and worse.I eat healthy food since then,on PpI.Now i have strange simptoms,my stomach hurts and burns when i breath and talk, dunno its Gerd or not.Anyone have similar feelings?</t>
        </is>
      </c>
      <c r="D7298" t="n">
        <v>1</v>
      </c>
      <c r="E7298" t="n">
        <v>1</v>
      </c>
      <c r="F7298">
        <f>HYPERLINK("https://www.reddit.com/r/GERD/comments/glk7xg/strange_simptoms/")</f>
        <v/>
      </c>
      <c r="G7298" t="inlineStr">
        <is>
          <t>2020-05-17 11:11:36</t>
        </is>
      </c>
      <c r="H7298" t="inlineStr"/>
    </row>
    <row r="7299">
      <c r="A7299" t="inlineStr">
        <is>
          <t>gll6vb</t>
        </is>
      </c>
      <c r="B7299" t="inlineStr">
        <is>
          <t>does anyone experience dizziness and generally feeling unwell while using PPI?</t>
        </is>
      </c>
      <c r="C7299" t="inlineStr">
        <is>
          <t>hello I was having indigestion recently, and my doc put me on Prevacid 30 mg and every time i take it and eat i feel  dizzy and generally unwell , that lasts for few hours until the next morning i was wondering if i was the only alone experiencing this kind of side effects</t>
        </is>
      </c>
      <c r="D7299" t="n">
        <v>1</v>
      </c>
      <c r="E7299" t="n">
        <v>7</v>
      </c>
      <c r="F7299">
        <f>HYPERLINK("https://www.reddit.com/r/GERD/comments/gll6vb/does_anyone_experience_dizziness_and_generally/")</f>
        <v/>
      </c>
      <c r="G7299" t="inlineStr">
        <is>
          <t>2020-05-17 12:04:51</t>
        </is>
      </c>
      <c r="H7299" t="inlineStr"/>
    </row>
    <row r="7300">
      <c r="A7300" t="inlineStr">
        <is>
          <t>glmamo</t>
        </is>
      </c>
      <c r="B7300" t="inlineStr">
        <is>
          <t>PPI seems to be starting to not work anymore at current dose. GF has probiotics thinking if trying it</t>
        </is>
      </c>
      <c r="C7300" t="inlineStr">
        <is>
          <t>She just bought some probiotics the other day so Im thinking of trying it also. Is it safe to take them in the same day and how far apart should i take them? I take 15mg lanzoprazole (prevacid) in the morning and was thinking about having (a small dose) probiotics either before lunch or before supper</t>
        </is>
      </c>
      <c r="D7300" t="n">
        <v>1</v>
      </c>
      <c r="E7300" t="n">
        <v>1</v>
      </c>
      <c r="F7300">
        <f>HYPERLINK("https://www.reddit.com/r/GERD/comments/glmamo/ppi_seems_to_be_starting_to_not_work_anymore_at/")</f>
        <v/>
      </c>
      <c r="G7300" t="inlineStr">
        <is>
          <t>2020-05-17 13:05:52</t>
        </is>
      </c>
      <c r="H7300" t="inlineStr"/>
    </row>
    <row r="7301">
      <c r="A7301" t="inlineStr">
        <is>
          <t>glmb8u</t>
        </is>
      </c>
      <c r="B7301" t="inlineStr">
        <is>
          <t>Workout</t>
        </is>
      </c>
      <c r="C7301" t="inlineStr">
        <is>
          <t>How to workout eith this condition???
Can anybody guide me on that i am new here</t>
        </is>
      </c>
      <c r="D7301" t="n">
        <v>1</v>
      </c>
      <c r="E7301" t="n">
        <v>1</v>
      </c>
      <c r="F7301">
        <f>HYPERLINK("https://www.reddit.com/r/GERD/comments/glmb8u/workout/")</f>
        <v/>
      </c>
      <c r="G7301" t="inlineStr">
        <is>
          <t>2020-05-17 13:06:46</t>
        </is>
      </c>
      <c r="H7301" t="inlineStr"/>
    </row>
    <row r="7302">
      <c r="A7302" t="inlineStr">
        <is>
          <t>glnu4c</t>
        </is>
      </c>
      <c r="B7302" t="inlineStr">
        <is>
          <t>Anyone else react differently to different energy drinks?</t>
        </is>
      </c>
      <c r="C7302" t="inlineStr">
        <is>
          <t>So, I have started drinking Redbull a few weeks ago and I would like to continue drinking it, but it's *so* expensive. So I decided to try Monster and Rockstar. Both of them give me major heartburn, while Redbull doesn't.
Anybody else like this?</t>
        </is>
      </c>
      <c r="D7302" t="n">
        <v>1</v>
      </c>
      <c r="E7302" t="n">
        <v>4</v>
      </c>
      <c r="F7302">
        <f>HYPERLINK("https://www.reddit.com/r/GERD/comments/glnu4c/anyone_else_react_differently_to_different_energy/")</f>
        <v/>
      </c>
      <c r="G7302" t="inlineStr">
        <is>
          <t>2020-05-17 14:30:17</t>
        </is>
      </c>
      <c r="H7302" t="inlineStr"/>
    </row>
    <row r="7303">
      <c r="A7303" t="inlineStr">
        <is>
          <t>glo40n</t>
        </is>
      </c>
      <c r="B7303" t="inlineStr">
        <is>
          <t>Lump in throat for days. Hiatal hernia acting up?</t>
        </is>
      </c>
      <c r="C7303" t="inlineStr">
        <is>
          <t>I was diagnosed with hiatal hernia in December. A few days ago I had a small stomach bug and threw up a little, mostly dry heaving. I woke up the next day with this lump in my throat that will NOT go away. It feels like food is stuck in my throat and sometimes it actually is but I’ve had that since having the hernia. It’s making me very nervous because I have health anxiety all the time. I was checked by my ent a couple of months ago and he said I’m fine other than GERD but now I have this and worry. I took a lorazepam to help with my nerves but the feeling is still there. Could I have made my hiatal hernia worse when I threw up? Could it actually be food stuck? I plan on making an appointment tomorrow.</t>
        </is>
      </c>
      <c r="D7303" t="n">
        <v>1</v>
      </c>
      <c r="E7303" t="n">
        <v>7</v>
      </c>
      <c r="F7303">
        <f>HYPERLINK("https://www.reddit.com/r/GERD/comments/glo40n/lump_in_throat_for_days_hiatal_hernia_acting_up/")</f>
        <v/>
      </c>
      <c r="G7303" t="inlineStr">
        <is>
          <t>2020-05-17 14:45:02</t>
        </is>
      </c>
      <c r="H7303" t="inlineStr"/>
    </row>
    <row r="7304">
      <c r="A7304" t="inlineStr">
        <is>
          <t>glol44</t>
        </is>
      </c>
      <c r="B7304" t="inlineStr">
        <is>
          <t>What brand of slippery elm powder should I be using?</t>
        </is>
      </c>
      <c r="C7304" t="inlineStr">
        <is>
          <t>I'm getting better but I'm kind of frustrated with the brand of slippery elm that I have been getting.
I bought the 1lb bag of slippery elm from starwest botanicals and all it did was give me massive diarrhea, although it did get thick like I'm told most slippery elm powder should get when you dissolve it in water.
Then recently I received the NOW brand slippery elm powder and it doesn't get thick at all and brings no relief.
What brand should I be using?</t>
        </is>
      </c>
      <c r="D7304" t="n">
        <v>1</v>
      </c>
      <c r="E7304" t="n">
        <v>6</v>
      </c>
      <c r="F7304">
        <f>HYPERLINK("https://www.reddit.com/r/GERD/comments/glol44/what_brand_of_slippery_elm_powder_should_i_be/")</f>
        <v/>
      </c>
      <c r="G7304" t="inlineStr">
        <is>
          <t>2020-05-17 15:11:29</t>
        </is>
      </c>
      <c r="H7304" t="inlineStr"/>
    </row>
    <row r="7305">
      <c r="A7305" t="inlineStr">
        <is>
          <t>glosb2</t>
        </is>
      </c>
      <c r="B7305" t="inlineStr">
        <is>
          <t>PPI and antacids ?</t>
        </is>
      </c>
      <c r="C7305" t="inlineStr">
        <is>
          <t>Hello,
I have a question for people who used/uses PPIs, I started taking a PPI for GERD/gastritis almost a week ago. I know it’s too soon to gauge any real thing off of that but given how bad my stomach was while taking the PPI I’ve been using antacids in between like after a meal which isn’t much lol really I’m eating bare basics trying to do just that, that’s how jacked I had become. I notice I’m making progress with eating a little more each day and less reflux/stomach pain etc. prior to the PPI it was like I was in a walking flare up hell so I can say without a doubt I see some change. 
However I was wondering do other people do that as well or am I just out of my mind ? If so how long did you notice you started to grab your antacids less and less because the PPI was finally aiding in the fight for you? I get random moments when my reflux wants to just go and grab for them but really I am noticing it’s becoming less with each day I put under me with this PPI. 
Any insight would be awesome. 
Thanks guys means a lot !</t>
        </is>
      </c>
      <c r="D7305" t="n">
        <v>1</v>
      </c>
      <c r="E7305" t="n">
        <v>8</v>
      </c>
      <c r="F7305">
        <f>HYPERLINK("https://www.reddit.com/r/GERD/comments/glosb2/ppi_and_antacids/")</f>
        <v/>
      </c>
      <c r="G7305" t="inlineStr">
        <is>
          <t>2020-05-17 15:22:45</t>
        </is>
      </c>
      <c r="H7305" t="inlineStr"/>
    </row>
    <row r="7306">
      <c r="A7306" t="inlineStr">
        <is>
          <t>glove1</t>
        </is>
      </c>
      <c r="B7306" t="inlineStr">
        <is>
          <t>Interesting Video On How to Completely Cure GERD and Heartburn!</t>
        </is>
      </c>
      <c r="C7306" t="inlineStr">
        <is>
          <t>https://youtu.be/McXhHJ0rQug</t>
        </is>
      </c>
      <c r="D7306" t="n">
        <v>1</v>
      </c>
      <c r="E7306" t="n">
        <v>4</v>
      </c>
      <c r="F7306">
        <f>HYPERLINK("https://www.reddit.com/r/GERD/comments/glove1/interesting_video_on_how_to_completely_cure_gerd/")</f>
        <v/>
      </c>
      <c r="G7306" t="inlineStr">
        <is>
          <t>2020-05-17 15:27:37</t>
        </is>
      </c>
      <c r="H7306" t="inlineStr"/>
    </row>
    <row r="7307">
      <c r="A7307" t="inlineStr">
        <is>
          <t>gloz1a</t>
        </is>
      </c>
      <c r="B7307" t="inlineStr">
        <is>
          <t>"GERD can be caused by low stomach acid" - what is the scientific status of this claim?</t>
        </is>
      </c>
      <c r="C7307" t="inlineStr">
        <is>
          <t>You'd think something as basic as this could be found online, but all I've found is conflicting statements from what seem to be reliable sources.  It's driving me crazy.  
If you're in the dark here - brief summary is that some claim acid reflux is caused not by having too much acid, but too little.  Then somehow(?) this causes acid to travel up your esophagus.  Based on this logic, a common claim is to drink a small amount of diluted apple cider vinegar.  This will allegedly "balance" your acid levels and thus fix your reflux.  
One thing I will say is that anecdotally speaking, there's \_many\_ people who back this up.  You can easily find story after story of people saying they tried everything, they took 40mg of omeprazole a day for years, finally ACV solved things the first day they tried, etc.   
I tried to get to the bottom of this by asking my doctor.  I told her the PPI she prescribed seemed to not have much affect, and actually possibly made things \_worse\_.  She told me to try taking double the amount.  So I asked her about ACV.  She said she'd never heard of that, with a smile on her face that seemed to indicate something like "lol, fuckin internet doctors."  I thought maybe this indicated the science is lacking, but I still found it weird that she would have never even heard of it at all.</t>
        </is>
      </c>
      <c r="D7307" t="n">
        <v>1</v>
      </c>
      <c r="E7307" t="n">
        <v>27</v>
      </c>
      <c r="F7307">
        <f>HYPERLINK("https://www.reddit.com/r/GERD/comments/gloz1a/gerd_can_be_caused_by_low_stomach_acid_what_is/")</f>
        <v/>
      </c>
      <c r="G7307" t="inlineStr">
        <is>
          <t>2020-05-17 15:33:12</t>
        </is>
      </c>
      <c r="H7307" t="inlineStr"/>
    </row>
    <row r="7308">
      <c r="A7308" t="inlineStr">
        <is>
          <t>glpg0b</t>
        </is>
      </c>
      <c r="B7308" t="inlineStr">
        <is>
          <t>GERD/PPI Question</t>
        </is>
      </c>
      <c r="C7308" t="inlineStr">
        <is>
          <t>I have been having a ton of trouble breathing lately.  My doctor and I thought it was allergies at first, but I was generally not responsive to any of those meds.  I bow on Nexium 2x a day and Pepcid as needed - maybe ever 2nd or 3rd day.  This is helping a ton! However, my stomach is super bloated.  Two questions: (1) is this bloating common? And (2) is trouble breathing common with GERD - primarily difficulty getting a deep breathe and lots of mucus?</t>
        </is>
      </c>
      <c r="D7308" t="n">
        <v>1</v>
      </c>
      <c r="E7308" t="n">
        <v>3</v>
      </c>
      <c r="F7308">
        <f>HYPERLINK("https://www.reddit.com/r/GERD/comments/glpg0b/gerdppi_question/")</f>
        <v/>
      </c>
      <c r="G7308" t="inlineStr">
        <is>
          <t>2020-05-17 16:00:12</t>
        </is>
      </c>
      <c r="H7308" t="inlineStr"/>
    </row>
    <row r="7309">
      <c r="A7309" t="inlineStr">
        <is>
          <t>glplby</t>
        </is>
      </c>
      <c r="B7309" t="inlineStr">
        <is>
          <t>Aged 26 and been taking lansoprazole for 2-3 years now.. I'm not sure how to control it?</t>
        </is>
      </c>
      <c r="C7309" t="inlineStr">
        <is>
          <t>Whenever I go a day without the symptoms are still there, terrible and unbareable but I'm realising lately that I think taking this medication for so long might not be the best thing and I'm at a loss of what to do? 
I know food triggers are a thing, the thing is I have oral allergy syndrome so I'm.very paranoid around fruit and vegetables (especially raw) I do try and cook more veg in my meals but I just struggle with what I should and shouldn't eat 
I try to cut out fizzy drinks and caffeine but truthfully even water seems to cause it to get worse</t>
        </is>
      </c>
      <c r="D7309" t="n">
        <v>1</v>
      </c>
      <c r="E7309" t="n">
        <v>0</v>
      </c>
      <c r="F7309">
        <f>HYPERLINK("https://www.reddit.com/r/GERD/comments/glplby/aged_26_and_been_taking_lansoprazole_for_23_years/")</f>
        <v/>
      </c>
      <c r="G7309" t="inlineStr">
        <is>
          <t>2020-05-17 16:08:26</t>
        </is>
      </c>
      <c r="H7309" t="inlineStr"/>
    </row>
    <row r="7310">
      <c r="A7310" t="inlineStr">
        <is>
          <t>glqnnj</t>
        </is>
      </c>
      <c r="B7310" t="inlineStr">
        <is>
          <t>Mouth Breathing and UES</t>
        </is>
      </c>
      <c r="C7310" t="inlineStr">
        <is>
          <t>LPR question here: Does mouth breathing open the UES? Or perhaps cause it to be more prone to inappropriately opening? I mouth breathe a lot at night, and I'm wondering if this is exacerbating my nighttime reflux</t>
        </is>
      </c>
      <c r="D7310" t="n">
        <v>1</v>
      </c>
      <c r="E7310" t="n">
        <v>1</v>
      </c>
      <c r="F7310">
        <f>HYPERLINK("https://www.reddit.com/r/GERD/comments/glqnnj/mouth_breathing_and_ues/")</f>
        <v/>
      </c>
      <c r="G7310" t="inlineStr">
        <is>
          <t>2020-05-17 17:11:41</t>
        </is>
      </c>
      <c r="H7310" t="inlineStr"/>
    </row>
    <row r="7311">
      <c r="A7311" t="inlineStr">
        <is>
          <t>glqtmu</t>
        </is>
      </c>
      <c r="B7311" t="inlineStr">
        <is>
          <t>Can IBS turn to GERD?</t>
        </is>
      </c>
      <c r="C7311" t="inlineStr">
        <is>
          <t>I have this weird cycle for the past 6 months,It starts by having ibs symptoms (pain in random areas in my stomach,mucus in stool,undigested food,mushy stool,rarely get diarrhea or constipation) then I start to develop GERD symptoms (acid reflux,a cough with mucus after eating,pain and irritation in my esophagus) and then all of the sudden I start feeling good and all symptoms just vanish but only for couple weeks if I am lucky,then the pain cycle starts again for about couple weeks as well.what do you think?</t>
        </is>
      </c>
      <c r="D7311" t="n">
        <v>1</v>
      </c>
      <c r="E7311" t="n">
        <v>5</v>
      </c>
      <c r="F7311">
        <f>HYPERLINK("https://www.reddit.com/r/GERD/comments/glqtmu/can_ibs_turn_to_gerd/")</f>
        <v/>
      </c>
      <c r="G7311" t="inlineStr">
        <is>
          <t>2020-05-17 17:22:01</t>
        </is>
      </c>
      <c r="H7311" t="inlineStr"/>
    </row>
    <row r="7312">
      <c r="A7312" t="inlineStr">
        <is>
          <t>glr3w2</t>
        </is>
      </c>
      <c r="B7312" t="inlineStr">
        <is>
          <t>omeprazole i fucked up. please help me</t>
        </is>
      </c>
      <c r="C7312" t="inlineStr">
        <is>
          <t>Hi,
I have been experiencing what I think has been heart burn/GERD symptoms for over a year now, so last week while I was at the pharmacy buying shampoo I asked the pharmacist if he had anything for the acid in my stomach and he gave me omeprazole. Told me to take as needed, I read the leaflet and it said to take it daily, so I have been for 6 days. The pill case has 14, so I have 8 to go. It’s 20mg each. 
Well, I decided to read about this medicine today and now I am scared. Can I stop? If I have been seeing improvements Can I take it for 2 weeks, give my stomach time to heal if this medication works that way and that’s why I’m getting symptoms? Can I take this with food? How should I stop? I am scared. What are the consequences of stopping now? I am scared. 
Can I take it for 3 weeks, and stop? (like finish my 14, buy a new case and finish 7 of them just in case this actually helps? But will there be consequences?) 
Thank you and I’m sorry.</t>
        </is>
      </c>
      <c r="D7312" t="n">
        <v>1</v>
      </c>
      <c r="E7312" t="n">
        <v>12</v>
      </c>
      <c r="F7312">
        <f>HYPERLINK("https://www.reddit.com/r/GERD/comments/glr3w2/omeprazole_i_fucked_up_please_help_me/")</f>
        <v/>
      </c>
      <c r="G7312" t="inlineStr">
        <is>
          <t>2020-05-17 17:39:40</t>
        </is>
      </c>
      <c r="H7312" t="inlineStr"/>
    </row>
    <row r="7313">
      <c r="A7313" t="inlineStr">
        <is>
          <t>glr56p</t>
        </is>
      </c>
      <c r="B7313" t="inlineStr">
        <is>
          <t>Antibiotics</t>
        </is>
      </c>
      <c r="C7313" t="inlineStr">
        <is>
          <t>What does it mean if your gerd started right after a cycle of antibiotics. Can gut dysbiosis cause gerd?</t>
        </is>
      </c>
      <c r="D7313" t="n">
        <v>1</v>
      </c>
      <c r="E7313" t="n">
        <v>1</v>
      </c>
      <c r="F7313">
        <f>HYPERLINK("https://www.reddit.com/r/GERD/comments/glr56p/antibiotics/")</f>
        <v/>
      </c>
      <c r="G7313" t="inlineStr">
        <is>
          <t>2020-05-17 17:41:42</t>
        </is>
      </c>
      <c r="H7313" t="inlineStr"/>
    </row>
    <row r="7314">
      <c r="A7314" t="inlineStr">
        <is>
          <t>glrb8c</t>
        </is>
      </c>
      <c r="B7314" t="inlineStr">
        <is>
          <t>GERD and a small hiatal hernia?</t>
        </is>
      </c>
      <c r="C7314" t="inlineStr">
        <is>
          <t>Hey folks, I’m a desperate 24m trying to figure my issues out (tl;dr at the bottom) and I’m curious to see what you guys think.
Back in April I was diagnosed with a small hiatal hernia (endoscopy) after increasingly losing my ability to eat or drink anything since late March. The doctor, a surgeon, said it’s unlikely it’d be causing my issues (didn’t tell me if it was sliding or such, or much of anything really). I also have GERD, as was denoted by my PCP back in December, and by how I’ve had acid reflux most of my life.
So I continued to do tests; ultrasounds, CT scans, blood tests, the works. Then I had a barium swallow test about two weeks back that revealed I had nothing wrong with me. Yeah. Even the hernia was said to be gone. No mention of GERD either.
So I got another endoscopy by a proper GI on the 12th, a week later, which showed “mild diffuse gastritis”, an inlet patch, irregular z line, and surprise, a small hiatal hernia. Didn’t mention GERD but I figure it’s in there somewhere.
I haven’t been able to speak with the GI as it was done Thursday and they took biopsies as well, and I’m still struggling to put food down and keep it there. 
I’ve really had no other symptoms until recently where I’ve become lightheaded and can feel my body being hungry after so many weeks without much staying down. I’ve also belched a lot since December, usually after eating something, and a pain tends to pop up in my chest - left side (cleated echocardiogram and stress tests btw) at random. There’s also a sensation of a knot in my throat, like somethings not letting it rest. Recently, I’ve had bouts of what feel like proper acid reflux for the first time in months.
The only other “big” thing seems to be that constipation is involved, though that could be due to no food and such to push through. I did have some come out yesterday though and the color was light, and it felt like clay (had to push it loose from the bowl). I figure this is either related to whatever’s going on, or due to how long it’s been inside of me.
As far as the regurgitation goes, it’s a neat instant feeling after I finish eating anything. As if it’s still just sitting in my esophagus, or not making it to the stomach at all. 
Medications have been protonix for a month, some omezaprole as of today since I ran out (applesauce helps it stay down, so far), and any antacids I can get. None have made any noticeable improvement, however.
Basically, tl;dr, my question is, can the GERD and the hernia (maybe along with another issue? The gastritis?) be the cause of all this despite the initial denial? I’ve got an emptying test coming at some point soon (I’m quite resigned to this being something worse, admittedly), would that show GERD/the hernia or does it just show gastroparesis? Thanks in advance!</t>
        </is>
      </c>
      <c r="D7314" t="n">
        <v>1</v>
      </c>
      <c r="E7314" t="n">
        <v>5</v>
      </c>
      <c r="F7314">
        <f>HYPERLINK("https://www.reddit.com/r/GERD/comments/glrb8c/gerd_and_a_small_hiatal_hernia/")</f>
        <v/>
      </c>
      <c r="G7314" t="inlineStr">
        <is>
          <t>2020-05-17 17:52:03</t>
        </is>
      </c>
      <c r="H7314" t="inlineStr"/>
    </row>
    <row r="7315">
      <c r="A7315" t="inlineStr">
        <is>
          <t>glso1y</t>
        </is>
      </c>
      <c r="B7315" t="inlineStr">
        <is>
          <t>2 Symptomatic Questions</t>
        </is>
      </c>
      <c r="C7315" t="inlineStr">
        <is>
          <t>Hi all, I have two questions about symptoms...I'm speaking to my Dr. soon so I am by no means trying to diagnose myself, I just want to understand the lingo as a person relatively new to GERD.
1) I get a feeling almost every night before bed that feels like my stomach or upper abdomen that feels like when you eat a lot of greasy foods, like a bag of potato chips (sorry it's the only thing I can relate it to). Not nauseous, just greasy and upset stomach. What is this called - is this gastritis that I'm feeling?
2) Can heartburn manifest to the left of the breastbone, closer to the heart? I get some pain there in my chest when I make certain movements throughout the day, and doesn't necessarily correlate with food consumption. 
Again, I just want to hear your thoughts but I am bringing this up with my Dr. very soon.</t>
        </is>
      </c>
      <c r="D7315" t="n">
        <v>1</v>
      </c>
      <c r="E7315" t="n">
        <v>0</v>
      </c>
      <c r="F7315">
        <f>HYPERLINK("https://www.reddit.com/r/GERD/comments/glso1y/2_symptomatic_questions/")</f>
        <v/>
      </c>
      <c r="G7315" t="inlineStr">
        <is>
          <t>2020-05-17 19:19:01</t>
        </is>
      </c>
      <c r="H7315" t="inlineStr"/>
    </row>
    <row r="7316">
      <c r="A7316" t="inlineStr">
        <is>
          <t>glt3vl</t>
        </is>
      </c>
      <c r="B7316" t="inlineStr">
        <is>
          <t>Anyone try Zinc Carnosine (Pepzin GI)?</t>
        </is>
      </c>
      <c r="C7316" t="inlineStr">
        <is>
          <t>I've read some positive things about it, but actually don't see too many brands.  NOW Foods makes it, but they call it Gastro Comfort, and there are other ingredients that may or may not be wanted.  The other big brand seems to be Doctor's Best.  Also, Integrative Therapeutics, but they are pricey.  Those are the three main brands I've seen.</t>
        </is>
      </c>
      <c r="D7316" t="n">
        <v>1</v>
      </c>
      <c r="E7316" t="n">
        <v>10</v>
      </c>
      <c r="F7316">
        <f>HYPERLINK("https://www.reddit.com/r/GERD/comments/glt3vl/anyone_try_zinc_carnosine_pepzin_gi/")</f>
        <v/>
      </c>
      <c r="G7316" t="inlineStr">
        <is>
          <t>2020-05-17 19:48:19</t>
        </is>
      </c>
      <c r="H7316" t="inlineStr"/>
    </row>
    <row r="7317">
      <c r="A7317" t="inlineStr">
        <is>
          <t>gltkc1</t>
        </is>
      </c>
      <c r="B7317" t="inlineStr">
        <is>
          <t>Staying positive is getting harder</t>
        </is>
      </c>
      <c r="C7317" t="inlineStr">
        <is>
          <t>I (f32) hate to be so depressing or be a Debbie downer, but I honestly just need to vent and you guys will understand...
No matter what I’ve tried, it seems I can’t escape my acid reflux these days. It started in my early 20s. Meds worked back then. Then when they didn’t I learned avoiding gluten fixed it. Now it doesn’t seem to matter what I cut out of my diet. 
I’ve been through several GI’s, several meds, no help. I’m currently seeing an alternative medicine practitioner who specializes in these issues. Along with supplements she now has me doing Whole30. It’s only day 4, but my reflux has been bad the last couple days. My throat burns and is honestly just so sore. I’ve taken 2 protonix knowing full well they probably won’t do anything but wreck my body in the long run. 
Anyway I just kind of want to curl up in a ball and cry. I worry about my life expectancy, and I hate that it interferes in my life so much, on top of the fact that I’m miserable more often than I’m not. I have 2 amazing little girls and a wonderful husband and so I try to stay positive and really embrace the good moments, but when reflux hits me this hard and not a single things makes a dent it really brings me down. 
I’m trying to be patient and see if this person can help me, but nights like this I have trouble being strong.
Things that SOMETIMES help me:
ACV in coconut water
Aloe Vera water
Kombucha
Digestive enzymes
Celery juice in the morning
If I have any success at all with this holistic place I will let you all know.</t>
        </is>
      </c>
      <c r="D7317" t="n">
        <v>1</v>
      </c>
      <c r="E7317" t="n">
        <v>31</v>
      </c>
      <c r="F7317">
        <f>HYPERLINK("https://www.reddit.com/r/GERD/comments/gltkc1/staying_positive_is_getting_harder/")</f>
        <v/>
      </c>
      <c r="G7317" t="inlineStr">
        <is>
          <t>2020-05-17 20:18:25</t>
        </is>
      </c>
      <c r="H7317" t="inlineStr"/>
    </row>
    <row r="7318">
      <c r="A7318" t="inlineStr">
        <is>
          <t>gltrjt</t>
        </is>
      </c>
      <c r="B7318" t="inlineStr">
        <is>
          <t>App that helps people follow a GERD Diet!</t>
        </is>
      </c>
      <c r="C7318" t="inlineStr">
        <is>
          <t>Hi everyone! I just started interning at a company that is designing an app for people the follow medical diets (GERD included)! We are looking for people to test our app features and to help inform us about GERD needs and pain points. If you're interested, please fill out [this google form](https://docs.google.com/forms/d/e/1FAIpQLSfnsCmk-qrQjQhDN-wCxJk1_6G5iigDu6EHzQAC2CviSOytLw/viewform?usp=sf_link) so we can contact you about testing new app features! Check us out at [heali.ai](https://heali.ai) if you want to learn more, and/or you want to out yourself on the wait list!
Thanks!
(P.S. Pls help out a lowly intern)</t>
        </is>
      </c>
      <c r="D7318" t="n">
        <v>1</v>
      </c>
      <c r="E7318" t="n">
        <v>0</v>
      </c>
      <c r="F7318">
        <f>HYPERLINK("https://www.reddit.com/r/GERD/comments/gltrjt/app_that_helps_people_follow_a_gerd_diet/")</f>
        <v/>
      </c>
      <c r="G7318" t="inlineStr">
        <is>
          <t>2020-05-17 20:32:14</t>
        </is>
      </c>
      <c r="H7318" t="inlineStr"/>
    </row>
    <row r="7319">
      <c r="A7319" t="inlineStr">
        <is>
          <t>glvgjr</t>
        </is>
      </c>
      <c r="B7319" t="inlineStr">
        <is>
          <t>Help</t>
        </is>
      </c>
      <c r="C7319" t="inlineStr">
        <is>
          <t>Does anyone know how to help severe acid reflux? I have had a cough for almost a year now that’s hoarse and loud, I burp all the time which isn’t normal for me, I have the tightest throat along with dizzy spells and lack of oxygen. I’ve had an endoscopy and drank barium for them to test me and I come up healthy. I have also had the worst chest pain of my life. Many of my symptoms come and go, but I overall always have some. I’m on an antacid and Prevacid rn, but the doctor is just guessing. If anyone has any ideas of what may help or has been through something similar I would really appreciate it. Thank you all</t>
        </is>
      </c>
      <c r="D7319" t="n">
        <v>1</v>
      </c>
      <c r="E7319" t="n">
        <v>0</v>
      </c>
      <c r="F7319">
        <f>HYPERLINK("https://www.reddit.com/r/GERD/comments/glvgjr/help/")</f>
        <v/>
      </c>
      <c r="G7319" t="inlineStr">
        <is>
          <t>2020-05-17 22:36:23</t>
        </is>
      </c>
      <c r="H7319" t="inlineStr"/>
    </row>
    <row r="7320">
      <c r="A7320" t="inlineStr">
        <is>
          <t>glvngq</t>
        </is>
      </c>
      <c r="B7320" t="inlineStr">
        <is>
          <t>Please help with my gerd</t>
        </is>
      </c>
      <c r="C7320" t="inlineStr">
        <is>
          <t>Hi. Ever since Octoberish I have had a chronic cough and a tightness sensation in my throat along with a lump. More recently, I have burped a lot or had air bubbles stuck in my chest rhat I just can’t burp up. I have also had severe pain behind my breastbone and I frequently get light headed or nauseous. I have had an endoscopy and done the barium drinking test, but everything shows me as healthy. I am in some of the worst pain I’ve been in in my entire life. My doctor has me on 30 mg of Prevacid and 15 ml a day of carafate, but I am not sure if it’s helping. I can’t even exercise normally I become so low on air and the different pains everyday are exhausting. If anyone has any advice I would really appreciate it</t>
        </is>
      </c>
      <c r="D7320" t="n">
        <v>1</v>
      </c>
      <c r="E7320" t="n">
        <v>20</v>
      </c>
      <c r="F7320">
        <f>HYPERLINK("https://www.reddit.com/r/GERD/comments/glvngq/please_help_with_my_gerd/")</f>
        <v/>
      </c>
      <c r="G7320" t="inlineStr">
        <is>
          <t>2020-05-17 22:51:52</t>
        </is>
      </c>
      <c r="H7320" t="inlineStr"/>
    </row>
    <row r="7321">
      <c r="A7321" t="inlineStr">
        <is>
          <t>glvr5b</t>
        </is>
      </c>
      <c r="B7321" t="inlineStr">
        <is>
          <t>How to fix this bad breathe?</t>
        </is>
      </c>
      <c r="C7321" t="inlineStr">
        <is>
          <t>Ok so i know that GERD/LPR causes bad breath, but even after i brush my teeth, it's still bad. i can taste it on my tongue. any advice on how to fix it?</t>
        </is>
      </c>
      <c r="D7321" t="n">
        <v>1</v>
      </c>
      <c r="E7321" t="n">
        <v>1</v>
      </c>
      <c r="F7321">
        <f>HYPERLINK("https://www.reddit.com/r/GERD/comments/glvr5b/how_to_fix_this_bad_breathe/")</f>
        <v/>
      </c>
      <c r="G7321" t="inlineStr">
        <is>
          <t>2020-05-17 22:59:46</t>
        </is>
      </c>
      <c r="H7321" t="inlineStr"/>
    </row>
    <row r="7322">
      <c r="A7322" t="inlineStr">
        <is>
          <t>glw6xl</t>
        </is>
      </c>
      <c r="B7322" t="inlineStr">
        <is>
          <t>Has anyone had headaches from tapering off PPIs?</t>
        </is>
      </c>
      <c r="C7322" t="inlineStr">
        <is>
          <t>I have been on 40 mg protonix for coming on 3 months now (about 2 1/2 to be exact). When I went on it, I had horrible diarrhea, bloating, alternating constipation/diarrhea. It did eventually stop after a week or two and I haven’t really had a problem since then. No other side effects that I can pinpoint as being from the PPI specifically although I’ve had overall a lot of health issues for the last few months. All of my GERD symptoms have resolved and have for awhile, so I got the go ahead to taper off my meds if I want. I have tapered from 40 mg to 20 mg about a week ago. Since I started tapering, I have had daily headaches. There’s no consistency to them as far as when they onset and they’re a hybrid between a tension and migraine type as it seems. It’s behind left eye, and unilateral, causing nausea and light sensitivity. However, it doesn’t progress to a full migraine and isn’t as painful as one usually is for me. I’m not sure if tapering off the PPIs has any relevance to the headache or not but it’s just something I noticed with the timing and was wondering if anyone has an experience like this. It’s not a typical withdrawal symptom.</t>
        </is>
      </c>
      <c r="D7322" t="n">
        <v>1</v>
      </c>
      <c r="E7322" t="n">
        <v>3</v>
      </c>
      <c r="F7322">
        <f>HYPERLINK("https://www.reddit.com/r/GERD/comments/glw6xl/has_anyone_had_headaches_from_tapering_off_ppis/")</f>
        <v/>
      </c>
      <c r="G7322" t="inlineStr">
        <is>
          <t>2020-05-17 23:33:18</t>
        </is>
      </c>
      <c r="H7322" t="inlineStr"/>
    </row>
    <row r="7323">
      <c r="A7323" t="inlineStr">
        <is>
          <t>glwzwy</t>
        </is>
      </c>
      <c r="B7323" t="inlineStr">
        <is>
          <t>18 days and still not relief. Please help.</t>
        </is>
      </c>
      <c r="C7323" t="inlineStr">
        <is>
          <t>Hey guys, just looking for some guidance because I’m really freaking out.  For 18 days now I’ve had EXTREME shortness of breath and a lot of mucus at the back of my throat that I can’t seem to swallow, even though my sinuses are clear and Im not sick or in any pain. The only thing that sort of helps is making myself burp to relieve some of pressure in my chest. I haven’t eaten in 3 days because eating makes it so much worse, but even after no food in my system for 3 days, I am still feeling no relief and still struggling to breathe.
Shouldn’t I feel better if the triggering foods are out of my system?? I’m tired of feeling this way and the doctors just keep diagnosing me with anxiety.... which I have never had...  and I’m going crazy at the thought of the doctors not being able to diagnose me and being stuck out of breath forever. 
Any help or guidance on what to do?</t>
        </is>
      </c>
      <c r="D7323" t="n">
        <v>1</v>
      </c>
      <c r="E7323" t="n">
        <v>17</v>
      </c>
      <c r="F7323">
        <f>HYPERLINK("https://www.reddit.com/r/GERD/comments/glwzwy/18_days_and_still_not_relief_please_help/")</f>
        <v/>
      </c>
      <c r="G7323" t="inlineStr">
        <is>
          <t>2020-05-18 00:38:11</t>
        </is>
      </c>
      <c r="H7323" t="inlineStr"/>
    </row>
    <row r="7324">
      <c r="A7324" t="inlineStr">
        <is>
          <t>gly0xw</t>
        </is>
      </c>
      <c r="B7324" t="inlineStr">
        <is>
          <t>Had my endoscopy. Everything was normal. Not sure what my next step should be.</t>
        </is>
      </c>
      <c r="C7324" t="inlineStr">
        <is>
          <t>My acid reflux (and all round rebellious stomach) started early february. I've had it sporadically before through out my life. But only one-time occasions and only if I caused it by over drinking or eating late at night. 
Now it has been a daily thing. Things I've tried new so far:
1. Had my endoscopy. Wasn't fun. But I think they got a good look around and didn't see anything wrong. That doctor's advice was keep taking omeprazol. I haven't taken any since I tapered off because I didn't feel it was curing anything.
2. Experimented with going off fodmap here and there. Some days I was fine. Some days it made the acid reflux worse.
3. Had a blood test done to look for bacteria. Came out negative.
4. I have a referral for a dietitian. But I really can't think of how that would help if Fodmap did fuck all so far. Should I bother?
I'm pretty lost to what the cause could be. I don't drink, I don't smoke. I don't eat bad. I eat pretty early (5pm) and don't eat before bed. So my stomach should be empty by the time I go to bed.
Lately even water has been flipping my stomach out. What should my next step be?</t>
        </is>
      </c>
      <c r="D7324" t="n">
        <v>1</v>
      </c>
      <c r="E7324" t="n">
        <v>21</v>
      </c>
      <c r="F7324">
        <f>HYPERLINK("https://www.reddit.com/r/GERD/comments/gly0xw/had_my_endoscopy_everything_was_normal_not_sure/")</f>
        <v/>
      </c>
      <c r="G7324" t="inlineStr">
        <is>
          <t>2020-05-18 02:05:51</t>
        </is>
      </c>
      <c r="H7324" t="inlineStr"/>
    </row>
    <row r="7325">
      <c r="A7325" t="inlineStr">
        <is>
          <t>glyg4k</t>
        </is>
      </c>
      <c r="B7325" t="inlineStr">
        <is>
          <t>are there any tips for taking multivitamins when you're on PPI?</t>
        </is>
      </c>
      <c r="C7325" t="inlineStr">
        <is>
          <t>hello there, I was wondering if there are any tips out there for taking  multivitamins optimally while being on PPI since multivitamins cause me an upset stomach (they have iron and vitamin C in them )
any kind of tips to reduce nausea would be helpful!</t>
        </is>
      </c>
      <c r="D7325" t="n">
        <v>1</v>
      </c>
      <c r="E7325" t="n">
        <v>1</v>
      </c>
      <c r="F7325">
        <f>HYPERLINK("https://www.reddit.com/r/GERD/comments/glyg4k/are_there_any_tips_for_taking_multivitamins_when/")</f>
        <v/>
      </c>
      <c r="G7325" t="inlineStr">
        <is>
          <t>2020-05-18 02:42:04</t>
        </is>
      </c>
      <c r="H7325" t="inlineStr"/>
    </row>
    <row r="7326">
      <c r="A7326" t="inlineStr">
        <is>
          <t>gm0sqc</t>
        </is>
      </c>
      <c r="B7326" t="inlineStr">
        <is>
          <t>Scared to take endoscopy because I have a bronchitis and a bad flare up of asthma this month, but on top of that I have really bad bloating which affects my asthma... is there another way to test for GERD?</t>
        </is>
      </c>
      <c r="C7326" t="inlineStr">
        <is>
          <t>I cant breathe day and night and ive come to realize might not just be my asthma, and it may be GERD. I heard PH tests can also work but I also hear docs wont do that test unless I get an endoscopy first? Here for some insight, thanks!</t>
        </is>
      </c>
      <c r="D7326" t="n">
        <v>1</v>
      </c>
      <c r="E7326" t="n">
        <v>8</v>
      </c>
      <c r="F7326">
        <f>HYPERLINK("https://www.reddit.com/r/GERD/comments/gm0sqc/scared_to_take_endoscopy_because_i_have_a/")</f>
        <v/>
      </c>
      <c r="G7326" t="inlineStr">
        <is>
          <t>2020-05-18 05:46:44</t>
        </is>
      </c>
      <c r="H7326" t="inlineStr"/>
    </row>
    <row r="7327">
      <c r="A7327" t="inlineStr">
        <is>
          <t>gm17sj</t>
        </is>
      </c>
      <c r="B7327" t="inlineStr">
        <is>
          <t>Actions to take instead of PPI?</t>
        </is>
      </c>
      <c r="C7327" t="inlineStr">
        <is>
          <t>So I'm 26 and have been in lansoprazole for around 2-3 years now... Only recently have I considered the fact that this medication may be a cause for some of my daily symptom... I'm always tired, I get headaches fairly often which was never an issue growing up, I've read that PPIs can cause bloating etc which is an issue for me.. my body aches alot and I'm wondering if maybe I'm just becoming nutrient deficient.. of course I'm going to see my doctor about my concerns and work with them to hopefully find alternatives and new methods.. however I've ran out of meds and my pharmacy hasn't done the prescription (I'm not sure if you can get lansoprazole over the counter) but I'm giving myself a few days now to try some new things to see if anything helps. 
My biggest issues are that I drink diet sodas constantly and I eat alot of chocolate, so today I'm cutting those out and I'm gonna do a week dairy of my food intake and see if I can figure out any triggers
Any help would be ideal :)</t>
        </is>
      </c>
      <c r="D7327" t="n">
        <v>1</v>
      </c>
      <c r="E7327" t="n">
        <v>11</v>
      </c>
      <c r="F7327">
        <f>HYPERLINK("https://www.reddit.com/r/GERD/comments/gm17sj/actions_to_take_instead_of_ppi/")</f>
        <v/>
      </c>
      <c r="G7327" t="inlineStr">
        <is>
          <t>2020-05-18 06:13:31</t>
        </is>
      </c>
      <c r="H7327" t="inlineStr"/>
    </row>
    <row r="7328">
      <c r="A7328" t="inlineStr">
        <is>
          <t>gm4rjm</t>
        </is>
      </c>
      <c r="B7328" t="inlineStr">
        <is>
          <t>Is a CT scan a good thing to get? Can it show hiatal hernia?</t>
        </is>
      </c>
      <c r="C7328" t="inlineStr">
        <is>
          <t>Looks like I am scheduled for a CT scan, not an MRI, but I think they will make me drink something to see what's going on inside. Will it be helpful in showing what's going on inside me?</t>
        </is>
      </c>
      <c r="D7328" t="n">
        <v>1</v>
      </c>
      <c r="E7328" t="n">
        <v>3</v>
      </c>
      <c r="F7328">
        <f>HYPERLINK("https://www.reddit.com/r/GERD/comments/gm4rjm/is_a_ct_scan_a_good_thing_to_get_can_it_show/")</f>
        <v/>
      </c>
      <c r="G7328" t="inlineStr">
        <is>
          <t>2020-05-18 09:31:07</t>
        </is>
      </c>
      <c r="H7328" t="inlineStr"/>
    </row>
    <row r="7329">
      <c r="A7329" t="inlineStr">
        <is>
          <t>gm556g</t>
        </is>
      </c>
      <c r="B7329" t="inlineStr">
        <is>
          <t>What are peoples experience with stopping PPIs and rebound?</t>
        </is>
      </c>
      <c r="C7329" t="inlineStr">
        <is>
          <t>I'm just curious cause I recently stopped taking them cold turkey after taking then for around 2 years(not intentionally just some issues with my prescription)
Either way I never knew rebound was a thing and always wondered why if I missed a day I would experience the worst reflux of my life.. I'm on day 2 at the moment and the reflux is horrendous, and I'm getting some very intense stomach cramps 🤢
I will be going to my doctor to discuss weening off the medications and seeing what I can do lifestyle wise as I don't wish to keep taking the medication?</t>
        </is>
      </c>
      <c r="D7329" t="n">
        <v>1</v>
      </c>
      <c r="E7329" t="n">
        <v>8</v>
      </c>
      <c r="F7329">
        <f>HYPERLINK("https://www.reddit.com/r/GERD/comments/gm556g/what_are_peoples_experience_with_stopping_ppis/")</f>
        <v/>
      </c>
      <c r="G7329" t="inlineStr">
        <is>
          <t>2020-05-18 09:50:10</t>
        </is>
      </c>
      <c r="H7329" t="inlineStr"/>
    </row>
    <row r="7330">
      <c r="A7330" t="inlineStr">
        <is>
          <t>gm5p70</t>
        </is>
      </c>
      <c r="B7330" t="inlineStr">
        <is>
          <t>Sorry if this is a foolish question, but...do you know exactly what caused this issue for you?</t>
        </is>
      </c>
      <c r="C7330" t="inlineStr">
        <is>
          <t>I'm just curious because I feel like my acid reflux issues started due to drinking spearmint/mint teas every day throughout the day for months, as well as occasionally taking spearmint capsules in place of the tea...
I never had a single issue beforehand.
Signed,
Definitely A Fool</t>
        </is>
      </c>
      <c r="D7330" t="n">
        <v>1</v>
      </c>
      <c r="E7330" t="n">
        <v>7</v>
      </c>
      <c r="F7330">
        <f>HYPERLINK("https://www.reddit.com/r/GERD/comments/gm5p70/sorry_if_this_is_a_foolish_question_butdo_you/")</f>
        <v/>
      </c>
      <c r="G7330" t="inlineStr">
        <is>
          <t>2020-05-18 10:17:57</t>
        </is>
      </c>
      <c r="H7330" t="inlineStr"/>
    </row>
    <row r="7331">
      <c r="A7331" t="inlineStr">
        <is>
          <t>gm76dx</t>
        </is>
      </c>
      <c r="B7331" t="inlineStr">
        <is>
          <t>Silent reflux and nasal congestion</t>
        </is>
      </c>
      <c r="C7331" t="inlineStr">
        <is>
          <t>How many of you guys experience chronic nasal congestion? Is it possible that I get congested despite having visible symptoms of reflux?</t>
        </is>
      </c>
      <c r="D7331" t="n">
        <v>1</v>
      </c>
      <c r="E7331" t="n">
        <v>36</v>
      </c>
      <c r="F7331">
        <f>HYPERLINK("https://www.reddit.com/r/GERD/comments/gm76dx/silent_reflux_and_nasal_congestion/")</f>
        <v/>
      </c>
      <c r="G7331" t="inlineStr">
        <is>
          <t>2020-05-18 11:32:05</t>
        </is>
      </c>
      <c r="H7331" t="inlineStr"/>
    </row>
    <row r="7332">
      <c r="A7332" t="inlineStr">
        <is>
          <t>gm7u5s</t>
        </is>
      </c>
      <c r="B7332" t="inlineStr">
        <is>
          <t>H pylori test?</t>
        </is>
      </c>
      <c r="C7332" t="inlineStr">
        <is>
          <t>I had food poisoning a few months ago and ended up going to the ER because every few minutes I would be going to the bathroom. I've never had it this bad before. The doctors had me give them a stool sample. Do they usually test for h pylori?</t>
        </is>
      </c>
      <c r="D7332" t="n">
        <v>1</v>
      </c>
      <c r="E7332" t="n">
        <v>1</v>
      </c>
      <c r="F7332">
        <f>HYPERLINK("https://www.reddit.com/r/GERD/comments/gm7u5s/h_pylori_test/")</f>
        <v/>
      </c>
      <c r="G7332" t="inlineStr">
        <is>
          <t>2020-05-18 12:05:28</t>
        </is>
      </c>
      <c r="H7332" t="inlineStr"/>
    </row>
    <row r="7333">
      <c r="A7333" t="inlineStr">
        <is>
          <t>gm89xk</t>
        </is>
      </c>
      <c r="B7333" t="inlineStr">
        <is>
          <t>Extreme stomach pain</t>
        </is>
      </c>
      <c r="C7333" t="inlineStr">
        <is>
          <t>Anybody have any suggestions for when it feels like prime Mike Tyson is going 10 rounds with your stomach?</t>
        </is>
      </c>
      <c r="D7333" t="n">
        <v>1</v>
      </c>
      <c r="E7333" t="n">
        <v>1</v>
      </c>
      <c r="F7333">
        <f>HYPERLINK("https://www.reddit.com/r/GERD/comments/gm89xk/extreme_stomach_pain/")</f>
        <v/>
      </c>
      <c r="G7333" t="inlineStr">
        <is>
          <t>2020-05-18 12:28:01</t>
        </is>
      </c>
      <c r="H7333" t="inlineStr"/>
    </row>
    <row r="7334">
      <c r="A7334" t="inlineStr">
        <is>
          <t>gm8pxp</t>
        </is>
      </c>
      <c r="B7334" t="inlineStr">
        <is>
          <t>Has slippery elm worked for you?</t>
        </is>
      </c>
      <c r="C7334" t="inlineStr">
        <is>
          <t>Basically, I used to take a PPI but it made me more depressed and suicidal since I started taking it. I’m wondering whether or not to see a doctor because I want to cure my GERD and gastritis naturally. I bought slippery elm powder to make a tea and I’m wondering if it helped cure anyone’s gastritis and GERD. I don’t mind taking PPIs but the side effects just seems to be making me more depressed. Changing my diet is helping me a little bit. We’ll have to wait and see.</t>
        </is>
      </c>
      <c r="D7334" t="n">
        <v>1</v>
      </c>
      <c r="E7334" t="n">
        <v>6</v>
      </c>
      <c r="F7334">
        <f>HYPERLINK("https://www.reddit.com/r/GERD/comments/gm8pxp/has_slippery_elm_worked_for_you/")</f>
        <v/>
      </c>
      <c r="G7334" t="inlineStr">
        <is>
          <t>2020-05-18 12:50:42</t>
        </is>
      </c>
      <c r="H7334" t="inlineStr"/>
    </row>
    <row r="7335">
      <c r="A7335" t="inlineStr">
        <is>
          <t>gm8slb</t>
        </is>
      </c>
      <c r="B7335" t="inlineStr">
        <is>
          <t>Depressed about GERD? Feel like there's no way out? PPI's are the real enemy - most of the time.</t>
        </is>
      </c>
      <c r="C7335" t="inlineStr">
        <is>
          <t xml:space="preserve"> Hi all. I wanted to post this because I just had the week from hell thinking I was going to have to change my entire life based on a diagnosis of GERD. Turns out - most of the time, that's not actually the case. Read more if you're feeling trapped with GERD.
For many people, PPI's are actually the exact opposite than what they actually need. I had a reflux episode a few weeks ago after a massive meal - before that I had never suffered from reflux. After telling my doc my symptoms, he let me know that I most likely developed GERD.
Turns out, he was stone cold wrong. What I was actually experiencing was a LACK of stomach acid - not an overproduction. In fact, it's quite rare to truly have hyperchlorhydria (over production). The answer? Introduce MORE acid into the stomach! Sounds crazy right?
I did some testing and sure as can be, once I introduced more acid into my system, my pressure / burning sensation subsided in about 15 minutes. See, how your stomach works is: if the body recognizes that there is not enough acid it begins to build pressure as the imbalance throws your body out of whack. When this pressure builds inside your stomach, it causes your LES (Lower Esophageal Sphincter) to inappropriately open - which is that burning sensation at the base of your esophagus. Once you introduce MORE HCL (stomach acid) into your system, your body recognizes that it is once again in balance and the pressure subsides, which closes up that LES muscle and relieves the pressure feeling in your chest.
So in reality, when many of us were prescribed PPI's from the VERY BEGINNING, unless you had a stomach acid test to definitively prove that your body was creating too much acid, you may have been completely misdiagnosed.
The reason that most of us felt relief once we began the PPI was because basically what you were doing was taking that already low amount of stomach acid and dragging it down even further to practically baseline - so even if the LES were to open due to mounting pressure, there isn't enough acid to push through and cause the burning sensation.
Many of you might have noticed since being on PPI's that you become very bloated after meals, especially after eating things like bread, chips, pasta, or other forms of complex carbs. That is because it is very hard for your stomach to break those down with the incredibly low amounts of acid it has left to work with.
The reason I'm telling this story is because I caught my issue only a week after being prescribed, and I don't want others, especially other young people to be put on a torturous path for the rest of their lives.
Try this next time you're feeling pressure/heartburn and see what happens. Warm up 10oz of water in the microwave, I usually do about 45 seconds, drop in 1TBSP of apple cider vinegar (preferably the kind with the "Mother" look it up if you don't know what that means) and 1TSP of raw organic honey. Wait 15 minutes and see if your chest / burning sensation feels better.
Feel free to DM me if you have other Q's. This "disease" doesn't have to be forever, but you need to work on improving your gut health to get to the root of the problem. You need to eat yogurts high in probiotics, eat natural fiber, drink kombucha, take a daily multi-vitamin. Immediate care for your gut can be things like Aloe drinks, DGL, L-Glutamine supplements.
Look into some videos online about PPI's and low acid levels. At the end of the day, PPI's are usually just a band-aid. You need to improve your gut health to get your body creating the proper amounts of acid again. It will be a long road for those of you who have been on them for years, but there is hope.
There are certainly cases of those who do create TOO MUCH acid, and PPI's actually are the right cure for that. But in most cases, it's taking better care of your gut health.</t>
        </is>
      </c>
      <c r="D7335" t="n">
        <v>1</v>
      </c>
      <c r="E7335" t="n">
        <v>3</v>
      </c>
      <c r="F7335">
        <f>HYPERLINK("https://www.reddit.com/r/GERD/comments/gm8slb/depressed_about_gerd_feel_like_theres_no_way_out/")</f>
        <v/>
      </c>
      <c r="G7335" t="inlineStr">
        <is>
          <t>2020-05-18 12:54:21</t>
        </is>
      </c>
      <c r="H7335" t="inlineStr"/>
    </row>
    <row r="7336">
      <c r="A7336" t="inlineStr">
        <is>
          <t>gm9p5u</t>
        </is>
      </c>
      <c r="B7336" t="inlineStr">
        <is>
          <t>confused about diagnosis</t>
        </is>
      </c>
      <c r="C7336" t="inlineStr">
        <is>
          <t>my doctor says I have Gerd and wants me to take 40MG of Omeprazole I first noticed that I would have a hoarse voice occasionally about 4 weeks ago.  now that I have been diagnosed and looking up symptoms/treatment on the web    I am a tad overwhelmed.   I have been keeping a log of what I eat during the last week and experienced hoarseness  4 times, dry cough 5 days, bloating 2.     I am in good health otherwise 62-year-old male and take no meds and exercise 3 hours or better a week.   I am about 20 lbs overweight currently  (Overweight blamed on too many beers,  so I decided no alcohol for the next week as advised by doctor) 
so I am eating a bland diet and found I got hoarse if I added pepper to my food, salsa verde,  and creamy dressings on my salads.    calorie intake is between 1800 and 2000  
tomatoes, cooked onions, dairy   seem to create no symptoms 
meals over 700 calories cause gas and bloating,
have had no acid taste in my mouth 
I wanted the doctor to give me 6 weeks to see if I could adjust my diet without meds and he stated it would be more prudent to take the meds as well.</t>
        </is>
      </c>
      <c r="D7336" t="n">
        <v>1</v>
      </c>
      <c r="E7336" t="n">
        <v>2</v>
      </c>
      <c r="F7336">
        <f>HYPERLINK("https://www.reddit.com/r/GERD/comments/gm9p5u/confused_about_diagnosis/")</f>
        <v/>
      </c>
      <c r="G7336" t="inlineStr">
        <is>
          <t>2020-05-18 13:39:35</t>
        </is>
      </c>
      <c r="H7336" t="inlineStr"/>
    </row>
    <row r="7337">
      <c r="A7337" t="inlineStr">
        <is>
          <t>gm9wti</t>
        </is>
      </c>
      <c r="B7337" t="inlineStr">
        <is>
          <t>Switching from zantac to pepcid...</t>
        </is>
      </c>
      <c r="C7337" t="inlineStr">
        <is>
          <t>How much different is it if I want to have a beer or a drink while taking pepcid? I never noticed any increased sensitivity to alcohol with the zantac. 
If it would be better to only take the pepcid before bed if I wanted to have a beer earlier around lunch or dinner?</t>
        </is>
      </c>
      <c r="D7337" t="n">
        <v>1</v>
      </c>
      <c r="E7337" t="n">
        <v>1</v>
      </c>
      <c r="F7337">
        <f>HYPERLINK("https://www.reddit.com/r/GERD/comments/gm9wti/switching_from_zantac_to_pepcid/")</f>
        <v/>
      </c>
      <c r="G7337" t="inlineStr">
        <is>
          <t>2020-05-18 13:50:13</t>
        </is>
      </c>
      <c r="H7337" t="inlineStr"/>
    </row>
    <row r="7338">
      <c r="A7338" t="inlineStr">
        <is>
          <t>gmacon</t>
        </is>
      </c>
      <c r="B7338" t="inlineStr">
        <is>
          <t>what are some side effects to PPI that you should immediately stop the medication / or call your doctor for?</t>
        </is>
      </c>
      <c r="C7338" t="inlineStr">
        <is>
          <t>I'm on lansoprazole 30 mg and I did experience ( mild diarrhea,  slight dizziness(that goes away) and generally feeling ... abnormal I guess ?)
it did help with my indigestion but I'm a bit worried about the side effects &amp;amp; if they are any cause to concern 
any  personal experiences would be be great to hear</t>
        </is>
      </c>
      <c r="D7338" t="n">
        <v>1</v>
      </c>
      <c r="E7338" t="n">
        <v>9</v>
      </c>
      <c r="F7338">
        <f>HYPERLINK("https://www.reddit.com/r/GERD/comments/gmacon/what_are_some_side_effects_to_ppi_that_you_should/")</f>
        <v/>
      </c>
      <c r="G7338" t="inlineStr">
        <is>
          <t>2020-05-18 14:12:11</t>
        </is>
      </c>
      <c r="H7338" t="inlineStr"/>
    </row>
    <row r="7339">
      <c r="A7339" t="inlineStr">
        <is>
          <t>gmbil3</t>
        </is>
      </c>
      <c r="B7339" t="inlineStr">
        <is>
          <t>I'm miserable. Suspected gerd. Constant chest ache and tightness. Rabeprazole</t>
        </is>
      </c>
      <c r="C7339" t="inlineStr">
        <is>
          <t>I am miserable and can't find relief. Countless EKG's, x-rays, bloodwork , and a CT angiogram. I think it's safe to say my heart is fine and lungs look great. :)
Primary diagnosed me with suspected GERD. Have a telehealth appointment with a Gastroenterologist this wed. 
Constant pressure in my chest. Mostly left sided, above my breast. Pain wraps under my armpit and a poking feeling about an inch from my spine. Sometimes shooting pain though my bicep and tricep. Occasionally bright side pain. 
I have no classic heartburn symptoms. 
I've reduced carbs, switched to decaf (1 cup a day), avoid foods like tomatoes, peppers, and greasy food. 
It's been like this for 6 weeks now. Been on 20mg rabeprazole/aciphex for 9 days now. I just want the chest pressure/tightness to go away.
Not stressed and no increase in anxiety. Mainly sad because it has greatly affected my quality of life with my family. 
I guess what I'm asking is how do you cope with the pain?</t>
        </is>
      </c>
      <c r="D7339" t="n">
        <v>1</v>
      </c>
      <c r="E7339" t="n">
        <v>3</v>
      </c>
      <c r="F7339">
        <f>HYPERLINK("https://www.reddit.com/r/GERD/comments/gmbil3/im_miserable_suspected_gerd_constant_chest_ache/")</f>
        <v/>
      </c>
      <c r="G7339" t="inlineStr">
        <is>
          <t>2020-05-18 15:12:26</t>
        </is>
      </c>
      <c r="H7339" t="inlineStr"/>
    </row>
    <row r="7340">
      <c r="A7340" t="inlineStr">
        <is>
          <t>gmc8ap</t>
        </is>
      </c>
      <c r="B7340" t="inlineStr">
        <is>
          <t>Losing weight unintentionally- need recipes for weight maintainence</t>
        </is>
      </c>
      <c r="C7340" t="inlineStr">
        <is>
          <t>Lost my appetite after a week of increased acid reflux. I haven't regained my appetite and it's been about 10 days. I've lost 10 lbs so far and am 5 ft so I can't lose more than 10-15 lbs more or I'll be underweight. The only food I've been able to have without reaction is almond milk, banana, and granola blended together. I'm looking for recipes to slow my weight loss using shakes and smoothies, as solid food repulses me right now. 
Thanks.</t>
        </is>
      </c>
      <c r="D7340" t="n">
        <v>1</v>
      </c>
      <c r="E7340" t="n">
        <v>4</v>
      </c>
      <c r="F7340">
        <f>HYPERLINK("https://www.reddit.com/r/GERD/comments/gmc8ap/losing_weight_unintentionally_need_recipes_for/")</f>
        <v/>
      </c>
      <c r="G7340" t="inlineStr">
        <is>
          <t>2020-05-18 15:51:28</t>
        </is>
      </c>
      <c r="H7340" t="inlineStr"/>
    </row>
    <row r="7341">
      <c r="A7341" t="inlineStr">
        <is>
          <t>gmf2wr</t>
        </is>
      </c>
      <c r="B7341" t="inlineStr">
        <is>
          <t>Spicy food trigger</t>
        </is>
      </c>
      <c r="C7341" t="inlineStr">
        <is>
          <t>I ate some super spicy sauce from a mexican restaurant and overate a little bit. This caused me such a horrible flare up today. I haven’t been able to breathe for hours. Finally had to give in and take some tums just to breathe again and unclog my sinuses because my reflux is so bad it irritates them and makes them feel congested.
I’m just so disappointed and depressed now. I just don’t see how this is worth dealing with for the rest of my life. It gives me such anxiety and it makes any kind of future that I might have in mind sound pointless. I don’t even want to leave my house anymore. Life seems so hard living with this. I have zero appetite now. I think I’m just going to go to bed. Thing is, I will probably wake up a few times like I do every night since about four years ago with the onset of my reflux. And nine times out of ten, I’m going to wake up depressed and anxious because I reflux in my sleep every night and the first thing on my mind is that I have to suffer yet another day of reflux no matter what I eat, think, or do.
I guess this was more of a journal/rant than anything. These are my experiences with this disease. It takes its toll on me every day. I wish I had some better news or positivity to bring to people dealing with the same thing, but I don’t. I don’t feel I’m being dramatic when I say it’s ruined my life. I’m an anxious empty shell of a person to what I used to be before I got sick.</t>
        </is>
      </c>
      <c r="D7341" t="n">
        <v>1</v>
      </c>
      <c r="E7341" t="n">
        <v>6</v>
      </c>
      <c r="F7341">
        <f>HYPERLINK("https://www.reddit.com/r/GERD/comments/gmf2wr/spicy_food_trigger/")</f>
        <v/>
      </c>
      <c r="G7341" t="inlineStr">
        <is>
          <t>2020-05-18 18:38:45</t>
        </is>
      </c>
      <c r="H7341" t="inlineStr"/>
    </row>
    <row r="7342">
      <c r="A7342" t="inlineStr">
        <is>
          <t>gmfgwp</t>
        </is>
      </c>
      <c r="B7342" t="inlineStr">
        <is>
          <t>Belching throughout the night? why?</t>
        </is>
      </c>
      <c r="C7342" t="inlineStr">
        <is>
          <t>hi everyone. i'm currently on an elimination diet, eating much smaller meals, taking a ppi, and sleeping on a wedge pillow to manage my acid reflux and esophagitis. however, even though i'm eating FIVE hours before bed, i still feel like i have to burp right before i go to bed. i am an extremely light sleeper and often wake up in the middle of the night, and when i do, i burp or have to burp. and while i get this during the day too, it feels worse and more frequent at night.
why does that still happen given everything i've been doing to manage it for the past month!? it's driving me nuts.</t>
        </is>
      </c>
      <c r="D7342" t="n">
        <v>1</v>
      </c>
      <c r="E7342" t="n">
        <v>4</v>
      </c>
      <c r="F7342">
        <f>HYPERLINK("https://www.reddit.com/r/GERD/comments/gmfgwp/belching_throughout_the_night_why/")</f>
        <v/>
      </c>
      <c r="G7342" t="inlineStr">
        <is>
          <t>2020-05-18 19:03:25</t>
        </is>
      </c>
      <c r="H7342" t="inlineStr"/>
    </row>
    <row r="7343">
      <c r="A7343" t="inlineStr">
        <is>
          <t>gmfmep</t>
        </is>
      </c>
      <c r="B7343" t="inlineStr">
        <is>
          <t>Anyone have chicken as a trigger?</t>
        </is>
      </c>
      <c r="C7343" t="inlineStr">
        <is>
          <t>I'm starting to realize (I think) that chicken is a trigger for me. Still need to do a lot more testing/elimination/combinations to make sure but it's seeming apparent.</t>
        </is>
      </c>
      <c r="D7343" t="n">
        <v>1</v>
      </c>
      <c r="E7343" t="n">
        <v>9</v>
      </c>
      <c r="F7343">
        <f>HYPERLINK("https://www.reddit.com/r/GERD/comments/gmfmep/anyone_have_chicken_as_a_trigger/")</f>
        <v/>
      </c>
      <c r="G7343" t="inlineStr">
        <is>
          <t>2020-05-18 19:12:58</t>
        </is>
      </c>
      <c r="H7343" t="inlineStr"/>
    </row>
    <row r="7344">
      <c r="A7344" t="inlineStr">
        <is>
          <t>gmft92</t>
        </is>
      </c>
      <c r="B7344" t="inlineStr">
        <is>
          <t>PPI poop?</t>
        </is>
      </c>
      <c r="C7344" t="inlineStr">
        <is>
          <t>Just curious as well I’m new to this whole thing. 
Each day I learn something new, suppose it’s not a bad thing. 
However when you started PPI’s did it change your poop? Color, texture etc. 
I’m currently on a rice only phase because well my body is trying to recover but since starting the PPI it’s been insanely different. 
I know total TMI but if your willing to share please do cause !
Thanks mucho!</t>
        </is>
      </c>
      <c r="D7344" t="n">
        <v>1</v>
      </c>
      <c r="E7344" t="n">
        <v>5</v>
      </c>
      <c r="F7344">
        <f>HYPERLINK("https://www.reddit.com/r/GERD/comments/gmft92/ppi_poop/")</f>
        <v/>
      </c>
      <c r="G7344" t="inlineStr">
        <is>
          <t>2020-05-18 19:25:20</t>
        </is>
      </c>
      <c r="H7344" t="inlineStr"/>
    </row>
    <row r="7345">
      <c r="A7345" t="inlineStr">
        <is>
          <t>gmgxu1</t>
        </is>
      </c>
      <c r="B7345" t="inlineStr">
        <is>
          <t>Are any of you guys skinny or underweight?</t>
        </is>
      </c>
      <c r="C7345" t="inlineStr">
        <is>
          <t>Just wondering if I’m the only one. I’ve always felt like my stomach was super small and I can’t eat a lot. Even when I do, I never seem to gain weight.</t>
        </is>
      </c>
      <c r="D7345" t="n">
        <v>1</v>
      </c>
      <c r="E7345" t="n">
        <v>4</v>
      </c>
      <c r="F7345">
        <f>HYPERLINK("https://www.reddit.com/r/GERD/comments/gmgxu1/are_any_of_you_guys_skinny_or_underweight/")</f>
        <v/>
      </c>
      <c r="G7345" t="inlineStr">
        <is>
          <t>2020-05-18 20:37:52</t>
        </is>
      </c>
      <c r="H7345" t="inlineStr"/>
    </row>
    <row r="7346">
      <c r="A7346" t="inlineStr">
        <is>
          <t>gmhnmi</t>
        </is>
      </c>
      <c r="B7346" t="inlineStr">
        <is>
          <t>Where does the gas come from?</t>
        </is>
      </c>
      <c r="C7346" t="inlineStr">
        <is>
          <t>Do you have a lot of gas in your stomach/gut when your reflux flares up? I see this listed as a common symptom for GERD but I cannot find anywhere what the official cause is supposed to be, does anyone know?</t>
        </is>
      </c>
      <c r="D7346" t="n">
        <v>1</v>
      </c>
      <c r="E7346" t="n">
        <v>16</v>
      </c>
      <c r="F7346">
        <f>HYPERLINK("https://www.reddit.com/r/GERD/comments/gmhnmi/where_does_the_gas_come_from/")</f>
        <v/>
      </c>
      <c r="G7346" t="inlineStr">
        <is>
          <t>2020-05-18 21:27:36</t>
        </is>
      </c>
      <c r="H7346" t="inlineStr"/>
    </row>
    <row r="7347">
      <c r="A7347" t="inlineStr">
        <is>
          <t>gmjns2</t>
        </is>
      </c>
      <c r="B7347" t="inlineStr">
        <is>
          <t>Gaviscon Advance allergic reaction</t>
        </is>
      </c>
      <c r="C7347" t="inlineStr">
        <is>
          <t>I just posted about my Gaviscon experience in another thread but I feel this is important and also bizarre enough for its own post.
I tried UK's Gaviscon Advance mint pills a few days ago and I had an intense allergic reaction to them. My throat seemed to have swelled up and stayed that way for two entire days. It was not life threatening but any more and it felt like it could have been. I almost called a doctor but decided to wait it out. It was very scary.
I have been trying to figure out what ingredient in the Gaviscon caused this and I have no idea. The closest guess I have is macrogol or mannitol, which if you google also comes up with similar allergic reactions, though extremely rare.
I've never had an allergic reaction like this to any sort of food so I am still kind of freaked out.
I should also mention I tried Gaviscon Advance liquid and it burned my throat and made me have throat pain for days. Everybody always recommends this stuff around here.</t>
        </is>
      </c>
      <c r="D7347" t="n">
        <v>1</v>
      </c>
      <c r="E7347" t="n">
        <v>0</v>
      </c>
      <c r="F7347">
        <f>HYPERLINK("https://www.reddit.com/r/GERD/comments/gmjns2/gaviscon_advance_allergic_reaction/")</f>
        <v/>
      </c>
      <c r="G7347" t="inlineStr">
        <is>
          <t>2020-05-19 00:07:19</t>
        </is>
      </c>
      <c r="H7347" t="inlineStr"/>
    </row>
    <row r="7348">
      <c r="A7348" t="inlineStr">
        <is>
          <t>gmkci2</t>
        </is>
      </c>
      <c r="B7348" t="inlineStr">
        <is>
          <t>If you had one what was your upper endoscopy experience? I think I need one</t>
        </is>
      </c>
      <c r="C7348" t="inlineStr">
        <is>
          <t>Hi everyone, new here, I have been diagnosed with GERD by several doctors. I’m 30f, Had acid issues my entire 20s especially in the morning after drinking but didn’t realize what it was until a few years ago. Over the last two years it’s gotten much worse, and I’ve been on omeprazole on and off, which has helped but never eradicated the problem and sometimes I will vomit when it’s really intense. 
Anyway unfortunately I couldn’t afford health insurance this year, and even if I could have afforded the ridiculous premium I still would’ve had to pay for an upper endoscopy out of pocket because the deductible was so high. But I did see a G.I. at the end of last year and she had me do a H. pylori breath test but it came back negative.
I think some thing could really be wrong and that paying for an upper endoscopy out of pocket is the only way to go. It’s just hard to commit to something like that knowing that it might even be inconclusive or that they might tell me everything is normal which would be good to hear at least I suppose since I’m getting worried. 
Just wondering what anyone’s experience has been, what treatment they might have prescribed afterwards, and if anyone else has experience with paying for it out of pocket. 
As a side note , I noticed in other threads people discussing more serious diets. I have not committed to a serious diet to try to alleviate this although I have tweaked my diet (no spicy foods, less citrus etc). If anyone has any suggestions I would be really grateful, although I am a vegetarian right now so that probably does limit some of my options.</t>
        </is>
      </c>
      <c r="D7348" t="n">
        <v>1</v>
      </c>
      <c r="E7348" t="n">
        <v>4</v>
      </c>
      <c r="F7348">
        <f>HYPERLINK("https://www.reddit.com/r/GERD/comments/gmkci2/if_you_had_one_what_was_your_upper_endoscopy/")</f>
        <v/>
      </c>
      <c r="G7348" t="inlineStr">
        <is>
          <t>2020-05-19 01:04:49</t>
        </is>
      </c>
      <c r="H7348" t="inlineStr"/>
    </row>
    <row r="7349">
      <c r="A7349" t="inlineStr">
        <is>
          <t>gmm3rp</t>
        </is>
      </c>
      <c r="B7349" t="inlineStr">
        <is>
          <t>Fuck GERD</t>
        </is>
      </c>
      <c r="C7349" t="inlineStr">
        <is>
          <t>The anxiety, the depression, the inability to sleep, the inability to eat, the inability to not eat, I’m fucking sick of it.</t>
        </is>
      </c>
      <c r="D7349" t="n">
        <v>1</v>
      </c>
      <c r="E7349" t="n">
        <v>38</v>
      </c>
      <c r="F7349">
        <f>HYPERLINK("https://www.reddit.com/r/GERD/comments/gmm3rp/fuck_gerd/")</f>
        <v/>
      </c>
      <c r="G7349" t="inlineStr">
        <is>
          <t>2020-05-19 03:38:09</t>
        </is>
      </c>
      <c r="H7349" t="inlineStr"/>
    </row>
    <row r="7350">
      <c r="A7350" t="inlineStr">
        <is>
          <t>gmm920</t>
        </is>
      </c>
      <c r="B7350" t="inlineStr">
        <is>
          <t>Omeprazole, morning or evening?</t>
        </is>
      </c>
      <c r="C7350" t="inlineStr">
        <is>
          <t>I've been prescribed omeprazole for a month, for my GERD, as my the heartburn makes my blood pressure go up dangerously. Doctor told me to take it midday, as I have a lot of other medications to take along with it. (I just got out of the hospital after a mini-stroke). I usually just treated my acid reflux with OTC antacids, but lately its gotten really bad.
I've been reading up on omeprazole, and most of the things I saw was you should take it in the morning. I have been doing so, for a week, but the reflux and hypertension at night have gotten worse.
Should I start taking it at night?</t>
        </is>
      </c>
      <c r="D7350" t="n">
        <v>1</v>
      </c>
      <c r="E7350" t="n">
        <v>2</v>
      </c>
      <c r="F7350">
        <f>HYPERLINK("https://www.reddit.com/r/GERD/comments/gmm920/omeprazole_morning_or_evening/")</f>
        <v/>
      </c>
      <c r="G7350" t="inlineStr">
        <is>
          <t>2020-05-19 03:50:59</t>
        </is>
      </c>
      <c r="H7350" t="inlineStr"/>
    </row>
    <row r="7351">
      <c r="A7351" t="inlineStr">
        <is>
          <t>gmmp8o</t>
        </is>
      </c>
      <c r="B7351" t="inlineStr">
        <is>
          <t>Anyone else have a Haitius Hernia, do you take daily meds or have you managed it in other ways too?</t>
        </is>
      </c>
      <c r="C7351" t="inlineStr">
        <is>
          <t>I was diagnosed with one about 2-3 years ago and have been taking lansoprazole ever since, started at 30mg for about a year then have been on 15mg since, it's a struggle because if I don't take them every morning I have terrible reflux, stomach cramps etc... I try now and again to stop them but the reflux is just.god awful 
I'm on my third day currently without them and it's awful, I have some arriving today thankfully but I will be seeing my doctor in 2 months when all the corona stuff settles to hopefully get some advice on it. 
Alternatively has anyone been on PPIs for an extended period and never had issues with it?</t>
        </is>
      </c>
      <c r="D7351" t="n">
        <v>1</v>
      </c>
      <c r="E7351" t="n">
        <v>5</v>
      </c>
      <c r="F7351">
        <f>HYPERLINK("https://www.reddit.com/r/GERD/comments/gmmp8o/anyone_else_have_a_haitius_hernia_do_you_take/")</f>
        <v/>
      </c>
      <c r="G7351" t="inlineStr">
        <is>
          <t>2020-05-19 04:25:57</t>
        </is>
      </c>
      <c r="H7351" t="inlineStr"/>
    </row>
    <row r="7352">
      <c r="A7352" t="inlineStr">
        <is>
          <t>gmnb9y</t>
        </is>
      </c>
      <c r="B7352" t="inlineStr">
        <is>
          <t>does snacking affect your treatment plan?</t>
        </is>
      </c>
      <c r="C7352" t="inlineStr">
        <is>
          <t>when you take  PPI  is it okay to snack even if it's been a while(more than 10 hours) since you took them?</t>
        </is>
      </c>
      <c r="D7352" t="n">
        <v>1</v>
      </c>
      <c r="E7352" t="n">
        <v>3</v>
      </c>
      <c r="F7352">
        <f>HYPERLINK("https://www.reddit.com/r/GERD/comments/gmnb9y/does_snacking_affect_your_treatment_plan/")</f>
        <v/>
      </c>
      <c r="G7352" t="inlineStr">
        <is>
          <t>2020-05-19 05:08:52</t>
        </is>
      </c>
      <c r="H7352" t="inlineStr"/>
    </row>
    <row r="7353">
      <c r="A7353" t="inlineStr">
        <is>
          <t>gmovct</t>
        </is>
      </c>
      <c r="B7353" t="inlineStr">
        <is>
          <t>Fasting or intermittent fasting while having GERD?</t>
        </is>
      </c>
      <c r="C7353" t="inlineStr">
        <is>
          <t>Have any of you had any success with fasting? My GERD is under control thanks to PPI. I tried to do intermittent fasting for some time (18/6) but after a few days of doing that I start to get flare ups in the morning. Any advice on how to avoid that?</t>
        </is>
      </c>
      <c r="D7353" t="n">
        <v>1</v>
      </c>
      <c r="E7353" t="n">
        <v>7</v>
      </c>
      <c r="F7353">
        <f>HYPERLINK("https://www.reddit.com/r/GERD/comments/gmovct/fasting_or_intermittent_fasting_while_having_gerd/")</f>
        <v/>
      </c>
      <c r="G7353" t="inlineStr">
        <is>
          <t>2020-05-19 06:47:01</t>
        </is>
      </c>
      <c r="H7353" t="inlineStr"/>
    </row>
    <row r="7354">
      <c r="A7354" t="inlineStr">
        <is>
          <t>gmpa3k</t>
        </is>
      </c>
      <c r="B7354" t="inlineStr">
        <is>
          <t>Omeprazole making things worse?</t>
        </is>
      </c>
      <c r="C7354" t="inlineStr">
        <is>
          <t>I'm currently on my third round of trying omeprazole.  Every time i have the same experience, which is that it actually seems to make things worse.  Then a couple days after stopping I feel better - sometimes better than before I even started.  
Yesterday I took 20mg, 30 minutes later ate some eggs, spinach, and (non-citrus) fruit, and felt pretty bad symptoms.  Couple hours later ate some macaroni and cheese with hatch chile peppers (Trader joes) and felt way better.  ...What?</t>
        </is>
      </c>
      <c r="D7354" t="n">
        <v>1</v>
      </c>
      <c r="E7354" t="n">
        <v>14</v>
      </c>
      <c r="F7354">
        <f>HYPERLINK("https://www.reddit.com/r/GERD/comments/gmpa3k/omeprazole_making_things_worse/")</f>
        <v/>
      </c>
      <c r="G7354" t="inlineStr">
        <is>
          <t>2020-05-19 07:10:11</t>
        </is>
      </c>
      <c r="H7354" t="inlineStr"/>
    </row>
    <row r="7355">
      <c r="A7355" t="inlineStr">
        <is>
          <t>gmr3j0</t>
        </is>
      </c>
      <c r="B7355" t="inlineStr">
        <is>
          <t>Conquered GERD but maybe back again?</t>
        </is>
      </c>
      <c r="C7355" t="inlineStr">
        <is>
          <t>Hi ya -
In 2017 I was on panto for a year before coming off. Sticking to a GERD diet and exercise, I lost 50 lbs and did much better with healing on panto. 
Last year, I got pregnant and had my son in January. Haven't had any issues throughout pregnancy with GERD which is great. BUT, not sure if this could be a new symptom? 
In the beginning of March, I started to have a dry cough and over that first weekend, had horrible upper back pain from mid back to shoulder blades when I would wake up. Didn't matter if I ate different, didn't matter if I slept in different positions, didn't matter what bed I slept in, etc. I tried testing myself if I can lay on the floor to make realign something and stretch it out but forget it - I can't seem to feel like I can get flat and then have the chest issues. Some mornings if I sleep more than 2 hours, I wake up in such pain that I have tears and have to have my husband come help me out of bed and it also feels like I've got the wind knocked out of me if I try to move with chest tightness. Once I sit up, the pain lasts about 40 minutes or so and then I can start to move around. Then, I'm good for the day. Sure, I have a dull upper back pain but it's nothing like what's happening when I wake up. Then of course, when I'm up there's that lovely dry cough randomly for the whole day.
Any ideas? I'm worried if it's not GERD it's something else. Anyone else have these issues?</t>
        </is>
      </c>
      <c r="D7355" t="n">
        <v>1</v>
      </c>
      <c r="E7355" t="n">
        <v>0</v>
      </c>
      <c r="F7355">
        <f>HYPERLINK("https://www.reddit.com/r/GERD/comments/gmr3j0/conquered_gerd_but_maybe_back_again/")</f>
        <v/>
      </c>
      <c r="G7355" t="inlineStr">
        <is>
          <t>2020-05-19 08:48:21</t>
        </is>
      </c>
      <c r="H7355" t="inlineStr"/>
    </row>
    <row r="7356">
      <c r="A7356" t="inlineStr">
        <is>
          <t>gmr64f</t>
        </is>
      </c>
      <c r="B7356" t="inlineStr">
        <is>
          <t>Not sure what to do?</t>
        </is>
      </c>
      <c r="C7356" t="inlineStr">
        <is>
          <t>Hi all! New here.  I have IBS for years and over the last few weeks have had heart burn on and off (few days one few days off). Currently in the few days on.  Burning in chest and up throat and mouth. Feels like I could breath fire at points.  Burping helps for a few seconds. I feel like a belchy fire breathing dragon lol. Well I did call my dr and she called me in script for Prilosec labeled me with I think GERD. So my ins doesn’t cover it but I am ok with that because the pharmacist talked me out of using it.  Apparently the side effects might outweigh the negatives in my case.  Honestly she scared the crap out of me.  She was also surprised dr didn’t start with antiacids first and work my way up. So I have never really had heart burn issues expect about 10 years ago before I had my gall bladder out. I lived in Zantac then and it worked ( I know it is now off the market). After removal of galbladder all better... Till now. I think it might be the horrible diet I am eating since The whole lock down thing .   I also have arthritis in the neck and was taking 600 mg Advil on and off for a few days at a time. I assume it all created the prefect storm.  I did call the dr back and say I wasn’t comfortable stArting the Prilosec and waiting for a call back at some point. I am not real keen on taking meds all the time either. So I guess I would love to hear advice for you all? Can I kick this with diet, exercise, or is it too late? Thanks in advance to anyone who can throw out some advice.</t>
        </is>
      </c>
      <c r="D7356" t="n">
        <v>1</v>
      </c>
      <c r="E7356" t="n">
        <v>6</v>
      </c>
      <c r="F7356">
        <f>HYPERLINK("https://www.reddit.com/r/GERD/comments/gmr64f/not_sure_what_to_do/")</f>
        <v/>
      </c>
      <c r="G7356" t="inlineStr">
        <is>
          <t>2020-05-19 08:52:08</t>
        </is>
      </c>
      <c r="H7356" t="inlineStr"/>
    </row>
    <row r="7357">
      <c r="A7357" t="inlineStr">
        <is>
          <t>gmrp2k</t>
        </is>
      </c>
      <c r="B7357" t="inlineStr">
        <is>
          <t>How long does Omezaprole take to work?</t>
        </is>
      </c>
      <c r="C7357" t="inlineStr">
        <is>
          <t>I have been having SEVERE gerd/acid reflux lately and started Omeprazole 4 days ago. The burn in my throat is gone but I still am having issues with regurgitation and constant gas pressure in my chest. The gas starts immediately after ingesting anything. It makes it feel like I can't take a deep breath. I'm also having sinus problems that I think could be related, especially my ears. How long was it before you saw a major difference? Are there better meds for this?</t>
        </is>
      </c>
      <c r="D7357" t="n">
        <v>2</v>
      </c>
      <c r="E7357" t="n">
        <v>3</v>
      </c>
      <c r="F7357">
        <f>HYPERLINK("https://www.reddit.com/r/GERD/comments/gmrp2k/how_long_does_omezaprole_take_to_work/")</f>
        <v/>
      </c>
      <c r="G7357" t="inlineStr">
        <is>
          <t>2020-05-19 09:18:30</t>
        </is>
      </c>
      <c r="H7357" t="inlineStr"/>
    </row>
    <row r="7358">
      <c r="A7358" t="inlineStr">
        <is>
          <t>gmrwoc</t>
        </is>
      </c>
      <c r="B7358" t="inlineStr">
        <is>
          <t>How safe is it to drink liquorice tea 2 times a week?</t>
        </is>
      </c>
      <c r="C7358" t="inlineStr">
        <is>
          <t>I drink it for
My heartburn that resulted because of my GERD, but is it okay to drink 2 or 3 times a week?
Ohh and anyone else have any natural remedies for severe heartburn caused by GERD?
I hate abusing my tums</t>
        </is>
      </c>
      <c r="D7358" t="n">
        <v>1</v>
      </c>
      <c r="E7358" t="n">
        <v>8</v>
      </c>
      <c r="F7358">
        <f>HYPERLINK("https://www.reddit.com/r/GERD/comments/gmrwoc/how_safe_is_it_to_drink_liquorice_tea_2_times_a/")</f>
        <v/>
      </c>
      <c r="G7358" t="inlineStr">
        <is>
          <t>2020-05-19 09:29:35</t>
        </is>
      </c>
      <c r="H7358" t="inlineStr"/>
    </row>
    <row r="7359">
      <c r="A7359" t="inlineStr">
        <is>
          <t>gmt4ev</t>
        </is>
      </c>
      <c r="B7359" t="inlineStr">
        <is>
          <t>Esophagitis not healing, realistically, when should I worry?</t>
        </is>
      </c>
      <c r="C7359" t="inlineStr">
        <is>
          <t>Please read this to get the details:
I have had esophagitis for 7 months now.
Every doctor I saw told me it would heal in a month or up to 3 months. No medication has helped me, in fact, most made me much worse (pantoprazole, omeprazole, Gaviscon, famotidine, ranitidine, pepcid, tums, etc, etc.) Diet and cutting out acidic triggers has not helped me. Sleeping on a wedge does not help me. Supplements (D-limonene, mastic gum, slippery elm, AVC, aloe vera, marshmallow root, DLG, probiotics, enzymes) and experimenting with alternative things (Betaine, etc) have not helped me. Not eating 5 hours before bed has not helped me. Reducing anxiety has not helped me. Losing weight has not helped me.
I am genuinely concerned if it goes on like this for years, it will lead to esophageal cancer. In fact lately I can't stop worrying about it ever since my throat got a lot worse in the past week out of nowhere and doesn't seem to be improving. I have been told anxiety makes it worse. I have not been told what will make it better.
I have been to seven or eight GIs over the past 7 months. None of them seem to take me seriously and they all dismiss my worries and just try to keep putting me on PPIs or H2 blockers even though I tell them they made my symptoms much worse and gave me new symptoms. The GIs do not offer any other plan except don't eat coffee, don't eat pizza. When I tell them I stopped eating those things but I keep getting worse, they don't know what to tell me. I had multiple tests planned for my esophagus but the virus canceled those appointments. So I sit here day after day with my throat hurting and no end in sight.
What am I realistically looking at here in terms of cancer or at the least, irreversible damage to my esophagus? When you google "how long does it take to heal esophagitis", what comes up is around two months. This is what worries me.
edit: also please nobody tell me to calm down. Having a bad week here, but I am normally more hopeful than this. I even recorded vocals on my delayed album two weeks ago because my throat felt a lot better. There have been hopeful days. Just not lately.</t>
        </is>
      </c>
      <c r="D7359" t="n">
        <v>1</v>
      </c>
      <c r="E7359" t="n">
        <v>27</v>
      </c>
      <c r="F7359">
        <f>HYPERLINK("https://www.reddit.com/r/GERD/comments/gmt4ev/esophagitis_not_healing_realistically_when_should/")</f>
        <v/>
      </c>
      <c r="G7359" t="inlineStr">
        <is>
          <t>2020-05-19 10:31:40</t>
        </is>
      </c>
      <c r="H7359" t="inlineStr"/>
    </row>
    <row r="7360">
      <c r="A7360" t="inlineStr">
        <is>
          <t>gmt63t</t>
        </is>
      </c>
      <c r="B7360" t="inlineStr">
        <is>
          <t>Ate PPIs meant to stop gas, burping and regurgitation?</t>
        </is>
      </c>
      <c r="C7360" t="inlineStr">
        <is>
          <t>I've been reading here recently and I'm confused, when I take medication it's only ever stopped the burn and the pain, I've never had medications stop bloating, gas, burping, regurgitation etc? Ate they meant to help those things or is more to do with my IBS and hernia than it is my GERD</t>
        </is>
      </c>
      <c r="D7360" t="n">
        <v>1</v>
      </c>
      <c r="E7360" t="n">
        <v>9</v>
      </c>
      <c r="F7360">
        <f>HYPERLINK("https://www.reddit.com/r/GERD/comments/gmt63t/ate_ppis_meant_to_stop_gas_burping_and/")</f>
        <v/>
      </c>
      <c r="G7360" t="inlineStr">
        <is>
          <t>2020-05-19 10:33:57</t>
        </is>
      </c>
      <c r="H7360" t="inlineStr"/>
    </row>
    <row r="7361">
      <c r="A7361" t="inlineStr">
        <is>
          <t>gmtaa2</t>
        </is>
      </c>
      <c r="B7361" t="inlineStr">
        <is>
          <t>Anyone take probiotics and any luck or info on them?</t>
        </is>
      </c>
      <c r="C7361" t="inlineStr">
        <is>
          <t>I see alot about taking probiotics, do they aid in digestion etc?</t>
        </is>
      </c>
      <c r="D7361" t="n">
        <v>1</v>
      </c>
      <c r="E7361" t="n">
        <v>2</v>
      </c>
      <c r="F7361">
        <f>HYPERLINK("https://www.reddit.com/r/GERD/comments/gmtaa2/anyone_take_probiotics_and_any_luck_or_info_on/")</f>
        <v/>
      </c>
      <c r="G7361" t="inlineStr">
        <is>
          <t>2020-05-19 10:39:56</t>
        </is>
      </c>
      <c r="H7361" t="inlineStr"/>
    </row>
    <row r="7362">
      <c r="A7362" t="inlineStr">
        <is>
          <t>gmtia4</t>
        </is>
      </c>
      <c r="B7362" t="inlineStr">
        <is>
          <t>Is this the cause of my symptoms?</t>
        </is>
      </c>
      <c r="C7362" t="inlineStr">
        <is>
          <t>I've got POTS which is known to cause palpitations stomach issues etc, about 2 years ago I had a heart echo, ECG's holter etc all came back perfect. I went to the hospital last night because of very frequent palpitations and I've not been able to get a full deep satisfying breath for about a month but again all came back fine. (I went last month for the breath issue had a ecg and bloods and chest x-ray all okay) 
I'm on 30mg of lansoprazole a day, I also get this weird sometimes burning chest or sometimes freezing cold sensation and upper back pain etc, I never really thought it could all be from my stomach till I looked on this sub, does anyone else share something similar?</t>
        </is>
      </c>
      <c r="D7362" t="n">
        <v>1</v>
      </c>
      <c r="E7362" t="n">
        <v>5</v>
      </c>
      <c r="F7362">
        <f>HYPERLINK("https://www.reddit.com/r/GERD/comments/gmtia4/is_this_the_cause_of_my_symptoms/")</f>
        <v/>
      </c>
      <c r="G7362" t="inlineStr">
        <is>
          <t>2020-05-19 10:51:24</t>
        </is>
      </c>
      <c r="H7362" t="inlineStr"/>
    </row>
    <row r="7363">
      <c r="A7363" t="inlineStr">
        <is>
          <t>gmu6qt</t>
        </is>
      </c>
      <c r="B7363" t="inlineStr">
        <is>
          <t>Has anyone had any success with cimeditine (Tagamet)?</t>
        </is>
      </c>
      <c r="C7363" t="inlineStr">
        <is>
          <t>Since raniditine got recalled I had to switch to famoditine, and it's just not working at all so I am going to try cimeditine.  I also take pantoprazole but I need an H2 blocker as well.</t>
        </is>
      </c>
      <c r="D7363" t="n">
        <v>1</v>
      </c>
      <c r="E7363" t="n">
        <v>2</v>
      </c>
      <c r="F7363">
        <f>HYPERLINK("https://www.reddit.com/r/GERD/comments/gmu6qt/has_anyone_had_any_success_with_cimeditine_tagamet/")</f>
        <v/>
      </c>
      <c r="G7363" t="inlineStr">
        <is>
          <t>2020-05-19 11:26:04</t>
        </is>
      </c>
      <c r="H7363" t="inlineStr"/>
    </row>
    <row r="7364">
      <c r="A7364" t="inlineStr">
        <is>
          <t>gmv6i1</t>
        </is>
      </c>
      <c r="B7364" t="inlineStr">
        <is>
          <t>Omeprazole for 5 Weeks...</t>
        </is>
      </c>
      <c r="C7364" t="inlineStr">
        <is>
          <t>I’m 31M. Pretty in shape. I started having symptoms (chest tightness, sore throat, tight throat) at the end of March when the pandemic started. I believe it was due to high stress levels and a mix of trigger food/drinks all at once. 
Been on Omeprazole (20mg morning and 20mg evening) for almost 5 straight weeks. Have definitely seen an improvement in chest pressure. Very little to none each day. However, the tightness in my throat seems almost worse. My diet has changed substantially since the beginning of all this. Eating almost no trigger foods. Can’t seem to give up coffee though but definitely reduced it a lot. Only 8oz a day. Drinking lots of herbal teas (ginger and chamomile). Exercise like running seems to help. 
My question is: How long does it take for Omeprezole to fully work? 
Also, what’s the best temporary solution? I’ve seen a lot of posts about Gaviscon Advance but it’s expensive and takes a while to get here since it seems to only be found on amazon. I’ve tried tums, gaviscon extra, pepto but all seem to do very little to nothing. 
Any help is appreciated!</t>
        </is>
      </c>
      <c r="D7364" t="n">
        <v>1</v>
      </c>
      <c r="E7364" t="n">
        <v>26</v>
      </c>
      <c r="F7364">
        <f>HYPERLINK("https://www.reddit.com/r/GERD/comments/gmv6i1/omeprazole_for_5_weeks/")</f>
        <v/>
      </c>
      <c r="G7364" t="inlineStr">
        <is>
          <t>2020-05-19 12:16:41</t>
        </is>
      </c>
      <c r="H7364" t="inlineStr"/>
    </row>
    <row r="7365">
      <c r="A7365" t="inlineStr">
        <is>
          <t>gmw4os</t>
        </is>
      </c>
      <c r="B7365" t="inlineStr">
        <is>
          <t>Eaophagitis Healing timeline</t>
        </is>
      </c>
      <c r="C7365" t="inlineStr">
        <is>
          <t>[This study](https://pubmed.ncbi.nlm.nih.gov/8792693/) says healing with Prevacid or lansoprazole takes 2-4 weeks on average.  
What is your experience?</t>
        </is>
      </c>
      <c r="D7365" t="n">
        <v>1</v>
      </c>
      <c r="E7365" t="n">
        <v>3</v>
      </c>
      <c r="F7365">
        <f>HYPERLINK("https://www.reddit.com/r/GERD/comments/gmw4os/eaophagitis_healing_timeline/")</f>
        <v/>
      </c>
      <c r="G7365" t="inlineStr">
        <is>
          <t>2020-05-19 13:05:14</t>
        </is>
      </c>
      <c r="H7365" t="inlineStr"/>
    </row>
    <row r="7366">
      <c r="A7366" t="inlineStr">
        <is>
          <t>gmwid8</t>
        </is>
      </c>
      <c r="B7366" t="inlineStr">
        <is>
          <t>Could our app help you?</t>
        </is>
      </c>
      <c r="C7366" t="inlineStr">
        <is>
          <t>Hi,
I’m a researcher at an early stage nutrition startup called Heali. We’re looking to recruit research participants to help us improve our product design. I'd love to let you see some early concepts of what we’re working on to get your feedback and let you influence what we build. Basically, we want to see if what we have would actually be helpful to you.
Please click this 15 seconds online form to join us! I’ll follow up with you regarding our upcoming research study.
[https://forms.gle/igZifNimfggayXJe9](https://forms.gle/igZifNimfggayXJe9) 
Thanks for your help.
Cheers,
&amp;amp;#x200B;
Tinakai Wang
User Experience Researcher
Heali AI</t>
        </is>
      </c>
      <c r="D7366" t="n">
        <v>1</v>
      </c>
      <c r="E7366" t="n">
        <v>0</v>
      </c>
      <c r="F7366">
        <f>HYPERLINK("https://www.reddit.com/r/GERD/comments/gmwid8/could_our_app_help_you/")</f>
        <v/>
      </c>
      <c r="G7366" t="inlineStr">
        <is>
          <t>2020-05-19 13:25:06</t>
        </is>
      </c>
      <c r="H7366" t="inlineStr"/>
    </row>
    <row r="7367">
      <c r="A7367" t="inlineStr">
        <is>
          <t>gmwxal</t>
        </is>
      </c>
      <c r="B7367" t="inlineStr">
        <is>
          <t>No result after fibroscopy</t>
        </is>
      </c>
      <c r="C7367" t="inlineStr">
        <is>
          <t>Hello, I got my fibroscopy this morning,  after my fibro I had a huge panic attack and can't calm down so they transfer me in another room
I saw other people who got their fibro After me  getting their result and leaving the clinic, I was upset and left the clinic without being allowed
The fact that other people got their result before me seem concerning
I didn't get any call after leaving, what do you think?</t>
        </is>
      </c>
      <c r="D7367" t="n">
        <v>1</v>
      </c>
      <c r="E7367" t="n">
        <v>3</v>
      </c>
      <c r="F7367">
        <f>HYPERLINK("https://www.reddit.com/r/GERD/comments/gmwxal/no_result_after_fibroscopy/")</f>
        <v/>
      </c>
      <c r="G7367" t="inlineStr">
        <is>
          <t>2020-05-19 13:46:31</t>
        </is>
      </c>
      <c r="H7367" t="inlineStr"/>
    </row>
    <row r="7368">
      <c r="A7368" t="inlineStr">
        <is>
          <t>gmxqx3</t>
        </is>
      </c>
      <c r="B7368" t="inlineStr">
        <is>
          <t>symptoms for a WEEK?</t>
        </is>
      </c>
      <c r="C7368" t="inlineStr">
        <is>
          <t>Female, 20
I had heartburn and other symptoms for a couple days so i went to an urgent care (no insurance), where i was told i have GERD/acid reflux. I was prescribed Omeprazole and Sucralfate after they did an EKG on me, listened to my lungs, checked my blood pressure, and listened to my symptoms. I’ve taken the omeprazole for more than the 4 days it says it needs to work now and I’m still having heartburn and I’m tired of it. I don’t know what to do, should I go to another doctor? the ER?</t>
        </is>
      </c>
      <c r="D7368" t="n">
        <v>1</v>
      </c>
      <c r="E7368" t="n">
        <v>14</v>
      </c>
      <c r="F7368">
        <f>HYPERLINK("https://www.reddit.com/r/GERD/comments/gmxqx3/symptoms_for_a_week/")</f>
        <v/>
      </c>
      <c r="G7368" t="inlineStr">
        <is>
          <t>2020-05-19 14:30:13</t>
        </is>
      </c>
      <c r="H7368" t="inlineStr"/>
    </row>
    <row r="7369">
      <c r="A7369" t="inlineStr">
        <is>
          <t>gmy7ip</t>
        </is>
      </c>
      <c r="B7369" t="inlineStr">
        <is>
          <t>Pepcid AC versus Prilosec</t>
        </is>
      </c>
      <c r="C7369" t="inlineStr">
        <is>
          <t>Can any one give me their experiences with Pepcid? Long story short dr says I have GERD and initially prescribed  me Prolisec (Rex script).  After reading up on it I am not comfortable going down that road.  I called she told me to try Pepcid since I had good luck with Zantac in the past.  I hate Medicine, but would rather take something as needed then everyday.  Is this what Pepcid is made for? Does any one have experiences with it? 
I really appreciate any feedback.</t>
        </is>
      </c>
      <c r="D7369" t="n">
        <v>1</v>
      </c>
      <c r="E7369" t="n">
        <v>13</v>
      </c>
      <c r="F7369">
        <f>HYPERLINK("https://www.reddit.com/r/GERD/comments/gmy7ip/pepcid_ac_versus_prilosec/")</f>
        <v/>
      </c>
      <c r="G7369" t="inlineStr">
        <is>
          <t>2020-05-19 14:55:07</t>
        </is>
      </c>
      <c r="H7369" t="inlineStr"/>
    </row>
    <row r="7370">
      <c r="A7370" t="inlineStr">
        <is>
          <t>gmyjlx</t>
        </is>
      </c>
      <c r="B7370" t="inlineStr">
        <is>
          <t>Are some symptoms worse than others?</t>
        </is>
      </c>
      <c r="C7370" t="inlineStr">
        <is>
          <t>Sometimes I have the chest pain and sometimes I have a discomfort in my throat (globus, bitter taste, but no hoarseness or sore throat). I feel that the different natural remedies I try tend to affect which symptom I experience. Not counting how it makes me feel, is one symptom better to have than the other in terms of long term health? Sorry if this breaks the diagnostic rule.</t>
        </is>
      </c>
      <c r="D7370" t="n">
        <v>1</v>
      </c>
      <c r="E7370" t="n">
        <v>2</v>
      </c>
      <c r="F7370">
        <f>HYPERLINK("https://www.reddit.com/r/GERD/comments/gmyjlx/are_some_symptoms_worse_than_others/")</f>
        <v/>
      </c>
      <c r="G7370" t="inlineStr">
        <is>
          <t>2020-05-19 15:12:56</t>
        </is>
      </c>
      <c r="H7370" t="inlineStr"/>
    </row>
    <row r="7371">
      <c r="A7371" t="inlineStr">
        <is>
          <t>gmym2l</t>
        </is>
      </c>
      <c r="B7371" t="inlineStr">
        <is>
          <t>Does Chamomile tea really helps?</t>
        </is>
      </c>
      <c r="C7371" t="inlineStr">
        <is>
          <t>My doctor suggested i should switched to tea from coffee, but some of teas have caffiene. And the internet says Chamomile is good for your stomach and overall health, any suggestions? I'll appreciate it. :)</t>
        </is>
      </c>
      <c r="D7371" t="n">
        <v>1</v>
      </c>
      <c r="E7371" t="n">
        <v>18</v>
      </c>
      <c r="F7371">
        <f>HYPERLINK("https://www.reddit.com/r/GERD/comments/gmym2l/does_chamomile_tea_really_helps/")</f>
        <v/>
      </c>
      <c r="G7371" t="inlineStr">
        <is>
          <t>2020-05-19 15:16:36</t>
        </is>
      </c>
      <c r="H7371" t="inlineStr"/>
    </row>
    <row r="7372">
      <c r="A7372" t="inlineStr">
        <is>
          <t>gmyn5t</t>
        </is>
      </c>
      <c r="B7372" t="inlineStr">
        <is>
          <t>(Long rant) Just want to vent about acid reflux for past two months. Is there a point to seeing a doctor now? Any positive stories/advice?</t>
        </is>
      </c>
      <c r="C7372" t="inlineStr">
        <is>
          <t>I'm in a COVID hotspot and it feels like I'll be unlikely to find any doctor to see me in person, let alone run tests. I've had persistent acid reflux symptoms for 2 months now, despite trying various OTC remedies, including Tums, Pepcid, Prilosec, Gaviscon Advance (UK version with sodium alginate), Lily of the Desert aloe herbal stomach formula, melatonin, using a wedge pillow to sleep, and following the Acid Watcher Diet. My health insurance is shit and likely any doctors visit is going to cost me like $100 copay so is there really a point to seeing a doctor via telemedicine, diagnosing me based on history only, and having them just say "yep, sounds like acid reflux, take more PPIs longer"?
My symptoms are mainly random stomach pain, pain around my ribcage/breastbone, and sore throat. I never had any stomach issues in my life, but I did have stress-induced IBD-like symptoms around mid-March when COVID hit and I couldn't sleep/eat and had diarrhea. I also had a cold around that time (just runny nose). I initially associated the sore throat to the cold, but it persisted and then I correlated it to acid reflux, because my dad had a persistent dry cough for three months which went away with just a week of once-daily Prilosec 20mg. Unfortunately my case wasn't treated so easily with Prilosec. I tried Prilosec but it seems to make my symptoms worse??? I thought it could've been the multiple vitamin C supplements I just started to take, so I stopped. (Yes, it was dumb but COVID had me really freaking out and my dad was really pushing them on me too, he takes like 10,000mg a day with no issues, although I tell him to stop for his kidney's sake, he doesn't agree with me.) The sore throat went away, so then I restarted the vitamin C capsules after a couple days and then it came back and stuck around. Ugh.
A weird side problem I have with OTC acid medications is that a lot of them contain calcium like Tums and Gaviscon Advance (UK sodium alginate) but extra calcium supplementation seems to aggravate my chronic muscle spasms which I'm in physiotherapy for. So even if Gaviscon Advance is the magical formula for it, I can't take too much of it because of the calcium content makes me stiff all over.
Anyway, I'm just at a loss and sort of frustrated after two months. I really want to eat junk food and drink coffee and alcohol, all my favorite things especially during this stressful time, but to have to go on a super restrictive diet to fix sore throat/acid reflux just really sucks. Work has free food/snacks and I've broke the diet a couple times and that sucked. I also have long periods at work where I can't eat while I'm working, so I just get really hungry and want to eat big meals. There's subreddits for keto, vegan, etc. so kind of sucks that there's no low-acid subreddit, because I'm struggling to eat on this diet. I think the only things I'm enjoying is toast, almond butter, bananas, watermelon, mozzarella cheese, and dry puffed rice cakes.
I'm also just really frustrated because I also suffered from disordered eating in my early 20s, where I'd literally fast/binge eat the worst foods in the unhealthiest way for five years and never had acid reflux so it's baffling why I have these problems now.
I also miss doing yoga and inversions. Like I don't understand why I could be practicing handstands but all of a sudden, I can't. I stopped doing yoga and it's been a bummer. Should start doing yoga again? IDK I'm just having trouble sticking to treatment and not even sure if what I'm doing is working. I'm also scared of the side effects of PPIs and acid reducers in general, and dubious if they will even work for me. I did a week of Prilosec 10mg daily and my acid reflux only seemed to get worse.
On top of all this, I live with my parents who don't believe I have acid reflux so they keep pushing regular food on me, which only adds to my stress and the difficulty of trying to fix this on my own. Long rant, but literally nobody in my life understands right now.</t>
        </is>
      </c>
      <c r="D7372" t="n">
        <v>1</v>
      </c>
      <c r="E7372" t="n">
        <v>31</v>
      </c>
      <c r="F7372">
        <f>HYPERLINK("https://www.reddit.com/r/GERD/comments/gmyn5t/long_rant_just_want_to_vent_about_acid_reflux_for/")</f>
        <v/>
      </c>
      <c r="G7372" t="inlineStr">
        <is>
          <t>2020-05-19 15:18:18</t>
        </is>
      </c>
      <c r="H7372" t="inlineStr"/>
    </row>
    <row r="7373">
      <c r="A7373" t="inlineStr">
        <is>
          <t>gmz0o2</t>
        </is>
      </c>
      <c r="B7373" t="inlineStr">
        <is>
          <t>Bad Coughing Fits Triggered by Heartburn</t>
        </is>
      </c>
      <c r="C7373" t="inlineStr">
        <is>
          <t>Whenever I have bad heartburn, it triggers very bad coughing, that sounds as if I have bronchitis. It will go away as soon as the heartburn clears up, and usually tums will provide temporary relief. I haven't seen this as a symptom from many others, but wonder if it is simply because my throat is more sensitive. The cough is sometimes just as bad as the burning and pain, especially when it occurs at night, and I don't want to keep my wife up if I'm in a fit of coughing, nor do I want to pop tums. I am trying natural remedies now and having success, but just sought out this reddit group and wanted to ask if others experienced the same?</t>
        </is>
      </c>
      <c r="D7373" t="n">
        <v>1</v>
      </c>
      <c r="E7373" t="n">
        <v>4</v>
      </c>
      <c r="F7373">
        <f>HYPERLINK("https://www.reddit.com/r/GERD/comments/gmz0o2/bad_coughing_fits_triggered_by_heartburn/")</f>
        <v/>
      </c>
      <c r="G7373" t="inlineStr">
        <is>
          <t>2020-05-19 15:38:35</t>
        </is>
      </c>
      <c r="H7373" t="inlineStr"/>
    </row>
    <row r="7374">
      <c r="A7374" t="inlineStr">
        <is>
          <t>gmz55b</t>
        </is>
      </c>
      <c r="B7374" t="inlineStr">
        <is>
          <t>So fed up! Wtf is wrong with my throat?!?</t>
        </is>
      </c>
      <c r="C7374" t="inlineStr">
        <is>
          <t>Basically this all started with a random bout of just normal regular heartburn. Started taking tums didnt work much. Then i started a 14 day course of prilosec. That did the trick and i was fine. It said on the box to stop after 2 weeks and i did. A couple days later i had the worse heartburn of my life. Burping up burning acid. I would wake up pretty much choking on it. Couldnt burp at all without stuff coming up. At this point my throat was fine. Called the dr and she said it if its that bad i can just take prilosec every day so i started doing that. It basically did nothing but take the "heartburn" feeling away. Then i started getting problems with my throat. Felt like something was stuck or it was swollen shut. Took 40 mg of prilosec for a month. Finally went back to the dr and they switched me to protonix 40 mg. Can these meds take away the actual burning feeling but leave all the rest of the symptoms? My throat feels literally destroyed. I can feel this weird feeling of something like crawling up in my throat. So hoarse. Have to clear it all the time. I hardly even burp anymore my throat just makes frog/gurgling sounds. Some times it feels fizzy and like they is super thick mucus in there that i cant get out. Should i see and ENT or gastro? So done with all this!!!!!!!!!</t>
        </is>
      </c>
      <c r="D7374" t="n">
        <v>2</v>
      </c>
      <c r="E7374" t="n">
        <v>6</v>
      </c>
      <c r="F7374">
        <f>HYPERLINK("https://www.reddit.com/r/GERD/comments/gmz55b/so_fed_up_wtf_is_wrong_with_my_throat/")</f>
        <v/>
      </c>
      <c r="G7374" t="inlineStr">
        <is>
          <t>2020-05-19 15:45:23</t>
        </is>
      </c>
      <c r="H7374" t="inlineStr"/>
    </row>
    <row r="7375">
      <c r="A7375" t="inlineStr">
        <is>
          <t>gmzifw</t>
        </is>
      </c>
      <c r="B7375" t="inlineStr">
        <is>
          <t>23 year old girl with very healthy weight and lifestyle</t>
        </is>
      </c>
      <c r="C7375" t="inlineStr">
        <is>
          <t>One of the worst things about having GERD is not being able to control my belching. I never really feel acid anymore it’s just the pressure after I eat in my throat and stomach. I take a Nexium when the symptoms get bad, but it’s getting out of hand. Sometimes I burp so much I have to throw up for it to finally stop. This has happened at work, at home, in front of friends, and people I like. It’s so embarrassing. I’m a very slim girl I’m about 120 lbs and 5’3”. I don’t have the overweight excuse. I am very active, I walk my dog around my neighborhood (9,000 steps) everyday and do a 1.5 hour workout for my entire body with weight lifting at least three times per week. I’m definitely anxious, but I’m on antidepressants (wellbutrin). I don’t smoke anything. I drink rarely. I don’t have coffee everyday. And I make sure to literally chew my food like 15x per bite. I fast and i most of the time follow a keto diet. I fasted today and came back from work and needed to eat, so I had chipotle ( I know very acidic, but it usually doesn’t trigger anything ) and the next two hours have been complete hell. I am still burping like a madman and it feels so gross, people don’t believe I can’t control it and they think I’m just this crass classless human. Can someone please tell me what to do. What to eliminate. What are some natural things I could do? I want to be better, I would do anything to make it stop. Please if any success stories, especially from other women please let me know.
EDIT: im not just worried about looking ugly, I should clarify that. I’m scared this will lead to something worse down the line. I know that this killed Kim Kardashian’s dad, and it just really depresses me. I don’t want that to be my future.</t>
        </is>
      </c>
      <c r="D7375" t="n">
        <v>1</v>
      </c>
      <c r="E7375" t="n">
        <v>33</v>
      </c>
      <c r="F7375">
        <f>HYPERLINK("https://www.reddit.com/r/GERD/comments/gmzifw/23_year_old_girl_with_very_healthy_weight_and/")</f>
        <v/>
      </c>
      <c r="G7375" t="inlineStr">
        <is>
          <t>2020-05-19 16:05:56</t>
        </is>
      </c>
      <c r="H7375" t="inlineStr"/>
    </row>
    <row r="7376">
      <c r="A7376" t="inlineStr">
        <is>
          <t>gn0ewu</t>
        </is>
      </c>
      <c r="B7376" t="inlineStr">
        <is>
          <t>Having anxiety about GERD and need guidance?</t>
        </is>
      </c>
      <c r="C7376" t="inlineStr">
        <is>
          <t>So all day today and past few days I’ve been having the taste of blood come up my throat and then I’ve been having to clear my throat. Now my throat feels like it’s getting dry and it’s harder to clear. My anxious looked it up and it said it could be a sign of upper respiratory infection. Now I’m having some chest tightness and idk it that’s me anxious about thinking this could be COVID and it’s just indigestion or it could actually lead to something like that. I know I shouldn’t search the internet and stay calm but I’m just worried because of everyone I am around right now. Any help would be great?</t>
        </is>
      </c>
      <c r="D7376" t="n">
        <v>1</v>
      </c>
      <c r="E7376" t="n">
        <v>1</v>
      </c>
      <c r="F7376">
        <f>HYPERLINK("https://www.reddit.com/r/GERD/comments/gn0ewu/having_anxiety_about_gerd_and_need_guidance/")</f>
        <v/>
      </c>
      <c r="G7376" t="inlineStr">
        <is>
          <t>2020-05-19 16:57:29</t>
        </is>
      </c>
      <c r="H7376" t="inlineStr"/>
    </row>
    <row r="7377">
      <c r="A7377" t="inlineStr">
        <is>
          <t>gn15jb</t>
        </is>
      </c>
      <c r="B7377" t="inlineStr">
        <is>
          <t>I'm gonna end up killing myself because of this</t>
        </is>
      </c>
      <c r="C7377" t="inlineStr">
        <is>
          <t>Long story short I'm a singer who hasn't been able to make music for months and music is the only reason I'm still alive... I told myself as long as I have this nothing can stop me and I will stay alive.... And then my body decided to fuck me over..... I come from an abusive home shitty childhood... I don't have any family or any friends I have nothing all I have is music and now it's being taken away..... I lost everything in life.... Parent ls, friends, significant other... And now this.... I have no one to turn to.. Doctors give me medicine that dosent work.... I'm trying stupid home remedies that don't work and everyday is getting harder and harder to wake up in the morning..... I'm going to kill myself soon</t>
        </is>
      </c>
      <c r="D7377" t="n">
        <v>1</v>
      </c>
      <c r="E7377" t="n">
        <v>6</v>
      </c>
      <c r="F7377">
        <f>HYPERLINK("https://www.reddit.com/r/GERD/comments/gn15jb/im_gonna_end_up_killing_myself_because_of_this/")</f>
        <v/>
      </c>
      <c r="G7377" t="inlineStr">
        <is>
          <t>2020-05-19 17:40:55</t>
        </is>
      </c>
      <c r="H7377" t="inlineStr"/>
    </row>
    <row r="7378">
      <c r="A7378" t="inlineStr">
        <is>
          <t>gn19qt</t>
        </is>
      </c>
      <c r="B7378" t="inlineStr">
        <is>
          <t>Ambien may potentially cause GERD-like symptoms in some individuals (anecdotal evidence only)</t>
        </is>
      </c>
      <c r="C7378" t="inlineStr">
        <is>
          <t>I had subscribed to this sub-reddit because I believed I had developed GERD due to poor diet and stress and the symptoms I was experiencing were very distressing. However, I determined that in my specific case, the GERD was most definitely a side-effect of Ambien which I had been prescribed for treatment of insomnia.
I "confirmed this by experimentation" (this was exactly how my doctor reported my claim in my medical file). I found that symptoms were alleviated after two days of not taking the medication, but symptoms returned immediately upon restarting the medication. I attempted this stop/restart several times in order to confirm my suspicion. I also found that proton-pump inhibitor medications were ineffective. I have not experienced any acid reflux/heart burn/GERD-like symptoms since discontinuing ambien.
I just wanted to post this in the off chance it might be useful information to someone. I couldn't find any posts that mentioned this (one is archived) so this post can help out some people. To my knowledge, acid reflux/heart burn/GERD are not commonly listed side-effects of ambien so it is something that may fly under the radar for some. 
This is by no means a claim that the drug causes GERD-like symptoms for everyone. I'm just saying that it was the cause in my case.  For those who are taking ambien and are also experiencing GERD-like symptoms, it might be worth considering that this medication may be a causative or aggravating agent in your symptoms.
&amp;amp;#x200B;
Here's a study providing some supporting evidence
[https://www.cghjournal.org/article/S1542-3565(09)00431-5/fulltext](https://www.cghjournal.org/article/S1542-3565(09)00431-5/fulltext)</t>
        </is>
      </c>
      <c r="D7378" t="n">
        <v>1</v>
      </c>
      <c r="E7378" t="n">
        <v>1</v>
      </c>
      <c r="F7378">
        <f>HYPERLINK("https://www.reddit.com/r/GERD/comments/gn19qt/ambien_may_potentially_cause_gerdlike_symptoms_in/")</f>
        <v/>
      </c>
      <c r="G7378" t="inlineStr">
        <is>
          <t>2020-05-19 17:47:51</t>
        </is>
      </c>
      <c r="H7378" t="inlineStr"/>
    </row>
    <row r="7379">
      <c r="A7379" t="inlineStr">
        <is>
          <t>gn3wlj</t>
        </is>
      </c>
      <c r="B7379" t="inlineStr">
        <is>
          <t>Does feed ever go away?</t>
        </is>
      </c>
      <c r="C7379" t="inlineStr">
        <is>
          <t>I’ve been wondering this but nobody ever answers clearly for me</t>
        </is>
      </c>
      <c r="D7379" t="n">
        <v>1</v>
      </c>
      <c r="E7379" t="n">
        <v>0</v>
      </c>
      <c r="F7379">
        <f>HYPERLINK("https://www.reddit.com/r/GERD/comments/gn3wlj/does_feed_ever_go_away/")</f>
        <v/>
      </c>
      <c r="G7379" t="inlineStr">
        <is>
          <t>2020-05-19 20:35:11</t>
        </is>
      </c>
      <c r="H7379" t="inlineStr"/>
    </row>
    <row r="7380">
      <c r="A7380" t="inlineStr">
        <is>
          <t>gn47kn</t>
        </is>
      </c>
      <c r="B7380" t="inlineStr">
        <is>
          <t>Lump in throat feeling all day - common symptom?</t>
        </is>
      </c>
      <c r="C7380" t="inlineStr">
        <is>
          <t>I’m a 24 year old female who doesn’t live the healthiest lifestyle (both in terms of diet &amp;amp; stress levels). I definitely have GERD, but I haven’t done anything to treat it until two days ago because I’m absolutely sick of these symptoms.. But I’m not sure if they’re common GERD symptoms or if they’re something more concerning?
I’ve had a few episodes where I’ve had severe hypopharyngeal pain on ONE SIDE. The pain feels like a raw open wound, as if my mucous membranes have been cut or burned. The pain would radiate to my left ear as well. It goes away after a week or so. 
However, in the past week, I’ve had a feeling of something stuck in the back of my throat + hypopharynx area ALL DAY, EVERYDAY. No pain. 
I got a direct laryngoscopy done today and the doctor didn’t find anything suspicious in the larynx + hypopharynx area, other than severe inflammation from reflux. 
But.. I can’t tell if this feeling is coming from my esophagus. It’s definitely coming from my hypopharynx area. I’m just very concerned and scared that the doctor missed something.</t>
        </is>
      </c>
      <c r="D7380" t="n">
        <v>1</v>
      </c>
      <c r="E7380" t="n">
        <v>8</v>
      </c>
      <c r="F7380">
        <f>HYPERLINK("https://www.reddit.com/r/GERD/comments/gn47kn/lump_in_throat_feeling_all_day_common_symptom/")</f>
        <v/>
      </c>
      <c r="G7380" t="inlineStr">
        <is>
          <t>2020-05-19 20:56:50</t>
        </is>
      </c>
      <c r="H7380" t="inlineStr"/>
    </row>
    <row r="7381">
      <c r="A7381" t="inlineStr">
        <is>
          <t>gn48a6</t>
        </is>
      </c>
      <c r="B7381" t="inlineStr">
        <is>
          <t>Have GERD due to hiatal hernia - is fundoplication hernia correction without tightening possible?</t>
        </is>
      </c>
      <c r="C7381" t="inlineStr">
        <is>
          <t>I've heard of side effect of surgery with the stomach wrap thing include inability to burp or vomit, which I absolutely do NOT want  
Would it be possible to just pop the stomach back in place and leave it at that? I'm pretty sure the reason I got this hernia in the first place is because I carried an *extremely* heavy unusual load whilst also in midst of being completely sedentary. I can almost pinpoint the day I started getting reflux, which started  immediately after doing this. Before i had absolutely zero problems. Would it be possible if i work on my fitness and strengthening my diaphragm before and after surgery, I could get my stomach back "to the way it was" without the tightening?</t>
        </is>
      </c>
      <c r="D7381" t="n">
        <v>1</v>
      </c>
      <c r="E7381" t="n">
        <v>7</v>
      </c>
      <c r="F7381">
        <f>HYPERLINK("https://www.reddit.com/r/GERD/comments/gn48a6/have_gerd_due_to_hiatal_hernia_is_fundoplication/")</f>
        <v/>
      </c>
      <c r="G7381" t="inlineStr">
        <is>
          <t>2020-05-19 20:58:19</t>
        </is>
      </c>
      <c r="H7381" t="inlineStr"/>
    </row>
    <row r="7382">
      <c r="A7382" t="inlineStr">
        <is>
          <t>gn52je</t>
        </is>
      </c>
      <c r="B7382" t="inlineStr">
        <is>
          <t>reflux without the acid burn</t>
        </is>
      </c>
      <c r="C7382" t="inlineStr">
        <is>
          <t>hi all - i am 17 M and my gerd has always presented itself as just constantly refluxing food I have just eaten, with no acid burn. does this happen to any of you? a little concerned, but tums works a little bit. i’ve had this problem for about a year.
thank you so much!!</t>
        </is>
      </c>
      <c r="D7382" t="n">
        <v>1</v>
      </c>
      <c r="E7382" t="n">
        <v>2</v>
      </c>
      <c r="F7382">
        <f>HYPERLINK("https://www.reddit.com/r/GERD/comments/gn52je/reflux_without_the_acid_burn/")</f>
        <v/>
      </c>
      <c r="G7382" t="inlineStr">
        <is>
          <t>2020-05-19 22:00:53</t>
        </is>
      </c>
      <c r="H7382" t="inlineStr"/>
    </row>
    <row r="7383">
      <c r="A7383" t="inlineStr">
        <is>
          <t>gn5yux</t>
        </is>
      </c>
      <c r="B7383" t="inlineStr">
        <is>
          <t>Food stuck in chest sensation</t>
        </is>
      </c>
      <c r="C7383" t="inlineStr">
        <is>
          <t>Hi everyone,
Just wondering if the sensation of food stuck in chest ( just below breastbone and above ribcage). Is that a common GERD symptom ? That and of course regurgitation</t>
        </is>
      </c>
      <c r="D7383" t="n">
        <v>1</v>
      </c>
      <c r="E7383" t="n">
        <v>2</v>
      </c>
      <c r="F7383">
        <f>HYPERLINK("https://www.reddit.com/r/GERD/comments/gn5yux/food_stuck_in_chest_sensation/")</f>
        <v/>
      </c>
      <c r="G7383" t="inlineStr">
        <is>
          <t>2020-05-19 23:13:02</t>
        </is>
      </c>
      <c r="H7383" t="inlineStr"/>
    </row>
    <row r="7384">
      <c r="A7384" t="inlineStr">
        <is>
          <t>gn64or</t>
        </is>
      </c>
      <c r="B7384" t="inlineStr">
        <is>
          <t>Can ice cream trigger heartburn?</t>
        </is>
      </c>
      <c r="C7384" t="inlineStr">
        <is>
          <t>My heartburn from my GERD gets bad out of nowhere if i eat ice cream, is that normal and does anyone else experience that</t>
        </is>
      </c>
      <c r="D7384" t="n">
        <v>1</v>
      </c>
      <c r="E7384" t="n">
        <v>3</v>
      </c>
      <c r="F7384">
        <f>HYPERLINK("https://www.reddit.com/r/GERD/comments/gn64or/can_ice_cream_trigger_heartburn/")</f>
        <v/>
      </c>
      <c r="G7384" t="inlineStr">
        <is>
          <t>2020-05-19 23:26:39</t>
        </is>
      </c>
      <c r="H7384" t="inlineStr"/>
    </row>
    <row r="7385">
      <c r="A7385" t="inlineStr">
        <is>
          <t>gn8nbe</t>
        </is>
      </c>
      <c r="B7385" t="inlineStr">
        <is>
          <t>Lets talk about foods that triggers</t>
        </is>
      </c>
      <c r="C7385" t="inlineStr">
        <is>
          <t xml:space="preserve">
Milo?
Milk?
Banana?
Bread?</t>
        </is>
      </c>
      <c r="D7385" t="n">
        <v>1</v>
      </c>
      <c r="E7385" t="n">
        <v>8</v>
      </c>
      <c r="F7385">
        <f>HYPERLINK("https://www.reddit.com/r/GERD/comments/gn8nbe/lets_talk_about_foods_that_triggers/")</f>
        <v/>
      </c>
      <c r="G7385" t="inlineStr">
        <is>
          <t>2020-05-20 03:02:34</t>
        </is>
      </c>
      <c r="H7385" t="inlineStr"/>
    </row>
    <row r="7386">
      <c r="A7386" t="inlineStr">
        <is>
          <t>gn9tyi</t>
        </is>
      </c>
      <c r="B7386" t="inlineStr">
        <is>
          <t>Gluten as a trigger?</t>
        </is>
      </c>
      <c r="C7386" t="inlineStr">
        <is>
          <t>How likely is it to react bad to gluten, if you don't have celiac or wheat allergy? Does gluten intolerance cause reflux to you?</t>
        </is>
      </c>
      <c r="D7386" t="n">
        <v>1</v>
      </c>
      <c r="E7386" t="n">
        <v>7</v>
      </c>
      <c r="F7386">
        <f>HYPERLINK("https://www.reddit.com/r/GERD/comments/gn9tyi/gluten_as_a_trigger/")</f>
        <v/>
      </c>
      <c r="G7386" t="inlineStr">
        <is>
          <t>2020-05-20 04:42:15</t>
        </is>
      </c>
      <c r="H7386" t="inlineStr"/>
    </row>
    <row r="7387">
      <c r="A7387" t="inlineStr">
        <is>
          <t>gna1ra</t>
        </is>
      </c>
      <c r="B7387" t="inlineStr">
        <is>
          <t>Thoughts about yogurt?</t>
        </is>
      </c>
      <c r="C7387" t="inlineStr">
        <is>
          <t>Act as a trigger or not? Should be pasteurized or not?</t>
        </is>
      </c>
      <c r="D7387" t="n">
        <v>1</v>
      </c>
      <c r="E7387" t="n">
        <v>13</v>
      </c>
      <c r="F7387">
        <f>HYPERLINK("https://www.reddit.com/r/GERD/comments/gna1ra/thoughts_about_yogurt/")</f>
        <v/>
      </c>
      <c r="G7387" t="inlineStr">
        <is>
          <t>2020-05-20 04:59:14</t>
        </is>
      </c>
      <c r="H7387" t="inlineStr"/>
    </row>
    <row r="7388">
      <c r="A7388" t="inlineStr">
        <is>
          <t>gncq7o</t>
        </is>
      </c>
      <c r="B7388" t="inlineStr">
        <is>
          <t>Anyone experience center chest pressure with GERD?</t>
        </is>
      </c>
      <c r="C7388" t="inlineStr">
        <is>
          <t>I have had GERD before and experienced some of the typical symptoms.  But this time around I'm feeling center chest pressure (especially at night).  I have seen my doctor twice now and my lungs are fine so I'm thinking maybe this may be related to GERD?</t>
        </is>
      </c>
      <c r="D7388" t="n">
        <v>1</v>
      </c>
      <c r="E7388" t="n">
        <v>5</v>
      </c>
      <c r="F7388">
        <f>HYPERLINK("https://www.reddit.com/r/GERD/comments/gncq7o/anyone_experience_center_chest_pressure_with_gerd/")</f>
        <v/>
      </c>
      <c r="G7388" t="inlineStr">
        <is>
          <t>2020-05-20 07:51:24</t>
        </is>
      </c>
      <c r="H7388" t="inlineStr"/>
    </row>
    <row r="7389">
      <c r="A7389" t="inlineStr">
        <is>
          <t>gncxo5</t>
        </is>
      </c>
      <c r="B7389" t="inlineStr">
        <is>
          <t>PPI causes hypnic jerk / insomnia</t>
        </is>
      </c>
      <c r="C7389" t="inlineStr">
        <is>
          <t>Not sure if anybody else is experiencing this. But based on a Google search it appears some people have (small percentage?)
I was placed on pantoprazole last year. It was great for a few months but eventually I started getting sleep apnea and hypnic jerks. There would be nights I could not fall asleep for hours. 
I went to multiple doctors and they couldn't figure out the cause. Whether it was stress or something else. Was about to do a sleep study but this pandemic hit. 
So I decided maybe it could be the meds so I switched to omeprazole and voila!!! It worked. I slept normal for the next 2 months. 
The issue is, now it's back. And it started last night but I'm getting tremors and hypnic jerks again so I can't fall asleep. Also feel myself stop breathing when I'm just about to fall asleep. 
Just wanted to know if anybody else experienced this. Today I'm gonna cut off all meds completely. Not looking forward to the reflux kickback. Wish me luck.</t>
        </is>
      </c>
      <c r="D7389" t="n">
        <v>1</v>
      </c>
      <c r="E7389" t="n">
        <v>1</v>
      </c>
      <c r="F7389">
        <f>HYPERLINK("https://www.reddit.com/r/GERD/comments/gncxo5/ppi_causes_hypnic_jerk_insomnia/")</f>
        <v/>
      </c>
      <c r="G7389" t="inlineStr">
        <is>
          <t>2020-05-20 08:02:56</t>
        </is>
      </c>
      <c r="H7389" t="inlineStr"/>
    </row>
    <row r="7390">
      <c r="A7390" t="inlineStr">
        <is>
          <t>gncz2w</t>
        </is>
      </c>
      <c r="B7390" t="inlineStr">
        <is>
          <t>Unable to eat because of PPI? Anyone else?</t>
        </is>
      </c>
      <c r="C7390" t="inlineStr">
        <is>
          <t>I am having mixed results with ppi so far. What seems to be working for me is 20mgs of pantoprazole a day (higher dosage makes me sick). It's been two weeks, and in some aspects it's generally better. My main symptom (nausea) is less than before, I don't have it all the time now. Also, the best thing, is that I can sleep since the PPI, before that i couldn't sleep at all, because the acid was choking me.
But one thing I notice, is that I'm still unable to eat food, and it makes me nauseaus. Before the PPI, I would be nauseaus all the time. But when on rare days I had it less, I was able to eat quiet a lot compared to what I can normally. But since I'm taking PPI, It's even harded to eat, because even when I don't feel nauseated, Ican't eat, I don't feel hungry, but rather full, and I'm only able to eat REALLY small portions. Or else i get really nauseaus, and full. I mean, I can't even eat one average size plate of any kind of food.  Did anyone eslse experience this?</t>
        </is>
      </c>
      <c r="D7390" t="n">
        <v>1</v>
      </c>
      <c r="E7390" t="n">
        <v>4</v>
      </c>
      <c r="F7390">
        <f>HYPERLINK("https://www.reddit.com/r/GERD/comments/gncz2w/unable_to_eat_because_of_ppi_anyone_else/")</f>
        <v/>
      </c>
      <c r="G7390" t="inlineStr">
        <is>
          <t>2020-05-20 08:04:57</t>
        </is>
      </c>
      <c r="H7390" t="inlineStr"/>
    </row>
    <row r="7391">
      <c r="A7391" t="inlineStr">
        <is>
          <t>gnczy8</t>
        </is>
      </c>
      <c r="B7391" t="inlineStr">
        <is>
          <t>Throat problems for 6 months.</t>
        </is>
      </c>
      <c r="C7391" t="inlineStr">
        <is>
          <t>Throat problems started in December.  Just sore throat thing going on.  But then I used honey in coffee/tea and it would seem to do better but it never went away.  I have seen gastro dr and he put me on ppi for 5 weeks with no result.  20mg twice daily.  so I got endoscopy today and dr says tonsils look OK and he would see tonsil stones if they were present and that throat looks OK but definitely some acid reflux going on and slightly red.
I have limited alcohol quite a lot and the pain/discomfort is only felt near my nasal/tonsil area.  One coffee a day.  My diet does revolve around foods that may be fatty/greasy/acidic.
rice and gravy type of meals are greasy but they're otherwise healthy.  spaghetti, chinese...
looking into adjusting my bed but I have adopted sleeping on my back after a bad car accident.  but it looks like sleeping on my back is bad for reflux.
I don't actually ever feel any reflux, maybe sometimes after eating I feel food come up but nothing serious.  
Possible it is psychological?  Ideas?</t>
        </is>
      </c>
      <c r="D7391" t="n">
        <v>1</v>
      </c>
      <c r="E7391" t="n">
        <v>27</v>
      </c>
      <c r="F7391">
        <f>HYPERLINK("https://www.reddit.com/r/GERD/comments/gnczy8/throat_problems_for_6_months/")</f>
        <v/>
      </c>
      <c r="G7391" t="inlineStr">
        <is>
          <t>2020-05-20 08:06:16</t>
        </is>
      </c>
      <c r="H7391" t="inlineStr"/>
    </row>
    <row r="7392">
      <c r="A7392" t="inlineStr">
        <is>
          <t>gnd9jv</t>
        </is>
      </c>
      <c r="B7392" t="inlineStr">
        <is>
          <t>Is GERD reversible for someone who just got it early thirties?</t>
        </is>
      </c>
      <c r="C7392" t="inlineStr">
        <is>
          <t>Welcome to me. Start having semi-regular heartburn 3 or so years ago. Freak out because new, go check my heart out with multiple doctors. All good. Forget about it. Take tums and Zantac once in a while, doesn't help. Live like this for 3 years. Diet is ok, but drink alcohol 2-3 times a week, don't smoke. Heartburn gets particularly bad one week, go to the doctor, they do H.Pylori test. Positive. Treat it with 2 antibiotics and PPI. Before treatment heartburn = 2 or 3 times a week, manageable. Heartburn after treatment = every day. Started 2 week course of Nexium OTC (esomeprazole 20 mg) . Only slight difference. Jumped on low carb diet as well jsut for added effect. 
That's it? Am I done now? Is this stuff completely noncurable and chronic? Will I have to live the rest of my life on PPIs until I get some nasty complication from them and kick the bucket?</t>
        </is>
      </c>
      <c r="D7392" t="n">
        <v>1</v>
      </c>
      <c r="E7392" t="n">
        <v>94</v>
      </c>
      <c r="F7392">
        <f>HYPERLINK("https://www.reddit.com/r/GERD/comments/gnd9jv/is_gerd_reversible_for_someone_who_just_got_it/")</f>
        <v/>
      </c>
      <c r="G7392" t="inlineStr">
        <is>
          <t>2020-05-20 08:20:56</t>
        </is>
      </c>
      <c r="H7392" t="inlineStr"/>
    </row>
    <row r="7393">
      <c r="A7393" t="inlineStr">
        <is>
          <t>gne4hb</t>
        </is>
      </c>
      <c r="B7393" t="inlineStr">
        <is>
          <t>Could a past eating disorder cause GERD?</t>
        </is>
      </c>
      <c r="C7393" t="inlineStr">
        <is>
          <t>Hey guys I wanted to know if anyone else was in my boat. Last year I had a bad relapse with Anorexia and went from 160 - 120lbs (I’m 5’9f) in the span of around two months. It was all restricting. At the time I called it “dieting” but everyone around me knew I had past issues with food. It took intill Christmas of this year to recover and that’s when I started getting symptoms. I only found out just recently I have GERD and some scaring on my tubes. 
Is anyone else here in recovery from an ED? What are your thoughts on restricting for your acid reflux? Has it lead to bad ED like restrictions? any advice or words of wisdom would be great!</t>
        </is>
      </c>
      <c r="D7393" t="n">
        <v>1</v>
      </c>
      <c r="E7393" t="n">
        <v>14</v>
      </c>
      <c r="F7393">
        <f>HYPERLINK("https://www.reddit.com/r/GERD/comments/gne4hb/could_a_past_eating_disorder_cause_gerd/")</f>
        <v/>
      </c>
      <c r="G7393" t="inlineStr">
        <is>
          <t>2020-05-20 09:06:26</t>
        </is>
      </c>
      <c r="H7393" t="inlineStr"/>
    </row>
    <row r="7394">
      <c r="A7394" t="inlineStr">
        <is>
          <t>gne61m</t>
        </is>
      </c>
      <c r="B7394" t="inlineStr">
        <is>
          <t>Food stuck in chest sensation</t>
        </is>
      </c>
      <c r="C7394" t="inlineStr">
        <is>
          <t>How many of you have this feeling ? Is it typical of GERD ? It makes it really hard to sleep. I find it most prominent when I'm trying to swallow...
I'm so sick of this condition !! I just want to eat fatty foods and enjoy life during this challenging COVID 19 season</t>
        </is>
      </c>
      <c r="D7394" t="n">
        <v>1</v>
      </c>
      <c r="E7394" t="n">
        <v>1</v>
      </c>
      <c r="F7394">
        <f>HYPERLINK("https://www.reddit.com/r/GERD/comments/gne61m/food_stuck_in_chest_sensation/")</f>
        <v/>
      </c>
      <c r="G7394" t="inlineStr">
        <is>
          <t>2020-05-20 09:08:40</t>
        </is>
      </c>
      <c r="H7394" t="inlineStr"/>
    </row>
    <row r="7395">
      <c r="A7395" t="inlineStr">
        <is>
          <t>gneg2p</t>
        </is>
      </c>
      <c r="B7395" t="inlineStr">
        <is>
          <t>First time feeling like this,will it end?</t>
        </is>
      </c>
      <c r="C7395" t="inlineStr">
        <is>
          <t>Ive had GERD for couple of years but never took medicine and it went away then came back randomly
But now its been stuck with me for 2 weeks or more and i hate it i feel a burning sensation and omeprazole only gives me temporary relief</t>
        </is>
      </c>
      <c r="D7395" t="n">
        <v>1</v>
      </c>
      <c r="E7395" t="n">
        <v>0</v>
      </c>
      <c r="F7395">
        <f>HYPERLINK("https://www.reddit.com/r/GERD/comments/gneg2p/first_time_feeling_like_thiswill_it_end/")</f>
        <v/>
      </c>
      <c r="G7395" t="inlineStr">
        <is>
          <t>2020-05-20 09:23:02</t>
        </is>
      </c>
      <c r="H7395" t="inlineStr"/>
    </row>
    <row r="7396">
      <c r="A7396" t="inlineStr">
        <is>
          <t>gnejgt</t>
        </is>
      </c>
      <c r="B7396" t="inlineStr">
        <is>
          <t>Constipation and GERD?</t>
        </is>
      </c>
      <c r="C7396" t="inlineStr">
        <is>
          <t>Ok so for starters I’m a 5’3” 130lbs female. I have been diagnosed with GERD, anemia (iron deficiency), and a few other deficiencies. Im not currently taking any meds. I have struggled since about 5 years old with chronic constipation. I take miralax at least a few days every week. 
It’s gotten bad that I’ve had months of diarrhea (doctors say caused by the constipation) at a time. They did bloodwork. No IBD, Celiac, or parasites. There’s a possibility it’s IBS. Gastroenterologist dismissed me and just said to do a clean out (I can’t now because of an anal fissure). 
Not looking for a diagnosis but wondering if any of you have experienced constipation with GERD? Could that be what’s causing it? I just want to know if it’s even worthwhile bringing up at my next appointment.</t>
        </is>
      </c>
      <c r="D7396" t="n">
        <v>1</v>
      </c>
      <c r="E7396" t="n">
        <v>5</v>
      </c>
      <c r="F7396">
        <f>HYPERLINK("https://www.reddit.com/r/GERD/comments/gnejgt/constipation_and_gerd/")</f>
        <v/>
      </c>
      <c r="G7396" t="inlineStr">
        <is>
          <t>2020-05-20 09:27:58</t>
        </is>
      </c>
      <c r="H7396" t="inlineStr"/>
    </row>
    <row r="7397">
      <c r="A7397" t="inlineStr">
        <is>
          <t>gng2n9</t>
        </is>
      </c>
      <c r="B7397" t="inlineStr">
        <is>
          <t>do ppis affect/interact with multivitamins?</t>
        </is>
      </c>
      <c r="C7397" t="inlineStr">
        <is>
          <t>so recently I started taking multivitamins because i lost a lot of weight due indigestion and because i'm not eating as healthy as i were, a friend of mine suggested multivitamins I'm currently on PPI(lansoprazole)  does anyone has an experience with taking multivitamins while on PPI</t>
        </is>
      </c>
      <c r="D7397" t="n">
        <v>1</v>
      </c>
      <c r="E7397" t="n">
        <v>13</v>
      </c>
      <c r="F7397">
        <f>HYPERLINK("https://www.reddit.com/r/GERD/comments/gng2n9/do_ppis_affectinteract_with_multivitamins/")</f>
        <v/>
      </c>
      <c r="G7397" t="inlineStr">
        <is>
          <t>2020-05-20 10:47:41</t>
        </is>
      </c>
      <c r="H7397" t="inlineStr"/>
    </row>
    <row r="7398">
      <c r="A7398" t="inlineStr">
        <is>
          <t>gnhs7e</t>
        </is>
      </c>
      <c r="B7398" t="inlineStr">
        <is>
          <t>Does this sound like GERD?</t>
        </is>
      </c>
      <c r="C7398" t="inlineStr">
        <is>
          <t>I'm wondering this because of the phrase "it's more likely your condition is an uncommon presentation of a common illness than a common presentation of an uncommon one."
Female, age 23, 5'6" 105 lbs. Non smoker, occasional drinker, taking junel fe 1/20 BC and pristiq 25 mg. I have an anxiety disorder and right horner's syndrome (idiopathic, have had for 3+ years) but no major medical issues. 
Starting the 8th after a night of drinking I developed cankersores on my tongue. The next day I developed extreme searing/aching/burning pain in my throat at the base right above the collar bone on the left side. It burns when I inhale and exhale (if I hold my breath it isn't as severe but it still burns) and is worse when I lie down. I've been taking tylenol, ibuprofen, pepcid, tums, i quit caffeine, etc and nothing is helping. Through telehealth on the 15th my PCP thought that maybe it was a cankersore deep in my throat and prescribed "magic mouthwash" which is viscous lidocaine and maalox mixed. It helps my mouth sores but does nothing for the searing pain when I breathe. This makes me wonder if the issue is in my trachea or lungs. I can't take it anymore. But I used a pulse ox and my saturation is 99 percent. I also don't have a fever or other symptoms. Just the extreme pain. SWALLOWING DOES NOT HURT. And my mouth sores have pretty much cleared up but this has not. I've been coughing more if I walk/exert myself and if I press on the area I cough spastically. My neck is kinda sore there too if I press. Oh also, it is a bit better if I breathe through my mouth instead of nose. The only time I sorta have relief is when I eat for some reason? I don't understand how to figure out if the pain is from my trachea or esophagus :(
It has been almost two weeks and today is just the worst. My pain is excruciating and NOTHING helps. I messaged my PCP and she referred me to an ENT who can "look in there" to see what it is but their number keeps going to voicemail and the message machine says the office might be closed due to covid. I also don't want to rush to the ER because of Covid and because I've had this for two weeks and haven't died? But it is getting worse. I can barely focus on my work and daily tasks. I don't know what to do and I am desperate, the pain is so awful. It feels like freezing cold/burning air is hitting my lower throat/top of my lungs on the left side at all times. 
What could this be? Should I seek immediate medical attention? Thank you for any and all responses. (I also think I have a low pain tolerance but this truly is excruciating. It isn't stabbing pain but aching/burning)</t>
        </is>
      </c>
      <c r="D7398" t="n">
        <v>1</v>
      </c>
      <c r="E7398" t="n">
        <v>5</v>
      </c>
      <c r="F7398">
        <f>HYPERLINK("https://www.reddit.com/r/GERD/comments/gnhs7e/does_this_sound_like_gerd/")</f>
        <v/>
      </c>
      <c r="G7398" t="inlineStr">
        <is>
          <t>2020-05-20 12:14:11</t>
        </is>
      </c>
      <c r="H7398" t="inlineStr"/>
    </row>
    <row r="7399">
      <c r="A7399" t="inlineStr">
        <is>
          <t>gni1hw</t>
        </is>
      </c>
      <c r="B7399" t="inlineStr">
        <is>
          <t>Dr eric berg on YouTube</t>
        </is>
      </c>
      <c r="C7399" t="inlineStr">
        <is>
          <t>Hii
Has anyone over here seen Dr eric berg's videos on YouTube about gerd 
He suggests various things and he is against these medications</t>
        </is>
      </c>
      <c r="D7399" t="n">
        <v>1</v>
      </c>
      <c r="E7399" t="n">
        <v>0</v>
      </c>
      <c r="F7399">
        <f>HYPERLINK("https://www.reddit.com/r/GERD/comments/gni1hw/dr_eric_berg_on_youtube/")</f>
        <v/>
      </c>
      <c r="G7399" t="inlineStr">
        <is>
          <t>2020-05-20 12:27:40</t>
        </is>
      </c>
      <c r="H7399" t="inlineStr"/>
    </row>
    <row r="7400">
      <c r="A7400" t="inlineStr">
        <is>
          <t>gnifbv</t>
        </is>
      </c>
      <c r="B7400" t="inlineStr">
        <is>
          <t>GERD and intermittent flutter in my upper stomach. Surgery necessary?</t>
        </is>
      </c>
      <c r="C7400" t="inlineStr">
        <is>
          <t>32m, have had GERD and reflux over the past 2 years with waxing and waning.  I saw my GP 2 years ago and he gave me a prescription for omeparazole.  It initially helped but when the prescription ended, symptoms returned.  I have been going on this loop of self medicating with PPI's and tums through the  ups and downs. The fluttering in my upper stomach or diaphragm is relatively new and disconcerting.  This only occurs if I am dealing with reflux that day. 
  I haven't had coffee or caffeine in 2 years, I stopped smoking for 2 years, I haven't eaten citrus, don't eat fatty foods often, and generally eat healthily.  
The strangest part of my stomach saga was going to Cuba for a week.  I ate seemingly whatever I wanted, drank beer, rum, spicy food, questionable meat. upon returning my stomach was better for months. My initial thought was lack of stress (no work or phone) or some bacteria in the food I was eating giving some relief akin to probiotics. 
The honeymoon of the cuban relief is long in the rearview and now am trying to sort out how serious this is.  I don't particularly want to pay out of pocket for an endoscopy, but think that may be my only choice.  What do you guys think?</t>
        </is>
      </c>
      <c r="D7400" t="n">
        <v>1</v>
      </c>
      <c r="E7400" t="n">
        <v>2</v>
      </c>
      <c r="F7400">
        <f>HYPERLINK("https://www.reddit.com/r/GERD/comments/gnifbv/gerd_and_intermittent_flutter_in_my_upper_stomach/")</f>
        <v/>
      </c>
      <c r="G7400" t="inlineStr">
        <is>
          <t>2020-05-20 12:47:26</t>
        </is>
      </c>
      <c r="H7400" t="inlineStr"/>
    </row>
    <row r="7401">
      <c r="A7401" t="inlineStr">
        <is>
          <t>gnigpj</t>
        </is>
      </c>
      <c r="B7401" t="inlineStr">
        <is>
          <t>Surgery Stories</t>
        </is>
      </c>
      <c r="C7401" t="inlineStr">
        <is>
          <t>Please please please, if you've had surgery for your GERD/LPR whether it was successful or not, please share your story with the rest of us who are considering getting surgery.
There are a lot of people on this subreddit who are suffering 24/7 from this disease and are not getting proper treatment from their doctors. Any information would be greatly appreciated.
Make sure to include:
\- Type of surgery (Nissen, LINX etc),  when you had it, and where you had it
\- List of symptoms, diagnoses, how long you were ill before you got the surgery
\- How was your recovery and how are your symptoms now</t>
        </is>
      </c>
      <c r="D7401" t="n">
        <v>1</v>
      </c>
      <c r="E7401" t="n">
        <v>36</v>
      </c>
      <c r="F7401">
        <f>HYPERLINK("https://www.reddit.com/r/GERD/comments/gnigpj/surgery_stories/")</f>
        <v/>
      </c>
      <c r="G7401" t="inlineStr">
        <is>
          <t>2020-05-20 12:49:22</t>
        </is>
      </c>
      <c r="H7401" t="inlineStr"/>
    </row>
    <row r="7402">
      <c r="A7402" t="inlineStr">
        <is>
          <t>gnjlmi</t>
        </is>
      </c>
      <c r="B7402" t="inlineStr">
        <is>
          <t>Has anyone had any luck getting treatment on the NHS?</t>
        </is>
      </c>
      <c r="C7402" t="inlineStr">
        <is>
          <t>My symptoms (nasal congestion, chest and stomach pain - heart attack like pain, acid reflux, vomiting, regurgitation, vomiting air, gas, cobblestone throat, breathlessness (the worst symptom for me) etc) started roughly in Feb after weightlifting after eating a big Pizza Hut meal. I’ve seen six GPs and had two A&amp;amp;E visits since. The doctor at A&amp;amp;E suggested GORD or a hiatal hernia. 
I haven’t been able to see a GI due to COVID, but I get the sense the GPs really don’t care. One GP said it must be anxiety if I can sleep okay... I was told I was referred for a barium swallow X-ray and endoscopy but they said it’ll be a few months before I can see anybody for it. I recently asked again how long I’d have to wait, and apparently the referral didn’t go through.
Gaviscon Advance stopped the actual vomiting but I’m still suffering a lot. I changed my diet, too. I’m also 25F and underweight. I’ve been offered two types of PPIs but I’m too scared to take them after reading horror stories on here. It’s so frustrating. Has anyone here been treated successfully on the NHS? Is it just the COVID situation or is it the NHS? Thank you.</t>
        </is>
      </c>
      <c r="D7402" t="n">
        <v>1</v>
      </c>
      <c r="E7402" t="n">
        <v>4</v>
      </c>
      <c r="F7402">
        <f>HYPERLINK("https://www.reddit.com/r/GERD/comments/gnjlmi/has_anyone_had_any_luck_getting_treatment_on_the/")</f>
        <v/>
      </c>
      <c r="G7402" t="inlineStr">
        <is>
          <t>2020-05-20 13:49:39</t>
        </is>
      </c>
      <c r="H7402" t="inlineStr"/>
    </row>
    <row r="7403">
      <c r="A7403" t="inlineStr">
        <is>
          <t>gnjz23</t>
        </is>
      </c>
      <c r="B7403" t="inlineStr">
        <is>
          <t>Want to go back to ppi but fear of kidney disease</t>
        </is>
      </c>
      <c r="C7403" t="inlineStr">
        <is>
          <t>Hello, I tried to stop PPI but its difficult, gaviscon produce relief but only at double dose...  
I want to go back to ppi but im scared of long term problem like kidney disease
What do you advise me</t>
        </is>
      </c>
      <c r="D7403" t="n">
        <v>1</v>
      </c>
      <c r="E7403" t="n">
        <v>1</v>
      </c>
      <c r="F7403">
        <f>HYPERLINK("https://www.reddit.com/r/GERD/comments/gnjz23/want_to_go_back_to_ppi_but_fear_of_kidney_disease/")</f>
        <v/>
      </c>
      <c r="G7403" t="inlineStr">
        <is>
          <t>2020-05-20 14:09:43</t>
        </is>
      </c>
      <c r="H7403" t="inlineStr"/>
    </row>
    <row r="7404">
      <c r="A7404" t="inlineStr">
        <is>
          <t>gnjzv9</t>
        </is>
      </c>
      <c r="B7404" t="inlineStr">
        <is>
          <t>Thoughts on Omeprazole?</t>
        </is>
      </c>
      <c r="C7404" t="inlineStr">
        <is>
          <t>Thoughts? Experiences?</t>
        </is>
      </c>
      <c r="D7404" t="n">
        <v>1</v>
      </c>
      <c r="E7404" t="n">
        <v>5</v>
      </c>
      <c r="F7404">
        <f>HYPERLINK("https://www.reddit.com/r/GERD/comments/gnjzv9/thoughts_on_omeprazole/")</f>
        <v/>
      </c>
      <c r="G7404" t="inlineStr">
        <is>
          <t>2020-05-20 14:19:04</t>
        </is>
      </c>
      <c r="H7404" t="inlineStr"/>
    </row>
    <row r="7405">
      <c r="A7405" t="inlineStr">
        <is>
          <t>gnkgcn</t>
        </is>
      </c>
      <c r="B7405" t="inlineStr">
        <is>
          <t>Hey all back story and a few questions.</t>
        </is>
      </c>
      <c r="C7405" t="inlineStr">
        <is>
          <t>Hey all. So I lost 200 pounds on on one meal a day of a heavy red meat high fat low carb diet. Went off for 8 weeks, stressed about the pandemic, personal issues, and my uncle dying,  and developed one super swollen tonsil, gained back 20 pounds ( see pic, it could be a lot worse), and had a horriblev hroat issue that I finally figured out was LPR after being prescribed PPIs and googling it before my ENT sent me paperwork saying I have LPR. 
I'm currently on day 45 of symptoms 24/7. 
My GP referred me to an ENT. First appointment in July. Found one myself, had refferal sent and got a virtual visit the next day. I was convinced I had cancer, he said to take PPIs and in 2 weeks go in for a swallow study and to discuss tonsil Surgery, though its incredibly painful, it may be required now.
So im changing stuff up. No longer going to eat a super low carb, moderate fat moderate protein diet.
Started taking ppis, graviscon advanced, and ordered alkaline water and D-limonine. I'm also completely overhauling my diet to peas, asparagus and lettuce for veggies. lettuce, potatoes, bananas, Mellon, jasmine rice, for carbs, poultry, eggs, and seafood for protein, and coconut oil, almond oil, avocado, and almond butter for fat.
I normally drink diet soda all day, also switched to only water.
Questions: 
Anything the matter with my plan. I'm very much suffering but planning 6 months to feel better, is that about right?
Is gluten free soy sauce ok?
Since lean beef is ok, is Filet Mignon if completely trimmed?
Is ghee ok? I'll avoid dairy, but wonder if ghee is ok since all milk fat is removed.
Anyone repair LPR with ketosis? Should I just go back to that if this doesn't work?
Thanks all</t>
        </is>
      </c>
      <c r="D7405" t="n">
        <v>1</v>
      </c>
      <c r="E7405" t="n">
        <v>5</v>
      </c>
      <c r="F7405">
        <f>HYPERLINK("https://www.reddit.com/r/GERD/comments/gnkgcn/hey_all_back_story_and_a_few_questions/")</f>
        <v/>
      </c>
      <c r="G7405" t="inlineStr">
        <is>
          <t>2020-05-20 15:11:57</t>
        </is>
      </c>
      <c r="H7405" t="inlineStr"/>
    </row>
    <row r="7406">
      <c r="A7406" t="inlineStr">
        <is>
          <t>gnkxxo</t>
        </is>
      </c>
      <c r="B7406" t="inlineStr">
        <is>
          <t>Thoughts on Omeprazole?</t>
        </is>
      </c>
      <c r="C7406" t="inlineStr">
        <is>
          <t>Have you taken it? Thoughts? Experiences?</t>
        </is>
      </c>
      <c r="D7406" t="n">
        <v>1</v>
      </c>
      <c r="E7406" t="n">
        <v>15</v>
      </c>
      <c r="F7406">
        <f>HYPERLINK("https://www.reddit.com/r/GERD/comments/gnkxxo/thoughts_on_omeprazole/")</f>
        <v/>
      </c>
      <c r="G7406" t="inlineStr">
        <is>
          <t>2020-05-20 15:49:01</t>
        </is>
      </c>
      <c r="H7406" t="inlineStr"/>
    </row>
    <row r="7407">
      <c r="A7407" t="inlineStr">
        <is>
          <t>gnm8l9</t>
        </is>
      </c>
      <c r="B7407" t="inlineStr">
        <is>
          <t>Pinkish spit</t>
        </is>
      </c>
      <c r="C7407" t="inlineStr">
        <is>
          <t>Hello,
&amp;amp;#x200B;
Been battling GERD for roughly 7 weeks now. Been on Tecta(pantoprazole) for 4.5 weeks.
The symptoms started with constant burping, some chest pain and shortness of breath.
Recently, they have been shortness of breath, and some pain in my stomach. The burping is occasional, but it is much much less than what it previously was.
I've noticed that when i spit, it's tinted pink. I noticed this probably a month ago, and went to the ER for it and was given a CBC blood test, and a Chest X-Ray. These both found absolutely nothing wrong so i was told it was probably from the acid and was sent home.
So, the pinkish spit seemed to go away, however it is now back again. 
&amp;amp;#x200B;
Does anyone here ever notice this, or have had it before? Should i go get checked out again, or does the diagnosis i was given before sound correct?
&amp;amp;#x200B;
Thanks so much</t>
        </is>
      </c>
      <c r="D7407" t="n">
        <v>1</v>
      </c>
      <c r="E7407" t="n">
        <v>1</v>
      </c>
      <c r="F7407">
        <f>HYPERLINK("https://www.reddit.com/r/GERD/comments/gnm8l9/pinkish_spit/")</f>
        <v/>
      </c>
      <c r="G7407" t="inlineStr">
        <is>
          <t>2020-05-20 17:06:46</t>
        </is>
      </c>
      <c r="H7407" t="inlineStr"/>
    </row>
    <row r="7408">
      <c r="A7408" t="inlineStr">
        <is>
          <t>gnml2z</t>
        </is>
      </c>
      <c r="B7408" t="inlineStr">
        <is>
          <t>Is it possible to get reflux from air in the household?</t>
        </is>
      </c>
      <c r="C7408" t="inlineStr">
        <is>
          <t>I’m not sure what is it, whether allergies or anything but I sometimes get reflux in certain households. I start to feel a lump come up to my throat and I keep having to swallow. What could it be? Is it the quality of the air? Filtration system? My stomach starts to gurgle and I start to regurgitate and it’s a pattern only in certain homes like my friend’s basement for example.</t>
        </is>
      </c>
      <c r="D7408" t="n">
        <v>1</v>
      </c>
      <c r="E7408" t="n">
        <v>8</v>
      </c>
      <c r="F7408">
        <f>HYPERLINK("https://www.reddit.com/r/GERD/comments/gnml2z/is_it_possible_to_get_reflux_from_air_in_the/")</f>
        <v/>
      </c>
      <c r="G7408" t="inlineStr">
        <is>
          <t>2020-05-20 17:27:56</t>
        </is>
      </c>
      <c r="H7408" t="inlineStr"/>
    </row>
    <row r="7409">
      <c r="A7409" t="inlineStr">
        <is>
          <t>gnnfyv</t>
        </is>
      </c>
      <c r="B7409" t="inlineStr">
        <is>
          <t>Pantoprazole At Night?</t>
        </is>
      </c>
      <c r="C7409" t="inlineStr">
        <is>
          <t>My Gastroenterologist is switching me from Nexium to Pantoprazole and she told me to take it at bedtime when I'm used to taking PPIs in the morning. Has anyone had any experience with this? It seems unusual.</t>
        </is>
      </c>
      <c r="D7409" t="n">
        <v>1</v>
      </c>
      <c r="E7409" t="n">
        <v>3</v>
      </c>
      <c r="F7409">
        <f>HYPERLINK("https://www.reddit.com/r/GERD/comments/gnnfyv/pantoprazole_at_night/")</f>
        <v/>
      </c>
      <c r="G7409" t="inlineStr">
        <is>
          <t>2020-05-20 18:21:29</t>
        </is>
      </c>
      <c r="H7409" t="inlineStr"/>
    </row>
    <row r="7410">
      <c r="A7410" t="inlineStr">
        <is>
          <t>gno6vk</t>
        </is>
      </c>
      <c r="B7410" t="inlineStr">
        <is>
          <t>Back</t>
        </is>
      </c>
      <c r="C7410" t="inlineStr">
        <is>
          <t>Lower back pain after eating? Always lying down after eating hElp</t>
        </is>
      </c>
      <c r="D7410" t="n">
        <v>1</v>
      </c>
      <c r="E7410" t="n">
        <v>2</v>
      </c>
      <c r="F7410">
        <f>HYPERLINK("https://www.reddit.com/r/GERD/comments/gno6vk/back/")</f>
        <v/>
      </c>
      <c r="G7410" t="inlineStr">
        <is>
          <t>2020-05-20 19:08:37</t>
        </is>
      </c>
      <c r="H7410" t="inlineStr"/>
    </row>
    <row r="7411">
      <c r="A7411" t="inlineStr">
        <is>
          <t>gno75l</t>
        </is>
      </c>
      <c r="B7411" t="inlineStr">
        <is>
          <t>How common are symptoms like breathlessness?</t>
        </is>
      </c>
      <c r="C7411" t="inlineStr">
        <is>
          <t>Hey all,  
I've had heartburn on and off for the past 10 years or so now. About two years ago I went to the ER because I was having trouble breathing. ER doc pretty much said I was fine and that it was most likely acid reflux issues causing excess mucus production in my airways. Prescribed me an albuterol inhaler which I used maybe three times. I cut some garbage out of my diet and moved on, taking Zantac as neccessary.  
Fast forward to the beginning of last month. Chest felt super heavy, couldn't get a full breath in so I went to the ER again. Long story short, my environmental allergies are super bad this year. I had so much post nasal drip it would just pool up in my throat and inflame everything. Now I have the allergies under control (we think.)  
Yet, I still have an on again off again feeling of shortness of breath/lungs cant expand all the way. My PCP sends me to a gastroenterologist who does an endoscopy on me. Normal esophagus and intestines, biopsies all come back negative. However, I do have a hiatal hernia, but the doctor says it's not big enough to warrant surgery. He just tells me to take Pepcid up to 2x a day if I feel the need, since I can't take Zantac anymore.  
Has anyone else had this recurring shortness of breath from acid reflux/GERD? Or is the doctor underestimating the hernia? The acid reflux is really the only thing left that might explain everything.</t>
        </is>
      </c>
      <c r="D7411" t="n">
        <v>1</v>
      </c>
      <c r="E7411" t="n">
        <v>8</v>
      </c>
      <c r="F7411">
        <f>HYPERLINK("https://www.reddit.com/r/GERD/comments/gno75l/how_common_are_symptoms_like_breathlessness/")</f>
        <v/>
      </c>
      <c r="G7411" t="inlineStr">
        <is>
          <t>2020-05-20 19:09:12</t>
        </is>
      </c>
      <c r="H7411" t="inlineStr"/>
    </row>
    <row r="7412">
      <c r="A7412" t="inlineStr">
        <is>
          <t>gnofox</t>
        </is>
      </c>
      <c r="B7412" t="inlineStr">
        <is>
          <t>Has Anyone Experienced Similar Symptoms with GERD/LPR?</t>
        </is>
      </c>
      <c r="C7412" t="inlineStr">
        <is>
          <t>Hi all,
About 2 weeks ago I went running and pushed myself quite hard. I had some coughing/itchy lungs after the run and didn't think too much of it.
Couple days later my throat area has been feeling quite tight when I swallow and I've had this odd nauseous feeling in my chest area that comes and goes as well as this 'itchy' feeling in my chest. 
A couple of years ago I had a similar thing happen where it felt a lot worse and I had an endoscopy which showed nothing substantial. The major symptoms just kind of cleared up after a month or so.
I'll list of a few symptoms that I have in general (prior to this recent event):
\- Sinus congestion
\- 'Tiredness' in throat area when doing a lot of speaking
\- Hoarse voice particularly when fasting or eating low-carb
\- Sometimes ticklish throat when going to sleep (post nasal drip?)
\- These weird heart palpitations that almost feel like a forced exhale.. somewhat hard to explain.
If anyone has had something similar and treated it, it would be interesting to discuss. Thanks.</t>
        </is>
      </c>
      <c r="D7412" t="n">
        <v>1</v>
      </c>
      <c r="E7412" t="n">
        <v>2</v>
      </c>
      <c r="F7412">
        <f>HYPERLINK("https://www.reddit.com/r/GERD/comments/gnofox/has_anyone_experienced_similar_symptoms_with/")</f>
        <v/>
      </c>
      <c r="G7412" t="inlineStr">
        <is>
          <t>2020-05-20 19:24:36</t>
        </is>
      </c>
      <c r="H7412" t="inlineStr"/>
    </row>
    <row r="7413">
      <c r="A7413" t="inlineStr">
        <is>
          <t>gnoj59</t>
        </is>
      </c>
      <c r="B7413" t="inlineStr">
        <is>
          <t>Hard to Sleep After O</t>
        </is>
      </c>
      <c r="C7413" t="inlineStr">
        <is>
          <t>Are any of you having problems falling asleep at night after O the following day? I notice my stomach growling and I can feel sing stomach and it’s hard to fall asleep as I kept jolting out of my sleep. Anyway to eliminate this?</t>
        </is>
      </c>
      <c r="D7413" t="n">
        <v>1</v>
      </c>
      <c r="E7413" t="n">
        <v>0</v>
      </c>
      <c r="F7413">
        <f>HYPERLINK("https://www.reddit.com/r/GERD/comments/gnoj59/hard_to_sleep_after_o/")</f>
        <v/>
      </c>
      <c r="G7413" t="inlineStr">
        <is>
          <t>2020-05-20 19:31:11</t>
        </is>
      </c>
      <c r="H7413" t="inlineStr"/>
    </row>
    <row r="7414">
      <c r="A7414" t="inlineStr">
        <is>
          <t>gnpcdt</t>
        </is>
      </c>
      <c r="B7414" t="inlineStr">
        <is>
          <t>I taked ppis without having gerd missdiagnosed by a doctor and now I have Gerd,could it possible go away?</t>
        </is>
      </c>
      <c r="C7414" t="inlineStr">
        <is>
          <t>It started with a sore throat and post nasal drip , my doctor prescribed me double dose of 80 mg thinking it was gerd  of nexium for 2 months, this fucked me up, im 1 and a half months without it and still experienced rebound, I quitted cold turkey since I discoveres it was severe allergies that was causing my throat and sinus symptoms now I'm dealing with this shit , my endocospy became normal no hernia , normal esophagus even my doctor told me.the world "beatiful" but the thing is I had
*extreme indigestion and belching - its gone now
* regurgitation -its kind of gone now too
* the only thing is when I lay down I feel very sibtle burning in my upper esophagus, it baffles me that I never had issues before this episode and I trusted my doctor, it was allergies since the beggining and now I'm experincing this symptoms after a heavy dose ehic I wasn't aware if was that heavy.</t>
        </is>
      </c>
      <c r="D7414" t="n">
        <v>1</v>
      </c>
      <c r="E7414" t="n">
        <v>10</v>
      </c>
      <c r="F7414">
        <f>HYPERLINK("https://www.reddit.com/r/GERD/comments/gnpcdt/i_taked_ppis_without_having_gerd_missdiagnosed_by/")</f>
        <v/>
      </c>
      <c r="G7414" t="inlineStr">
        <is>
          <t>2020-05-20 20:26:26</t>
        </is>
      </c>
      <c r="H7414" t="inlineStr"/>
    </row>
    <row r="7415">
      <c r="A7415" t="inlineStr">
        <is>
          <t>gnpnxd</t>
        </is>
      </c>
      <c r="B7415" t="inlineStr">
        <is>
          <t>Anxiety &amp;amp; Gerd causing eating problems?</t>
        </is>
      </c>
      <c r="C7415" t="inlineStr">
        <is>
          <t>I’m a young female diagnosed with Gerd three months ago. I’m very anxious, when I say very I mean VERY. my mind is constantly running, overthinking, overcompensating, etc. I was 155lbs and 5’1 two months ago, today I am 109lbs and 5’1. 
This Gerd mixed with the anxiety will be the death of me. I’ve become someone who just can’t eat anymore because I’m scared. 
On the daily I feel hungry but it hurts to eat sometimes, I’d rather not feel that pain. I need help. Nobody will take me seriously, I’m so stuck. (The pandemic isn’t helping much either)
I would very, VERY much appreciate if someone can give me serving sizes/ foods you’ve noticed a lot of people with gerd can eat.
Please help me become myself again, I miss me..</t>
        </is>
      </c>
      <c r="D7415" t="n">
        <v>1</v>
      </c>
      <c r="E7415" t="n">
        <v>14</v>
      </c>
      <c r="F7415">
        <f>HYPERLINK("https://www.reddit.com/r/GERD/comments/gnpnxd/anxiety_gerd_causing_eating_problems/")</f>
        <v/>
      </c>
      <c r="G7415" t="inlineStr">
        <is>
          <t>2020-05-20 20:48:19</t>
        </is>
      </c>
      <c r="H7415" t="inlineStr"/>
    </row>
    <row r="7416">
      <c r="A7416" t="inlineStr">
        <is>
          <t>gnqcc1</t>
        </is>
      </c>
      <c r="B7416" t="inlineStr">
        <is>
          <t>Best replacement for ranitidine (Zantac)?</t>
        </is>
      </c>
      <c r="C7416" t="inlineStr">
        <is>
          <t>Hi! I take pantoprazole, but for a long time I took zantac/ranitidine as my backup. It works like a charm. But now that it’s gone, I need something else. I tried famotidine but it doesn’t seem to help at all. Other people who used and liked ranitidine, what have you found to be the best alternative?
Thank you very much!</t>
        </is>
      </c>
      <c r="D7416" t="n">
        <v>1</v>
      </c>
      <c r="E7416" t="n">
        <v>4</v>
      </c>
      <c r="F7416">
        <f>HYPERLINK("https://www.reddit.com/r/GERD/comments/gnqcc1/best_replacement_for_ranitidine_zantac/")</f>
        <v/>
      </c>
      <c r="G7416" t="inlineStr">
        <is>
          <t>2020-05-20 21:39:13</t>
        </is>
      </c>
      <c r="H7416" t="inlineStr"/>
    </row>
    <row r="7417">
      <c r="A7417" t="inlineStr">
        <is>
          <t>gnqglt</t>
        </is>
      </c>
      <c r="B7417" t="inlineStr">
        <is>
          <t>Burping constatly every second of my life.</t>
        </is>
      </c>
      <c r="C7417" t="inlineStr">
        <is>
          <t>3 months straight of burping constantly every sec/min/hour/day.. Tums and anti-acids don't work. Tried Manuka honey and Apple cider vinegar and Prilocec but they worked for a few mins min but I still burp. I haven't had friend food in months. I eat mostly grilled salmon, chicken and a few selected veggies. I often only eat a meal a day.  Anyone constantly burp?</t>
        </is>
      </c>
      <c r="D7417" t="n">
        <v>1</v>
      </c>
      <c r="E7417" t="n">
        <v>9</v>
      </c>
      <c r="F7417">
        <f>HYPERLINK("https://www.reddit.com/r/GERD/comments/gnqglt/burping_constatly_every_second_of_my_life/")</f>
        <v/>
      </c>
      <c r="G7417" t="inlineStr">
        <is>
          <t>2020-05-20 21:48:06</t>
        </is>
      </c>
      <c r="H7417" t="inlineStr"/>
    </row>
    <row r="7418">
      <c r="A7418" t="inlineStr">
        <is>
          <t>gnrl4m</t>
        </is>
      </c>
      <c r="B7418" t="inlineStr">
        <is>
          <t>GERD diet question - what exactly is considered “high fat”?</t>
        </is>
      </c>
      <c r="C7418" t="inlineStr">
        <is>
          <t>I’ve been told to also cut out foods that are high fat; how do I judge this? For example, for dairy products should I try to stay under a certain % of fat? Or for other foods, should I be looking at grams of fat per serving? 
Thank you!!</t>
        </is>
      </c>
      <c r="D7418" t="n">
        <v>1</v>
      </c>
      <c r="E7418" t="n">
        <v>3</v>
      </c>
      <c r="F7418">
        <f>HYPERLINK("https://www.reddit.com/r/GERD/comments/gnrl4m/gerd_diet_question_what_exactly_is_considered/")</f>
        <v/>
      </c>
      <c r="G7418" t="inlineStr">
        <is>
          <t>2020-05-20 23:22:44</t>
        </is>
      </c>
      <c r="H7418" t="inlineStr"/>
    </row>
    <row r="7419">
      <c r="A7419" t="inlineStr">
        <is>
          <t>gns99x</t>
        </is>
      </c>
      <c r="B7419" t="inlineStr">
        <is>
          <t>Digestive Enzymes make Gerd worse - how come?</t>
        </is>
      </c>
      <c r="C7419" t="inlineStr">
        <is>
          <t>Had horrific gerd and burping/trumpin, stomach painful this morning - surely they should make things better?</t>
        </is>
      </c>
      <c r="D7419" t="n">
        <v>1</v>
      </c>
      <c r="E7419" t="n">
        <v>11</v>
      </c>
      <c r="F7419">
        <f>HYPERLINK("https://www.reddit.com/r/GERD/comments/gns99x/digestive_enzymes_make_gerd_worse_how_come/")</f>
        <v/>
      </c>
      <c r="G7419" t="inlineStr">
        <is>
          <t>2020-05-21 00:22:09</t>
        </is>
      </c>
      <c r="H7419" t="inlineStr"/>
    </row>
    <row r="7420">
      <c r="A7420" t="inlineStr">
        <is>
          <t>gnu91e</t>
        </is>
      </c>
      <c r="B7420" t="inlineStr">
        <is>
          <t>Do bubbly (Mariano's brand carbonated water) effect acid reflux?</t>
        </is>
      </c>
      <c r="C7420" t="inlineStr">
        <is>
          <t>I have been having a terrible time swallowing, and gagging a lot. It feels like I have a pill caught in my throat. When i take Tums, some of the symptoms (though not all) go away. Have phlegm in the back of my throat too, which constricts breathing. When I lay on my stomach i gag like crazy, on my back the same thing.   
I do CICO, but eat whatever--a lot of fatty foods, spicy foods bad stuff. Obviously, going to start eating bland and figuring out how to stop acid. But do bubbly drinks/carbonated beverages contrbute to reflux? How about caffeine?</t>
        </is>
      </c>
      <c r="D7420" t="n">
        <v>1</v>
      </c>
      <c r="E7420" t="n">
        <v>4</v>
      </c>
      <c r="F7420">
        <f>HYPERLINK("https://www.reddit.com/r/GERD/comments/gnu91e/do_bubbly_marianos_brand_carbonated_water_effect/")</f>
        <v/>
      </c>
      <c r="G7420" t="inlineStr">
        <is>
          <t>2020-05-21 03:18:07</t>
        </is>
      </c>
      <c r="H7420" t="inlineStr"/>
    </row>
    <row r="7421">
      <c r="A7421" t="inlineStr">
        <is>
          <t>gnvii1</t>
        </is>
      </c>
      <c r="B7421" t="inlineStr">
        <is>
          <t>Throat pain</t>
        </is>
      </c>
      <c r="C7421" t="inlineStr">
        <is>
          <t>Hello all. Have been experiencing bad acid reflux everyday for around a month now. Had a bad bout of it for around a year 4/5 years ago but it when away. In the last 6 months or so i started again and has been there daily for the past month. In the last couple of weeks I’ve started to experience this weird throat pain around my adams apple area. Its a very dull ache that comes and goes throughout the day (sort of feels like the lump feeling you get in your throat when you try to hold in a cry) Things such as eating/drinking and swallowing have no affect on it and I dont have any other related symptoms. 
Anyone else every experienced this?</t>
        </is>
      </c>
      <c r="D7421" t="n">
        <v>1</v>
      </c>
      <c r="E7421" t="n">
        <v>9</v>
      </c>
      <c r="F7421">
        <f>HYPERLINK("https://www.reddit.com/r/GERD/comments/gnvii1/throat_pain/")</f>
        <v/>
      </c>
      <c r="G7421" t="inlineStr">
        <is>
          <t>2020-05-21 04:56:48</t>
        </is>
      </c>
      <c r="H7421" t="inlineStr"/>
    </row>
    <row r="7422">
      <c r="A7422" t="inlineStr">
        <is>
          <t>gnw9f7</t>
        </is>
      </c>
      <c r="B7422" t="inlineStr">
        <is>
          <t>Shortness of breath</t>
        </is>
      </c>
      <c r="C7422" t="inlineStr">
        <is>
          <t>Anyone have shortness of breath during acid reflux? I've had reflux problems for a long time now but it has gotten worse lately and I've found it hard to breathe at times. Burping seems to help breathing though. Just thought reflux would be causing it since there hasn't been any  noticeable problems with my lungs.</t>
        </is>
      </c>
      <c r="D7422" t="n">
        <v>1</v>
      </c>
      <c r="E7422" t="n">
        <v>38</v>
      </c>
      <c r="F7422">
        <f>HYPERLINK("https://www.reddit.com/r/GERD/comments/gnw9f7/shortness_of_breath/")</f>
        <v/>
      </c>
      <c r="G7422" t="inlineStr">
        <is>
          <t>2020-05-21 05:50:10</t>
        </is>
      </c>
      <c r="H7422" t="inlineStr"/>
    </row>
    <row r="7423">
      <c r="A7423" t="inlineStr">
        <is>
          <t>gnxma6</t>
        </is>
      </c>
      <c r="B7423" t="inlineStr">
        <is>
          <t>Throat tightness, what to have for relief during flareup</t>
        </is>
      </c>
      <c r="C7423" t="inlineStr">
        <is>
          <t>I have had a hiatal hernia for about a decade now and I dont get heartburn very often. Or so I thought. I have been reading up on LPR and I do clear my throat sometimes after eating but none of the other symptoms. The reason I started to read up on it is recently I had a bad sinus infection where I was coughing a lot. After a friend told me to try a nasal rinse is when I finally started getting relief (stupid doctors didnt do anything but say to just take some cough medicine). Anyways all this coughing started my heartburn up again. At first it was just heartburn and after the cold was done it went away about a week later. Then I ate some chocolate cause I thought it would be ok... it wasn't. This is when Some throat tightness began. Its not painful but annoying. This went away in a week of watching what I ate. Another two weeks go by and I had some chocolate as I was feeling better and it started up again. I cant see a doctor cause of this Covid situation. I hope I dont have esophogitis from my bad cold and heartburn. I take gaviscon and Pepcid Complete (zantac is off the market now). What do you recommend to give relief for your throat</t>
        </is>
      </c>
      <c r="D7423" t="n">
        <v>1</v>
      </c>
      <c r="E7423" t="n">
        <v>0</v>
      </c>
      <c r="F7423">
        <f>HYPERLINK("https://www.reddit.com/r/GERD/comments/gnxma6/throat_tightness_what_to_have_for_relief_during/")</f>
        <v/>
      </c>
      <c r="G7423" t="inlineStr">
        <is>
          <t>2020-05-21 07:15:27</t>
        </is>
      </c>
      <c r="H7423" t="inlineStr"/>
    </row>
    <row r="7424">
      <c r="A7424" t="inlineStr">
        <is>
          <t>gnyhq8</t>
        </is>
      </c>
      <c r="B7424" t="inlineStr">
        <is>
          <t>Shaky hands?</t>
        </is>
      </c>
      <c r="C7424" t="inlineStr">
        <is>
          <t>This is probably the weirdest question but has anybody else had shaky hands since diagnosed with Gerd?</t>
        </is>
      </c>
      <c r="D7424" t="n">
        <v>1</v>
      </c>
      <c r="E7424" t="n">
        <v>4</v>
      </c>
      <c r="F7424">
        <f>HYPERLINK("https://www.reddit.com/r/GERD/comments/gnyhq8/shaky_hands/")</f>
        <v/>
      </c>
      <c r="G7424" t="inlineStr">
        <is>
          <t>2020-05-21 08:04:44</t>
        </is>
      </c>
      <c r="H7424" t="inlineStr"/>
    </row>
    <row r="7425">
      <c r="A7425" t="inlineStr">
        <is>
          <t>gnz17w</t>
        </is>
      </c>
      <c r="B7425" t="inlineStr">
        <is>
          <t>Had some diluted Apple Cider Vinegar yesterday and now my solar plexus area feels super uncomfortable. What the hell?</t>
        </is>
      </c>
      <c r="C7425" t="inlineStr">
        <is>
          <t>Made a throwaway because I feel stupid even asking this. But what gives? Did it get burned? If so why didn't my stomach acid cause the same feeling?
I had a tablespoon's worth with a big cup of water.</t>
        </is>
      </c>
      <c r="D7425" t="n">
        <v>1</v>
      </c>
      <c r="E7425" t="n">
        <v>6</v>
      </c>
      <c r="F7425">
        <f>HYPERLINK("https://www.reddit.com/r/GERD/comments/gnz17w/had_some_diluted_apple_cider_vinegar_yesterday/")</f>
        <v/>
      </c>
      <c r="G7425" t="inlineStr">
        <is>
          <t>2020-05-21 08:34:30</t>
        </is>
      </c>
      <c r="H7425" t="inlineStr"/>
    </row>
    <row r="7426">
      <c r="A7426" t="inlineStr">
        <is>
          <t>gnzdv1</t>
        </is>
      </c>
      <c r="B7426" t="inlineStr">
        <is>
          <t>Anyone had a partial fundoplication?</t>
        </is>
      </c>
      <c r="C7426" t="inlineStr">
        <is>
          <t>Hi all,
I'd really like to hear from anyone who has had a partial fundoplication done in the past. What were your symptoms and quality of life like before vs after surgery? Has it worked for you and successfully treated your GERD? I'd be greatful to hear anyone's experience but id be especially interested to hear from anyone in their 20s - 40s. Has it affected your abilities to do manual work? 
About me: I am a 33 year old man, living in Ireland. I have had severe acid reflux for years which has resulted in a weak LES muscle and weak esophageal motility. I have a small hiatus hernia also. In march of 2019 i had the Stretta procedure carried out in London but have not seen any benefit. For the past couple of years my biggest issues involve significant pain and discomfort in my throat. Relentlessly chewing gum seems to help but I know i should not be ignoring this problem. I have been taking lansopazole for years now which takes care of the acid. Volume reflux remains a problem though. I also have all the symptoms of LPR... Asthma, mucus in throat, constantly clearing throat etc
As soon as I can I will be back to my surgeon to discuss either the LINX or partial fundoplication. At this moment in time i am leaning toward the fundo. I have suffered with this for too long and have had enough.
Happy to discuss the Stretta if anyone has questions.
All the best</t>
        </is>
      </c>
      <c r="D7426" t="n">
        <v>1</v>
      </c>
      <c r="E7426" t="n">
        <v>10</v>
      </c>
      <c r="F7426">
        <f>HYPERLINK("https://www.reddit.com/r/GERD/comments/gnzdv1/anyone_had_a_partial_fundoplication/")</f>
        <v/>
      </c>
      <c r="G7426" t="inlineStr">
        <is>
          <t>2020-05-21 08:53:52</t>
        </is>
      </c>
      <c r="H7426" t="inlineStr"/>
    </row>
    <row r="7427">
      <c r="A7427" t="inlineStr">
        <is>
          <t>go00wf</t>
        </is>
      </c>
      <c r="B7427" t="inlineStr">
        <is>
          <t>It's official: I cannot eat dinner!</t>
        </is>
      </c>
      <c r="C7427" t="inlineStr">
        <is>
          <t>literally no matter what i eat, how plain or how many hours before bed, if I eat dinner I get F'd!!! 
Basically I get 2 choices in life:
1. go to bed hungry and cry as I think about how much I hate my life
2. eat dinner then wake up in the middle feeling hot and depressed and angry and plan my suicide
Im hoping if I go long term without dinner I'll lose weight, even though im hardly overweight, and it will release pressure off my LES and I can function like a normal human.</t>
        </is>
      </c>
      <c r="D7427" t="n">
        <v>1</v>
      </c>
      <c r="E7427" t="n">
        <v>46</v>
      </c>
      <c r="F7427">
        <f>HYPERLINK("https://www.reddit.com/r/GERD/comments/go00wf/its_official_i_cannot_eat_dinner/")</f>
        <v/>
      </c>
      <c r="G7427" t="inlineStr">
        <is>
          <t>2020-05-21 09:28:08</t>
        </is>
      </c>
      <c r="H7427" t="inlineStr"/>
    </row>
    <row r="7428">
      <c r="A7428" t="inlineStr">
        <is>
          <t>go23s5</t>
        </is>
      </c>
      <c r="B7428" t="inlineStr">
        <is>
          <t>Help!</t>
        </is>
      </c>
      <c r="C7428" t="inlineStr">
        <is>
          <t>Has anyone had it to where there stomach acid level was soooooo high you could only eat like rice or broth for a couple of weeks? 
Suppose I’m having one of those days and it’s just hard not knowing is this normal? 
I tried chicken ... I was in a world of hell from it. I get awful gas pressure is what I would call it that raises up and just rocks your world. 
I just wanna know I’m not alone and others have had this struggle ya know? I’m only day 9 into my PPI.. I’ve gone from about 300 calories in rice to about 600 calories... I was dealing with it for about a month before I had any prescriptions from a doctor so I wonder if that’s how it got to be so bad ya know? 
Please if you dealt with it to this degree please do share... I’m just trying to reassure myself this is part of the jacked up phase of it.</t>
        </is>
      </c>
      <c r="D7428" t="n">
        <v>1</v>
      </c>
      <c r="E7428" t="n">
        <v>6</v>
      </c>
      <c r="F7428">
        <f>HYPERLINK("https://www.reddit.com/r/GERD/comments/go23s5/help/")</f>
        <v/>
      </c>
      <c r="G7428" t="inlineStr">
        <is>
          <t>2020-05-21 11:18:35</t>
        </is>
      </c>
      <c r="H7428" t="inlineStr"/>
    </row>
    <row r="7429">
      <c r="A7429" t="inlineStr">
        <is>
          <t>go2al4</t>
        </is>
      </c>
      <c r="B7429" t="inlineStr">
        <is>
          <t>Short Term PPI Intake</t>
        </is>
      </c>
      <c r="C7429" t="inlineStr">
        <is>
          <t>33y/o male here. Without going into too much boring detail, I've been noticing some worrying symptoms over the past two weeks.
* Painless but annoying lump in my throat every time I swallow. Eating and drinking makes it feel better. Sometimes there is an audible click when I swallow.
* Almost constant dull chest discomfort/pain. Eating and drinking does not make it any better or worse.
* Urge to clear my throat/cough as the day progresses. Mostly around dinner time. I wouldn't call it chronic, just feels like there is a tickle/scratch at the back of my throat at night time.
* Small, tasteless burps throughout the day. Happens more after I eat but is even happening when I wake up before I have any food.
With my doctorate via Google, it seems as if I have an inflamed esophagus due to acid reflux? I talked to my ENT yesterday via Telehealth and he agreed that it does sound like GERD/LPR which is in turn, affecting my esophagus. He suggested that I change my diet, which I am currently in the process of, but I am not an unhealthy eater to begin with. He also suggested that I take a 2 week course of PPIs.
Now, I feel like I have a pretty mild case of acid reflux so I'm just concerned about making it worse by taking PPIs for 2 weeks. I've read some horror stories on here but my ENT doctor assures me that short term usage won't have any affect on me long term.
Thoughts?
I believe I can manage my reflux with diet as I've been a healthy eater for the past few years. I just want my esophagus to heal. Should I make an appointment with a Gastro for an endoscopy to be sure?
Thanks in advance.</t>
        </is>
      </c>
      <c r="D7429" t="n">
        <v>1</v>
      </c>
      <c r="E7429" t="n">
        <v>4</v>
      </c>
      <c r="F7429">
        <f>HYPERLINK("https://www.reddit.com/r/GERD/comments/go2al4/short_term_ppi_intake/")</f>
        <v/>
      </c>
      <c r="G7429" t="inlineStr">
        <is>
          <t>2020-05-21 11:28:38</t>
        </is>
      </c>
      <c r="H7429" t="inlineStr"/>
    </row>
    <row r="7430">
      <c r="A7430" t="inlineStr">
        <is>
          <t>go3fxw</t>
        </is>
      </c>
      <c r="B7430" t="inlineStr">
        <is>
          <t>Workouts</t>
        </is>
      </c>
      <c r="C7430" t="inlineStr">
        <is>
          <t>Does anybody know any way I can workout without it affecting my acid reflux</t>
        </is>
      </c>
      <c r="D7430" t="n">
        <v>1</v>
      </c>
      <c r="E7430" t="n">
        <v>5</v>
      </c>
      <c r="F7430">
        <f>HYPERLINK("https://www.reddit.com/r/GERD/comments/go3fxw/workouts/")</f>
        <v/>
      </c>
      <c r="G7430" t="inlineStr">
        <is>
          <t>2020-05-21 12:28:21</t>
        </is>
      </c>
      <c r="H7430" t="inlineStr"/>
    </row>
    <row r="7431">
      <c r="A7431" t="inlineStr">
        <is>
          <t>go3qgo</t>
        </is>
      </c>
      <c r="B7431" t="inlineStr">
        <is>
          <t>Need Advice !</t>
        </is>
      </c>
      <c r="C7431" t="inlineStr">
        <is>
          <t>25 Years OLD. 6 Feet Height. Moderately Fit, Still play Football and Sprint  
So since this lockdown I have been working from home, basically bed, I have recently quit all artificial sugar and gone for a plant based diet + eggs.  
I have IBS and also GERD. However recently I have been having these weird spasmic middle chest pain that sometimes are gone in seconds, I slouch a lot and these pain mostly come when I change position. The intensity of these pains have dropped, they have now become little longer and are on the right side of my chest, feels like pressure and I burp alot. It also hurts to touch while I am in pain, by touch I mean to press my rib where the pain is. I can pin point the pain in middle of my chest. I also have left arm pain, for which I was scared was related to my heart, since I had chest pains as well, I literally walked 6 km to the hospital without any worsening of the pain in left hand. Now it feels like when I type in slouching position it hurts, the pain is in shoulder and sometimes can be felt in upper arm and fingers too. My GERD is extreme too sometimes.  
I had chronic cough years back and felt the same chest pain for months, now it went, at beginning I thought it to be esophageal spasms, I do get SOB too but not along with chest pain.  
So I am scared of it being my heart, I had a pretty bad panic attack and my arm, chest, jaw all were in pain. It went away after a while though.   
I went to doc and he thinks its muscular since I have been slouching and using my left hand makes it worse.  
What do you think? Been scared shitless.</t>
        </is>
      </c>
      <c r="D7431" t="n">
        <v>2</v>
      </c>
      <c r="E7431" t="n">
        <v>4</v>
      </c>
      <c r="F7431">
        <f>HYPERLINK("https://www.reddit.com/r/GERD/comments/go3qgo/need_advice/")</f>
        <v/>
      </c>
      <c r="G7431" t="inlineStr">
        <is>
          <t>2020-05-21 12:43:40</t>
        </is>
      </c>
      <c r="H7431" t="inlineStr"/>
    </row>
    <row r="7432">
      <c r="A7432" t="inlineStr">
        <is>
          <t>go6kux</t>
        </is>
      </c>
      <c r="B7432" t="inlineStr">
        <is>
          <t>For GERD/Hiatal Hernia, does sleeping on your side help?</t>
        </is>
      </c>
      <c r="C7432" t="inlineStr">
        <is>
          <t>Wondering if you guys with GERD/Hiatal Hernias sleep on your side and if it helps?
Specifically, I'm talking about sleep on your right side. (laying on your right side with your left side with your heart above it)</t>
        </is>
      </c>
      <c r="D7432" t="n">
        <v>1</v>
      </c>
      <c r="E7432" t="n">
        <v>6</v>
      </c>
      <c r="F7432">
        <f>HYPERLINK("https://www.reddit.com/r/GERD/comments/go6kux/for_gerdhiatal_hernia_does_sleeping_on_your_side/")</f>
        <v/>
      </c>
      <c r="G7432" t="inlineStr">
        <is>
          <t>2020-05-21 15:16:15</t>
        </is>
      </c>
      <c r="H7432" t="inlineStr"/>
    </row>
    <row r="7433">
      <c r="A7433" t="inlineStr">
        <is>
          <t>go6zaw</t>
        </is>
      </c>
      <c r="B7433" t="inlineStr">
        <is>
          <t>Please Advise( left dry throat)</t>
        </is>
      </c>
      <c r="C7433" t="inlineStr">
        <is>
          <t>Hi everyone,
5 days back I experienced dry throat when I woke up from my sleep. It was on my left side and I was lying on my left side as well. The left side of my throat became so dry that I had to cough and drink water immediately. The night before I did ate some charamel chocolates and dark chocolate. I hope thats the cause of it. Eventually that went away in 2 days after drinking water. 
Then about 3 days back I had some vanilla shake pretty close to bedtime and woke up with the same kind of throat feeling. Mainly like at the roof of my throat at the back.. It doesn't hurt when I swallow or drink, but I'm just afraid it might get worse. Been drinking lots of water.
Anyone of you experienced this before, if so how'd u guys solved it?</t>
        </is>
      </c>
      <c r="D7433" t="n">
        <v>1</v>
      </c>
      <c r="E7433" t="n">
        <v>11</v>
      </c>
      <c r="F7433">
        <f>HYPERLINK("https://www.reddit.com/r/GERD/comments/go6zaw/please_advise_left_dry_throat/")</f>
        <v/>
      </c>
      <c r="G7433" t="inlineStr">
        <is>
          <t>2020-05-21 15:38:10</t>
        </is>
      </c>
      <c r="H7433" t="inlineStr"/>
    </row>
    <row r="7434">
      <c r="A7434" t="inlineStr">
        <is>
          <t>go9jom</t>
        </is>
      </c>
      <c r="B7434" t="inlineStr">
        <is>
          <t>[30M] Does anyone have similar symptoms for GERD/LPR or Hiatal Hernia? My symptoms don't completely match the symptoms you guys mention here.</t>
        </is>
      </c>
      <c r="C7434" t="inlineStr">
        <is>
          <t>**Current symptoms (Duration: 1 month)**
1. I feel an inability to complete the inhalation part of my breath.
2. This difficulty increases when I sit for more than a few minutes continuously and some postures make it more difficult. I basically try to stand all day to work.
3. An increase in this difficulty after around 40 to 50 minutes of having food.
4. This is mostly followed by a runny nose with a clear liquid. I have had no fever in the last month.
5. A feeling of lumpiness, dryness in the throat with occasional cough when I try to breadth harder. The lumpiness feeling is forever there.
6. When I run, I sometimes have a sharp pain in the abdomen area just below the ribcage slightly on the left from the center. This doesn't happen every time I run.
7. I also have a tingling kind of a pain in the back muscle directly opposite to the above-mentioned abdomen area.
8. The area near left should blade paining from the last 5 days especially when I try to look upwards.
9. The lower right abdomen pain sometimes comes and goes. I have had this in the past due to gastritis.
10. When my head is not raised, I get irritation and water in my left eye that lasts for 5 minutes and this usually wakes me up.
**Tests:** The chest X-ray showed everything to be ok and the abdomen Ultrasound found a couple of very small polyps in the gall bladder which the doctor told is not dangerous for now. Upper GI Endoscopy is the next step.
**Medication:** I am currently on Esomeprazole and antacids and they seem to have decreased the intensity but all of the symptoms are still there. Asthma and allergy medication didn't cause any effect and I have no history of them either.
This has had a huge effect on my productivity and mental peace and I would really appreciate inputs towards a correct diagnosis.
Thank you for your time.</t>
        </is>
      </c>
      <c r="D7434" t="n">
        <v>1</v>
      </c>
      <c r="E7434" t="n">
        <v>24</v>
      </c>
      <c r="F7434">
        <f>HYPERLINK("https://www.reddit.com/r/GERD/comments/go9jom/30m_does_anyone_have_similar_symptoms_for_gerdlpr/")</f>
        <v/>
      </c>
      <c r="G7434" t="inlineStr">
        <is>
          <t>2020-05-21 18:07:03</t>
        </is>
      </c>
      <c r="H7434" t="inlineStr"/>
    </row>
    <row r="7435">
      <c r="A7435" t="inlineStr">
        <is>
          <t>goa69d</t>
        </is>
      </c>
      <c r="B7435" t="inlineStr">
        <is>
          <t>Do i have GERD?</t>
        </is>
      </c>
      <c r="C7435" t="inlineStr">
        <is>
          <t>I've never experience this in my life until last December when i got a pretty bad stomach flu, after i got better i kept feeling the acid come up my throat and a pain on the middle of my back that was terrible. Along with this the food i eat some of it comes back up and i feel like i have something stuck on my troath. I took some strong medication for gerd for 14 days and the acid and back pain went away except for the regurgitations and now i wake up feeling fine but as soon as i eat i feel like my troath is closing and a feeling of burping with food coming back up. 
I'm male 25 5'9 and I'm overweight but not obese</t>
        </is>
      </c>
      <c r="D7435" t="n">
        <v>1</v>
      </c>
      <c r="E7435" t="n">
        <v>1</v>
      </c>
      <c r="F7435">
        <f>HYPERLINK("https://www.reddit.com/r/GERD/comments/goa69d/do_i_have_gerd/")</f>
        <v/>
      </c>
      <c r="G7435" t="inlineStr">
        <is>
          <t>2020-05-21 18:46:51</t>
        </is>
      </c>
      <c r="H7435" t="inlineStr"/>
    </row>
    <row r="7436">
      <c r="A7436" t="inlineStr">
        <is>
          <t>goai3k</t>
        </is>
      </c>
      <c r="B7436" t="inlineStr">
        <is>
          <t>Do I have gerd?</t>
        </is>
      </c>
      <c r="C7436" t="inlineStr">
        <is>
          <t>I’m a 20 year old male. My problems started about 4 years ago when I was having a lot of pain, vomiting, nausea, bloating, and burping. This went on for a couple months until I visited the gastroenterologist. The doctor did a rectal exam, blood test, and stool test. Everything came back normal and I was told to cut out diary for 2 weeks and see how it goes. After cutting out dairy which I was consuming a lot of (pizza, milk, yogurt) I felt much better. I had no more pain and the vomiting stopped. I went back to the doctor for a follow up and was told I’m lactose intolerant which started to make sense. After that I continued eating pizza and sometimes other dairy products along with lactose tablets which helped with the symptoms. I haven’t had pain or any vomiting since 4 years ago but I still have a lot of burping and lower bloating. The bloating isn’t really visible but I can feel my stomach extended a bit. I sometimes burp and a little bit of food comes back up. I’m trying to figure out what this could be. Is it food intolerance? Acid reflux/gerd?</t>
        </is>
      </c>
      <c r="D7436" t="n">
        <v>1</v>
      </c>
      <c r="E7436" t="n">
        <v>9</v>
      </c>
      <c r="F7436">
        <f>HYPERLINK("https://www.reddit.com/r/GERD/comments/goai3k/do_i_have_gerd/")</f>
        <v/>
      </c>
      <c r="G7436" t="inlineStr">
        <is>
          <t>2020-05-21 19:08:21</t>
        </is>
      </c>
      <c r="H7436" t="inlineStr"/>
    </row>
    <row r="7437">
      <c r="A7437" t="inlineStr">
        <is>
          <t>gob64a</t>
        </is>
      </c>
      <c r="B7437" t="inlineStr">
        <is>
          <t>How to get rid of constant throat mucus after meals? I'm suffering :(</t>
        </is>
      </c>
      <c r="C7437" t="inlineStr">
        <is>
          <t>Every time I eat, and it doesn't even matter what it is, a piece of fruit or a slice of bread, I am forever clearing my throat for hours afterward. I even get thick mucus in my chest that I have to cough up almost as soon as I am finished eating, along with the parade of constant burping that follows. I do not smoke and have never smoked but I feel like a two pack a day smoker with this mucus I get. I also wake up with it too and have to gag it up. I'm only 26 years old.
I am trying to work on my diet and lose weight. I am eating a plant based diet and ordered The Acid Watcher Diet book but heard there are not many vegan recipes in it. This kind of worries me as I do not want to eat animal products but if it comes down to it I would do anything to be healed of GERD/LPR.
I have been skipping lunch at work because I answer the phone constantly and cannot get hoarse or clear my throat often. I also don't want to drive my co-worker crazy with my constant throat clearing. The phlegm is so deep I literally have to almost make animal noises to bring it up. This is really starting to bother me and I feel so disgusting and worried about the future. 
Has anyone else dealt with this? What helps? What foods can I bring to work that won't cause mucus in my throat?</t>
        </is>
      </c>
      <c r="D7437" t="n">
        <v>1</v>
      </c>
      <c r="E7437" t="n">
        <v>38</v>
      </c>
      <c r="F7437">
        <f>HYPERLINK("https://www.reddit.com/r/GERD/comments/gob64a/how_to_get_rid_of_constant_throat_mucus_after/")</f>
        <v/>
      </c>
      <c r="G7437" t="inlineStr">
        <is>
          <t>2020-05-21 19:53:48</t>
        </is>
      </c>
      <c r="H7437" t="inlineStr"/>
    </row>
    <row r="7438">
      <c r="A7438" t="inlineStr">
        <is>
          <t>gobk7z</t>
        </is>
      </c>
      <c r="B7438" t="inlineStr">
        <is>
          <t>GERD and Bipolar 1</t>
        </is>
      </c>
      <c r="C7438" t="inlineStr">
        <is>
          <t>These two don’t match</t>
        </is>
      </c>
      <c r="D7438" t="n">
        <v>1</v>
      </c>
      <c r="E7438" t="n">
        <v>1</v>
      </c>
      <c r="F7438">
        <f>HYPERLINK("https://www.reddit.com/r/GERD/comments/gobk7z/gerd_and_bipolar_1/")</f>
        <v/>
      </c>
      <c r="G7438" t="inlineStr">
        <is>
          <t>2020-05-21 20:19:40</t>
        </is>
      </c>
      <c r="H7438" t="inlineStr"/>
    </row>
    <row r="7439">
      <c r="A7439" t="inlineStr">
        <is>
          <t>goby05</t>
        </is>
      </c>
      <c r="B7439" t="inlineStr">
        <is>
          <t>Dexilant</t>
        </is>
      </c>
      <c r="C7439" t="inlineStr">
        <is>
          <t>Is anyone here taking Dexilant? My doctor wants to switch me from pantoprazole to dexilant and I’m just looking for feedback from anyone who is taking it. Did it help with your symptoms? Did you experience any side effects?</t>
        </is>
      </c>
      <c r="D7439" t="n">
        <v>1</v>
      </c>
      <c r="E7439" t="n">
        <v>11</v>
      </c>
      <c r="F7439">
        <f>HYPERLINK("https://www.reddit.com/r/GERD/comments/goby05/dexilant/")</f>
        <v/>
      </c>
      <c r="G7439" t="inlineStr">
        <is>
          <t>2020-05-21 20:45:31</t>
        </is>
      </c>
      <c r="H7439" t="inlineStr"/>
    </row>
    <row r="7440">
      <c r="A7440" t="inlineStr">
        <is>
          <t>gobyfm</t>
        </is>
      </c>
      <c r="B7440" t="inlineStr">
        <is>
          <t>Am I screwed?</t>
        </is>
      </c>
      <c r="C7440" t="inlineStr">
        <is>
          <t>I’ve been suffering from GERD for about two years now. At first, I only had saliva coming back up with nausea and dry gagging. However, my depression and binge eating caused me to get silent burps in my throat, stomach burning, and recently extreme chest pain. (It feels like someone is sticking a knife in my chest). I know I was stupid to exacerbate the pain and symptoms by not taking care of my body. But I’m really scared of the extreme symptoms I feel. As anyone experienced the same extreme symptoms and was able to get cured albeit it took a long time? I’m trying to change my PPI (omeprazole) because it makes my depression worse. I’m trying to get ahold of myself and eat properly now.</t>
        </is>
      </c>
      <c r="D7440" t="n">
        <v>1</v>
      </c>
      <c r="E7440" t="n">
        <v>9</v>
      </c>
      <c r="F7440">
        <f>HYPERLINK("https://www.reddit.com/r/GERD/comments/gobyfm/am_i_screwed/")</f>
        <v/>
      </c>
      <c r="G7440" t="inlineStr">
        <is>
          <t>2020-05-21 20:46:23</t>
        </is>
      </c>
      <c r="H7440" t="inlineStr"/>
    </row>
    <row r="7441">
      <c r="A7441" t="inlineStr">
        <is>
          <t>god2wp</t>
        </is>
      </c>
      <c r="B7441" t="inlineStr">
        <is>
          <t>I hate to see my sister suffering.</t>
        </is>
      </c>
      <c r="C7441" t="inlineStr">
        <is>
          <t>Hi. I (16M) have a sister (23) who has been suffering to frequent heartburn recently. Two days ago was her chronic ones that I almost cried and went to call an ambulance that night. She was given two syringes, and prescripted three meds (Omeprazole, [forgot the other one], and Maalox.) She's regularly taking it but the symptoms don't seem to subside for a long time (her pain goes back). I've been panicking since it's my first time to experience such an emergency, and I'm very worried about my sister that I check her whether she's okay or not everytime she moves. Will she be fine? 😥</t>
        </is>
      </c>
      <c r="D7441" t="n">
        <v>1</v>
      </c>
      <c r="E7441" t="n">
        <v>11</v>
      </c>
      <c r="F7441">
        <f>HYPERLINK("https://www.reddit.com/r/GERD/comments/god2wp/i_hate_to_see_my_sister_suffering/")</f>
        <v/>
      </c>
      <c r="G7441" t="inlineStr">
        <is>
          <t>2020-05-21 22:07:24</t>
        </is>
      </c>
      <c r="H7441" t="inlineStr"/>
    </row>
    <row r="7442">
      <c r="A7442" t="inlineStr">
        <is>
          <t>godhf1</t>
        </is>
      </c>
      <c r="B7442" t="inlineStr">
        <is>
          <t>Why Did PPI's Stop Me From Having Diarrhea?</t>
        </is>
      </c>
      <c r="C7442" t="inlineStr">
        <is>
          <t>I used to have diarrhea and acid reflux every day, but when my gastrologist put me on PPI's they both stopped. Why would PPI's stop the diarrhea though?</t>
        </is>
      </c>
      <c r="D7442" t="n">
        <v>1</v>
      </c>
      <c r="E7442" t="n">
        <v>9</v>
      </c>
      <c r="F7442">
        <f>HYPERLINK("https://www.reddit.com/r/GERD/comments/godhf1/why_did_ppis_stop_me_from_having_diarrhea/")</f>
        <v/>
      </c>
      <c r="G7442" t="inlineStr">
        <is>
          <t>2020-05-21 22:39:18</t>
        </is>
      </c>
      <c r="H7442" t="inlineStr"/>
    </row>
    <row r="7443">
      <c r="A7443" t="inlineStr">
        <is>
          <t>gof95r</t>
        </is>
      </c>
      <c r="B7443" t="inlineStr">
        <is>
          <t>Smoking weed</t>
        </is>
      </c>
      <c r="C7443" t="inlineStr">
        <is>
          <t>What’s everyone’s opinion on smoking weed does it help with your symptoms or does it make it worse !? I cannot tell.</t>
        </is>
      </c>
      <c r="D7443" t="n">
        <v>1</v>
      </c>
      <c r="E7443" t="n">
        <v>16</v>
      </c>
      <c r="F7443">
        <f>HYPERLINK("https://www.reddit.com/r/GERD/comments/gof95r/smoking_weed/")</f>
        <v/>
      </c>
      <c r="G7443" t="inlineStr">
        <is>
          <t>2020-05-22 01:09:51</t>
        </is>
      </c>
      <c r="H7443" t="inlineStr"/>
    </row>
    <row r="7444">
      <c r="A7444" t="inlineStr">
        <is>
          <t>gofj01</t>
        </is>
      </c>
      <c r="B7444" t="inlineStr">
        <is>
          <t>Saliva creation? - healthy tips?</t>
        </is>
      </c>
      <c r="C7444" t="inlineStr">
        <is>
          <t>Anyone at the numb/burning tongue stage of their GERD/LPR? I also have burning throat, and a bit of burning chest. Nodule feeling in throat is bad, along with tenseness/swollen feeling. Ears are aching. ugh. So I've got to stop the licorice tea - making me more hypertense. And I need to moderate my DGL and slippery elm tablets. Now, gum helps me a lot with saliva and washing acid down my throat, but sugar gum is bad for teeth and gut and sugar free gum is bad for - well we all know how bad sweeteners are -part of the reason I have this darn condition. So aside from my Greek mastic gum chews coming in the mail, any other advice on how to keep throat moist? (drinking water and tea also is assumed). I honestly don't think there could be anything else. and there is a real possibility that chewing so much is actually bad for your throat mechanism. Anyhoo, feedback and thoughts.</t>
        </is>
      </c>
      <c r="D7444" t="n">
        <v>1</v>
      </c>
      <c r="E7444" t="n">
        <v>0</v>
      </c>
      <c r="F7444">
        <f>HYPERLINK("https://www.reddit.com/r/GERD/comments/gofj01/saliva_creation_healthy_tips/")</f>
        <v/>
      </c>
      <c r="G7444" t="inlineStr">
        <is>
          <t>2020-05-22 01:33:18</t>
        </is>
      </c>
      <c r="H7444" t="inlineStr"/>
    </row>
    <row r="7445">
      <c r="A7445" t="inlineStr">
        <is>
          <t>gofmmv</t>
        </is>
      </c>
      <c r="B7445" t="inlineStr">
        <is>
          <t>Help. Food troubles</t>
        </is>
      </c>
      <c r="C7445" t="inlineStr">
        <is>
          <t>Today was bad for me i ate some noodles and i can feel the chewed bits stuck in my throat felt like i was choking and i kept regurgitating for about 3 times little bits of food came out and thn i feel better just wondering if it's normal or am i overthinking my symptoms ? Maybe its the globus and im just hyper sensitive but i really felt better after those stuck bits of food came out</t>
        </is>
      </c>
      <c r="D7445" t="n">
        <v>1</v>
      </c>
      <c r="E7445" t="n">
        <v>7</v>
      </c>
      <c r="F7445">
        <f>HYPERLINK("https://www.reddit.com/r/GERD/comments/gofmmv/help_food_troubles/")</f>
        <v/>
      </c>
      <c r="G7445" t="inlineStr">
        <is>
          <t>2020-05-22 01:42:04</t>
        </is>
      </c>
      <c r="H7445" t="inlineStr"/>
    </row>
    <row r="7446">
      <c r="A7446" t="inlineStr">
        <is>
          <t>goiofa</t>
        </is>
      </c>
      <c r="B7446" t="inlineStr">
        <is>
          <t>Is there a relationship between a weak core and GERD?</t>
        </is>
      </c>
      <c r="C7446" t="inlineStr">
        <is>
          <t>Ive spent the last 5 months pretty much inactive with many days just lying in bed because of how bad ive felt but since may i decided to try get moving again.
I started going for walks after eating in an attempt to get my food moving and i do find it helps somewhat.
Fast forward to the beginning of this week. My cousins and i all decided to try the chloe ting 2 week ab shred so do daily zoom calls to eachother whilst we work out.
Im not overweight but i would call myself “skinny fat” as in i am 100% jiggle depite being a UK 8.
I was trying to see my progress in the mirror today and was trying to breath my stomach in which went fine, then relax which was fine but trying to push my stomach out was impossible....
So i got to thinking...my abs was be pretty weak if they are THAT relaxed that they are just constantly all the way out? I mean i might be being completely stupid here but i decided to google it a little.
Poor posture, slouching, mouth breathing, breathing with your chest rather than belly can all impact GERD but are all also an indication of a weak core.
Anywho im not sure, its just a theory and id love to hear anyone elses thoughts. Obviously i know it isnt the MAIN cause but im wondering if strengthening the core could **ease** some GERD symptoms?
Im going to keep going to test the theory out and will report back if it helps me at all.</t>
        </is>
      </c>
      <c r="D7446" t="n">
        <v>1</v>
      </c>
      <c r="E7446" t="n">
        <v>30</v>
      </c>
      <c r="F7446">
        <f>HYPERLINK("https://www.reddit.com/r/GERD/comments/goiofa/is_there_a_relationship_between_a_weak_core_and/")</f>
        <v/>
      </c>
      <c r="G7446" t="inlineStr">
        <is>
          <t>2020-05-22 05:44:51</t>
        </is>
      </c>
      <c r="H7446" t="inlineStr"/>
    </row>
    <row r="7447">
      <c r="A7447" t="inlineStr">
        <is>
          <t>goipo1</t>
        </is>
      </c>
      <c r="B7447" t="inlineStr">
        <is>
          <t>Hyperthyroidism mistaken for gerd</t>
        </is>
      </c>
      <c r="C7447" t="inlineStr">
        <is>
          <t>About three months ago I started having what felt like heart attacks, the pain would get so bad I’d grip my heart till it stopped. They were unable to figure out what was wrong, they kept getting confused on all my symptoms. Saying that it was impossible to feel so many symptoms at once and asked me if I can’t handle pain. My symptoms were as follows;
• excessive sweating/heat intolerance
• increased bowel movements 
• tremors (usually fine shaking) 
• rapid heart rate
• weight loss (was 160lbs now 109lbs in less than two    months) 
• fatigue/weakness 
• acid reflux
• concentration problems 
• very bloated/pain above the belly button 
• nausea/vomiting 
After about two months of regular hospital visits, yes, the pain would get that bad. They diagnosed me with gerd and unfortunately was not able to do endoscopy due to covid. They put me on 40MG zantac and it did not help whatsoever, they then switched me to 40MG of nexium which seemed to help the acid reflux but nothing else. 
I continued going to the hospital even after my diagnoses because I knew something wasn’t right. I was still feeling horrible pains. They continued to turn me away saying it was gerd and nothing else. I ended up travelling across my province to get home to my family cause my sickness was becoming too much for me to handle by myself. 
Today I went to the hospital because I have not ate anything for six days straight because I feel immediately nauseous. While talking with my doctor he mentions that two months ago an overactive thyroid was done on me and came back abnormal but I was not warned at all. He took bloodwork and now I have to wait a week for my results. 
I’m super nervous and don’t know what to expect.</t>
        </is>
      </c>
      <c r="D7447" t="n">
        <v>1</v>
      </c>
      <c r="E7447" t="n">
        <v>13</v>
      </c>
      <c r="F7447">
        <f>HYPERLINK("https://www.reddit.com/r/GERD/comments/goipo1/hyperthyroidism_mistaken_for_gerd/")</f>
        <v/>
      </c>
      <c r="G7447" t="inlineStr">
        <is>
          <t>2020-05-22 05:47:09</t>
        </is>
      </c>
      <c r="H7447" t="inlineStr"/>
    </row>
    <row r="7448">
      <c r="A7448" t="inlineStr">
        <is>
          <t>gojr60</t>
        </is>
      </c>
      <c r="B7448" t="inlineStr">
        <is>
          <t>Esophagitis healing time</t>
        </is>
      </c>
      <c r="C7448" t="inlineStr">
        <is>
          <t>I’ve been diagnosed with reflux induced esophagitis, NOT EoE.  
Anyone else recover from this and how long did it take for PPI’s to stop the pain? 
- I’ve been on prevacid for 2 weeks now and it helped at first but isn’t helping much now.  
Thanks :)</t>
        </is>
      </c>
      <c r="D7448" t="n">
        <v>1</v>
      </c>
      <c r="E7448" t="n">
        <v>14</v>
      </c>
      <c r="F7448">
        <f>HYPERLINK("https://www.reddit.com/r/GERD/comments/gojr60/esophagitis_healing_time/")</f>
        <v/>
      </c>
      <c r="G7448" t="inlineStr">
        <is>
          <t>2020-05-22 06:53:49</t>
        </is>
      </c>
      <c r="H7448" t="inlineStr"/>
    </row>
    <row r="7449">
      <c r="A7449" t="inlineStr">
        <is>
          <t>golz5w</t>
        </is>
      </c>
      <c r="B7449" t="inlineStr">
        <is>
          <t>Should I get off Dexilant if I haven’t noticed any difference while taking it?</t>
        </is>
      </c>
      <c r="C7449" t="inlineStr">
        <is>
          <t>Hi everyone!
  A little history: I’ve been experiencing **LPR** symptoms since at least March 2019. Since then I haven’t seen any progress, my symptoms actually only got more severe over time. At first i noticed a feeling of a lump/something stuck in my throat every evening before going to bed.  I’ve tried taking **omeprazole** (generic brand) for two weeks after not having any luck with Gaviscon last April and for those two weeks my symptoms disappeared completely. And then I was hit with a rebound effect and since then I’ve been experiencing symptoms throughout the day, not just in the evening. 
At this point my symptoms are 24/7. My throat is constantly irritated from acid and me coughing and trying to clear it. Sometimes I also feel a sour taste in my mouth. My ears have been congested since last March as well, and my nose has been congested since August 2018 (vasomotor rhinitis; I’ve had 2 small surgeries under local anesthesia since then and yet it doesn’t get better, doctors are confused, so now I’m thinking it could be related to my LPR?). My breath when I’m hungry has been... bad for a long time. I’ve been experiencing serious bloating in January too. Tried **famotidine** and honestly it felt like my symptoms got even worse after a few days of taking it so I stopped. Gave **omeprazole** another chance - 14 days - no effect. Didn’t feel better, didn’t feel worse. Tried DGL - my heart started skipping beats after like 6 days of taking it (and no positive effect), probiotics, aloe Vera juice (felt terrible after drinking it), ACV... nothing helped. 
Have been getting heart palpitations every day throughout the day too and I think it could be related to GERD/LPR as well. Oh and weird random chest pains in different places. Full package basically. 
But anyways, I haven’t been taking any PPIs since then (even though doctors have insisted I should), but I’ve been feeling so anxious and miserable for months, so I had decided to make an appointment with a different gastroenterologist in March and got prescribed **Dexilant** - 60 mg for a month and 30 mg for another two months. I’ve now finished my 60 mg pack (28 pills) &amp;amp;amp;amp; now I have 2 pills left from this 30 mg pack and... I don’t feel any better than I did before. I’ve experienced pain under my left breast a few times, I assume it might be my esophagus. So yeah it looks like Dexilant hasn’t been working. At all. Still chugging different antacids every day without any success. So should I just stop taking it now or should I wait another month? Is there a chance it might start working at one point?.. I feel helpless.</t>
        </is>
      </c>
      <c r="D7449" t="n">
        <v>1</v>
      </c>
      <c r="E7449" t="n">
        <v>0</v>
      </c>
      <c r="F7449">
        <f>HYPERLINK("https://www.reddit.com/r/GERD/comments/golz5w/should_i_get_off_dexilant_if_i_havent_noticed_any/")</f>
        <v/>
      </c>
      <c r="G7449" t="inlineStr">
        <is>
          <t>2020-05-22 08:59:29</t>
        </is>
      </c>
      <c r="H7449" t="inlineStr"/>
    </row>
    <row r="7450">
      <c r="A7450" t="inlineStr">
        <is>
          <t>gom4f7</t>
        </is>
      </c>
      <c r="B7450" t="inlineStr">
        <is>
          <t>unsure if ive made it worse or better</t>
        </is>
      </c>
      <c r="C7450" t="inlineStr">
        <is>
          <t>my main symptoms used to be a constant gnawing/ hunger feeling in my stomach and burning pain that would come on suddenly 3-4 hours after meals. i felt like i could eat forever and never feel full. i started nexium and went on a plainish diet but decided to come off nexium because it was giving me digestion issues and anxiety. i no longer get the gnawing hunger but i now have quite a low physical appetite, and feel full quite easily. i belch more often and can taste food for hours after i ate it. i did the baking soda test and didnt belch at all, which apparently indicates low acid. this is much more tolerable but i worry that ive misbalanced the acid in my stomach?</t>
        </is>
      </c>
      <c r="D7450" t="n">
        <v>1</v>
      </c>
      <c r="E7450" t="n">
        <v>0</v>
      </c>
      <c r="F7450">
        <f>HYPERLINK("https://www.reddit.com/r/GERD/comments/gom4f7/unsure_if_ive_made_it_worse_or_better/")</f>
        <v/>
      </c>
      <c r="G7450" t="inlineStr">
        <is>
          <t>2020-05-22 09:06:54</t>
        </is>
      </c>
      <c r="H7450" t="inlineStr"/>
    </row>
    <row r="7451">
      <c r="A7451" t="inlineStr">
        <is>
          <t>gomy4l</t>
        </is>
      </c>
      <c r="B7451" t="inlineStr">
        <is>
          <t>I can't live with this for much longer. I'm 100% done.</t>
        </is>
      </c>
      <c r="C7451" t="inlineStr">
        <is>
          <t>I know some of you have been dealing with this for years. And I've only had it for 4 months. But this is not my first rodeo with chronic conditions. And today was just a day filled with screaming and crying. I reached my limit.
I've had an endoscopy done, which didn't show anything. I've tried FODMAP. Which stabilized me for a bit. But didn't cure it. I've tried omeprazol. Which helped for a bit but I HATE taking medicine. And the more I read about it I'm becoming terrified to take it. And 2 days ago like some retarded mongoloid I had a tablespoon worth of apple cider vinegar and now my solar plexus area hurts (which is where the valve is). It's hard to sit because of it. And I feel so stupid.
I just don't know what to do anymore. I have an appointment in the pipeline for a gut doctor. But I'm worried he's just gonna tell me to take omeprazol and fuck off.
Everything seems so fucking far away now. I'm feeling like I have a couple of days left and then I'm done. I have no distraction from it. It's ruining my sleep. Which is ruining my ability to mentally handle all of this.
AND THERE A NO FUCKING ANSWERS. I don't smoke. I don't drink. I eat clean. I have no fucking idea what is causing this. Only that I keep randomly just having reflux.</t>
        </is>
      </c>
      <c r="D7451" t="n">
        <v>2</v>
      </c>
      <c r="E7451" t="n">
        <v>65</v>
      </c>
      <c r="F7451">
        <f>HYPERLINK("https://www.reddit.com/r/GERD/comments/gomy4l/i_cant_live_with_this_for_much_longer_im_100_done/")</f>
        <v/>
      </c>
      <c r="G7451" t="inlineStr">
        <is>
          <t>2020-05-22 09:51:17</t>
        </is>
      </c>
      <c r="H7451" t="inlineStr"/>
    </row>
    <row r="7452">
      <c r="A7452" t="inlineStr">
        <is>
          <t>gon3i4</t>
        </is>
      </c>
      <c r="B7452" t="inlineStr">
        <is>
          <t>Pepcid max strength versus original strength versus complete</t>
        </is>
      </c>
      <c r="C7452" t="inlineStr">
        <is>
          <t>Hi all! Can someone help me figure out the difference between all the Pepcids?  My dr said to get Pepcid for possible GERD.  I did not know at the time there were a few different kinds.  So I am an a loss for which one to try.  I would prefer not taking it every day and only as I needed it.  I have been taking Tums here and there to help.  Any advice on this one? Thanks in advance.</t>
        </is>
      </c>
      <c r="D7452" t="n">
        <v>1</v>
      </c>
      <c r="E7452" t="n">
        <v>3</v>
      </c>
      <c r="F7452">
        <f>HYPERLINK("https://www.reddit.com/r/GERD/comments/gon3i4/pepcid_max_strength_versus_original_strength/")</f>
        <v/>
      </c>
      <c r="G7452" t="inlineStr">
        <is>
          <t>2020-05-22 09:59:14</t>
        </is>
      </c>
      <c r="H7452" t="inlineStr"/>
    </row>
    <row r="7453">
      <c r="A7453" t="inlineStr">
        <is>
          <t>gonbg9</t>
        </is>
      </c>
      <c r="B7453" t="inlineStr">
        <is>
          <t>Acid Watchers Diet is ... yummy!</t>
        </is>
      </c>
      <c r="C7453" t="inlineStr">
        <is>
          <t>So, I have suffer from GERD and lpr for months now (probably years actually now that I read symptoms about breathlessness and coughing). Really sucks, makes me super moody.  Was on PIIs for months, from which I weened myself off because they didn’t help and frankly I didn’t want to be on medication. I’ve read the Acid Watchers Diet book, but this week, after having way too much wine Sunday (stupid, I know), and having a throbbing throat, I decided to really start the work. 
The food has been fantastic!!  Even cooking it for my kids, and they’re going back for seconds every day. I’ve lost 4 pounds this week (water weight from lack of junk food no doubt), and most importantly, I’m feeling better. Not 100% better after 4 days, but each day there is improvement. I can see how after 28 days like this things would be better. 
So all that to say, to any of you suffering, if you haven’t tried it yet, please look into this book!</t>
        </is>
      </c>
      <c r="D7453" t="n">
        <v>1</v>
      </c>
      <c r="E7453" t="n">
        <v>6</v>
      </c>
      <c r="F7453">
        <f>HYPERLINK("https://www.reddit.com/r/GERD/comments/gonbg9/acid_watchers_diet_is_yummy/")</f>
        <v/>
      </c>
      <c r="G7453" t="inlineStr">
        <is>
          <t>2020-05-22 10:10:48</t>
        </is>
      </c>
      <c r="H7453" t="inlineStr"/>
    </row>
    <row r="7454">
      <c r="A7454" t="inlineStr">
        <is>
          <t>gonbnl</t>
        </is>
      </c>
      <c r="B7454" t="inlineStr">
        <is>
          <t>Acid Watchers Diet is ... yummy!</t>
        </is>
      </c>
      <c r="C7454" t="inlineStr">
        <is>
          <t>So, I have suffer from GERD and lpr for months now (probably years actually now that I read symptoms about breathlessness and coughing). Really sucks, makes me super moody.  Was on PIIs for months, from which I weened myself off because they didn’t help and frankly I didn’t want to be on medication. I’ve read the Acid Watchers Diet book, but this week, after having way too much wine Sunday (stupid, I know), and having a throbbing throat, I decided to really start the work. 
The food has been fantastic!!  Even cooking it for my kids, and they’re going back for seconds every day. I’ve lost 4 pounds this week (water weight from lack of junk food no doubt), and most importantly, I’m feeling better. Not 100% better after 4 days, but each day there is improvement. I can see how after 28 days like this things would be better. 
So all that to say, to any of you suffering, if you haven’t tried it yet, please look into this book!</t>
        </is>
      </c>
      <c r="D7454" t="n">
        <v>5</v>
      </c>
      <c r="E7454" t="n">
        <v>24</v>
      </c>
      <c r="F7454">
        <f>HYPERLINK("https://www.reddit.com/r/GERD/comments/gonbnl/acid_watchers_diet_is_yummy/")</f>
        <v/>
      </c>
      <c r="G7454" t="inlineStr">
        <is>
          <t>2020-05-22 10:11:05</t>
        </is>
      </c>
      <c r="H7454" t="inlineStr"/>
    </row>
    <row r="7455">
      <c r="A7455" t="inlineStr">
        <is>
          <t>gonwjd</t>
        </is>
      </c>
      <c r="B7455" t="inlineStr">
        <is>
          <t>Newly GERD-ish</t>
        </is>
      </c>
      <c r="C7455" t="inlineStr">
        <is>
          <t>Hi all, I've just been diagnosed with GERD (from my GP based on symptoms, no tests done) 
It started when I was eating a burger and suddenly felt this lump in my throat like food was stuck. It just wouldn't go away. It's been like that for about 2 weeks now and I've developed chest pain and stomach pain as well as acid reflux, usually at night. 
The worst part is the throat lump. It gives me such anxiety and feels like I can't breathe (I can, it's just panic mode). I feel like it's worse when I eat bread. 
I also have this weird feeling in my one ear where it sounds/feels like my eardrum is beating fast like a drum and I have been clenching my teeth more than usual. 
I am very unhealthy and am obese, so I'm 100% sure that my body is now seeking revenge for all my poor food choices. 
This may just be the kick in the butt I need to start my weight loss journey because I can't live like this forever, that's for sure. 
Question 1: Does anyone have similar symptoms to this?
Question 2: Can you recommend foods that have helped you? I've Googled quite a lot but there seems to be a lot of contradictory information.</t>
        </is>
      </c>
      <c r="D7455" t="n">
        <v>2</v>
      </c>
      <c r="E7455" t="n">
        <v>4</v>
      </c>
      <c r="F7455">
        <f>HYPERLINK("https://www.reddit.com/r/GERD/comments/gonwjd/newly_gerdish/")</f>
        <v/>
      </c>
      <c r="G7455" t="inlineStr">
        <is>
          <t>2020-05-22 10:38:42</t>
        </is>
      </c>
      <c r="H7455" t="inlineStr"/>
    </row>
    <row r="7456">
      <c r="A7456" t="inlineStr">
        <is>
          <t>gopdcy</t>
        </is>
      </c>
      <c r="B7456" t="inlineStr">
        <is>
          <t>Is there a way to determine if a hiatal hernia is the source of my problems without being scoped?</t>
        </is>
      </c>
      <c r="C7456" t="inlineStr">
        <is>
          <t>I am going to get scoped soon anyways, but I'm starting to wonder if a hiatal hernia may be the source of my issues. Are there any telltale signs that I could look for to see if it is indeed a hernia?</t>
        </is>
      </c>
      <c r="D7456" t="n">
        <v>1</v>
      </c>
      <c r="E7456" t="n">
        <v>1</v>
      </c>
      <c r="F7456">
        <f>HYPERLINK("https://www.reddit.com/r/GERD/comments/gopdcy/is_there_a_way_to_determine_if_a_hiatal_hernia_is/")</f>
        <v/>
      </c>
      <c r="G7456" t="inlineStr">
        <is>
          <t>2020-05-22 11:53:18</t>
        </is>
      </c>
      <c r="H7456" t="inlineStr"/>
    </row>
    <row r="7457">
      <c r="A7457" t="inlineStr">
        <is>
          <t>gopmfm</t>
        </is>
      </c>
      <c r="B7457" t="inlineStr">
        <is>
          <t>Canker sore back of throat</t>
        </is>
      </c>
      <c r="C7457" t="inlineStr">
        <is>
          <t>Found a sore in the back of my throat has anyone experienced these when having a flare up?</t>
        </is>
      </c>
      <c r="D7457" t="n">
        <v>1</v>
      </c>
      <c r="E7457" t="n">
        <v>2</v>
      </c>
      <c r="F7457">
        <f>HYPERLINK("https://www.reddit.com/r/GERD/comments/gopmfm/canker_sore_back_of_throat/")</f>
        <v/>
      </c>
      <c r="G7457" t="inlineStr">
        <is>
          <t>2020-05-22 12:06:20</t>
        </is>
      </c>
      <c r="H7457" t="inlineStr"/>
    </row>
    <row r="7458">
      <c r="A7458" t="inlineStr">
        <is>
          <t>goptuj</t>
        </is>
      </c>
      <c r="B7458" t="inlineStr">
        <is>
          <t>PPI Side Effect?</t>
        </is>
      </c>
      <c r="C7458" t="inlineStr">
        <is>
          <t>This is a really weird post, ever since I went on protonix 3 months ago, I’ve had some issues overall with my digestion. At first, my stool was a lot softer and oily (?) looking. I was also super bloated. It seemed to stabilize though as I was on protonix longer and I was okay and felt relatively normal. I chalked it up to starting a new med and changing my diet entirely all at once for GERD. Now, the thing that has stuck around is that I will have a hard time digesting certain foods although this wasn’t an issue before. Example: I cannot eat lettuce anymore without getting diarrhea. Every time I eat lettuce, I end up with diarrhea the next day about 20 hours later. Its like the ‘I have to run to the toilet because my stomach hurts’ type. I can see chunks of lettuce in it (gross I know). 20 hours is a long time later if it was a food allergy and also, it’s just one episode of diarrhea and then done which makes me think it’s not food poisoning. Does anyone had this happening? I never had this problem before in my life until I started on protonix.</t>
        </is>
      </c>
      <c r="D7458" t="n">
        <v>1</v>
      </c>
      <c r="E7458" t="n">
        <v>6</v>
      </c>
      <c r="F7458">
        <f>HYPERLINK("https://www.reddit.com/r/GERD/comments/goptuj/ppi_side_effect/")</f>
        <v/>
      </c>
      <c r="G7458" t="inlineStr">
        <is>
          <t>2020-05-22 12:17:20</t>
        </is>
      </c>
      <c r="H7458" t="inlineStr"/>
    </row>
    <row r="7459">
      <c r="A7459" t="inlineStr">
        <is>
          <t>goqazk</t>
        </is>
      </c>
      <c r="B7459" t="inlineStr">
        <is>
          <t>Could these be symptoms of GERD?</t>
        </is>
      </c>
      <c r="C7459" t="inlineStr">
        <is>
          <t>[21/M]
Hi. Hope you all are doing well. I've this bitter taste in my mouth everytime I wake up and shortness of breath accompanied with frequent yawning inorder to take a good breath. It happens both when I've eaten and not eaten. I also feel this slight heaviness/inflammation in my throat and I don't know why.</t>
        </is>
      </c>
      <c r="D7459" t="n">
        <v>1</v>
      </c>
      <c r="E7459" t="n">
        <v>5</v>
      </c>
      <c r="F7459">
        <f>HYPERLINK("https://www.reddit.com/r/GERD/comments/goqazk/could_these_be_symptoms_of_gerd/")</f>
        <v/>
      </c>
      <c r="G7459" t="inlineStr">
        <is>
          <t>2020-05-22 12:42:51</t>
        </is>
      </c>
      <c r="H7459" t="inlineStr"/>
    </row>
    <row r="7460">
      <c r="A7460" t="inlineStr">
        <is>
          <t>goqmba</t>
        </is>
      </c>
      <c r="B7460" t="inlineStr">
        <is>
          <t>Nissen revision with poor esophageal motility</t>
        </is>
      </c>
      <c r="C7460" t="inlineStr">
        <is>
          <t>Hey I am 32, have had severe GERD my whole life. I had a nissen in 2008 and it has failed. I just saw a surgeon who said that I am a good candidate for a revision due to my severe symptoms, but he doesn’t want me to make a decision lightly, especially because he said I have poor esophageal motility, which makes things more complicated. 
The Nissen held for ~9 years, and worked beautifully, but I still required PPIs due to chronic ulcers.
Has anyone had a revision and feel really strongly one way or the other? 
I feel really frustrated, I will frequently drink water and have it immediately come up again, and I’ve aspirated stomach acid a few times which sucks.</t>
        </is>
      </c>
      <c r="D7460" t="n">
        <v>1</v>
      </c>
      <c r="E7460" t="n">
        <v>0</v>
      </c>
      <c r="F7460">
        <f>HYPERLINK("https://www.reddit.com/r/GERD/comments/goqmba/nissen_revision_with_poor_esophageal_motility/")</f>
        <v/>
      </c>
      <c r="G7460" t="inlineStr">
        <is>
          <t>2020-05-22 13:00:05</t>
        </is>
      </c>
      <c r="H7460" t="inlineStr"/>
    </row>
    <row r="7461">
      <c r="A7461" t="inlineStr">
        <is>
          <t>gor9bk</t>
        </is>
      </c>
      <c r="B7461" t="inlineStr">
        <is>
          <t>H pylori</t>
        </is>
      </c>
      <c r="C7461" t="inlineStr">
        <is>
          <t>Hey guys. Need some help, I am being tested for H pylori soon and I have had issues with acid reflux and indigestion in the last 4-5 weeks. I had been on omneprazole, and it worked to an extent, as I came off it and I didn't have any acid reflux at night for several days, although I only got 6hr sleep per night. I had been trying OMAD last couple of days, but out of complacency last night I had a big meal, a curry (mildly spicy), and the acid reflux came back in the middle of the night. (I think it was to do with having a big meal as opposed to the OMAD, and I had my meal about 8pm, went to sleep at 12) The thing is though I do feel OMAD does help me. For example today I had two meals and the reflux feels worse. The reason I was doing OMAD was to prevent acid reflux rather than Lose weight, as I am already skinny. Although OMAD helps with the reflux it doesn't help me maintain my low weight or boost it. So would like advice how to maintain weight on OMAD.  
Also doctor has asked for an H Pylori test, although I am certain about not having it as I have not really had symptoms like sharp abdominal pain, nausea or vomiting, mainly indigestion and gas and occasional burping. The thing lets say I do test positive, will OMAD diet cause some damage? Would appreciate some support.</t>
        </is>
      </c>
      <c r="D7461" t="n">
        <v>1</v>
      </c>
      <c r="E7461" t="n">
        <v>0</v>
      </c>
      <c r="F7461">
        <f>HYPERLINK("https://www.reddit.com/r/GERD/comments/gor9bk/h_pylori/")</f>
        <v/>
      </c>
      <c r="G7461" t="inlineStr">
        <is>
          <t>2020-05-22 13:34:23</t>
        </is>
      </c>
      <c r="H7461" t="inlineStr"/>
    </row>
    <row r="7462">
      <c r="A7462" t="inlineStr">
        <is>
          <t>gorcyt</t>
        </is>
      </c>
      <c r="B7462" t="inlineStr">
        <is>
          <t>Nasal congestion - triggers?</t>
        </is>
      </c>
      <c r="C7462" t="inlineStr">
        <is>
          <t>Has anybody found what foods can make their nose congested? I'm really sick of this but cannot find my triggers.</t>
        </is>
      </c>
      <c r="D7462" t="n">
        <v>1</v>
      </c>
      <c r="E7462" t="n">
        <v>1</v>
      </c>
      <c r="F7462">
        <f>HYPERLINK("https://www.reddit.com/r/GERD/comments/gorcyt/nasal_congestion_triggers/")</f>
        <v/>
      </c>
      <c r="G7462" t="inlineStr">
        <is>
          <t>2020-05-22 13:40:05</t>
        </is>
      </c>
      <c r="H7462" t="inlineStr"/>
    </row>
    <row r="7463">
      <c r="A7463" t="inlineStr">
        <is>
          <t>gorpsi</t>
        </is>
      </c>
      <c r="B7463" t="inlineStr">
        <is>
          <t>Esophagitis and Dicyclomine</t>
        </is>
      </c>
      <c r="C7463" t="inlineStr">
        <is>
          <t>I read that you shouldn’t use this for Reflux Esophagitis, which i have. Doc has me on 30mg lansoprazole 2x a day.  
Dying in pain please help.</t>
        </is>
      </c>
      <c r="D7463" t="n">
        <v>1</v>
      </c>
      <c r="E7463" t="n">
        <v>12</v>
      </c>
      <c r="F7463">
        <f>HYPERLINK("https://www.reddit.com/r/GERD/comments/gorpsi/esophagitis_and_dicyclomine/")</f>
        <v/>
      </c>
      <c r="G7463" t="inlineStr">
        <is>
          <t>2020-05-22 13:59:48</t>
        </is>
      </c>
      <c r="H7463" t="inlineStr"/>
    </row>
    <row r="7464">
      <c r="A7464" t="inlineStr">
        <is>
          <t>goudlg</t>
        </is>
      </c>
      <c r="B7464" t="inlineStr">
        <is>
          <t>How to fight reflux episodes in the act?</t>
        </is>
      </c>
      <c r="C7464" t="inlineStr">
        <is>
          <t>Hello I did everything wrong. I eat grassy heavy food before bed... I am now experiencing severe reflux to the pot I can’t even sleep because I feel how the esophagus opens and reflux comes out...
How can I fight this now?
Note: I started drinking apple cider vinegar as a treatment a few weeks ago.</t>
        </is>
      </c>
      <c r="D7464" t="n">
        <v>1</v>
      </c>
      <c r="E7464" t="n">
        <v>3</v>
      </c>
      <c r="F7464">
        <f>HYPERLINK("https://www.reddit.com/r/GERD/comments/goudlg/how_to_fight_reflux_episodes_in_the_act/")</f>
        <v/>
      </c>
      <c r="G7464" t="inlineStr">
        <is>
          <t>2020-05-22 16:33:29</t>
        </is>
      </c>
      <c r="H7464" t="inlineStr"/>
    </row>
    <row r="7465">
      <c r="A7465" t="inlineStr">
        <is>
          <t>gouf7d</t>
        </is>
      </c>
      <c r="B7465" t="inlineStr">
        <is>
          <t>Can GERD/LPR get bad enough to need to go to the hospital?</t>
        </is>
      </c>
      <c r="C7465" t="inlineStr">
        <is>
          <t>I’ve been getting reflux into my throat, mouth, and sinuses for hours now. It’s painful and very uncomfortable, causing dripping down my throat, congestion, etc. After a few hours of this I’m feeling pretty light headed and “off”. My parents are suggesting I go to the hospital but I’m not sure they can even do anything. Is it possible to get so bad you need to go to the hospital??</t>
        </is>
      </c>
      <c r="D7465" t="n">
        <v>1</v>
      </c>
      <c r="E7465" t="n">
        <v>9</v>
      </c>
      <c r="F7465">
        <f>HYPERLINK("https://www.reddit.com/r/GERD/comments/gouf7d/can_gerdlpr_get_bad_enough_to_need_to_go_to_the/")</f>
        <v/>
      </c>
      <c r="G7465" t="inlineStr">
        <is>
          <t>2020-05-22 16:36:07</t>
        </is>
      </c>
      <c r="H7465" t="inlineStr"/>
    </row>
    <row r="7466">
      <c r="A7466" t="inlineStr">
        <is>
          <t>gov1af</t>
        </is>
      </c>
      <c r="B7466" t="inlineStr">
        <is>
          <t>Waking up gagging</t>
        </is>
      </c>
      <c r="C7466" t="inlineStr">
        <is>
          <t>Hello! I'm new here and I've had GERD problems for a while (most likely due to the fact that I have Ehlers Danlos Syndrome), but recently I have been having a ton of stomach issues and was diagnosed with gastritis. I used to occasionally wake up gagging and attributed it to my acid reflux, but it's happened twice in the last week. Do you guys have this happen too? My throat also just feels tight a lot of the time. It's not so much that my stomach is upset, but it feels like my whole esophagus is irritated and tensed. I've read the symptoms and none of them have really mentioned gagging. Is that something any of you have experienced with GERD?</t>
        </is>
      </c>
      <c r="D7466" t="n">
        <v>1</v>
      </c>
      <c r="E7466" t="n">
        <v>14</v>
      </c>
      <c r="F7466">
        <f>HYPERLINK("https://www.reddit.com/r/GERD/comments/gov1af/waking_up_gagging/")</f>
        <v/>
      </c>
      <c r="G7466" t="inlineStr">
        <is>
          <t>2020-05-22 17:13:56</t>
        </is>
      </c>
      <c r="H7466" t="inlineStr"/>
    </row>
    <row r="7467">
      <c r="A7467" t="inlineStr">
        <is>
          <t>govpwi</t>
        </is>
      </c>
      <c r="B7467" t="inlineStr">
        <is>
          <t>Worst symptom...what causes it?</t>
        </is>
      </c>
      <c r="C7467" t="inlineStr">
        <is>
          <t>Shortness of breath/air hunger/not being able to inhale satisfactorily. I’ve read a few things about it but wondering what’s y’all’s take on what causes it? Is it one thing or might it be different for different people?
Did using PPIs/healing your ulcers/inflammation fix it? 
Thanks for any input!</t>
        </is>
      </c>
      <c r="D7467" t="n">
        <v>1</v>
      </c>
      <c r="E7467" t="n">
        <v>23</v>
      </c>
      <c r="F7467">
        <f>HYPERLINK("https://www.reddit.com/r/GERD/comments/govpwi/worst_symptomwhat_causes_it/")</f>
        <v/>
      </c>
      <c r="G7467" t="inlineStr">
        <is>
          <t>2020-05-22 17:58:24</t>
        </is>
      </c>
      <c r="H7467" t="inlineStr"/>
    </row>
    <row r="7468">
      <c r="A7468" t="inlineStr">
        <is>
          <t>gowhva</t>
        </is>
      </c>
      <c r="B7468" t="inlineStr">
        <is>
          <t>Forcing myself to vomit when I have really bad reflux in my throat?</t>
        </is>
      </c>
      <c r="C7468" t="inlineStr">
        <is>
          <t>Does anyone else do this? Sometimes it’s unbearable and I need to get it out. I’m in so much pain right now.</t>
        </is>
      </c>
      <c r="D7468" t="n">
        <v>1</v>
      </c>
      <c r="E7468" t="n">
        <v>3</v>
      </c>
      <c r="F7468">
        <f>HYPERLINK("https://www.reddit.com/r/GERD/comments/gowhva/forcing_myself_to_vomit_when_i_have_really_bad/")</f>
        <v/>
      </c>
      <c r="G7468" t="inlineStr">
        <is>
          <t>2020-05-22 18:50:48</t>
        </is>
      </c>
      <c r="H7468" t="inlineStr"/>
    </row>
    <row r="7469">
      <c r="A7469" t="inlineStr">
        <is>
          <t>gowl1n</t>
        </is>
      </c>
      <c r="B7469" t="inlineStr">
        <is>
          <t>Is this GERD or not?</t>
        </is>
      </c>
      <c r="C7469" t="inlineStr">
        <is>
          <t>Over the past two weeks I’ve been feeling this uncomfortable burning sensation in my esophagus. It’s pretty mild but lately I’ve been feeling it about twice or more times a week. I’m wondering if it’s serious and if I should go see the doctor about it..</t>
        </is>
      </c>
      <c r="D7469" t="n">
        <v>1</v>
      </c>
      <c r="E7469" t="n">
        <v>5</v>
      </c>
      <c r="F7469">
        <f>HYPERLINK("https://www.reddit.com/r/GERD/comments/gowl1n/is_this_gerd_or_not/")</f>
        <v/>
      </c>
      <c r="G7469" t="inlineStr">
        <is>
          <t>2020-05-22 18:56:38</t>
        </is>
      </c>
      <c r="H7469" t="inlineStr"/>
    </row>
    <row r="7470">
      <c r="A7470" t="inlineStr">
        <is>
          <t>gowrz7</t>
        </is>
      </c>
      <c r="B7470" t="inlineStr">
        <is>
          <t>Non medicine help</t>
        </is>
      </c>
      <c r="C7470" t="inlineStr">
        <is>
          <t>Does anybody know of anyway to stop gerd symptoms without taking medication like any natural remedies I guess</t>
        </is>
      </c>
      <c r="D7470" t="n">
        <v>1</v>
      </c>
      <c r="E7470" t="n">
        <v>15</v>
      </c>
      <c r="F7470">
        <f>HYPERLINK("https://www.reddit.com/r/GERD/comments/gowrz7/non_medicine_help/")</f>
        <v/>
      </c>
      <c r="G7470" t="inlineStr">
        <is>
          <t>2020-05-22 19:09:32</t>
        </is>
      </c>
      <c r="H7470" t="inlineStr"/>
    </row>
    <row r="7471">
      <c r="A7471" t="inlineStr">
        <is>
          <t>gox4dl</t>
        </is>
      </c>
      <c r="B7471" t="inlineStr">
        <is>
          <t>Prilosec Stomach Pains</t>
        </is>
      </c>
      <c r="C7471" t="inlineStr">
        <is>
          <t>I recently have been out on Prilosec but I’m noticing more stomach pains and metallic taste in my mouth than I was used to. Anyone else have this issues. I have been eating hemp gummies to deal with stress not CBD.</t>
        </is>
      </c>
      <c r="D7471" t="n">
        <v>1</v>
      </c>
      <c r="E7471" t="n">
        <v>3</v>
      </c>
      <c r="F7471">
        <f>HYPERLINK("https://www.reddit.com/r/GERD/comments/gox4dl/prilosec_stomach_pains/")</f>
        <v/>
      </c>
      <c r="G7471" t="inlineStr">
        <is>
          <t>2020-05-22 19:33:26</t>
        </is>
      </c>
      <c r="H7471" t="inlineStr"/>
    </row>
    <row r="7472">
      <c r="A7472" t="inlineStr">
        <is>
          <t>goxemk</t>
        </is>
      </c>
      <c r="B7472" t="inlineStr">
        <is>
          <t>Debilitating GERD. Need help coping.</t>
        </is>
      </c>
      <c r="C7472" t="inlineStr">
        <is>
          <t>Hello everyone. I have been pondering on the thought of posting this for a very long time, and I finally decided to do it because I really need some advice and/or reassurance. I can't take this anymore. 
First a little background. 
I've had GERD for most of my life, although never properly diagnosed. See, I have always had symptoms relating to this, and I only got it checked out when it flared up, and although I had doctors tell me on several occasions I have GERD, I never got it properly checked out. 
But my GERD has got a LOT worse as of late. It all started about 2 months ago when I hung out with a friend and really didn't take care of my health at all, and let my GERD flare up pretty badly. To my dismay, it hasn't let up.
And although kinda lacking on some trademark symptoms such as heartburn (which I get, but not as bad as my throat pain would suggest) or night reflux (which, again, I also get, though I notice mostly in the morning, but I have never woken up from reflux), I am still pretty confident it's acid reflux. 
CHRONIC burping, pain in throat/esophagus. Throat tightness and globus sensation. Post nasal drip. Terribly dry throat. I have always been adept to singing and rapping and just overall using my voice, but now I have to limit how much I talk throughout the day because of how easily it wears out. I also started on measuring not only what I eat but how much I eat. Yet, it doesn't matter how much I limit my food intake or posture, the relief from it is at best barely noticeable, and at worse, not noticeable at all. 
Now I am waiting on my appointment with my GI doctor since the ENT just keeps telling me it's most likely GERD (which I never believed because of the oddity of my symptoms and how disconnected they feel from my stomach, which mainly were postnasal drip and throat tightness)
It's been really hard on my mental health and not only do I need advice on how to aid my mental health, but also on what to expect moving forward and if surgery will be my best alternative. Also worthy of noting, I have been given Omeprazole 20mg and it does ABSOLUTELY NOTHING lol.
I'm honestly at a loss here and, again, would very much appreciate some advice or encouragement.
Thank you everyone to this beautiful community from a longtime lurker for your time and hospitality.</t>
        </is>
      </c>
      <c r="D7472" t="n">
        <v>1</v>
      </c>
      <c r="E7472" t="n">
        <v>23</v>
      </c>
      <c r="F7472">
        <f>HYPERLINK("https://www.reddit.com/r/GERD/comments/goxemk/debilitating_gerd_need_help_coping/")</f>
        <v/>
      </c>
      <c r="G7472" t="inlineStr">
        <is>
          <t>2020-05-22 19:53:08</t>
        </is>
      </c>
      <c r="H7472" t="inlineStr"/>
    </row>
    <row r="7473">
      <c r="A7473" t="inlineStr">
        <is>
          <t>goy6ea</t>
        </is>
      </c>
      <c r="B7473" t="inlineStr">
        <is>
          <t>Interesting symptom I have here im not sure if its the gerd or something more serious but I seem to have shortness of breath after eating.</t>
        </is>
      </c>
      <c r="C7473" t="inlineStr">
        <is>
          <t>Omeprazole has definitely been helping with the burning chest and throat but I still seem to have symptoms that just don't go away...i think its time for an endoscopy which i have a great fear of.. anyone else get this?</t>
        </is>
      </c>
      <c r="D7473" t="n">
        <v>1</v>
      </c>
      <c r="E7473" t="n">
        <v>4</v>
      </c>
      <c r="F7473">
        <f>HYPERLINK("https://www.reddit.com/r/GERD/comments/goy6ea/interesting_symptom_i_have_here_im_not_sure_if/")</f>
        <v/>
      </c>
      <c r="G7473" t="inlineStr">
        <is>
          <t>2020-05-22 20:47:52</t>
        </is>
      </c>
      <c r="H7473" t="inlineStr"/>
    </row>
    <row r="7474">
      <c r="A7474" t="inlineStr">
        <is>
          <t>goyujj</t>
        </is>
      </c>
      <c r="B7474" t="inlineStr">
        <is>
          <t>Should I be Worried - Heartburn coming back</t>
        </is>
      </c>
      <c r="C7474" t="inlineStr">
        <is>
          <t>So I have a hiatal hernia and for the most part it doesnt bother me other than heartburn a couple times a year (mostly holidays with over eating). Anwyays I got a bad sinus cold (not covid) and was coughing lots. I think it loosened my LES up cause I began to get heartburn and off over the past couple months. Anyways I've been feeling better so I decided to try chocolate cookies... not a good idea. After this felt my throat began to feel tight and itchy. I also began to feel nauseous on and off through the day. I've been eating clean the past few days as well as taking Pepcid AC and gaviscon. It's gotten better but still feel some heartburn and burping. Should I be worried?? I know if I consult with a doctor right now nothing is going to happen</t>
        </is>
      </c>
      <c r="D7474" t="n">
        <v>1</v>
      </c>
      <c r="E7474" t="n">
        <v>3</v>
      </c>
      <c r="F7474">
        <f>HYPERLINK("https://www.reddit.com/r/GERD/comments/goyujj/should_i_be_worried_heartburn_coming_back/")</f>
        <v/>
      </c>
      <c r="G7474" t="inlineStr">
        <is>
          <t>2020-05-22 21:36:34</t>
        </is>
      </c>
      <c r="H7474" t="inlineStr"/>
    </row>
    <row r="7475">
      <c r="A7475" t="inlineStr">
        <is>
          <t>goz60p</t>
        </is>
      </c>
      <c r="B7475" t="inlineStr">
        <is>
          <t>My doctors visit today</t>
        </is>
      </c>
      <c r="C7475" t="inlineStr">
        <is>
          <t>So, a little background on myself:
From around age 3-18 I was a healthy weight, was regularly active, ate relatively healthy but I dealt with allergies, I would throw up and get upset stomach/stomach pain, I snored and also would grind my teeth at night. I was told I had IBS, and was given smooth muscle relaxers to help if my symptoms were bad. I also began having some anxiety related issues.
Ages 19-22 I put on weight (30 pounds overweight - yay college), and continued having the same issues noted above, except I would deal with shortness of breath and such in the spring and fall. I ended up just assuming it was allergy related and the fact that I was gaining weight/out of shape.
Ages 23-27 I put on more weight (now 100 pounds overweight) after trying Lexapro, and also making poor lifestyle choices. During this time, anytime I had a respiratory infection, I dealt with shortness of breath, a cough, and I’d lose my voice. All of these symptoms lasting at least a month. Most of the respiratory infections happened in the fall/winter/spring, but I did have one in the middle of July once. At age 25, I requested to have a sleep study done to see if I had apnea. I tested negative, but my doctor suggested maybe silent reflux accounted for my snoring. Now, at 27, a nurse practitioner suggested that the shortness of breath/coughing that I’ve been experiencing for years may be allergy related asthma, so I go on an inhaler. Today, I asked to be seen to see if there’s anything else I can try because this current inhaler isn’t helping much, and the new doctor said that my shortness of breath/cough is GERD related. 
The doctor today also said my allergies “aren’t as bad as they’ve been made out to be” and the symptoms may be GERD related. Now, I know that’s probably not entirely true because I just got done completely cleaning myself after being around dogs and my eyes are just now finally starting to feel some relief, but have any of you navigated something similar? 
I have a few other questions:
How do you know what’s allergy/asthma and what’s GERD? 
Do you see a gastroenterologist?
Have any of you dealt with digestive issues since childhood and what have you been able to find relief?</t>
        </is>
      </c>
      <c r="D7475" t="n">
        <v>1</v>
      </c>
      <c r="E7475" t="n">
        <v>1</v>
      </c>
      <c r="F7475">
        <f>HYPERLINK("https://www.reddit.com/r/GERD/comments/goz60p/my_doctors_visit_today/")</f>
        <v/>
      </c>
      <c r="G7475" t="inlineStr">
        <is>
          <t>2020-05-22 22:02:09</t>
        </is>
      </c>
      <c r="H7475" t="inlineStr"/>
    </row>
    <row r="7476">
      <c r="A7476" t="inlineStr">
        <is>
          <t>gozibv</t>
        </is>
      </c>
      <c r="B7476" t="inlineStr">
        <is>
          <t>Sensation of needing to burp but cant</t>
        </is>
      </c>
      <c r="C7476" t="inlineStr">
        <is>
          <t>Does anyone else experience this??? I get it all the time and its super annoying. I'm wondering if anyone else has this and or can explain the science behind it. Cheers</t>
        </is>
      </c>
      <c r="D7476" t="n">
        <v>1</v>
      </c>
      <c r="E7476" t="n">
        <v>23</v>
      </c>
      <c r="F7476">
        <f>HYPERLINK("https://www.reddit.com/r/GERD/comments/gozibv/sensation_of_needing_to_burp_but_cant/")</f>
        <v/>
      </c>
      <c r="G7476" t="inlineStr">
        <is>
          <t>2020-05-22 22:30:17</t>
        </is>
      </c>
      <c r="H7476" t="inlineStr"/>
    </row>
    <row r="7477">
      <c r="A7477" t="inlineStr">
        <is>
          <t>gozirs</t>
        </is>
      </c>
      <c r="B7477" t="inlineStr">
        <is>
          <t>What may have caused my GERD</t>
        </is>
      </c>
      <c r="C7477" t="inlineStr">
        <is>
          <t>I dug a hole through hard ironstone and straight after my whole throat went numb and felt like i needed to clear it at all times. Docs said I have hiatal hernia. Could the work I was doing have triggered this?</t>
        </is>
      </c>
      <c r="D7477" t="n">
        <v>1</v>
      </c>
      <c r="E7477" t="n">
        <v>2</v>
      </c>
      <c r="F7477">
        <f>HYPERLINK("https://www.reddit.com/r/GERD/comments/gozirs/what_may_have_caused_my_gerd/")</f>
        <v/>
      </c>
      <c r="G7477" t="inlineStr">
        <is>
          <t>2020-05-22 22:31:20</t>
        </is>
      </c>
      <c r="H7477" t="inlineStr"/>
    </row>
    <row r="7478">
      <c r="A7478" t="inlineStr">
        <is>
          <t>gp0jq3</t>
        </is>
      </c>
      <c r="B7478" t="inlineStr">
        <is>
          <t>What are your favorite places to eat out at?</t>
        </is>
      </c>
      <c r="C7478" t="inlineStr">
        <is>
          <t>I’m super hungry right now and fantasizing about food. Having gerd limits me a lot but I still like having sandwiches (from Subway or Jersey Mikes) when I go out and also unseasoned ahi fish tacos!
What are your go to places? It can be a chain restaurant or a local one. Just curious to hear what other people eat when they’re not at home (:</t>
        </is>
      </c>
      <c r="D7478" t="n">
        <v>1</v>
      </c>
      <c r="E7478" t="n">
        <v>9</v>
      </c>
      <c r="F7478">
        <f>HYPERLINK("https://www.reddit.com/r/GERD/comments/gp0jq3/what_are_your_favorite_places_to_eat_out_at/")</f>
        <v/>
      </c>
      <c r="G7478" t="inlineStr">
        <is>
          <t>2020-05-23 00:02:33</t>
        </is>
      </c>
      <c r="H7478" t="inlineStr"/>
    </row>
    <row r="7479">
      <c r="A7479" t="inlineStr">
        <is>
          <t>gp0t61</t>
        </is>
      </c>
      <c r="B7479" t="inlineStr">
        <is>
          <t>Linx procedure</t>
        </is>
      </c>
      <c r="C7479" t="inlineStr">
        <is>
          <t>Has anybody had the linx procedure done and if so is it worth it how effective is it and what are the downsides</t>
        </is>
      </c>
      <c r="D7479" t="n">
        <v>1</v>
      </c>
      <c r="E7479" t="n">
        <v>1</v>
      </c>
      <c r="F7479">
        <f>HYPERLINK("https://www.reddit.com/r/GERD/comments/gp0t61/linx_procedure/")</f>
        <v/>
      </c>
      <c r="G7479" t="inlineStr">
        <is>
          <t>2020-05-23 00:26:18</t>
        </is>
      </c>
      <c r="H7479" t="inlineStr"/>
    </row>
    <row r="7480">
      <c r="A7480" t="inlineStr">
        <is>
          <t>gp0u9i</t>
        </is>
      </c>
      <c r="B7480" t="inlineStr">
        <is>
          <t>Switching from omeprazole to protonix?</t>
        </is>
      </c>
      <c r="C7480" t="inlineStr">
        <is>
          <t>I've had suspected reflux for a while now, with symptoms worsening about 14 months ago.  At that point I started omeprazole 20mg and it seemed to help control some nausea but didn't seem to come close to fully helping my symptoms.  But, because I thought it was better than nothing, I stayed on it.
Over the past year my symptoms have been escalating and reached an all-time high 2 months ago.  What started as frequent throat clearing became a full-blown cough that hasn't gone away in 10 weeks.  I actually thought I had covid, but since it's lasted so long, I'm guessing it was reflux-related from the start.  I've also struggled a lot with shortness of breath as my other main symptom.  Sore throats and bloated feeling come and go.  \[It's also worth noting that throughout this time I've been avoiding trigger foods, not laying down right after eating, etc.  I'm also a healthy weight\].
When the cough started 10 weeks ago, I went up to 40mg omeprazole per my primary care doctor's orders.  I'd actually tried the 40 dose a couple times previously but didn't notice any improvement so had gone back down to 20mg.  But, given the severity of my symptoms, I figured why not try again.  Unfortunately it hasn't seemed to help this time either. 
I had a virtual appt with my GI doc last week and he said it sounds like LPR/silent reflux, since I have the cough and breathing issues but have never had the classic heartburn symptom.  He wants me to switch from the omeprazole to 40mg of protonix, as he said the protonix is stronger somehow?  I'm having a hard time getting insurance to cover it so it may not happen, but I'm hoping to have the chance to give it a try.  I'm just curious to see if anyone here has had success switching to protonix from omeprazole?  Since the medicines are in the same class I don't have high hopes that one would help significantly more than the other, but my doc seems to think protonix could be a lot better.  I'm interested to hear about all of your experiences!</t>
        </is>
      </c>
      <c r="D7480" t="n">
        <v>1</v>
      </c>
      <c r="E7480" t="n">
        <v>2</v>
      </c>
      <c r="F7480">
        <f>HYPERLINK("https://www.reddit.com/r/GERD/comments/gp0u9i/switching_from_omeprazole_to_protonix/")</f>
        <v/>
      </c>
      <c r="G7480" t="inlineStr">
        <is>
          <t>2020-05-23 00:29:18</t>
        </is>
      </c>
      <c r="H7480" t="inlineStr"/>
    </row>
    <row r="7481">
      <c r="A7481" t="inlineStr">
        <is>
          <t>gp0zv7</t>
        </is>
      </c>
      <c r="B7481" t="inlineStr">
        <is>
          <t>something's happening in my throat. I don't know what to do</t>
        </is>
      </c>
      <c r="C7481" t="inlineStr">
        <is>
          <t>After changing my daily habit and diet, I've seen a lot of improvement in my symptoms (sore throat and chronic cough)
But the problem is... Few days ago, Somebody told me that Aloe vera is really good for healing esophagus 
So I took a little glass of aloe vera juice and experienced globus pharyngenus (irritating feeling inside my throat). Well I can't get it. I've seen a lot of stories about positive effects of aloe related to Gerd.  
But.. why do I have to get some new symptoms like globus pharyngenus... ;(     
Does anyone have same experience with me?</t>
        </is>
      </c>
      <c r="D7481" t="n">
        <v>1</v>
      </c>
      <c r="E7481" t="n">
        <v>11</v>
      </c>
      <c r="F7481">
        <f>HYPERLINK("https://www.reddit.com/r/GERD/comments/gp0zv7/somethings_happening_in_my_throat_i_dont_know/")</f>
        <v/>
      </c>
      <c r="G7481" t="inlineStr">
        <is>
          <t>2020-05-23 00:44:08</t>
        </is>
      </c>
      <c r="H7481" t="inlineStr"/>
    </row>
    <row r="7482">
      <c r="A7482" t="inlineStr">
        <is>
          <t>gp1prg</t>
        </is>
      </c>
      <c r="B7482" t="inlineStr">
        <is>
          <t>Extreme trapped gas pains.</t>
        </is>
      </c>
      <c r="C7482" t="inlineStr">
        <is>
          <t>Hello everyone. For about a few months now, I’ve been dealing with constant burping, heartburn, stomach pains , trapped gas etc. I’m a 19F. Whenever I would experience intense periods of stress, I would have acute gastritis. My diet is pretty crappy as I tend to binge on junk foods. I’m worried this will get worse. I can’t go see a  doctor because of the coronavirus. Should I start eating bland foods?</t>
        </is>
      </c>
      <c r="D7482" t="n">
        <v>1</v>
      </c>
      <c r="E7482" t="n">
        <v>3</v>
      </c>
      <c r="F7482">
        <f>HYPERLINK("https://www.reddit.com/r/GERD/comments/gp1prg/extreme_trapped_gas_pains/")</f>
        <v/>
      </c>
      <c r="G7482" t="inlineStr">
        <is>
          <t>2020-05-23 01:54:34</t>
        </is>
      </c>
      <c r="H7482" t="inlineStr"/>
    </row>
    <row r="7483">
      <c r="A7483" t="inlineStr">
        <is>
          <t>gp59wc</t>
        </is>
      </c>
      <c r="B7483" t="inlineStr">
        <is>
          <t>LPR and sinuses</t>
        </is>
      </c>
      <c r="C7483" t="inlineStr">
        <is>
          <t>23M, quite lean and active. I've always had a runny nose when waking up in the morning. LPR symptoms started appearing in Jan when I found myself constantly clearing my throat and soreness, but no heartburn. Visited an ENT in April but couldn't get an endoscopy due to restrictions brought about by covid. Was prescribed Omeprazole but it didn't do anything. Tried d-limonene, acidophilus, probiotics... didn't help much as well. Just had a follow up appointment yesterday, finally got a nasoendoscopy done. Specialist remarked that were no abnormalities, just an inflamed larynx. I think the test made my nose and throat really sore and gave me a headache. Was also given Esomeprazole and Nasacort this time round, but I'm skeptical of PPI's, considering the risks of its overuse. LPR has really eroded my quality of life.</t>
        </is>
      </c>
      <c r="D7483" t="n">
        <v>1</v>
      </c>
      <c r="E7483" t="n">
        <v>1</v>
      </c>
      <c r="F7483">
        <f>HYPERLINK("https://www.reddit.com/r/GERD/comments/gp59wc/lpr_and_sinuses/")</f>
        <v/>
      </c>
      <c r="G7483" t="inlineStr">
        <is>
          <t>2020-05-23 06:53:10</t>
        </is>
      </c>
      <c r="H7483" t="inlineStr"/>
    </row>
    <row r="7484">
      <c r="A7484" t="inlineStr">
        <is>
          <t>gp6wsd</t>
        </is>
      </c>
      <c r="B7484" t="inlineStr">
        <is>
          <t>Ginger Tea for LPR? Results?</t>
        </is>
      </c>
      <c r="C7484" t="inlineStr">
        <is>
          <t>Just bought some Yogi Pure Ginger Tea and some raw organic honey. Hoping this helps, anyone see results this way!</t>
        </is>
      </c>
      <c r="D7484" t="n">
        <v>1</v>
      </c>
      <c r="E7484" t="n">
        <v>23</v>
      </c>
      <c r="F7484">
        <f>HYPERLINK("https://www.reddit.com/r/GERD/comments/gp6wsd/ginger_tea_for_lpr_results/")</f>
        <v/>
      </c>
      <c r="G7484" t="inlineStr">
        <is>
          <t>2020-05-23 08:34:00</t>
        </is>
      </c>
      <c r="H7484" t="inlineStr"/>
    </row>
    <row r="7485">
      <c r="A7485" t="inlineStr">
        <is>
          <t>gp9snl</t>
        </is>
      </c>
      <c r="B7485" t="inlineStr">
        <is>
          <t>Desserts that you can tolerate?</t>
        </is>
      </c>
      <c r="C7485" t="inlineStr">
        <is>
          <t>Heard frozen yogurt? Sorbet?</t>
        </is>
      </c>
      <c r="D7485" t="n">
        <v>1</v>
      </c>
      <c r="E7485" t="n">
        <v>30</v>
      </c>
      <c r="F7485">
        <f>HYPERLINK("https://www.reddit.com/r/GERD/comments/gp9snl/desserts_that_you_can_tolerate/")</f>
        <v/>
      </c>
      <c r="G7485" t="inlineStr">
        <is>
          <t>2020-05-23 11:21:31</t>
        </is>
      </c>
      <c r="H7485" t="inlineStr"/>
    </row>
    <row r="7486">
      <c r="A7486" t="inlineStr">
        <is>
          <t>gp9ywn</t>
        </is>
      </c>
      <c r="B7486" t="inlineStr">
        <is>
          <t>LPR/silent reflux/sinus problem? I feel like it rules my life</t>
        </is>
      </c>
      <c r="C7486" t="inlineStr">
        <is>
          <t>I randomly woke up with the feeling of post nasal drip last December. Thought it was just me getting sick so I ignored it. Then a month passed and I went to immediate care, doctor told me it was allergies and prescribed me 60 mgs of steroids tapering down. I thought that was crazy and scheduled an appt. with my primary. Wait time? 3 months. Okay whatever maybe it will go away by then. 
So I waited for the appointment and my symptoms never budged. There were maybe 2 or 3 mornings where I woke up with absolutely nothing wrong- it felt like a miracle for those 10 minutes or so, then that mucus sensation right behind my nose came creeping back. I go to my primary and he doesn’t have a clue- he just said that my nasal passages and the back of my throat looked irritated- so he referred me to an ENT. 
The ENT wanted to do a virtual appointment because of the virus, so I agreed and we set up an appointment. After I told him what was going on he immediately said it was LPR and put me on 40 mgs of omeprazole for 30 days-he told me to follow the acid diet and then do another virtual appointment. So I took the omeprazole for 2 weeks and it made me feel very strange-headaches, intense fatigue, etc. - so I stopped taking it and continued with the diet. (The no coffee part was honestly so hard). 
I called the ENT after I stopped taking the omeprazole to let him know and he was irritated about it when I told him, but told me to just continue the diet. 
I go back to him for another virtual appointment a month with no improvement. It honestly felt worse, I don’t know if that is because I have gotten so frustrated with the sensation of post nasal drip/nose clearing and that I just can’t take it anymore- or if it has actually gotten worse. I also have now at this point been having some upper jaw pain too. 
Anyways, he tells me to come in person the following week for an endoscopy to see. So I go in, get the scope (he was a dick the entire time) and he basically tells me he sees nothing wrong and then tells me that he’s going to refer me to a psychiatrist to see if anti anxiety medication is the better route. But then he says that he still wants me to do the x-ray swallow thing too. Oh and apparently my jaw pain is teeth grinding because to him, that is the only cause for jaw pain (I have never ground my teeth in my sleep-confirmed by friends and family). I get frustrated and ask him, well which is it? My anxiety causing it or a genuine issue? he just was an asshole the entire time. So I just cried and left after I signed all the papers, it was overwhelming. I know that is probably dramatic but it’s just hard when you feel so shitty all of the time. 
I have situational anxiety, but not chronic. This is a situation that has, naturally, caused me anxiety. But I don’t have anxiety to the point where I think i would benefit from treatment. I know he’s just trying to help but he was so arrogant and frustrated the entire appointment. He got irritated every time I asked a question and seemed so unwilling to help me. It was like, me asking a question was somehow questioning him authority and offending him. The whole appointment was so fucking weird. 
I was upset, so i decided to get a 2nd opinion, so I went to another doctor (she was able to get me in quickly) and she told me that she thinks it is a chronic bacterial sinus infection. She pointed out that my nasal passages and red and inflamed (yet the ENT said he saw nothing with a scope) So I am now taking 875 mgs of amox-clav twice a day for the next 10 days. 
I am at such a loss as to what it is. LPR? Sinus infection? I can only remember a handful of times where I’ve ever had heart burn symptoms. I’m also a 19 year old girl and it’s just upsetting that this is happening, like what’s wrong with me? You know? It just has made my quality of life spiral downwards and I have been so beyond depressed.</t>
        </is>
      </c>
      <c r="D7486" t="n">
        <v>1</v>
      </c>
      <c r="E7486" t="n">
        <v>19</v>
      </c>
      <c r="F7486">
        <f>HYPERLINK("https://www.reddit.com/r/GERD/comments/gp9ywn/lprsilent_refluxsinus_problem_i_feel_like_it/")</f>
        <v/>
      </c>
      <c r="G7486" t="inlineStr">
        <is>
          <t>2020-05-23 11:31:03</t>
        </is>
      </c>
      <c r="H7486" t="inlineStr"/>
    </row>
    <row r="7487">
      <c r="A7487" t="inlineStr">
        <is>
          <t>gpad97</t>
        </is>
      </c>
      <c r="B7487" t="inlineStr">
        <is>
          <t>Dealing with burnt oesophagus ?</t>
        </is>
      </c>
      <c r="C7487" t="inlineStr">
        <is>
          <t>Hi guys,
So I have been naughty and drunk a bit too often last week. So here I am now, after dealing with bad bowel movement, heartburns and reflux, my oesophagus is burnt. 
It always gives me this feeling that I can't breathe enough. I can literally feel, where in my throat the sensitive spot is. 
Like if I drink something acidic right now, it will actual "close" my throat for a couple of second, making breathing, well nearly impossible. 
I believe some of you guys are going through the same thing ? 
Question is : how do you heal a burnt oesophagus ?
(I'm planning on going to the GP, to be referred to a specialist soon, before I damaged my oesophagus/throat even more. I might wait a bit tho, looking at the situation right now --") 
Any advice are welcomed 😊
As always thank you all for your time !</t>
        </is>
      </c>
      <c r="D7487" t="n">
        <v>1</v>
      </c>
      <c r="E7487" t="n">
        <v>5</v>
      </c>
      <c r="F7487">
        <f>HYPERLINK("https://www.reddit.com/r/GERD/comments/gpad97/dealing_with_burnt_oesophagus/")</f>
        <v/>
      </c>
      <c r="G7487" t="inlineStr">
        <is>
          <t>2020-05-23 11:53:51</t>
        </is>
      </c>
      <c r="H7487" t="inlineStr"/>
    </row>
    <row r="7488">
      <c r="A7488" t="inlineStr">
        <is>
          <t>gpahj3</t>
        </is>
      </c>
      <c r="B7488" t="inlineStr">
        <is>
          <t>Does this sound like LPR/GERD?</t>
        </is>
      </c>
      <c r="C7488" t="inlineStr">
        <is>
          <t>I am an 18 year old male who has had some issues involving possible reflux the past 7+ months. It all started out when night about 6-7 months ago, when I found it hard to take a deep breath in. I had been vaping previously for over a year (possible cause of this situation). Right when I started experiencing these symptoms, I had no idea what it was or what to do, so I quit vaping immediately and I haven’t done it since. I was so concerned about this being a lung issue that I went to my doctor and got a chest X-ray which turned out healthy. Every time I seem to breath my throat and chest seem to be very irritated. I have this raw, irritated, and annoying feeling in my throat that hasn’t seemed to go away. My throat also seems to have a hoarse kind of feeling to it as sometimes my voice changes. My throat feels tight and I feel a lump in it sometimes. My chest also seems tight and irritated around my sternum. Sometimes when I swallow food or water I occasionally get pain in my esophagus kinda in the middle of my chest. On top of this, I also have chronic post nasal drip, which I read could be caused from LPR. I do occasionally have heartburn but not every day. I do burp throughout the day quite a lot, but I never feel like I have nausea or I need to vomit. By the way, my dad also deal with GERD badly, but I’m not sure if it can be genetic. I also exercise every day and have not been impacted by this, I seem to feel better after I work out and then it gets worse when I’m sitting around shortly after. My symptoms have made my everyday life annoying, as I can’t find a way to shake this. I don’t feel like my normal self. If anyone can relate to this or has any remedies for me to try, please comment. Thank you for your help!</t>
        </is>
      </c>
      <c r="D7488" t="n">
        <v>1</v>
      </c>
      <c r="E7488" t="n">
        <v>10</v>
      </c>
      <c r="F7488">
        <f>HYPERLINK("https://www.reddit.com/r/GERD/comments/gpahj3/does_this_sound_like_lprgerd/")</f>
        <v/>
      </c>
      <c r="G7488" t="inlineStr">
        <is>
          <t>2020-05-23 12:00:44</t>
        </is>
      </c>
      <c r="H7488" t="inlineStr"/>
    </row>
    <row r="7489">
      <c r="A7489" t="inlineStr">
        <is>
          <t>gpbnn8</t>
        </is>
      </c>
      <c r="B7489" t="inlineStr">
        <is>
          <t>Do any of you after eating feel near chocking sometimes?</t>
        </is>
      </c>
      <c r="C7489" t="inlineStr">
        <is>
          <t>Sometimes when I finish eating (btw just started for the first time two weeks ago and gave me the scare of my life) about maybe a minute later I think the food gets stuck at the bottom of my throat. I feel near suffocation and saliva keeps coming out of my mouth. The only way to stop myself from what I feel like is chocking (might be chocking but not as strong I’m really not sure) is to drink water for about 5 minutes straight. Then it eventually goes away</t>
        </is>
      </c>
      <c r="D7489" t="n">
        <v>1</v>
      </c>
      <c r="E7489" t="n">
        <v>2</v>
      </c>
      <c r="F7489">
        <f>HYPERLINK("https://www.reddit.com/r/GERD/comments/gpbnn8/do_any_of_you_after_eating_feel_near_chocking/")</f>
        <v/>
      </c>
      <c r="G7489" t="inlineStr">
        <is>
          <t>2020-05-23 13:08:11</t>
        </is>
      </c>
      <c r="H7489" t="inlineStr"/>
    </row>
    <row r="7490">
      <c r="A7490" t="inlineStr">
        <is>
          <t>gpbr18</t>
        </is>
      </c>
      <c r="B7490" t="inlineStr">
        <is>
          <t>Complete loss of appetite on pantoprazole 40mg</t>
        </is>
      </c>
      <c r="C7490" t="inlineStr">
        <is>
          <t>Hey yall, ive been dealing with GERD for plus 2 years now (23M) and tried many different treatments. I had recently switched from H2 blockers to a PPI this past January and its been a rollercoaster. Ive been to MULTIPLE docs trying different methods and this is what has been most effective so far for reflux symptoms... BUT -
Some days i can eat normally when taking the pill once in the morning, but some other days I completely lose my appetite and cant even eat/drink anything but water.
Currently sitting at 3 days straight i havent been able to eat besides tiny portions (like a banana).
Im really stuck, calling the doc this week because all this pill does is make me nauseous and force me to spend my mornings on the toliet feeling like shit. 
Any pointers are heavily appreciated, i just want to eat again without having to smoke weed or force something down.</t>
        </is>
      </c>
      <c r="D7490" t="n">
        <v>1</v>
      </c>
      <c r="E7490" t="n">
        <v>1</v>
      </c>
      <c r="F7490">
        <f>HYPERLINK("https://www.reddit.com/r/GERD/comments/gpbr18/complete_loss_of_appetite_on_pantoprazole_40mg/")</f>
        <v/>
      </c>
      <c r="G7490" t="inlineStr">
        <is>
          <t>2020-05-23 13:13:22</t>
        </is>
      </c>
      <c r="H7490" t="inlineStr"/>
    </row>
    <row r="7491">
      <c r="A7491" t="inlineStr">
        <is>
          <t>gpcukg</t>
        </is>
      </c>
      <c r="B7491" t="inlineStr">
        <is>
          <t>How long does your flare up last?</t>
        </is>
      </c>
      <c r="C7491" t="inlineStr">
        <is>
          <t>I ate some curry on Sat (it was yellow curry and I know I shouldn't have but figured I'd be fine.) Sunday was horrible but Monday and Tuesday felt better and I drank a truly last night and am feeling horrible today. The whole week has been kind of off and on, do flare ups act like that? Also Could I still be suffering from the curry from Saturday? 
Thanks, sending all my love to my fellow Gerd sufferers. I am suffering. I miss being able to sleep blissfully especially.</t>
        </is>
      </c>
      <c r="D7491" t="n">
        <v>1</v>
      </c>
      <c r="E7491" t="n">
        <v>6</v>
      </c>
      <c r="F7491">
        <f>HYPERLINK("https://www.reddit.com/r/GERD/comments/gpcukg/how_long_does_your_flare_up_last/")</f>
        <v/>
      </c>
      <c r="G7491" t="inlineStr">
        <is>
          <t>2020-05-23 14:17:53</t>
        </is>
      </c>
      <c r="H7491" t="inlineStr"/>
    </row>
    <row r="7492">
      <c r="A7492" t="inlineStr">
        <is>
          <t>gpdq2x</t>
        </is>
      </c>
      <c r="B7492" t="inlineStr">
        <is>
          <t>Lots of people find no relief from LPR using PPI's but it fixes mine 100%</t>
        </is>
      </c>
      <c r="C7492" t="inlineStr">
        <is>
          <t>I've been suffering with LPR the last 5 years, managed to completely resolve it with PPI's but came off them due to health concerns. I'm now able to manage it completely with diet changes and taking gaviscon advanced (UK). Whenever I know I'm going out for food or drinking alcohol I take a PPI and I have 24 hours to do whatever I want. I'm wondering if anyone else with LPR finds similar relief as all I read online says people with LPR don't find relief from PPI's</t>
        </is>
      </c>
      <c r="D7492" t="n">
        <v>1</v>
      </c>
      <c r="E7492" t="n">
        <v>12</v>
      </c>
      <c r="F7492">
        <f>HYPERLINK("https://www.reddit.com/r/GERD/comments/gpdq2x/lots_of_people_find_no_relief_from_lpr_using_ppis/")</f>
        <v/>
      </c>
      <c r="G7492" t="inlineStr">
        <is>
          <t>2020-05-23 15:08:49</t>
        </is>
      </c>
      <c r="H7492" t="inlineStr"/>
    </row>
    <row r="7493">
      <c r="A7493" t="inlineStr">
        <is>
          <t>gpduk1</t>
        </is>
      </c>
      <c r="B7493" t="inlineStr">
        <is>
          <t>“GERD” and my symptoms over the past 6 weeks</t>
        </is>
      </c>
      <c r="C7493" t="inlineStr">
        <is>
          <t>My symptoms began on Easter and have progressed since. The first thing that tipped me off was a weird pain/spasming sensation DEEP in my back on the left side (just inside/below my left shoulder blade). It triggered anxiety and the physiological symptoms that typically accompany it. About 10 days later the same thing happened again, but the spot in my back was a bit different (although ALL the back pain I mention is in my mid to upper back, in and around the shoulder blades, sometimes pinching, sometimes sore and achy). My PCP told me to go to urgent care, where I got an EKG (fine) and was dismissed. When the symptoms persisted and non-stop burping (I’m not a burper) was added to the list I went to the ER, where I got another EKG, blood panel, and chest X-ray, all which came back fine. The ER doc told me I had GERD and referred me to a gastro, which frankly confused the hell out of me. I brushed this off for about a week until I ate fried food one night and woke up the next morning with pain radiating in my chest and back, which freaked me out and was debilitating. The next day I had a televisit with the gastro and he agreed it sounded like GERD. I began taking 20mg omeprazole. Over a week in I was still eating semi-normally with the exception of removing the typical GERD trigger foods, but I was still burping and still had back pain (I feel I should point out that I have only had chest pain or burning 3x total, NO abdominal pain whatsoever, and that my primary symptom is the deep back pain). My stool also changed and because somewhat lighter/yellow-ish and was looser. I also noticed instances of extra mucus. My gastro upped me to 40mg omeprazole, which I believe did help the back pain and burping some. But with the symptoms developing (and maybe worsening?) I was also eating less and less and blander foods, which may have been responsible for alleviating some of the symptoms. In less than 4 weeks I dropped from 160lb to just over 140lb. When my stool progressed to diarrhea and tests my gastro ordered were all delayed due to COVID, I went back to the ER and got another EKG, another blood panel, an abdominal CT with contrast and an abdominal ultrasound. The only thing they found was a simple cyst on my kidney. A couple of days ago I had an endoscopy which revealed minor esophagitis and a 2cm hiatal hernia. A biopsy was taken (assuming of the esophagitis) and I do not have results yet. I’ve been feeling a bit better since adding Ensure to my diet and decided to try to eat something slightly more normal last night... one of those Evol bowls that’s got rice and steak but also is just enough food for a kindergartener. Last night the back pain came back, this time in the right shoulder blade, and it came and went in waves, accompanied by nausea for the first time, so I’m considering that trial meal a fail.
This sub has been a lifesaver mentally and I joined reddit specifically to try to compare notes, get tips and understand others’ experiences with GI issues. I finally decided to post my own experience because, like others, I feel like I’m approaching my wits end having become acutely aware of how hard it can be to pinpoint the root cause of certain digestive issues. I am a high anxiety person, and before all of this started I completed an extremely stressful 3 month home renovation and then dove right into COVID, which also induced a lot of stress. I have had health anxiety issues since I was 9 (I’m 32, F), and this is a total doozy. I just want to live my life and eat a pizza again, and this feels like it came out of nowhere. Thanks for reading - I’ll take anything you guys have got!</t>
        </is>
      </c>
      <c r="D7493" t="n">
        <v>1</v>
      </c>
      <c r="E7493" t="n">
        <v>4</v>
      </c>
      <c r="F7493">
        <f>HYPERLINK("https://www.reddit.com/r/GERD/comments/gpduk1/gerd_and_my_symptoms_over_the_past_6_weeks/")</f>
        <v/>
      </c>
      <c r="G7493" t="inlineStr">
        <is>
          <t>2020-05-23 15:16:12</t>
        </is>
      </c>
      <c r="H7493" t="inlineStr"/>
    </row>
    <row r="7494">
      <c r="A7494" t="inlineStr">
        <is>
          <t>gpeqc0</t>
        </is>
      </c>
      <c r="B7494" t="inlineStr">
        <is>
          <t>Acid Watcher Diet and Weight Loss</t>
        </is>
      </c>
      <c r="C7494" t="inlineStr">
        <is>
          <t>Hi everyone,
I am 27/F, 5", 100 pounds. My doctor suspects I have LPR (tightness in throat, throat clearing, post nasal drip/mucous, and some hoarseness), and I have been on a couple different PPIs (Prilosec with Pepcid for a month -caused severe stomach pains- and now Pantoprazole for 8 weeks) since the first week of February. I also have been strictly avoiding the known trigger foods/drinks and processed foods this whole time, aside from some unsalted organic pretzels with natural peanut or almond butter every once in awhile, but I unfortunately am still having symptoms.
That being said, I just purchased the Acid Watchers Diet book and am going to be starting this week (Monday). I have heard great things, but I am concerned about weight loss. I have already lost 8 pounds since February and am very close to being under weight as a result. I also have a history of an eating disorder when I was younger that I have fully recovered from and had been actively working at gaining even more healthy weight before this diagnosis. Is it possible to use the Acid Watcher Diet meal plans to help me gain or at least maintain weight? And does anyone have any advice on how I can gain weight while struggling with LPR otherwise? 
Thank you!</t>
        </is>
      </c>
      <c r="D7494" t="n">
        <v>1</v>
      </c>
      <c r="E7494" t="n">
        <v>16</v>
      </c>
      <c r="F7494">
        <f>HYPERLINK("https://www.reddit.com/r/GERD/comments/gpeqc0/acid_watcher_diet_and_weight_loss/")</f>
        <v/>
      </c>
      <c r="G7494" t="inlineStr">
        <is>
          <t>2020-05-23 16:09:50</t>
        </is>
      </c>
      <c r="H7494" t="inlineStr"/>
    </row>
    <row r="7495">
      <c r="A7495" t="inlineStr">
        <is>
          <t>gpeupl</t>
        </is>
      </c>
      <c r="B7495" t="inlineStr">
        <is>
          <t>What are the chances of your esophagus permanently damaging?</t>
        </is>
      </c>
      <c r="C7495" t="inlineStr">
        <is>
          <t xml:space="preserve"> Hello! 
I’ve dealt with severe acid reflux maybe a year now, mine comes in waves. 
I’m currently getting concerned, how common, or what are the chances of your esophagus getting permanently damaged? (Narrowing, scarring, etc).
I have heard different answers from different people, some doctors tell me that they have seen people with gerd for 10+ years and no permanent damage to their esophagus but then other people don’t have that much luck.
What is your experience?</t>
        </is>
      </c>
      <c r="D7495" t="n">
        <v>1</v>
      </c>
      <c r="E7495" t="n">
        <v>7</v>
      </c>
      <c r="F7495">
        <f>HYPERLINK("https://www.reddit.com/r/GERD/comments/gpeupl/what_are_the_chances_of_your_esophagus/")</f>
        <v/>
      </c>
      <c r="G7495" t="inlineStr">
        <is>
          <t>2020-05-23 16:17:42</t>
        </is>
      </c>
      <c r="H7495" t="inlineStr"/>
    </row>
    <row r="7496">
      <c r="A7496" t="inlineStr">
        <is>
          <t>gpf77o</t>
        </is>
      </c>
      <c r="B7496" t="inlineStr">
        <is>
          <t>Always hoarse, any tips?</t>
        </is>
      </c>
      <c r="C7496" t="inlineStr">
        <is>
          <t>Had reflux for years but recently gotten much worse, I think maybe tied to bad anxiety flare up tied to the pandemic. I’ve eliminated fatty foods, chocolate, alcohol coffee and tea, I take lansoprozole and famotidine, and have thrown a bunch of calcium and sodium alginate tabs in the mix. Any tips or tricks?</t>
        </is>
      </c>
      <c r="D7496" t="n">
        <v>1</v>
      </c>
      <c r="E7496" t="n">
        <v>4</v>
      </c>
      <c r="F7496">
        <f>HYPERLINK("https://www.reddit.com/r/GERD/comments/gpf77o/always_hoarse_any_tips/")</f>
        <v/>
      </c>
      <c r="G7496" t="inlineStr">
        <is>
          <t>2020-05-23 16:39:07</t>
        </is>
      </c>
      <c r="H7496" t="inlineStr"/>
    </row>
    <row r="7497">
      <c r="A7497" t="inlineStr">
        <is>
          <t>gpfavr</t>
        </is>
      </c>
      <c r="B7497" t="inlineStr">
        <is>
          <t>Does anyone else get chest pain while walking?</t>
        </is>
      </c>
      <c r="C7497" t="inlineStr">
        <is>
          <t>I was burping on and off throughout the day. I decided to exercise by slowly walking around but then that started a chest pain in my right chest. I already took omeprazole and carafate. I wasn’t having any pain until I started walking. It feels like it’s in the middle of the chest</t>
        </is>
      </c>
      <c r="D7497" t="n">
        <v>1</v>
      </c>
      <c r="E7497" t="n">
        <v>13</v>
      </c>
      <c r="F7497">
        <f>HYPERLINK("https://www.reddit.com/r/GERD/comments/gpfavr/does_anyone_else_get_chest_pain_while_walking/")</f>
        <v/>
      </c>
      <c r="G7497" t="inlineStr">
        <is>
          <t>2020-05-23 16:45:24</t>
        </is>
      </c>
      <c r="H7497" t="inlineStr"/>
    </row>
    <row r="7498">
      <c r="A7498" t="inlineStr">
        <is>
          <t>gpfiwb</t>
        </is>
      </c>
      <c r="B7498" t="inlineStr">
        <is>
          <t>Is itchy chest a symotom of gerd?</t>
        </is>
      </c>
      <c r="C7498" t="inlineStr">
        <is>
          <t>Not outside but in the inside is this a symptom? It happens when I lie down no particular food serms to trigger it, its not pain is and itchiness uncomfortable feeling .</t>
        </is>
      </c>
      <c r="D7498" t="n">
        <v>1</v>
      </c>
      <c r="E7498" t="n">
        <v>2</v>
      </c>
      <c r="F7498">
        <f>HYPERLINK("https://www.reddit.com/r/GERD/comments/gpfiwb/is_itchy_chest_a_symotom_of_gerd/")</f>
        <v/>
      </c>
      <c r="G7498" t="inlineStr">
        <is>
          <t>2020-05-23 16:59:18</t>
        </is>
      </c>
      <c r="H7498" t="inlineStr"/>
    </row>
    <row r="7499">
      <c r="A7499" t="inlineStr">
        <is>
          <t>gph1w2</t>
        </is>
      </c>
      <c r="B7499" t="inlineStr">
        <is>
          <t>Lunch at work?</t>
        </is>
      </c>
      <c r="C7499" t="inlineStr">
        <is>
          <t>Does anybody have any good ideas for what to take to work for lunch? I recently got called back to work and all I ate was junk food, but obviously that's not a choice anymore. Was wondering what are good choices to take.</t>
        </is>
      </c>
      <c r="D7499" t="n">
        <v>1</v>
      </c>
      <c r="E7499" t="n">
        <v>4</v>
      </c>
      <c r="F7499">
        <f>HYPERLINK("https://www.reddit.com/r/GERD/comments/gph1w2/lunch_at_work/")</f>
        <v/>
      </c>
      <c r="G7499" t="inlineStr">
        <is>
          <t>2020-05-23 18:38:19</t>
        </is>
      </c>
      <c r="H7499" t="inlineStr"/>
    </row>
    <row r="7500">
      <c r="A7500" t="inlineStr">
        <is>
          <t>gph5nh</t>
        </is>
      </c>
      <c r="B7500" t="inlineStr">
        <is>
          <t>Fermented foods LPR/GERD</t>
        </is>
      </c>
      <c r="C7500" t="inlineStr">
        <is>
          <t>So i've been reading mixed things when it comes to fermented foods. Im korean and kimchi is a staple during meals and ive seen and read in multiple articles and videos that its recommended to eat it because of the fermentation but i thought we had to stay away fro spicy food. Can someone clarify for me as ive made progress and don't want to derail it. or is it just one of those trial and error things..</t>
        </is>
      </c>
      <c r="D7500" t="n">
        <v>1</v>
      </c>
      <c r="E7500" t="n">
        <v>9</v>
      </c>
      <c r="F7500">
        <f>HYPERLINK("https://www.reddit.com/r/GERD/comments/gph5nh/fermented_foods_lprgerd/")</f>
        <v/>
      </c>
      <c r="G7500" t="inlineStr">
        <is>
          <t>2020-05-23 18:45:37</t>
        </is>
      </c>
      <c r="H7500" t="inlineStr"/>
    </row>
    <row r="7501">
      <c r="A7501" t="inlineStr">
        <is>
          <t>gphdb0</t>
        </is>
      </c>
      <c r="B7501" t="inlineStr">
        <is>
          <t>What was your first gerd symptoms and how did you know that you have GERD?</t>
        </is>
      </c>
      <c r="C7501" t="inlineStr">
        <is>
          <t>I started with clearing my throat almost everyday about 2 years ago, later this year I started feeling like burping more than usual but I had trouble burping, I would buy Coca-Cola so that I can burp, then later heartburn whenever I eat, abdominal pain, chest pain, chest tightness, It was so bad because I ate anything without knowing. I had to Google my symptoms everyday until I downloaded symptom check app and first results was GERD. I decided to go to the doctor and she prescribed me some medication and put me on a diet, she did not tell me that its GERD instead she told me to take the medicines and if the symptoms continues I call her  and that was a month ago. 
After I started taking medicine and started the diet, I started feeling better unless I eat something that triggers. Now my medicine is finished, I rarely get heartburn but I always have chest tightness whenever I eat, I am  of calling the doctor again.</t>
        </is>
      </c>
      <c r="D7501" t="n">
        <v>1</v>
      </c>
      <c r="E7501" t="n">
        <v>0</v>
      </c>
      <c r="F7501">
        <f>HYPERLINK("https://www.reddit.com/r/GERD/comments/gphdb0/what_was_your_first_gerd_symptoms_and_how_did_you/")</f>
        <v/>
      </c>
      <c r="G7501" t="inlineStr">
        <is>
          <t>2020-05-23 19:00:24</t>
        </is>
      </c>
      <c r="H7501" t="inlineStr"/>
    </row>
    <row r="7502">
      <c r="A7502" t="inlineStr">
        <is>
          <t>gpi6vv</t>
        </is>
      </c>
      <c r="B7502" t="inlineStr">
        <is>
          <t>Coping with GERD?</t>
        </is>
      </c>
      <c r="C7502" t="inlineStr">
        <is>
          <t>Hey everyone. I’m a college student and am only 20 years old. I was diagnosed with gerd at the age of 9 but it went away with dietary changes and at 19 it came back with a vengeance. Now I am suffering with major anxiety (haven’t been inside a public building for 3 months since corona), tight chest, vomiting, aversion to dairy, heart burn, shortness of breath... and so on. I managed to get the whole 9 yards of GERD. It has really messed with my life and makes me sad that I can’t be a normal 20 year old college student. I find it hard coping with a chronic illness because I can’t go out and eat with friends without worrying if they’ll have options for me or go out and drink at parties. I just want to be normal. I have suffered weeks with barely eating anything because I vomit it up, especially when I had first began showing symptoms again. Does anyone have any advice on dealing with it? Has anyone ever been cured from it, or at least relieved from it? It feels never ending and is really making me feel depressed.</t>
        </is>
      </c>
      <c r="D7502" t="n">
        <v>1</v>
      </c>
      <c r="E7502" t="n">
        <v>5</v>
      </c>
      <c r="F7502">
        <f>HYPERLINK("https://www.reddit.com/r/GERD/comments/gpi6vv/coping_with_gerd/")</f>
        <v/>
      </c>
      <c r="G7502" t="inlineStr">
        <is>
          <t>2020-05-23 19:59:51</t>
        </is>
      </c>
      <c r="H7502" t="inlineStr"/>
    </row>
    <row r="7503">
      <c r="A7503" t="inlineStr">
        <is>
          <t>gpi71h</t>
        </is>
      </c>
      <c r="B7503" t="inlineStr">
        <is>
          <t>Wife laying on my chest causes burping</t>
        </is>
      </c>
      <c r="C7503" t="inlineStr">
        <is>
          <t>Does anyone deal with this, when my wife lies her head on the left side of my chest it causes instant burping. Once she’s off it takes about 30 minutes before I feel back to normal.</t>
        </is>
      </c>
      <c r="D7503" t="n">
        <v>1</v>
      </c>
      <c r="E7503" t="n">
        <v>4</v>
      </c>
      <c r="F7503">
        <f>HYPERLINK("https://www.reddit.com/r/GERD/comments/gpi71h/wife_laying_on_my_chest_causes_burping/")</f>
        <v/>
      </c>
      <c r="G7503" t="inlineStr">
        <is>
          <t>2020-05-23 20:00:10</t>
        </is>
      </c>
      <c r="H7503" t="inlineStr"/>
    </row>
    <row r="7504">
      <c r="A7504" t="inlineStr">
        <is>
          <t>gpi9dz</t>
        </is>
      </c>
      <c r="B7504" t="inlineStr">
        <is>
          <t>Hot pins amd needles</t>
        </is>
      </c>
      <c r="C7504" t="inlineStr">
        <is>
          <t>Just wondering, i get this feeling on hot pins and needles almost tingling in my chest, it feels different than normal heartburn. Going to see doc soon, just wondering if anyone else gets this? 
I havent been able to sleep. Im on ppi amd i take gaviscon and it doesnt go away. Anyway, thanks.</t>
        </is>
      </c>
      <c r="D7504" t="n">
        <v>1</v>
      </c>
      <c r="E7504" t="n">
        <v>4</v>
      </c>
      <c r="F7504">
        <f>HYPERLINK("https://www.reddit.com/r/GERD/comments/gpi9dz/hot_pins_amd_needles/")</f>
        <v/>
      </c>
      <c r="G7504" t="inlineStr">
        <is>
          <t>2020-05-23 20:04:52</t>
        </is>
      </c>
      <c r="H7504" t="inlineStr"/>
    </row>
    <row r="7505">
      <c r="A7505" t="inlineStr">
        <is>
          <t>gpiiq5</t>
        </is>
      </c>
      <c r="B7505" t="inlineStr">
        <is>
          <t>Has anyone tried Gaviscon Advanced?</t>
        </is>
      </c>
      <c r="C7505" t="inlineStr">
        <is>
          <t>It feels as if Tums do absolutely nothing. Feels like I’m dying right now.</t>
        </is>
      </c>
      <c r="D7505" t="n">
        <v>1</v>
      </c>
      <c r="E7505" t="n">
        <v>11</v>
      </c>
      <c r="F7505">
        <f>HYPERLINK("https://www.reddit.com/r/GERD/comments/gpiiq5/has_anyone_tried_gaviscon_advanced/")</f>
        <v/>
      </c>
      <c r="G7505" t="inlineStr">
        <is>
          <t>2020-05-23 20:23:52</t>
        </is>
      </c>
      <c r="H7505" t="inlineStr"/>
    </row>
    <row r="7506">
      <c r="A7506" t="inlineStr">
        <is>
          <t>gpik9u</t>
        </is>
      </c>
      <c r="B7506" t="inlineStr">
        <is>
          <t>What actually constitutes a 'small' meal?</t>
        </is>
      </c>
      <c r="C7506" t="inlineStr">
        <is>
          <t>I feel like I don't eat huge meals in the first place, so Idk what exactly it means when people keep recommending eating many small meals throughout the day. Is a small meal like half a sandwich or something even smaller like an apple? I am clueless.</t>
        </is>
      </c>
      <c r="D7506" t="n">
        <v>1</v>
      </c>
      <c r="E7506" t="n">
        <v>27</v>
      </c>
      <c r="F7506">
        <f>HYPERLINK("https://www.reddit.com/r/GERD/comments/gpik9u/what_actually_constitutes_a_small_meal/")</f>
        <v/>
      </c>
      <c r="G7506" t="inlineStr">
        <is>
          <t>2020-05-23 20:27:02</t>
        </is>
      </c>
      <c r="H7506" t="inlineStr"/>
    </row>
    <row r="7507">
      <c r="A7507" t="inlineStr">
        <is>
          <t>gpj15t</t>
        </is>
      </c>
      <c r="B7507" t="inlineStr">
        <is>
          <t>Is it okay to take 40mg of Pantoprazole (or any PPI) indefinitely?</t>
        </is>
      </c>
      <c r="C7507" t="inlineStr">
        <is>
          <t>Provided that I'm eating a healthful diet and taking supplements to mitigate its nutrient-depleteing effects?</t>
        </is>
      </c>
      <c r="D7507" t="n">
        <v>1</v>
      </c>
      <c r="E7507" t="n">
        <v>23</v>
      </c>
      <c r="F7507">
        <f>HYPERLINK("https://www.reddit.com/r/GERD/comments/gpj15t/is_it_okay_to_take_40mg_of_pantoprazole_or_any/")</f>
        <v/>
      </c>
      <c r="G7507" t="inlineStr">
        <is>
          <t>2020-05-23 21:01:39</t>
        </is>
      </c>
      <c r="H7507" t="inlineStr"/>
    </row>
    <row r="7508">
      <c r="A7508" t="inlineStr">
        <is>
          <t>gpj33m</t>
        </is>
      </c>
      <c r="B7508" t="inlineStr">
        <is>
          <t>do you have to be 18 to get the surgery?</t>
        </is>
      </c>
      <c r="C7508" t="inlineStr">
        <is>
          <t>im a junior in high school, im a runner but gerd is getting in the way more and more each season. honestly just want the surgery and i have a medical family who will probably support me wanting the surgery, ive heard that it's a miracle worker, and you should only get it if it gets significantly worse when you lay down (which it does, i have trouble sleeping and breathing at night)
do you have to be 18? just wondering before i ask my family</t>
        </is>
      </c>
      <c r="D7508" t="n">
        <v>1</v>
      </c>
      <c r="E7508" t="n">
        <v>5</v>
      </c>
      <c r="F7508">
        <f>HYPERLINK("https://www.reddit.com/r/GERD/comments/gpj33m/do_you_have_to_be_18_to_get_the_surgery/")</f>
        <v/>
      </c>
      <c r="G7508" t="inlineStr">
        <is>
          <t>2020-05-23 21:05:40</t>
        </is>
      </c>
      <c r="H7508" t="inlineStr"/>
    </row>
    <row r="7509">
      <c r="A7509" t="inlineStr">
        <is>
          <t>gpjq4n</t>
        </is>
      </c>
      <c r="B7509" t="inlineStr">
        <is>
          <t>Playing League of Legends causes bad flare ups</t>
        </is>
      </c>
      <c r="C7509" t="inlineStr">
        <is>
          <t>I unfortunately developed GERD/LPR symptoms during quarantine around early late March/early April. I can’t see my GI doc til July 6th, where he’s gonna do and EGK. But he prescribed me 20mg omeprazole atm. Seemed to work at first but not sure if it’s doing anything at all now.
I’ve been eating smaller meals, avoiding trigger foods, wedge pillow etc. but what truly gives me really bad chest warmth/flare up/heartburn is playing League of Legends. It’s unfortunate cause I love playing this game and a way for me to talk to my friends during quarantine. I was skeptical at first, but I stopped playing for the last week and felt fine and tried playing it again tonight just to see what happens and lo and behold terrible flare up and now I’m laying in bed and feel miserable.
This absolutely sucks but I’m willing to do what it takes to help my esophagus heal even if if it means giving up a video game I guess. Really hope this isn’t permanent though. 
Does anyone else experience this (with other activities)? I’m just gonna assume it’s feeling stressed out while playing is what it causes it.</t>
        </is>
      </c>
      <c r="D7509" t="n">
        <v>1</v>
      </c>
      <c r="E7509" t="n">
        <v>15</v>
      </c>
      <c r="F7509">
        <f>HYPERLINK("https://www.reddit.com/r/GERD/comments/gpjq4n/playing_league_of_legends_causes_bad_flare_ups/")</f>
        <v/>
      </c>
      <c r="G7509" t="inlineStr">
        <is>
          <t>2020-05-23 21:54:01</t>
        </is>
      </c>
      <c r="H7509" t="inlineStr"/>
    </row>
    <row r="7510">
      <c r="A7510" t="inlineStr">
        <is>
          <t>gpjvbr</t>
        </is>
      </c>
      <c r="B7510" t="inlineStr">
        <is>
          <t>Esophageal cancer paranoia - what were your first symptoms?</t>
        </is>
      </c>
      <c r="C7510" t="inlineStr">
        <is>
          <t>Around the end of March, I got a weird illness where I lost my appetite, sore throat, got chills and a fever. It lasted about a week, but since then, I haven’t felt right. I went to an urgent care to eliminate the possibility of it being lung/heart related. They took an EKG and X-Ray, and said everything came back clear.
Around Easter, my symptoms were at its worst; I got bad indigestion, and a constant chest pain under my sternum , under my clavicles but above my breasts. Every other week I get a couple days of low-grade fevers and occasionally get a tight feeling on the left side of my neck. 
The chest pain almost feels muscular, but it has been constant and sometimes when I eat something really dry, I get a sharp pain in my chest.
I’ve been taking PPI’s and I feel it brought down the severity of the pain, but it’s still there and I really have to watch out for acidic or spicy foods or face the consequences. 
I made an appointment with a GI, but it’s not until June 1st, and it will be even later than that date until I get any real tests to put me in the clear.
I know I’m young, and my chances are low, but I’ve never had a GERD episode that has lasted this long, caused upper chest pain, and has not gone away completely after taking PPI’s.
Any thoughts?</t>
        </is>
      </c>
      <c r="D7510" t="n">
        <v>1</v>
      </c>
      <c r="E7510" t="n">
        <v>20</v>
      </c>
      <c r="F7510">
        <f>HYPERLINK("https://www.reddit.com/r/GERD/comments/gpjvbr/esophageal_cancer_paranoia_what_were_your_first/")</f>
        <v/>
      </c>
      <c r="G7510" t="inlineStr">
        <is>
          <t>2020-05-23 22:05:22</t>
        </is>
      </c>
      <c r="H7510" t="inlineStr"/>
    </row>
    <row r="7511">
      <c r="A7511" t="inlineStr">
        <is>
          <t>gpjyf8</t>
        </is>
      </c>
      <c r="B7511" t="inlineStr">
        <is>
          <t>I think I found the miracle cure.</t>
        </is>
      </c>
      <c r="C7511" t="inlineStr">
        <is>
          <t>It's a yogic practice known as Kunjal Kriya.
You basically drink upto 2 litres of water in the morning on an empty stomach as quickly as possible. You can add some salt to the water as well.
Then you quickly proceed to induce vomiting.
Keep your back arched and not hunched while you vomit.
It's honestly worked wonders for me. Don't eat anything for upto 4 hours after doing this in the morning and have some light fruits throughout the day. Do this for 2 days and your GI system will reset.</t>
        </is>
      </c>
      <c r="D7511" t="n">
        <v>1</v>
      </c>
      <c r="E7511" t="n">
        <v>9</v>
      </c>
      <c r="F7511">
        <f>HYPERLINK("https://www.reddit.com/r/GERD/comments/gpjyf8/i_think_i_found_the_miracle_cure/")</f>
        <v/>
      </c>
      <c r="G7511" t="inlineStr">
        <is>
          <t>2020-05-23 22:12:12</t>
        </is>
      </c>
      <c r="H7511" t="inlineStr"/>
    </row>
    <row r="7512">
      <c r="A7512" t="inlineStr">
        <is>
          <t>gpkcwg</t>
        </is>
      </c>
      <c r="B7512" t="inlineStr">
        <is>
          <t>Prilosec and Dry mouth</t>
        </is>
      </c>
      <c r="C7512" t="inlineStr">
        <is>
          <t>I’ve been taking Prilosec for about a week now and the past few days I’ve had a consistently dry mouth. I’ve been drinking plenty of water, so I don’t think it’s a dehydration thing. Is this normal?</t>
        </is>
      </c>
      <c r="D7512" t="n">
        <v>1</v>
      </c>
      <c r="E7512" t="n">
        <v>12</v>
      </c>
      <c r="F7512">
        <f>HYPERLINK("https://www.reddit.com/r/GERD/comments/gpkcwg/prilosec_and_dry_mouth/")</f>
        <v/>
      </c>
      <c r="G7512" t="inlineStr">
        <is>
          <t>2020-05-23 22:45:16</t>
        </is>
      </c>
      <c r="H7512" t="inlineStr"/>
    </row>
    <row r="7513">
      <c r="A7513" t="inlineStr">
        <is>
          <t>gpkhr4</t>
        </is>
      </c>
      <c r="B7513" t="inlineStr">
        <is>
          <t>Shortness of breath/hard to take a deep breathe</t>
        </is>
      </c>
      <c r="C7513" t="inlineStr">
        <is>
          <t>My reflux (gerd/lpr) has become awful recently; the past few hours my chest has been tight, I’m feeling short of breath, and it feels difficult to take a deep breath in. I thought at first it could be anxiety but it’s been hours :( nothing is helping. What should I do?? I’m scared to go to the hospital and say I have shortness of breathe with this pandemic going on :/</t>
        </is>
      </c>
      <c r="D7513" t="n">
        <v>1</v>
      </c>
      <c r="E7513" t="n">
        <v>5</v>
      </c>
      <c r="F7513">
        <f>HYPERLINK("https://www.reddit.com/r/GERD/comments/gpkhr4/shortness_of_breathhard_to_take_a_deep_breathe/")</f>
        <v/>
      </c>
      <c r="G7513" t="inlineStr">
        <is>
          <t>2020-05-23 22:56:45</t>
        </is>
      </c>
      <c r="H7513" t="inlineStr"/>
    </row>
    <row r="7514">
      <c r="A7514" t="inlineStr">
        <is>
          <t>gplu4v</t>
        </is>
      </c>
      <c r="B7514" t="inlineStr">
        <is>
          <t>Had LINX surgery days ago, AMA</t>
        </is>
      </c>
      <c r="C7514" t="inlineStr">
        <is>
          <t>Diagnosed with 3cm paraesophageal hiatial hernia.
Had surgery on Wednesday, 60 min, woke up hours later.  Today is Saturday.
Wednesday: Released, 5 incisions, on painkillers hydrocodone.  Pain was somewhat unbearable on shoulders, neck, ate liquid, no burning.
Thursday: pain unbearable in shoulder, neck, swallowing painful.  This was most painful day.  No burning
Friday: pain somewhat bearable in shoulder, neck, swallowing painful.  Less painful than Thursday.  No burning
Saturday: pain doable, swallowing painful.  Less painful than Friday.  No burning.  
I have bloating daily cause of painkillers.  Try to do an enema  a day.
AMA.</t>
        </is>
      </c>
      <c r="D7514" t="n">
        <v>1</v>
      </c>
      <c r="E7514" t="n">
        <v>51</v>
      </c>
      <c r="F7514">
        <f>HYPERLINK("https://www.reddit.com/r/GERD/comments/gplu4v/had_linx_surgery_days_ago_ama/")</f>
        <v/>
      </c>
      <c r="G7514" t="inlineStr">
        <is>
          <t>2020-05-24 00:57:52</t>
        </is>
      </c>
      <c r="H7514" t="inlineStr"/>
    </row>
    <row r="7515">
      <c r="A7515" t="inlineStr">
        <is>
          <t>gpnu38</t>
        </is>
      </c>
      <c r="B7515" t="inlineStr">
        <is>
          <t>If this ever goes away can I eat normally again?</t>
        </is>
      </c>
      <c r="C7515" t="inlineStr">
        <is>
          <t>Like having normal sized meals and eating whatever food I want?</t>
        </is>
      </c>
      <c r="D7515" t="n">
        <v>1</v>
      </c>
      <c r="E7515" t="n">
        <v>16</v>
      </c>
      <c r="F7515">
        <f>HYPERLINK("https://www.reddit.com/r/GERD/comments/gpnu38/if_this_ever_goes_away_can_i_eat_normally_again/")</f>
        <v/>
      </c>
      <c r="G7515" t="inlineStr">
        <is>
          <t>2020-05-24 04:01:33</t>
        </is>
      </c>
      <c r="H7515" t="inlineStr"/>
    </row>
    <row r="7516">
      <c r="A7516" t="inlineStr">
        <is>
          <t>gpnz0m</t>
        </is>
      </c>
      <c r="B7516" t="inlineStr">
        <is>
          <t>How to survive first week on PPI?</t>
        </is>
      </c>
      <c r="C7516" t="inlineStr">
        <is>
          <t>Thecnically this isn't my first week. I have been taking 20mgs pantoprazole in the evening for 2,5 weeks now. It helps a lot, but I still get easily nauseaus, especially when  I have to eat.  I seem to be quite sensitive for medicines, because when I first started it, it made me quite nauseaus among other side-effects. And that lasted for some days. After that I didn't really have side-effects from it anymore. 
But since I still suffer a lot everyday, and I started feeling lately, that I still have a lot of acid, I am upping my dosage. I have tried this once in the beginning, but it made me very sick, and only did it once. But now im trying again. Now I'll take one in the morning and in the evening. Today morning was the first additional I took, and it made me nauseaus. I do feel like I have less acid tho. I'm just afraid how bad is it gonna be after I'm gonna take one in the evening too. But I am assuming that these side-effects will fade after a while too. 
Any tips on decreasing these side-effects in the beginning?
TLDR: 20 mgs of PPI has been helping, but not enough, so I am trying 2x20mgs instead. PPI makes me really nauseaus in the first week, and by upping the dose, I can feel this again. Any tips on avoiding this?</t>
        </is>
      </c>
      <c r="D7516" t="n">
        <v>1</v>
      </c>
      <c r="E7516" t="n">
        <v>5</v>
      </c>
      <c r="F7516">
        <f>HYPERLINK("https://www.reddit.com/r/GERD/comments/gpnz0m/how_to_survive_first_week_on_ppi/")</f>
        <v/>
      </c>
      <c r="G7516" t="inlineStr">
        <is>
          <t>2020-05-24 04:13:00</t>
        </is>
      </c>
      <c r="H7516" t="inlineStr"/>
    </row>
    <row r="7517">
      <c r="A7517" t="inlineStr">
        <is>
          <t>gpons6</t>
        </is>
      </c>
      <c r="B7517" t="inlineStr">
        <is>
          <t>PPI’s do nothing?</t>
        </is>
      </c>
      <c r="C7517" t="inlineStr">
        <is>
          <t>I’ve been having a lot of stomach issues recently (primarily severe nausea) and have had GERD for years. I recently restarted PPI’s, first two 40mg dosages of pantoperazole a day and now my gastro has changed that to 40mg esomperazole twice a day. I supplement this with double strength Gaviscon (I don’t know if this is available outside Australia) or Mylanta tablets (again, don’t know if available outside Australia) but they’re both OTC antacids. Yet the reflux hasn’t gotten better at all. I wouldn’t say I have typical reflux - I don’t really get heartburn, I more get regurgitation/a feeling of fluid/food rising in my throat and a sour taste in my mouth sometimes, and sometimes a gnawing sensation in my stomach/a little bit of tummy pain. I’ve had an endoscopy and there was nothing there - apparently the only thing that showed up was very minor inflammation of my oesophagus. Have PPI’s not worked for anyone else? Do my symptoms sound consistent with reflux? Also, does reflux cause anyone else severe, constant nausea? I don’t know what to do anymore and I very much doubt my gastroenterologist would do any more testing (if there are any more tests to do). Help??</t>
        </is>
      </c>
      <c r="D7517" t="n">
        <v>1</v>
      </c>
      <c r="E7517" t="n">
        <v>0</v>
      </c>
      <c r="F7517">
        <f>HYPERLINK("https://www.reddit.com/r/GERD/comments/gpons6/ppis_do_nothing/")</f>
        <v/>
      </c>
      <c r="G7517" t="inlineStr">
        <is>
          <t>2020-05-24 05:09:25</t>
        </is>
      </c>
      <c r="H7517" t="inlineStr"/>
    </row>
    <row r="7518">
      <c r="A7518" t="inlineStr">
        <is>
          <t>gpp4ul</t>
        </is>
      </c>
      <c r="B7518" t="inlineStr">
        <is>
          <t>Finding out if the issue is low stomach acid or high stomach acid</t>
        </is>
      </c>
      <c r="C7518" t="inlineStr">
        <is>
          <t>A year ago, I started having major problems with my stomach. I remember having very little appetite, excessive burping and just a feeling that food kept sitting in my stomach. I would often wake up feeling like I had a brick in my stomach.
&amp;amp;#x200B;
I went to stomach specialist and did the endoscopy. I had very bad stomach ulcers and the doctor prescribed me a PPI called pantomed. This was the first time I heard of it. I had to take 100mg for a few weeks and then go lower to 50mg. They also tested me and I didn't have H. pylori.
&amp;amp;#x200B;
I remember the PPI felt like a wonder drug. The first time I took, all the symptoms seemed to vanish. I could eat normally again. I remember being shocked I could eat an entire pizza. I'm not big on medications though so when my package was empty, I  quit. That's what the doctor advised too.
&amp;amp;#x200B;
After quitting, I didn't really notice anything. Except that my appetite would be average and sometimes low. But this is something that I had even when taking the PPI. Near the end of 2019 my appetite was starting to get bothersome though so my doctor prescribed 50mg again for maintenance. I didn't really feel any improvement so I quit again shortly.
&amp;amp;#x200B;
The next months I tried adjusting my diet. Less alcohol, less milk and just less greasy food in general. I ate a lot of fastfood before. I don't know if it changed a lot but my appetite was actually pretty good early 2020.
&amp;amp;#x200B;
Thing is, even despite my good appetite, I started getting a really acidic feel in my throat. I never actually felt any acid coming up again but I did feel the burning. Sometimes while eating, sometimes after eating and sometimes just randomly during the day. I also started waking up with a yellow coating on my tongue.
&amp;amp;#x200B;
I honestly didn't know what to do anymore. Until I started doing research online and reading about low stomach acid. It made me think... what if I never had high stomach acid in the first place? And the PPI improved my symptoms but made the actual issue worse longtime? I've reached a point where I feel like a brick is laying in my stomach again and I have to burp a lot after eating. In fact, eating itself is a big struggle. Just finishing my oatmeal in the morning is an enormous battle to me. 
&amp;amp;#x200B;
It's crazy because symptoms for high and low acid are so similar. I just don't want to feel like this forever. I'm losing weight (I'm already skinny) and I think my hair is also thinning because of my stomach issues!</t>
        </is>
      </c>
      <c r="D7518" t="n">
        <v>1</v>
      </c>
      <c r="E7518" t="n">
        <v>25</v>
      </c>
      <c r="F7518">
        <f>HYPERLINK("https://www.reddit.com/r/GERD/comments/gpp4ul/finding_out_if_the_issue_is_low_stomach_acid_or/")</f>
        <v/>
      </c>
      <c r="G7518" t="inlineStr">
        <is>
          <t>2020-05-24 05:46:55</t>
        </is>
      </c>
      <c r="H7518" t="inlineStr"/>
    </row>
    <row r="7519">
      <c r="A7519" t="inlineStr">
        <is>
          <t>gppbs3</t>
        </is>
      </c>
      <c r="B7519" t="inlineStr">
        <is>
          <t>At home reflux testing + any low acid vegan recipes?</t>
        </is>
      </c>
      <c r="C7519" t="inlineStr">
        <is>
          <t>My husband kept telling me that I cleared my throat all the time, which I didn’t even really notice until he kept pointing it out. So I just did an at-home reflux test (PepsinCheck, for anyone who is interested), and two of the three samples came back positive. I’ve been looking into ways to treat this - I do NOT want to go on PPIs - but I’ve noticed that my throat clearing is way worse when I drink Dr Pepper. I want to try a low acid diet for a few months to see if that helps.
My constant throat-clearing has actually gotten better since I cut out dairy a couple of years ago, and I’ve heard a lot of people say that diet makes a huge difference. I’m vegan and a lot of low acid cookbooks don’t really seem to (forgive the pun) cater for that.
Any food or recipe suggestions?</t>
        </is>
      </c>
      <c r="D7519" t="n">
        <v>1</v>
      </c>
      <c r="E7519" t="n">
        <v>13</v>
      </c>
      <c r="F7519">
        <f>HYPERLINK("https://www.reddit.com/r/GERD/comments/gppbs3/at_home_reflux_testing_any_low_acid_vegan_recipes/")</f>
        <v/>
      </c>
      <c r="G7519" t="inlineStr">
        <is>
          <t>2020-05-24 06:01:31</t>
        </is>
      </c>
      <c r="H7519" t="inlineStr"/>
    </row>
    <row r="7520">
      <c r="A7520" t="inlineStr">
        <is>
          <t>gpqpqn</t>
        </is>
      </c>
      <c r="B7520" t="inlineStr">
        <is>
          <t>Advice for those with GERD who want to bulk up/gain weight?</t>
        </is>
      </c>
      <c r="C7520" t="inlineStr">
        <is>
          <t>I've had GERD for about 3 years now. One of the consequences is I can't eat as much as I used to. I'd like to begin a weight lifting regimen soon to bulk up a little bit (I'm 6'3 160), but I'm not sure what foods will be most helpful to me without aggravating my symptoms too much. 
Anyone with experience regularly lifting weights and bulking up while having GERD? What foods are your best friends? What to stay away from?</t>
        </is>
      </c>
      <c r="D7520" t="n">
        <v>1</v>
      </c>
      <c r="E7520" t="n">
        <v>8</v>
      </c>
      <c r="F7520">
        <f>HYPERLINK("https://www.reddit.com/r/GERD/comments/gpqpqn/advice_for_those_with_gerd_who_want_to_bulk/")</f>
        <v/>
      </c>
      <c r="G7520" t="inlineStr">
        <is>
          <t>2020-05-24 07:39:15</t>
        </is>
      </c>
      <c r="H7520" t="inlineStr"/>
    </row>
    <row r="7521">
      <c r="A7521" t="inlineStr">
        <is>
          <t>gpt0v4</t>
        </is>
      </c>
      <c r="B7521" t="inlineStr">
        <is>
          <t>Retching?</t>
        </is>
      </c>
      <c r="C7521" t="inlineStr">
        <is>
          <t>Does anyone else’s stomach randomly suck in almost like you’re retching, but instead of throwing up you have a GERD attack? It’s almost as if my stomach is having a giant charliehorse and it lasts about ten minutes and then I don’t have at for the rest of the day. It doesn’t matter if I eat or don’t eat; it happens. Since I can’t get in to see my GI doc, I’m worried that something might be happening in there that’s causing some sort of reaction like this. It’s painful, it’s annoying, and I want it to stop. 
Has anyone else had this happen to them?</t>
        </is>
      </c>
      <c r="D7521" t="n">
        <v>1</v>
      </c>
      <c r="E7521" t="n">
        <v>0</v>
      </c>
      <c r="F7521">
        <f>HYPERLINK("https://www.reddit.com/r/GERD/comments/gpt0v4/retching/")</f>
        <v/>
      </c>
      <c r="G7521" t="inlineStr">
        <is>
          <t>2020-05-24 09:53:31</t>
        </is>
      </c>
      <c r="H7521" t="inlineStr"/>
    </row>
    <row r="7522">
      <c r="A7522" t="inlineStr">
        <is>
          <t>gpt3og</t>
        </is>
      </c>
      <c r="B7522" t="inlineStr">
        <is>
          <t>New symptoms</t>
        </is>
      </c>
      <c r="C7522" t="inlineStr">
        <is>
          <t>Hi! I was curious if anyone had symptoms like a pressure in your face/ temples, stuffy nose when you eat and then having a full blown panic attack due to GERD? I’ve been taking PPIs for at least 7 years and while I’ve always had the usual burnt throat, extreme thirst, restless nights...these other symptoms never manifested during the day until recently. These are stressful times so maybe that plays a role?</t>
        </is>
      </c>
      <c r="D7522" t="n">
        <v>1</v>
      </c>
      <c r="E7522" t="n">
        <v>12</v>
      </c>
      <c r="F7522">
        <f>HYPERLINK("https://www.reddit.com/r/GERD/comments/gpt3og/new_symptoms/")</f>
        <v/>
      </c>
      <c r="G7522" t="inlineStr">
        <is>
          <t>2020-05-24 09:58:06</t>
        </is>
      </c>
      <c r="H7522" t="inlineStr"/>
    </row>
    <row r="7523">
      <c r="A7523" t="inlineStr">
        <is>
          <t>gpvfcc</t>
        </is>
      </c>
      <c r="B7523" t="inlineStr">
        <is>
          <t>Extreme GERD, new and looking for tips</t>
        </is>
      </c>
      <c r="C7523" t="inlineStr">
        <is>
          <t>Hi! My husband (25M) has extreme gerd. I just discovered the subreddit and searched wonderful tips and ideas thus far. I wanted to tell his story and wonder if anyone could offer any tips if they experience something similar. He’s completely changing his diet and starting slow but after reading this I’m scared lol. He loves fast food and eating out and coffee and everything else. Today is the first day I’m trying to get him to eat light because he spent the past three days waking up at 4am, throwing up non stop acid reflux for hours and we went to the hospital today. He usually throws up like once a week or twice and he lets it go but it’s been really bad lately. Not only does he have that but he has a deviated septum and it seems to make it worse because he has backed up phlegm. He’s upset and wants to drink soda right now like he was screaming at me that he cannot lose his soda because drinking something without a flavor will make him puke. (He’s sad LOL) and then I saw a video saying drinking water before after eating will cause gerd(?) so I’m confused what he can drink, if anything besides water and ginger tea. Besides changing his diet, he’s pretty sediment we mostly have been staying inside. How much exercise do you recommend and what do you guys recommend for him starting this out? He’s really struggling mentally to start but he gets blood vessels in his face every day from puking and constantly a debate to go to the hospital. He’s on omeprazole starting today. He was prescribed zofran today but we can’t even get it because he has no insurance and the omeprazole he has three refills left from his parents insurance. I’m just so upset for him, he goes through so much because of it on top of everything else and I don’t know how to help him start this process the right way so he doesn’t have to experience this. Any tips or help greatly appreciated, thank you!</t>
        </is>
      </c>
      <c r="D7523" t="n">
        <v>1</v>
      </c>
      <c r="E7523" t="n">
        <v>4</v>
      </c>
      <c r="F7523">
        <f>HYPERLINK("https://www.reddit.com/r/GERD/comments/gpvfcc/extreme_gerd_new_and_looking_for_tips/")</f>
        <v/>
      </c>
      <c r="G7523" t="inlineStr">
        <is>
          <t>2020-05-24 12:12:01</t>
        </is>
      </c>
      <c r="H7523" t="inlineStr"/>
    </row>
    <row r="7524">
      <c r="A7524" t="inlineStr">
        <is>
          <t>gpvjhu</t>
        </is>
      </c>
      <c r="B7524" t="inlineStr">
        <is>
          <t>Is it normal for new symptoms to arise out of nowhere?</t>
        </is>
      </c>
      <c r="C7524" t="inlineStr">
        <is>
          <t>Hey all, I’ve had diagnosed gerd for about 2 1/2 months now and had mostly chest pains and other gastric issues for a while, but the past few weeks I’ve had some pain in the throat and sometimes while swallowing, is this normal? I’ve been a little worried that it could be a sign of something more sinister, but wanted to see if anyone here had any similar experiences? Thanks!</t>
        </is>
      </c>
      <c r="D7524" t="n">
        <v>1</v>
      </c>
      <c r="E7524" t="n">
        <v>3</v>
      </c>
      <c r="F7524">
        <f>HYPERLINK("https://www.reddit.com/r/GERD/comments/gpvjhu/is_it_normal_for_new_symptoms_to_arise_out_of/")</f>
        <v/>
      </c>
      <c r="G7524" t="inlineStr">
        <is>
          <t>2020-05-24 12:18:25</t>
        </is>
      </c>
      <c r="H7524" t="inlineStr"/>
    </row>
    <row r="7525">
      <c r="A7525" t="inlineStr">
        <is>
          <t>gpwsqt</t>
        </is>
      </c>
      <c r="B7525" t="inlineStr">
        <is>
          <t>Mucus in chest - any tips?</t>
        </is>
      </c>
      <c r="C7525" t="inlineStr">
        <is>
          <t>I constantly get the feeling of having to clear my chest/throat, ive tried to increase my inake of water which seems like it loosens things up a little bit but i just end up in the same position 10 mins after.
If i do a chest cough my chest kind of rattles which i dont like to do. 
Does anyone exprience this with their GERD, if so do you have any tips, i constantly feel like there is something in my chest whether i eat or starve.
This is one of the many unpleasent sides of this condition</t>
        </is>
      </c>
      <c r="D7525" t="n">
        <v>1</v>
      </c>
      <c r="E7525" t="n">
        <v>18</v>
      </c>
      <c r="F7525">
        <f>HYPERLINK("https://www.reddit.com/r/GERD/comments/gpwsqt/mucus_in_chest_any_tips/")</f>
        <v/>
      </c>
      <c r="G7525" t="inlineStr">
        <is>
          <t>2020-05-24 13:30:15</t>
        </is>
      </c>
      <c r="H7525" t="inlineStr"/>
    </row>
    <row r="7526">
      <c r="A7526" t="inlineStr">
        <is>
          <t>gpxhke</t>
        </is>
      </c>
      <c r="B7526" t="inlineStr">
        <is>
          <t>Question regarding GERD/LPR...</t>
        </is>
      </c>
      <c r="C7526" t="inlineStr">
        <is>
          <t>How soon after eating something do you get a reaction?
I have been writing everything down in a food journal to see what i get a reaction to but i have no idea if its something i ate the day before or something i ate 30 minutes ago or something i ate 4 hours ago.
Sorry if its a dumb question.</t>
        </is>
      </c>
      <c r="D7526" t="n">
        <v>1</v>
      </c>
      <c r="E7526" t="n">
        <v>15</v>
      </c>
      <c r="F7526">
        <f>HYPERLINK("https://www.reddit.com/r/GERD/comments/gpxhke/question_regarding_gerdlpr/")</f>
        <v/>
      </c>
      <c r="G7526" t="inlineStr">
        <is>
          <t>2020-05-24 14:10:21</t>
        </is>
      </c>
      <c r="H7526" t="inlineStr"/>
    </row>
    <row r="7527">
      <c r="A7527" t="inlineStr">
        <is>
          <t>gpzdlt</t>
        </is>
      </c>
      <c r="B7527" t="inlineStr">
        <is>
          <t>Did losing weight reduce your symptoms if you were overweight?</t>
        </is>
      </c>
      <c r="C7527" t="inlineStr">
        <is>
          <t>When I was diagnosed with a small hiatal hernia the only advice I was given was to lose weight and adjust my diet... If you were overweight, did losing weight help in reducing your symptoms?
When I first started experiencing GERD I was fairly slim, since then I ballooned in size to around 16 stone (6ft male). Currently at around 14 stone and haven’t experienced any changes in my symptoms, in fact new ones have started developing but I am on a lower dose of PPI (down from two nexium + ranitidine to just 1 nexium). Going to keep grinding down the around 12 stone again anyways, just need some motivation right now! Seems my stomach fat is always the last to go, as of now my legs and arms are very lean.</t>
        </is>
      </c>
      <c r="D7527" t="n">
        <v>1</v>
      </c>
      <c r="E7527" t="n">
        <v>19</v>
      </c>
      <c r="F7527">
        <f>HYPERLINK("https://www.reddit.com/r/GERD/comments/gpzdlt/did_losing_weight_reduce_your_symptoms_if_you/")</f>
        <v/>
      </c>
      <c r="G7527" t="inlineStr">
        <is>
          <t>2020-05-24 16:00:52</t>
        </is>
      </c>
      <c r="H7527" t="inlineStr"/>
    </row>
    <row r="7528">
      <c r="A7528" t="inlineStr">
        <is>
          <t>gq0bbo</t>
        </is>
      </c>
      <c r="B7528" t="inlineStr">
        <is>
          <t>I am 11 days post TIF</t>
        </is>
      </c>
      <c r="C7528" t="inlineStr">
        <is>
          <t>I have had 0 reflux, 0 regurgitation, my shortness of breath is gone. I sleep 11 hours a night without waking up. Feel free to ask my questions and I can direct them since my follow up with the surgeon is Tuesday.</t>
        </is>
      </c>
      <c r="D7528" t="n">
        <v>1</v>
      </c>
      <c r="E7528" t="n">
        <v>95</v>
      </c>
      <c r="F7528">
        <f>HYPERLINK("https://www.reddit.com/r/GERD/comments/gq0bbo/i_am_11_days_post_tif/")</f>
        <v/>
      </c>
      <c r="G7528" t="inlineStr">
        <is>
          <t>2020-05-24 16:57:27</t>
        </is>
      </c>
      <c r="H7528" t="inlineStr"/>
    </row>
    <row r="7529">
      <c r="A7529" t="inlineStr">
        <is>
          <t>gq0yqk</t>
        </is>
      </c>
      <c r="B7529" t="inlineStr">
        <is>
          <t>Took Gaviscon 30 mins before PPI - will it reduce its effectiveness?</t>
        </is>
      </c>
      <c r="C7529" t="inlineStr">
        <is>
          <t>I know you’re not supposed to take Gaviscon within 2 hours of PPIs, but I forgot I had some Gaviscon and took my pantoprazole at my regular time. Will it reduce its effectiveness? Have an interaction?</t>
        </is>
      </c>
      <c r="D7529" t="n">
        <v>1</v>
      </c>
      <c r="E7529" t="n">
        <v>1</v>
      </c>
      <c r="F7529">
        <f>HYPERLINK("https://www.reddit.com/r/GERD/comments/gq0yqk/took_gaviscon_30_mins_before_ppi_will_it_reduce/")</f>
        <v/>
      </c>
      <c r="G7529" t="inlineStr">
        <is>
          <t>2020-05-24 17:37:40</t>
        </is>
      </c>
      <c r="H7529" t="inlineStr"/>
    </row>
    <row r="7530">
      <c r="A7530" t="inlineStr">
        <is>
          <t>gq183j</t>
        </is>
      </c>
      <c r="B7530" t="inlineStr">
        <is>
          <t>Does anyone have cardiac symptoms?</t>
        </is>
      </c>
      <c r="C7530" t="inlineStr">
        <is>
          <t>My pulse and bp are so low that it’s affecting everything and I can’t figure out if it’s GERD-related, not eating enough day to day because of GERD (I get between 900-1100 calories), my thyroid medication being too low, or something more ominous. Before all this started six months ago I was low-normal (110/70, 70) but now my bp is 92/60 and pulse average is about 55 (it is high 40s in the AM then goes really high when I get out of bed, like 120 immediately).
I know shortness of breath is common but what about other cardiac stuff? I’m hoping y’all can tell me this is common.</t>
        </is>
      </c>
      <c r="D7530" t="n">
        <v>1</v>
      </c>
      <c r="E7530" t="n">
        <v>3</v>
      </c>
      <c r="F7530">
        <f>HYPERLINK("https://www.reddit.com/r/GERD/comments/gq183j/does_anyone_have_cardiac_symptoms/")</f>
        <v/>
      </c>
      <c r="G7530" t="inlineStr">
        <is>
          <t>2020-05-24 17:54:31</t>
        </is>
      </c>
      <c r="H7530" t="inlineStr"/>
    </row>
    <row r="7531">
      <c r="A7531" t="inlineStr">
        <is>
          <t>gq1r68</t>
        </is>
      </c>
      <c r="B7531" t="inlineStr">
        <is>
          <t>PPI not Working</t>
        </is>
      </c>
      <c r="C7531" t="inlineStr">
        <is>
          <t>Hey guys I have been taking 40mg of Nexium for about 2 months now. Now the doctor increased the dose to 80 gm per day. 40 mg before breakfast and 40mg before dinner for 15 days.
I had an endoscopy and they found no hernia or ulcers. Was diagnosed with mild esophagitis. My symptoms haven't improved at all. Now I even feel more stomach acid and more reflux.
Do you guys have tried any other type of threatment that have helped you? My problem is the stomach acid after every meal. I have been like this since December 2019.</t>
        </is>
      </c>
      <c r="D7531" t="n">
        <v>1</v>
      </c>
      <c r="E7531" t="n">
        <v>8</v>
      </c>
      <c r="F7531">
        <f>HYPERLINK("https://www.reddit.com/r/GERD/comments/gq1r68/ppi_not_working/")</f>
        <v/>
      </c>
      <c r="G7531" t="inlineStr">
        <is>
          <t>2020-05-24 18:28:59</t>
        </is>
      </c>
      <c r="H7531" t="inlineStr"/>
    </row>
    <row r="7532">
      <c r="A7532" t="inlineStr">
        <is>
          <t>gq2a59</t>
        </is>
      </c>
      <c r="B7532" t="inlineStr">
        <is>
          <t>GERD, anxiety, and life without PPIs</t>
        </is>
      </c>
      <c r="C7532" t="inlineStr">
        <is>
          <t>Hey everyone! I'm curious if anyone has had a similar experience to me and has any input on what has worked for you.
Background: I've had GERD/stomach issues for 10+ years and they only became really bad in the past 4-5 years or so. I also have baseline anxiety which has fluctuated over the years but tends to track up or down along with my stomach issues. Two years ago I started PA school, stress levels went way up, and I started having severe stomach issues as well as nausea-predominant physical/panic (?) attacks. Not your typical fear of dying type panic attack but severe debilitating nausea which would send me to the bathroom stall for an hour at a time type of thing. I also have emetophobia so nausea and anxiety are a downward spiral for me.
My GI put me on 40mg omeprazole which worked like a magic bullet. Saw a big improvement after a month, and my anxiety went way down. Several months later we tapered down to 20mg, which I self-discontinued after a while because it wasn't working that well. At the time I didn't make the connection that 20mg wasn't strong enough like the 40mg had been. Once I went off omeprazole, both GERD and anxiety issues came back with a vengeance.
This January I started back on the 40mg omeprazole and experienced a huge improvement immediately.  About 3 weeks after restarting, I had an endoscopy which showed mild gastritis (assuming it may have been worse when I was unmedicated).  Since then, I have been on 40mg omeprazole and doing fantastic, with maybe 5-10 bad days over the course of nearly 5 months. Not only have I had minimal GI issues, but my mental health/anxiety has been so much better. It has been a godsend.
BUT... I'm only in my mid-20s and know it's not a good idea to take a PPI forever.  My GI has me tapering down to the 20mg again since I've been well-controlled for several months now. After alternating 20s and 40s for about 2 weeks, I'm already noticing that familiar breakthrough gastritis/stomach burning sensation.  If this is essentially 30mg a day, I'm concerned what tapering further and eventually off will look like (especially when life gets more stressful, which it is about to since I start clinical rotations this week).
Have any of you also experienced anxiety relief as a result of taking PPIs?  I wanted to think that GERD was just a result of anxiety, but it feels the other way around for me.  Fixing my stomach pain essentially cured my anxiety.
Any advice for weaning off a PPI? Is there realistic hope for good control of GERD without PPIs or without medication in general? 
Have any of you benefitted from CBT or psychiatric/anxiety-focused approaches to GERD?
If you read all of this, thank you! Look forward to hearing everyone's thoughts.</t>
        </is>
      </c>
      <c r="D7532" t="n">
        <v>1</v>
      </c>
      <c r="E7532" t="n">
        <v>3</v>
      </c>
      <c r="F7532">
        <f>HYPERLINK("https://www.reddit.com/r/GERD/comments/gq2a59/gerd_anxiety_and_life_without_ppis/")</f>
        <v/>
      </c>
      <c r="G7532" t="inlineStr">
        <is>
          <t>2020-05-24 19:03:23</t>
        </is>
      </c>
      <c r="H7532" t="inlineStr"/>
    </row>
    <row r="7533">
      <c r="A7533" t="inlineStr">
        <is>
          <t>gq2izq</t>
        </is>
      </c>
      <c r="B7533" t="inlineStr">
        <is>
          <t>New to GERD</t>
        </is>
      </c>
      <c r="C7533" t="inlineStr">
        <is>
          <t>Hi! I had a bad allergic reaction to black tea a little over a week ago , and I ended up in the emergency room . This caused the onset of HORRIBLE heartburn / acid reflux . My pain scale was probably about a 7/10. I recently got prescribed famotidine which helps the pain immensely ! But I’ve noticed I’ll feel fine throughout the day and then at night I become very dizzy , lightheaded after eating etc, etc . Is this normal ? I’m only 24 years old and never really had symptoms like this until after the tea . Help and reassurance needed !</t>
        </is>
      </c>
      <c r="D7533" t="n">
        <v>1</v>
      </c>
      <c r="E7533" t="n">
        <v>5</v>
      </c>
      <c r="F7533">
        <f>HYPERLINK("https://www.reddit.com/r/GERD/comments/gq2izq/new_to_gerd/")</f>
        <v/>
      </c>
      <c r="G7533" t="inlineStr">
        <is>
          <t>2020-05-24 19:19:18</t>
        </is>
      </c>
      <c r="H7533" t="inlineStr"/>
    </row>
    <row r="7534">
      <c r="A7534" t="inlineStr">
        <is>
          <t>gq2v4y</t>
        </is>
      </c>
      <c r="B7534" t="inlineStr">
        <is>
          <t>Lower right abdominal pain ( sometimes left)</t>
        </is>
      </c>
      <c r="C7534" t="inlineStr">
        <is>
          <t>Hi guys, I dont know if you guys had this before...
Ever since I've had gerd... For about a week or so... I've had this lower right and sometimes left abdominal pain that comes and goes ( I already had appendicits so its not that.) and everytime that pain starts to annoy me only after i eat something. So today I ate my breakfast (cereal etc). And then I ate some Carrots and some potato, and then I start getting the pain again. Its not really that bad but its a bit annoying. After 2-3 hours of experiencing the pain, I then go to the toilet. 
Could this IBS? 
Could be because of the potato that I ate, since potato are known to cause gas...
Thanks for you help in advance.</t>
        </is>
      </c>
      <c r="D7534" t="n">
        <v>1</v>
      </c>
      <c r="E7534" t="n">
        <v>10</v>
      </c>
      <c r="F7534">
        <f>HYPERLINK("https://www.reddit.com/r/GERD/comments/gq2v4y/lower_right_abdominal_pain_sometimes_left/")</f>
        <v/>
      </c>
      <c r="G7534" t="inlineStr">
        <is>
          <t>2020-05-24 19:41:25</t>
        </is>
      </c>
      <c r="H7534" t="inlineStr"/>
    </row>
    <row r="7535">
      <c r="A7535" t="inlineStr">
        <is>
          <t>gq39kj</t>
        </is>
      </c>
      <c r="B7535" t="inlineStr">
        <is>
          <t>Do any of you get these symptoms during a reflux attack?</t>
        </is>
      </c>
      <c r="C7535" t="inlineStr">
        <is>
          <t>I feel like I get weakness or hypoglycemia symptoms when I have a lot of acid brewing. My blood sugars are fine. It’s odd I can feel the heat in my stomach or near sternum</t>
        </is>
      </c>
      <c r="D7535" t="n">
        <v>1</v>
      </c>
      <c r="E7535" t="n">
        <v>10</v>
      </c>
      <c r="F7535">
        <f>HYPERLINK("https://www.reddit.com/r/GERD/comments/gq39kj/do_any_of_you_get_these_symptoms_during_a_reflux/")</f>
        <v/>
      </c>
      <c r="G7535" t="inlineStr">
        <is>
          <t>2020-05-24 20:08:58</t>
        </is>
      </c>
      <c r="H7535" t="inlineStr"/>
    </row>
    <row r="7536">
      <c r="A7536" t="inlineStr">
        <is>
          <t>gq4agu</t>
        </is>
      </c>
      <c r="B7536" t="inlineStr">
        <is>
          <t>Similar medications to Zantac/Ranitidine?</t>
        </is>
      </c>
      <c r="C7536" t="inlineStr">
        <is>
          <t>I was prescribed Zantac for YEARS for my GERD and I feel like that’s why I never really dealt with symptoms recently enough for me to remember. I’m having such a problem with chest pain and dysphagia. Anti-acids like tums  or rolaids don’t do anything to help, plus I took Zantac daily and tums/rolaids are more of a take-as-you-need medicine. 
When I can get in to see a doctor, I plan on asking for another daily medication instead of another suggest for an as needed thing. As I said earlier, Zantac worked amazingly and my prescription ran out right after FDA took it off the shelf. There was no warning ahead of time so I couldn’t stock up like I would have liked to. 
Do y’all know of any medicines that work similarly to ranitidine that are preferably a daily? And not prilosec. For whatever reason, I’ve never been able to take it longer than two weeks at a time and I’ll have to do the two weeks treatments about every third fortnight and it’s not covered by my insurance.</t>
        </is>
      </c>
      <c r="D7536" t="n">
        <v>1</v>
      </c>
      <c r="E7536" t="n">
        <v>7</v>
      </c>
      <c r="F7536">
        <f>HYPERLINK("https://www.reddit.com/r/GERD/comments/gq4agu/similar_medications_to_zantacranitidine/")</f>
        <v/>
      </c>
      <c r="G7536" t="inlineStr">
        <is>
          <t>2020-05-24 21:21:42</t>
        </is>
      </c>
      <c r="H7536" t="inlineStr"/>
    </row>
    <row r="7537">
      <c r="A7537" t="inlineStr">
        <is>
          <t>gq69al</t>
        </is>
      </c>
      <c r="B7537" t="inlineStr">
        <is>
          <t>What usually helps with the constant burping?</t>
        </is>
      </c>
      <c r="C7537" t="inlineStr">
        <is>
          <t>I’m taking omeprazole and carafate. For the most part, it does help control symptoms like heartburn and pain (if I’m not anxious) but omg this burping never goes away. I’m scared it might damage my esophagus/throat</t>
        </is>
      </c>
      <c r="D7537" t="n">
        <v>1</v>
      </c>
      <c r="E7537" t="n">
        <v>4</v>
      </c>
      <c r="F7537">
        <f>HYPERLINK("https://www.reddit.com/r/GERD/comments/gq69al/what_usually_helps_with_the_constant_burping/")</f>
        <v/>
      </c>
      <c r="G7537" t="inlineStr">
        <is>
          <t>2020-05-25 00:00:45</t>
        </is>
      </c>
      <c r="H7537" t="inlineStr"/>
    </row>
    <row r="7538">
      <c r="A7538" t="inlineStr">
        <is>
          <t>gq77te</t>
        </is>
      </c>
      <c r="B7538" t="inlineStr">
        <is>
          <t>I was better years ago when I was first diagnosed but now it came back after 2 years</t>
        </is>
      </c>
      <c r="C7538" t="inlineStr">
        <is>
          <t>Hi. So I'm 24 years old now and I was diagnosed with GERD 3 years ago. I was prescribed Dexilant the first time and it worked pretty well for me and along with some dietary changes I was able to eat normally again. But recently, it came back with a vengeance (granted I ate a very greasy, spicy burger) and I was prescribed a different medicine (omeprazole) this time. It worked for the first few weeks but after I go off them, I relapsed. It's not that bad, it's just that I feel like something is stuck in my throat but it's really been bothering me. 
I honestly don't wanna go back on them again. Any advice?</t>
        </is>
      </c>
      <c r="D7538" t="n">
        <v>1</v>
      </c>
      <c r="E7538" t="n">
        <v>2</v>
      </c>
      <c r="F7538">
        <f>HYPERLINK("https://www.reddit.com/r/GERD/comments/gq77te/i_was_better_years_ago_when_i_was_first_diagnosed/")</f>
        <v/>
      </c>
      <c r="G7538" t="inlineStr">
        <is>
          <t>2020-05-25 01:22:16</t>
        </is>
      </c>
      <c r="H7538" t="inlineStr"/>
    </row>
    <row r="7539">
      <c r="A7539" t="inlineStr">
        <is>
          <t>gq7ap7</t>
        </is>
      </c>
      <c r="B7539" t="inlineStr">
        <is>
          <t>Ruining my life (21M)</t>
        </is>
      </c>
      <c r="C7539" t="inlineStr">
        <is>
          <t>Hey guys so I am a 21 M and suffer form Gerd. It is honestly ruining my life I constantly feel like I can't take a deep breath and my stomach is bloated. It feels like my stomach reaches max expansion before I can fully breathe properly. Not being able to breath and huge balloon stomach are my main 2 symptoms. Do you think I have to quit smoking weed? I have smoked weed regularly and have a severe dependency since about grade 10 I am graduating Uni now. Really just awake at 5am rn wanting to cry I know it's pathetic. Does anyone have tips for me idk if I can keep living like this</t>
        </is>
      </c>
      <c r="D7539" t="n">
        <v>1</v>
      </c>
      <c r="E7539" t="n">
        <v>10</v>
      </c>
      <c r="F7539">
        <f>HYPERLINK("https://www.reddit.com/r/GERD/comments/gq7ap7/ruining_my_life_21m/")</f>
        <v/>
      </c>
      <c r="G7539" t="inlineStr">
        <is>
          <t>2020-05-25 01:29:03</t>
        </is>
      </c>
      <c r="H7539" t="inlineStr"/>
    </row>
    <row r="7540">
      <c r="A7540" t="inlineStr">
        <is>
          <t>gq8dzf</t>
        </is>
      </c>
      <c r="B7540" t="inlineStr">
        <is>
          <t>Bad Gerd flair ups after cardio?</t>
        </is>
      </c>
      <c r="C7540" t="inlineStr">
        <is>
          <t>Anybody else get really bad flare up after doing cardio. I went for a hike and got a bad flare up then it went away. Yesterday I ran a bit and played catch and sure enough today I have had A flare up worse then I have in a long time. Anybody else have this issue, if so have you had any success with finding way to exercise and not be in pain the next day?</t>
        </is>
      </c>
      <c r="D7540" t="n">
        <v>1</v>
      </c>
      <c r="E7540" t="n">
        <v>4</v>
      </c>
      <c r="F7540">
        <f>HYPERLINK("https://www.reddit.com/r/GERD/comments/gq8dzf/bad_gerd_flair_ups_after_cardio/")</f>
        <v/>
      </c>
      <c r="G7540" t="inlineStr">
        <is>
          <t>2020-05-25 03:03:36</t>
        </is>
      </c>
      <c r="H7540" t="inlineStr"/>
    </row>
    <row r="7541">
      <c r="A7541" t="inlineStr">
        <is>
          <t>gq9m8s</t>
        </is>
      </c>
      <c r="B7541" t="inlineStr">
        <is>
          <t>Choking</t>
        </is>
      </c>
      <c r="C7541" t="inlineStr">
        <is>
          <t>Im terrified. I woke up in the middle of the night choking on gunk in my throat, it only lasted a few seconds and i was able to take a few breaths but this is now the second time and im really scared. It took forever to get back to sleep. PS all the hoarders have wiped out all the pepcid ac in every store. I have some tagamet. If this has happened to you please tell me what you have done about it. Im afraid to go to sleep.</t>
        </is>
      </c>
      <c r="D7541" t="n">
        <v>1</v>
      </c>
      <c r="E7541" t="n">
        <v>3</v>
      </c>
      <c r="F7541">
        <f>HYPERLINK("https://www.reddit.com/r/GERD/comments/gq9m8s/choking/")</f>
        <v/>
      </c>
      <c r="G7541" t="inlineStr">
        <is>
          <t>2020-05-25 04:48:02</t>
        </is>
      </c>
      <c r="H7541" t="inlineStr"/>
    </row>
    <row r="7542">
      <c r="A7542" t="inlineStr">
        <is>
          <t>gq9tpb</t>
        </is>
      </c>
      <c r="B7542" t="inlineStr">
        <is>
          <t>GERD or Hiatal Hernia?</t>
        </is>
      </c>
      <c r="C7542" t="inlineStr">
        <is>
          <t>I have all symptoms of GERD basically.
However, when i lay on my back, i cannot breathe. My diaphragm does not expand i am choked.
My stomack becomes very flat and empty and my chest is tight. Reflux is also more intense in this position.
It is better when i change position to my sides or stomach because it appears gravity does not allow whatever is moving to my chest to transport properly.
Any idea if this is HH? I will be doing an endoscopy after raising enough funds.</t>
        </is>
      </c>
      <c r="D7542" t="n">
        <v>1</v>
      </c>
      <c r="E7542" t="n">
        <v>1</v>
      </c>
      <c r="F7542">
        <f>HYPERLINK("https://www.reddit.com/r/GERD/comments/gq9tpb/gerd_or_hiatal_hernia/")</f>
        <v/>
      </c>
      <c r="G7542" t="inlineStr">
        <is>
          <t>2020-05-25 05:04:29</t>
        </is>
      </c>
      <c r="H7542" t="inlineStr"/>
    </row>
    <row r="7543">
      <c r="A7543" t="inlineStr">
        <is>
          <t>gqa7tk</t>
        </is>
      </c>
      <c r="B7543" t="inlineStr">
        <is>
          <t>I am at my wits end</t>
        </is>
      </c>
      <c r="C7543" t="inlineStr">
        <is>
          <t>I just need to rant.
For 3 weeks I have been suffering with the worst heartburn all day, every day, morning and night, food and no food, refractory to all over the counter medications. Ive gone through bottles of rolaids pepto gaviscon and literally nothing helps. Im currently combining famotidine and nexium tablets. I have had 1 hour of sleep at the most every night for 3 weeks. Ive tried apple cider vinegar, herbal supplements etc. My only symptom is painful, burning, unrelenting heartburn that randomly started at 1 am one evening back in early may as i awoke drenched in sweat w the pain.
I saw GI and he wanted me to take dexilant but the product monograph looks horrifying. Its carcinogenic on every assay they tested. So im trying the combo above with no relief. I am trying to get an apt to see him again this week and to ask for maybe sucralfate and an endoscopy. 
Im 135 lbs. 5'8. 35 yo male. My diet is pristinely clean. I dont understand this, Ive almost never had heartburn in my adult life. I do not drink. I do not smoke. 
Has anyone been where I am? I am starting to lose it both from the pain and lack of sleep.</t>
        </is>
      </c>
      <c r="D7543" t="n">
        <v>1</v>
      </c>
      <c r="E7543" t="n">
        <v>13</v>
      </c>
      <c r="F7543">
        <f>HYPERLINK("https://www.reddit.com/r/GERD/comments/gqa7tk/i_am_at_my_wits_end/")</f>
        <v/>
      </c>
      <c r="G7543" t="inlineStr">
        <is>
          <t>2020-05-25 05:35:07</t>
        </is>
      </c>
      <c r="H7543" t="inlineStr"/>
    </row>
    <row r="7544">
      <c r="A7544" t="inlineStr">
        <is>
          <t>gqbzft</t>
        </is>
      </c>
      <c r="B7544" t="inlineStr">
        <is>
          <t>Hiatal Hernia HELP</t>
        </is>
      </c>
      <c r="C7544" t="inlineStr">
        <is>
          <t>Hello everyone. May i ask what are your first symptoms to those whon have hiatal hernia. Sorry. Cause im afraid that i think i have one.</t>
        </is>
      </c>
      <c r="D7544" t="n">
        <v>1</v>
      </c>
      <c r="E7544" t="n">
        <v>15</v>
      </c>
      <c r="F7544">
        <f>HYPERLINK("https://www.reddit.com/r/GERD/comments/gqbzft/hiatal_hernia_help/")</f>
        <v/>
      </c>
      <c r="G7544" t="inlineStr">
        <is>
          <t>2020-05-25 07:34:42</t>
        </is>
      </c>
      <c r="H7544" t="inlineStr"/>
    </row>
    <row r="7545">
      <c r="A7545" t="inlineStr">
        <is>
          <t>gqc30m</t>
        </is>
      </c>
      <c r="B7545" t="inlineStr">
        <is>
          <t>Stabbing pain?</t>
        </is>
      </c>
      <c r="C7545" t="inlineStr">
        <is>
          <t>Hi everyone,
I've had LPR for awhile, but since COVID stress I have also had heartburn, except it's manifesting mainly as a dull stabbing pain behind my breastbone. Wondering if this is common? I'm getting an endoscopy next week. It seems more prominent at night.</t>
        </is>
      </c>
      <c r="D7545" t="n">
        <v>1</v>
      </c>
      <c r="E7545" t="n">
        <v>5</v>
      </c>
      <c r="F7545">
        <f>HYPERLINK("https://www.reddit.com/r/GERD/comments/gqc30m/stabbing_pain/")</f>
        <v/>
      </c>
      <c r="G7545" t="inlineStr">
        <is>
          <t>2020-05-25 07:40:40</t>
        </is>
      </c>
      <c r="H7545" t="inlineStr"/>
    </row>
    <row r="7546">
      <c r="A7546" t="inlineStr">
        <is>
          <t>gqd7b3</t>
        </is>
      </c>
      <c r="B7546" t="inlineStr">
        <is>
          <t>Omeprazole or Gaviscon Double Action?</t>
        </is>
      </c>
      <c r="C7546" t="inlineStr">
        <is>
          <t>Hello everyone, new member here. I’ve been diagnosed with Acid Reflux by my doctor (over the phone) a couple weeks ago, though I’ve been suffering with this for 10 weeks altogether. 
I was put on omeprazole 20mg but I stopped taking them after 3 days because I suffer from anxiety. I read about the horrible side effects from ppis and I was starting to get a bad headache, stomachache and dizziness. I’ve read that ppis deplete b12, which causes the lightheaded/dizziness feeling? Also,(correct me if I’m wrong) over long term, it can cause serious gastric issues? I’ve read that some people use gaviscon and was wondering is it as effective/viable as omeprazole long term? 
My symptoms aren’t the typical acid through the throat/heartburn. I suffer from chest pain especially in the middle/sternum area. The pain varies each day and I sometimes get really bad tight throat to point where it feels I can’t breathe (thankfully I can though). It got so bad last night, to the point where I had to stop eating my small food and skipped dinner altogether in fear of choking. I had to clear my throat and had a small bits of food stuck in my throat. The tight throat didn’t let up for a long while after. I also constantly feel I have tickle sensation and feel the need to cough to clear it. I have a weird sensation at the bottom of my throat and a pulling feeling at the right side of my neck. I also have pressure near my collarbone and upper chest area pain at the top of my chest area on/off but that seems to have gone for now. 
Does anybody else suffer from these symptoms? Should I start taking omeprazole again (even with the side effects) or just stick with gaviscon double action tablets? 
Sorry for the really long post, I have so many questions. I just want to feel normal again.</t>
        </is>
      </c>
      <c r="D7546" t="n">
        <v>1</v>
      </c>
      <c r="E7546" t="n">
        <v>8</v>
      </c>
      <c r="F7546">
        <f>HYPERLINK("https://www.reddit.com/r/GERD/comments/gqd7b3/omeprazole_or_gaviscon_double_action/")</f>
        <v/>
      </c>
      <c r="G7546" t="inlineStr">
        <is>
          <t>2020-05-25 08:42:15</t>
        </is>
      </c>
      <c r="H7546" t="inlineStr"/>
    </row>
    <row r="7547">
      <c r="A7547" t="inlineStr">
        <is>
          <t>gqdjic</t>
        </is>
      </c>
      <c r="B7547" t="inlineStr">
        <is>
          <t>D-Limomene for whomever wants it</t>
        </is>
      </c>
      <c r="C7547" t="inlineStr">
        <is>
          <t>I ordered it, never cracked the seal. Found out I had functional heartburn. This community was so helpful to me and I feel bad throwing it in the trash. Lmk who wants it.</t>
        </is>
      </c>
      <c r="D7547" t="n">
        <v>1</v>
      </c>
      <c r="E7547" t="n">
        <v>10</v>
      </c>
      <c r="F7547">
        <f>HYPERLINK("https://www.reddit.com/r/GERD/comments/gqdjic/dlimomene_for_whomever_wants_it/")</f>
        <v/>
      </c>
      <c r="G7547" t="inlineStr">
        <is>
          <t>2020-05-25 09:00:52</t>
        </is>
      </c>
      <c r="H7547" t="inlineStr"/>
    </row>
    <row r="7548">
      <c r="A7548" t="inlineStr">
        <is>
          <t>gqdni0</t>
        </is>
      </c>
      <c r="B7548" t="inlineStr">
        <is>
          <t>Does anyone else have no problem with coffee?</t>
        </is>
      </c>
      <c r="C7548" t="inlineStr">
        <is>
          <t>Hello 
I am trying to figure out my triggers since I’ve dealt with acid over a year now.... I have drank coffee everyday and even when I was on ppis and stuff, I never had issues. It was other foods like pasta and red sauce, etc. 
Does coffee you bother you or is that not one of your triggers? I wonder if it’s just a trigger for some people</t>
        </is>
      </c>
      <c r="D7548" t="n">
        <v>1</v>
      </c>
      <c r="E7548" t="n">
        <v>64</v>
      </c>
      <c r="F7548">
        <f>HYPERLINK("https://www.reddit.com/r/GERD/comments/gqdni0/does_anyone_else_have_no_problem_with_coffee/")</f>
        <v/>
      </c>
      <c r="G7548" t="inlineStr">
        <is>
          <t>2020-05-25 09:06:31</t>
        </is>
      </c>
      <c r="H7548" t="inlineStr"/>
    </row>
    <row r="7549">
      <c r="A7549" t="inlineStr">
        <is>
          <t>gqe9fs</t>
        </is>
      </c>
      <c r="B7549" t="inlineStr">
        <is>
          <t>Curious about possible LPR/GERD</t>
        </is>
      </c>
      <c r="C7549" t="inlineStr">
        <is>
          <t>Is it possible to have LPR or GERD without a chronic cough? I seem to check a lot of boxes for LPR, since I have an irritated throat, breathing problems, chronic post nasal drip, etc. However, I have not presented any kind of cough. I’m wondering if some people react different and are presented with slightly different symptoms than others.</t>
        </is>
      </c>
      <c r="D7549" t="n">
        <v>1</v>
      </c>
      <c r="E7549" t="n">
        <v>5</v>
      </c>
      <c r="F7549">
        <f>HYPERLINK("https://www.reddit.com/r/GERD/comments/gqe9fs/curious_about_possible_lprgerd/")</f>
        <v/>
      </c>
      <c r="G7549" t="inlineStr">
        <is>
          <t>2020-05-25 09:38:35</t>
        </is>
      </c>
      <c r="H7549" t="inlineStr"/>
    </row>
    <row r="7550">
      <c r="A7550" t="inlineStr">
        <is>
          <t>gqf4i5</t>
        </is>
      </c>
      <c r="B7550" t="inlineStr">
        <is>
          <t>Can switching Proton Pump Inhibitors Cause Indigestion?</t>
        </is>
      </c>
      <c r="C7550" t="inlineStr">
        <is>
          <t>I'm about 5 days in from switching from Nexium to Pantoprazole. For the past 3 days my stomach has been gurgling all day like it would before a bout of diarrhea but I remained solid, just passing gas a lot more.
This afternoon I had diarrhea after being solid when I woke up. Could this be a side effect of switching PPI meds?</t>
        </is>
      </c>
      <c r="D7550" t="n">
        <v>1</v>
      </c>
      <c r="E7550" t="n">
        <v>2</v>
      </c>
      <c r="F7550">
        <f>HYPERLINK("https://www.reddit.com/r/GERD/comments/gqf4i5/can_switching_proton_pump_inhibitors_cause/")</f>
        <v/>
      </c>
      <c r="G7550" t="inlineStr">
        <is>
          <t>2020-05-25 10:24:30</t>
        </is>
      </c>
      <c r="H7550" t="inlineStr"/>
    </row>
    <row r="7551">
      <c r="A7551" t="inlineStr">
        <is>
          <t>gqfrc3</t>
        </is>
      </c>
      <c r="B7551" t="inlineStr">
        <is>
          <t>TIF surgery?</t>
        </is>
      </c>
      <c r="C7551" t="inlineStr">
        <is>
          <t>I am still going through the process of being officially diagnosed with LPR. I still need to do the Barium swallow and I am currently on antibiotics to rule out my post nasal drip/sore throat being a sinus infection. 
Regardless, if I do in fact have LPR, I really don’t want to be on PPI’s for an extended amount of time. The idea makes me uncomfortable and I also would struggle immensely with changing my diet. I am already vegan, so my options are limited as is. Most of my staple foods are triggers for LPR, so I have decided that if it is in fact LPR I would like to think about taking the surgery route. I don’t want LPR to control my life and have to live in fear of trigger foods. 
I’ve heard lots about TIF, has anyone hear had it? If so, what has your experience been like and has your LPR/GERD gone away?</t>
        </is>
      </c>
      <c r="D7551" t="n">
        <v>1</v>
      </c>
      <c r="E7551" t="n">
        <v>9</v>
      </c>
      <c r="F7551">
        <f>HYPERLINK("https://www.reddit.com/r/GERD/comments/gqfrc3/tif_surgery/")</f>
        <v/>
      </c>
      <c r="G7551" t="inlineStr">
        <is>
          <t>2020-05-25 10:59:16</t>
        </is>
      </c>
      <c r="H7551" t="inlineStr"/>
    </row>
    <row r="7552">
      <c r="A7552" t="inlineStr">
        <is>
          <t>gqgy57</t>
        </is>
      </c>
      <c r="B7552" t="inlineStr">
        <is>
          <t>Months of burping, irritated throat, excessive mucus - Doctors have no clue!</t>
        </is>
      </c>
      <c r="C7552" t="inlineStr">
        <is>
          <t>Hey there,
I'm not sure if I even have GERD but I have "GERD-like" symptoms. I have been dealing with the problems in the title for months now with pretty much no relief:
1) Burping: It feels like "deep" burping (if that makes sense) that doesn't reach my mouth, it's like the middle of my throat. This happens pretty much all day
2) Back of my throat is burning/irritated. I can't tell if it is the mucus running over it or if it is acid, but I have had doctors tell me there is no apparent irritation or acid damage.
3) Constant need to swallow. I have what I believe is mucus draining down my throat all day. It doesn't stop at all. I always need to swallow, spit out, whatever to get it away.
4) Dry mouth. I wake up with a really dry mouth and this continues through the day. Makes it tough to speak!
With all of this, I went to a gastro over a year ago, did a scope: nada. I have been to an ENT and he did a scope up through my nose and down my throat: nada. I don't know what to do at this point. I can't afford to go to the doctor at this point since I was furloughed from my job and I am so desperate. I feel like no one knows what I am going through, and I try to put on a good face, but some days are just too much. 
I've taken the highest dosage of Omeprazole 2x a day (I think it was 30 mgs each) and I didn't feel any relief. I did that for over a month. I went back to the gastro and he told me there is no way I have acid reflux if that medicine didn't help at all. So I'm at a loss. I've even looked into candida and do have a bit of whiteness of my tongue, but there is no white growth on my throat (apparently) so I don't know how it would cause my other issues.
Thanks for reading this. It helps to just type it out because it tricks my mind into believing that I'm doing something that will help fix it. I don't know if I mentioned, but I've had these symptoms for over 2 years now. I'm not a smoker, in my 20s, don't drink.</t>
        </is>
      </c>
      <c r="D7552" t="n">
        <v>1</v>
      </c>
      <c r="E7552" t="n">
        <v>7</v>
      </c>
      <c r="F7552">
        <f>HYPERLINK("https://www.reddit.com/r/GERD/comments/gqgy57/months_of_burping_irritated_throat_excessive/")</f>
        <v/>
      </c>
      <c r="G7552" t="inlineStr">
        <is>
          <t>2020-05-25 11:59:56</t>
        </is>
      </c>
      <c r="H7552" t="inlineStr"/>
    </row>
    <row r="7553">
      <c r="A7553" t="inlineStr">
        <is>
          <t>gqgzhw</t>
        </is>
      </c>
      <c r="B7553" t="inlineStr">
        <is>
          <t>Diet for acid reflux?</t>
        </is>
      </c>
      <c r="C7553" t="inlineStr">
        <is>
          <t>I have recently been diagnosed with mild acid reflux from my GI. He gave me a list of foods to avoid, like anything with tomatoes and chocolate, and a prescription for Pantoprazole 40 MG. I have no clue what to do for diet overall though, my mom keeps saying I should do this ''alkaline'' thing but she doesn't know very much about it. Do any of you have any advice for a good diet for acid reflux? thank you!</t>
        </is>
      </c>
      <c r="D7553" t="n">
        <v>1</v>
      </c>
      <c r="E7553" t="n">
        <v>7</v>
      </c>
      <c r="F7553">
        <f>HYPERLINK("https://www.reddit.com/r/GERD/comments/gqgzhw/diet_for_acid_reflux/")</f>
        <v/>
      </c>
      <c r="G7553" t="inlineStr">
        <is>
          <t>2020-05-25 12:01:36</t>
        </is>
      </c>
      <c r="H7553" t="inlineStr"/>
    </row>
    <row r="7554">
      <c r="A7554" t="inlineStr">
        <is>
          <t>gqh2va</t>
        </is>
      </c>
      <c r="B7554" t="inlineStr">
        <is>
          <t>Tips for drinking with GERD? (alcohol)</t>
        </is>
      </c>
      <c r="C7554" t="inlineStr">
        <is>
          <t>I’m 21, follow a strict diet, eat small portions, don’t eat 4 hours before bed, etc. I can’t follow all those rules without major issues, but drinking? I’m 21. It’s bound to happen and I don’t want to isolate myself from my friends at college. If it means more heart burn I might have to take that L...but do any of y’all drink?
Y’all have any tips of drinking with GERD?</t>
        </is>
      </c>
      <c r="D7554" t="n">
        <v>1</v>
      </c>
      <c r="E7554" t="n">
        <v>13</v>
      </c>
      <c r="F7554">
        <f>HYPERLINK("https://www.reddit.com/r/GERD/comments/gqh2va/tips_for_drinking_with_gerd_alcohol/")</f>
        <v/>
      </c>
      <c r="G7554" t="inlineStr">
        <is>
          <t>2020-05-25 12:06:07</t>
        </is>
      </c>
      <c r="H7554" t="inlineStr"/>
    </row>
    <row r="7555">
      <c r="A7555" t="inlineStr">
        <is>
          <t>gqhp6x</t>
        </is>
      </c>
      <c r="B7555" t="inlineStr">
        <is>
          <t>GERD and COVID-19?</t>
        </is>
      </c>
      <c r="C7555" t="inlineStr">
        <is>
          <t>Hey, I know this may be late, but I just joined this community. I have had GERD for about 6-7 months and this recent pandemic has made me concerned. Is there any reason to worry that GERD could cause complications with COVID?</t>
        </is>
      </c>
      <c r="D7555" t="n">
        <v>1</v>
      </c>
      <c r="E7555" t="n">
        <v>3</v>
      </c>
      <c r="F7555">
        <f>HYPERLINK("https://www.reddit.com/r/GERD/comments/gqhp6x/gerd_and_covid19/")</f>
        <v/>
      </c>
      <c r="G7555" t="inlineStr">
        <is>
          <t>2020-05-25 12:38:07</t>
        </is>
      </c>
      <c r="H7555" t="inlineStr"/>
    </row>
    <row r="7556">
      <c r="A7556" t="inlineStr">
        <is>
          <t>gqj1il</t>
        </is>
      </c>
      <c r="B7556" t="inlineStr">
        <is>
          <t>Anyone have similar symptoms?</t>
        </is>
      </c>
      <c r="C7556" t="inlineStr">
        <is>
          <t>I’ve had rectal bleeding since December 2019. Had a stool sample was told it’s Hpylori infection. Did a one week course of tablets. I didn’t work out. I’d down a bottle of gaviscon a week had severe heartburn. 
After struggling with I did another test 8 week ago and was confirmed Hpylori. Did a two week course didn’t help. Now I have a lot of blood in stool if I even touch anything with sugar or spices or oily. 
Mom diagnosed with colon cancer 6 months ago. Any link between the two. She has similar symptoms. 
Anything I eat that reacts causes me to burp a lot. Not flatulent thought and no heart burn. Can feel my stomach turning and have anxiety induced due to this. I’ve got back pain that comes and goes every time tummy bothers me. 
Due for a colonoscopy and endoscopy. 
Any ideas?</t>
        </is>
      </c>
      <c r="D7556" t="n">
        <v>1</v>
      </c>
      <c r="E7556" t="n">
        <v>0</v>
      </c>
      <c r="F7556">
        <f>HYPERLINK("https://www.reddit.com/r/GERD/comments/gqj1il/anyone_have_similar_symptoms/")</f>
        <v/>
      </c>
      <c r="G7556" t="inlineStr">
        <is>
          <t>2020-05-25 13:49:11</t>
        </is>
      </c>
      <c r="H7556" t="inlineStr"/>
    </row>
    <row r="7557">
      <c r="A7557" t="inlineStr">
        <is>
          <t>gqj5w8</t>
        </is>
      </c>
      <c r="B7557" t="inlineStr">
        <is>
          <t>Is dizziness with GERD normal ?</t>
        </is>
      </c>
      <c r="C7557" t="inlineStr">
        <is>
          <t>I’ve been feeling some dizziness in the afternoon with GERD, during the day I feel pretty normal but as the day goes on I start to feel ear pain and some dizziness the feeling of being off-balance . Anyone else experience this ?</t>
        </is>
      </c>
      <c r="D7557" t="n">
        <v>1</v>
      </c>
      <c r="E7557" t="n">
        <v>16</v>
      </c>
      <c r="F7557">
        <f>HYPERLINK("https://www.reddit.com/r/GERD/comments/gqj5w8/is_dizziness_with_gerd_normal/")</f>
        <v/>
      </c>
      <c r="G7557" t="inlineStr">
        <is>
          <t>2020-05-25 13:55:53</t>
        </is>
      </c>
      <c r="H7557" t="inlineStr"/>
    </row>
    <row r="7558">
      <c r="A7558" t="inlineStr">
        <is>
          <t>gqlc8b</t>
        </is>
      </c>
      <c r="B7558" t="inlineStr">
        <is>
          <t>Wheezing and GERD/LPR (and possibly asthma)</t>
        </is>
      </c>
      <c r="C7558" t="inlineStr">
        <is>
          <t>Just wanted to see who else wheezes during and after they eat. 
It’s spring, when my allergies typically flare, and boy are my lungs having trouble. To complicate matters, I started reducing my omeprazole from 20mg to 10mg daily. 
The one time in my entire life I’ve been prescribed an asthma inhaler by a doctor was when I went to see him about GERD. I don’t think either of us made a connection then, but I certainly did once I found out LPR existed.
Is wheezing on inhales typical with GERD/LPR, or should I be concerned about heart-lung related issues?
Has anyone found any coping skills helpful with dealing with GERD/LPR related breathing issues exacerbated by seasonal allergies?
Grateful for your wisdom :)</t>
        </is>
      </c>
      <c r="D7558" t="n">
        <v>1</v>
      </c>
      <c r="E7558" t="n">
        <v>4</v>
      </c>
      <c r="F7558">
        <f>HYPERLINK("https://www.reddit.com/r/GERD/comments/gqlc8b/wheezing_and_gerdlpr_and_possibly_asthma/")</f>
        <v/>
      </c>
      <c r="G7558" t="inlineStr">
        <is>
          <t>2020-05-25 16:03:33</t>
        </is>
      </c>
      <c r="H7558" t="inlineStr"/>
    </row>
    <row r="7559">
      <c r="A7559" t="inlineStr">
        <is>
          <t>gqleyx</t>
        </is>
      </c>
      <c r="B7559" t="inlineStr">
        <is>
          <t>Sleeping on a wedge with neck and back problems</t>
        </is>
      </c>
      <c r="C7559" t="inlineStr">
        <is>
          <t>Hello peoples! As per the title - I have a compressed nerve root at C6/C7 which is mostly stable, but flares when I sleep weird or lift weights wrong. This pain radiates to my mid back too. I also have a slipped disc in my lower back.
Has anyone had luck sleeping elevated on a wedge/anything else with similar problems? Unless I sleep on my back all night (which isn’t my jam) i don’t think it’ll work 😭
Currently doing a food elimination diet with the view off slowly weaning off my omeprazole 😁 Trying to get all my lifestyle factors sorted first</t>
        </is>
      </c>
      <c r="D7559" t="n">
        <v>1</v>
      </c>
      <c r="E7559" t="n">
        <v>2</v>
      </c>
      <c r="F7559">
        <f>HYPERLINK("https://www.reddit.com/r/GERD/comments/gqleyx/sleeping_on_a_wedge_with_neck_and_back_problems/")</f>
        <v/>
      </c>
      <c r="G7559" t="inlineStr">
        <is>
          <t>2020-05-25 16:08:16</t>
        </is>
      </c>
      <c r="H7559" t="inlineStr"/>
    </row>
    <row r="7560">
      <c r="A7560" t="inlineStr">
        <is>
          <t>gqlu3f</t>
        </is>
      </c>
      <c r="B7560" t="inlineStr">
        <is>
          <t>what exercise do you think causes hiatal hernia?</t>
        </is>
      </c>
      <c r="C7560" t="inlineStr">
        <is>
          <t>im suspecting i got a hiatal but sadly i cant do a CT scan until next month thanks to corona. But i used to do a lot of weight lifting and i would strain myself because i was so brainwashed by the fake natty youtubers... I'm wondering do you think its from doing pull ups? I used to strain myself hard on pull ups and it uses your core a lot so im wondering if maybe that gave me a hiatal?
or maybe from doing situps to exhaustion hoping i'd get ripped abs?</t>
        </is>
      </c>
      <c r="D7560" t="n">
        <v>1</v>
      </c>
      <c r="E7560" t="n">
        <v>3</v>
      </c>
      <c r="F7560">
        <f>HYPERLINK("https://www.reddit.com/r/GERD/comments/gqlu3f/what_exercise_do_you_think_causes_hiatal_hernia/")</f>
        <v/>
      </c>
      <c r="G7560" t="inlineStr">
        <is>
          <t>2020-05-25 16:34:45</t>
        </is>
      </c>
      <c r="H7560" t="inlineStr"/>
    </row>
    <row r="7561">
      <c r="A7561" t="inlineStr">
        <is>
          <t>gqlxmz</t>
        </is>
      </c>
      <c r="B7561" t="inlineStr">
        <is>
          <t>What's the deal with TIF?</t>
        </is>
      </c>
      <c r="C7561" t="inlineStr">
        <is>
          <t>I have been following this sub for a while and never heard of TIF before, but today I'm seeing so many posts about it!
I googled it and it seems better than nissen and linx....why isn't it more popular?? sounds like the best idea and i will ask my GI about it when i see her!</t>
        </is>
      </c>
      <c r="D7561" t="n">
        <v>1</v>
      </c>
      <c r="E7561" t="n">
        <v>4</v>
      </c>
      <c r="F7561">
        <f>HYPERLINK("https://www.reddit.com/r/GERD/comments/gqlxmz/whats_the_deal_with_tif/")</f>
        <v/>
      </c>
      <c r="G7561" t="inlineStr">
        <is>
          <t>2020-05-25 16:40:52</t>
        </is>
      </c>
      <c r="H7561" t="inlineStr"/>
    </row>
    <row r="7562">
      <c r="A7562" t="inlineStr">
        <is>
          <t>gqm2yk</t>
        </is>
      </c>
      <c r="B7562" t="inlineStr">
        <is>
          <t>getting rid of that "something stuck in my throat" feeling?</t>
        </is>
      </c>
      <c r="C7562" t="inlineStr">
        <is>
          <t>What can be done to relieve the constant feeling of mucus in my throat? I've tried lots of different treatments and I still feel gross</t>
        </is>
      </c>
      <c r="D7562" t="n">
        <v>1</v>
      </c>
      <c r="E7562" t="n">
        <v>16</v>
      </c>
      <c r="F7562">
        <f>HYPERLINK("https://www.reddit.com/r/GERD/comments/gqm2yk/getting_rid_of_that_something_stuck_in_my_throat/")</f>
        <v/>
      </c>
      <c r="G7562" t="inlineStr">
        <is>
          <t>2020-05-25 16:50:04</t>
        </is>
      </c>
      <c r="H7562" t="inlineStr"/>
    </row>
    <row r="7563">
      <c r="A7563" t="inlineStr">
        <is>
          <t>gqnh1j</t>
        </is>
      </c>
      <c r="B7563" t="inlineStr">
        <is>
          <t>Air in stomach?</t>
        </is>
      </c>
      <c r="C7563" t="inlineStr">
        <is>
          <t>I’ve been having lots of problems with acid coming up / heartburn but recently been having horrible air in the stomach. Makes me have to force a burp to relieve or pass a lot of gas and can last for hours. Comes with bloating too. Can’t figure out the cause. Been on PPI’s for like 3 months and am slowly switching to H2 blockers instead didnt know if that’s the cause or if there’s anything I can do to relieve that air feeling thanks!</t>
        </is>
      </c>
      <c r="D7563" t="n">
        <v>1</v>
      </c>
      <c r="E7563" t="n">
        <v>5</v>
      </c>
      <c r="F7563">
        <f>HYPERLINK("https://www.reddit.com/r/GERD/comments/gqnh1j/air_in_stomach/")</f>
        <v/>
      </c>
      <c r="G7563" t="inlineStr">
        <is>
          <t>2020-05-25 18:18:04</t>
        </is>
      </c>
      <c r="H7563" t="inlineStr"/>
    </row>
    <row r="7564">
      <c r="A7564" t="inlineStr">
        <is>
          <t>gqnpyb</t>
        </is>
      </c>
      <c r="B7564" t="inlineStr">
        <is>
          <t>22 YO, Bad Anxiety Around Stomach Discomfort And Reflux In Throat</t>
        </is>
      </c>
      <c r="C7564" t="inlineStr">
        <is>
          <t>Hi all, 
Ive had thrush on my tongue for about a month now and I keep waking up in the morning with an acidic-like stomach pain that lasts until about noon, and my appetite is really blah. I went to the doctor and he said it’s probably reflux related and prescribed me an antifungal and a PPI 40mg daily which didn’t help the thrush.  After that, I got bloodwork done and it’s all completely normal, so the doc prescribed me an antibiotic and ulcer-helper in case I have H pylori. I’m on day 5 of the meds and I’m an anxious wreck. 22 years old and a healthy history but this is really scaring me.  Does the below picture look like the reflux that you’d experience with GERD?   
[Throat Pic](https://imgur.com/SXn0jaE)</t>
        </is>
      </c>
      <c r="D7564" t="n">
        <v>1</v>
      </c>
      <c r="E7564" t="n">
        <v>0</v>
      </c>
      <c r="F7564">
        <f>HYPERLINK("https://www.reddit.com/r/GERD/comments/gqnpyb/22_yo_bad_anxiety_around_stomach_discomfort_and/")</f>
        <v/>
      </c>
      <c r="G7564" t="inlineStr">
        <is>
          <t>2020-05-25 18:33:49</t>
        </is>
      </c>
      <c r="H7564" t="inlineStr"/>
    </row>
    <row r="7565">
      <c r="A7565" t="inlineStr">
        <is>
          <t>gqnt3k</t>
        </is>
      </c>
      <c r="B7565" t="inlineStr">
        <is>
          <t>Shortness of breath and GERD anxiety</t>
        </is>
      </c>
      <c r="C7565" t="inlineStr">
        <is>
          <t>Hi guys! Kinda long post ahead. So I have been dealing with a flare up of unconfirmed GERD for the last two months now. Last August, I went to Urgent Care after experiencing a lump in my throat and other fun symptoms, and was prescribed Omeprazole. After taking Omeprazole for a few months, I quit taking it, and was fine until about March. 
However, the last two weeks have been absolutely awful, and my shortness of breath, constant burping, and throat pain is becoming a major issue. I’m working on figuring out my trigger foods, and have been taking Nexium for the past two weeks, as well as Gaviscon and Pepcid as needed. With the whole COVID-19 situation, my anxiety has been sky high, which is a vicious cycle when paired with shortness of breath. I have my first official appointment with my doctor on Thursday to hopefully figure out exactly what’s going on. But until then, what are your guys tips for dealing with the anxiety and shortness of breath that come with GERD? One thing that helps me a bit is realizing that when I’m distracted, I don’t notice or experience the shortness of breath, which kinda helps me realize it’s all in my head. I also have to keep telling myself it’s not COVID, since I have no symptoms, but sometimes my brain starts overthinking and I almost have a panic attack. I know everybody is different, but what are other ways I can deal with the anxiety that comes from GERD? Also, does anyone have any tips for sleeping when struggling to get a full breath?</t>
        </is>
      </c>
      <c r="D7565" t="n">
        <v>1</v>
      </c>
      <c r="E7565" t="n">
        <v>2</v>
      </c>
      <c r="F7565">
        <f>HYPERLINK("https://www.reddit.com/r/GERD/comments/gqnt3k/shortness_of_breath_and_gerd_anxiety/")</f>
        <v/>
      </c>
      <c r="G7565" t="inlineStr">
        <is>
          <t>2020-05-25 18:39:28</t>
        </is>
      </c>
      <c r="H7565" t="inlineStr"/>
    </row>
    <row r="7566">
      <c r="A7566" t="inlineStr">
        <is>
          <t>gqplxp</t>
        </is>
      </c>
      <c r="B7566" t="inlineStr">
        <is>
          <t>A remedy that may help a little with shortness of breath</t>
        </is>
      </c>
      <c r="C7566" t="inlineStr">
        <is>
          <t>So, I have had unrelivable shortness of breath and chest pain/tightness. I took my dogs tennis ball and massaged my chest and I feel a wave of relief and the tightness has improved so much. Also I feel I can breath a little better, definitely. I recommend a tennis ball because this is definitely affective than my own hands. Lol  I also just googled if muscle knots can affect the feeling of shortness of breath and they do!! Muscle knots in the chest, back all can affect your diaphragm and ability to take deep breaths. This is all caused by coughing which I have had a chronic cough  off and on for years now since I was diagnosed. 
Just roll the tennis ball with as much pressure as you can take on the muscles by the sternum/all over chest area--wherever your problem areas may be(I especially have this tightness/soreness on my left side right next to my sternum)and I even put the tennis ball on the wall behind my back and got another area that is always tense on my left upper back. Much is relieved now. This pain and restricted shortness of breath feeling is definitely subsiding the more I do it. 
I'm like excited from how much better I feel. And also feel dumb for not trying it sooner. 
Totally recommend giving it a try, after dieting the last two days and this, I'm hopeful I'll sleep better tonight . 🤞</t>
        </is>
      </c>
      <c r="D7566" t="n">
        <v>1</v>
      </c>
      <c r="E7566" t="n">
        <v>15</v>
      </c>
      <c r="F7566">
        <f>HYPERLINK("https://www.reddit.com/r/GERD/comments/gqplxp/a_remedy_that_may_help_a_little_with_shortness_of/")</f>
        <v/>
      </c>
      <c r="G7566" t="inlineStr">
        <is>
          <t>2020-05-25 20:43:05</t>
        </is>
      </c>
      <c r="H7566" t="inlineStr"/>
    </row>
    <row r="7567">
      <c r="A7567" t="inlineStr">
        <is>
          <t>gqptjb</t>
        </is>
      </c>
      <c r="B7567" t="inlineStr">
        <is>
          <t>Does this sound more like LPR/GERD or Eosinophilic Esophagitis?</t>
        </is>
      </c>
      <c r="C7567" t="inlineStr">
        <is>
          <t>I am an 18 year old male who has had some issues involving possible reflux the past 7+ months. It all started out when night about 6-7 months ago, when I found it hard to take a deep breath in. I had been vaping previously for over a year (possible cause of this situation). I did however quit vaping and the symptoms have still been persistent.
Symptoms:
- Irritated Throat
- Chronic Post Nasal Drip
- Difficulty breathing (uncomfortable)
- Chest and neck pain (on the sides) 
- Tickle in throat 
- Tight throat
- Occasional lump in throat
- Pain in sternum when breathing
- Frequent burping</t>
        </is>
      </c>
      <c r="D7567" t="n">
        <v>1</v>
      </c>
      <c r="E7567" t="n">
        <v>0</v>
      </c>
      <c r="F7567">
        <f>HYPERLINK("https://www.reddit.com/r/GERD/comments/gqptjb/does_this_sound_more_like_lprgerd_or_eosinophilic/")</f>
        <v/>
      </c>
      <c r="G7567" t="inlineStr">
        <is>
          <t>2020-05-25 20:58:10</t>
        </is>
      </c>
      <c r="H7567" t="inlineStr"/>
    </row>
    <row r="7568">
      <c r="A7568" t="inlineStr">
        <is>
          <t>gqpw9n</t>
        </is>
      </c>
      <c r="B7568" t="inlineStr">
        <is>
          <t>Does this sound more like LPR/GERD or Eosinophilic Esophagitis?</t>
        </is>
      </c>
      <c r="C7568" t="inlineStr">
        <is>
          <t>I am an 18 year old male who has had some issues involving possible reflux the past 7+ months. It all started out when night about 6-7 months ago, when I found it hard to take a deep breath in. I had been vaping previously for over a year (possible cause of this situation). I did however quit vaping and the symptoms have still been persistent.
Symptoms:
- Irritated Throat
- Chronic Post Nasal Drip
- Difficulty breathing (uncomfortable)
- Chest and neck pain (on the sides) 
- Tickle in throat 
- Tight throat
- Occasional lump in throat
- Pain in sternum when breathing
- Frequent burping
- Pain/soreness at base of throat
- sinus pressure 
- Mild ear pain
Other Notes:
- I have pollen allergies
- I’ve tried Zyrtec and Claritin and neither has really helped relive my symptoms
- I’ve tried Prevacid and it hasn’t worked
- Not entirely sure what triggers it
- I feel it 24/7
- I also have pectus excavatum</t>
        </is>
      </c>
      <c r="D7568" t="n">
        <v>1</v>
      </c>
      <c r="E7568" t="n">
        <v>16</v>
      </c>
      <c r="F7568">
        <f>HYPERLINK("https://www.reddit.com/r/GERD/comments/gqpw9n/does_this_sound_more_like_lprgerd_or_eosinophilic/")</f>
        <v/>
      </c>
      <c r="G7568" t="inlineStr">
        <is>
          <t>2020-05-25 21:03:32</t>
        </is>
      </c>
      <c r="H7568" t="inlineStr"/>
    </row>
    <row r="7569">
      <c r="A7569" t="inlineStr">
        <is>
          <t>gqq8kd</t>
        </is>
      </c>
      <c r="B7569" t="inlineStr">
        <is>
          <t>Where to start?</t>
        </is>
      </c>
      <c r="C7569" t="inlineStr">
        <is>
          <t>Hey all. I’ve never really heard of GERD until today but reading about it seems like it makes sense for what’s going on. I have another condition I thought it may be tied to but now I’m not so sure. For months I’ve been having really bad gas, lots of popping and croaking from my stomach, low appetite, pressure at the top of my stomach just under my sternum (this is the worst part for me), occasional tight chest/short breath, feeling of something in my throat and occasional acidic burps and just general stomach pain/discomfort. 
I’m guessing that sounds about right for GERD? Is there anything I can do right now as far as helping myself before I see a doctor? It’s proving very difficult to get an appointment and I’m in the high-risk covid19 group  so I want to avoid hospital if at all possible at the moment. My diet is v clean if it makes any difference. All plant based, very simple, mostly whole food, no junk. Don’t drink or smoke.
I’m just completely new to this so any help or advice you might be able to provide that helped you at this stage would be brilliant.
Thanks all.</t>
        </is>
      </c>
      <c r="D7569" t="n">
        <v>1</v>
      </c>
      <c r="E7569" t="n">
        <v>6</v>
      </c>
      <c r="F7569">
        <f>HYPERLINK("https://www.reddit.com/r/GERD/comments/gqq8kd/where_to_start/")</f>
        <v/>
      </c>
      <c r="G7569" t="inlineStr">
        <is>
          <t>2020-05-25 21:28:28</t>
        </is>
      </c>
      <c r="H7569" t="inlineStr"/>
    </row>
    <row r="7570">
      <c r="A7570" t="inlineStr">
        <is>
          <t>gqriii</t>
        </is>
      </c>
      <c r="B7570" t="inlineStr">
        <is>
          <t>Excessive burping and belching. Started on omeprazole and hasn't changed.</t>
        </is>
      </c>
      <c r="C7570" t="inlineStr">
        <is>
          <t>I've been having issues with heartburn for maybe 1 year now and recently started on omeprazole as suggested by my doc.  my biggest problem currently is excessive burping and belching.  I constantly have to burp through the whole day no matter what I eat.  And I occasionally get wet burps, although a lot less since I started on the omeprazole.  Any suggestions to cut back on the burping?  
I also started to incorporate more fiber into my diet recently, but I remember having issues with burping before i started a higher fiber diet too</t>
        </is>
      </c>
      <c r="D7570" t="n">
        <v>1</v>
      </c>
      <c r="E7570" t="n">
        <v>2</v>
      </c>
      <c r="F7570">
        <f>HYPERLINK("https://www.reddit.com/r/GERD/comments/gqriii/excessive_burping_and_belching_started_on/")</f>
        <v/>
      </c>
      <c r="G7570" t="inlineStr">
        <is>
          <t>2020-05-25 23:09:44</t>
        </is>
      </c>
      <c r="H7570" t="inlineStr"/>
    </row>
    <row r="7571">
      <c r="A7571" t="inlineStr">
        <is>
          <t>gqru8h</t>
        </is>
      </c>
      <c r="B7571" t="inlineStr">
        <is>
          <t>Why did my reflux come back?</t>
        </is>
      </c>
      <c r="C7571" t="inlineStr">
        <is>
          <t>At first, I was on omeprazole for about three months and after that went on over the counter ones, and I ended up with no symptoms after taking them. But then a month later, my symptoms started to come back slowly and now I am in square one again. does that mean it won’t go away?</t>
        </is>
      </c>
      <c r="D7571" t="n">
        <v>1</v>
      </c>
      <c r="E7571" t="n">
        <v>4</v>
      </c>
      <c r="F7571">
        <f>HYPERLINK("https://www.reddit.com/r/GERD/comments/gqru8h/why_did_my_reflux_come_back/")</f>
        <v/>
      </c>
      <c r="G7571" t="inlineStr">
        <is>
          <t>2020-05-25 23:36:52</t>
        </is>
      </c>
      <c r="H7571" t="inlineStr"/>
    </row>
    <row r="7572">
      <c r="A7572" t="inlineStr">
        <is>
          <t>gqs7kr</t>
        </is>
      </c>
      <c r="B7572" t="inlineStr">
        <is>
          <t>Heartburn without Acid Reflux</t>
        </is>
      </c>
      <c r="C7572" t="inlineStr">
        <is>
          <t>Hello
After an antibiotics therapy I developed abdominal pain, bloating, cramping, trapped gasses, mucus in stool, yellow stools, excessive burping. With going Fodmap diet and L Glutamin my symptoms did disappear for almost 1 month. The symptoms then came back, with less intensity but I developed a new symptom:
heartburn
My heartburn is without acid reflux. I don't feel that acid is coming up. I have this burning in my chest after food and even after drinking water. 
I had endoscopy, colonoscopy, 3 times sonographies all clear, besides a reactive gastritis in the antrum of the stomach.
My next test is an endoscopic ultrasound to check the pancreas, although my pancreas blood test is all good (amylase ok, lipase ok, CA19-9 ok, Elastase 214 (on the lower end, but ok).
Rice and Rice Noodles which I could eat in the past to treat my symptoms above helped a lot, but today I can't eat rice products anymore. I do get a lot of burning in the chest. 
Can you have GERD without the acid reflux?
Do you have same symptoms.
My other main symptoms almost disappeared and the heartburn has stayed or did develop now.</t>
        </is>
      </c>
      <c r="D7572" t="n">
        <v>1</v>
      </c>
      <c r="E7572" t="n">
        <v>2</v>
      </c>
      <c r="F7572">
        <f>HYPERLINK("https://www.reddit.com/r/GERD/comments/gqs7kr/heartburn_without_acid_reflux/")</f>
        <v/>
      </c>
      <c r="G7572" t="inlineStr">
        <is>
          <t>2020-05-26 00:07:47</t>
        </is>
      </c>
      <c r="H7572" t="inlineStr"/>
    </row>
    <row r="7573">
      <c r="A7573" t="inlineStr">
        <is>
          <t>gqscci</t>
        </is>
      </c>
      <c r="B7573" t="inlineStr">
        <is>
          <t>Can major anxiety crisis counter PPI effect ?</t>
        </is>
      </c>
      <c r="C7573" t="inlineStr">
        <is>
          <t>For the last year I've been having big health anxiety attacks, sometimes everyday. I used to wake up with a mild pain in my epigastric area, blaming it on my allergy medications side effects. I had trouble swallowing water sometimes so I had an endoscopy which revealed an oesophagitis grade A. It was a big surprise for me as I never felt pain in my chest, but always in the epigastric area. Doctor put me on Omeprazole for 1 month, told me to avoid big meals and everything should be healed (he was even hesitant to give me PPI as the oesophagitis was very minor). I've been following his advice and taking my pill every evening 30mns before dinner and elevating my bed. Here comes the problem: yesterday I had half a small pizza for lunch, didn't have any heartburn or anything during the afternoon. I ate the other half for dinner and waited 3 hours before going to bed. I had an anxiety attack before sleeping, and 2 hours later woke up with a huge pain in the epigastric area, and ran to get gaviscon. So I was wandering here, what is the culprit ? The pizza even if I ate the same thing without problems at lunch, or the anxiety attack which even with PPI elevate strongly acid in my stomach ? I'm really stressed right now as I can't get out of this situation, GERD symptoms make me fear Barrett oesophagus in the long term, and fear and anxiety seems to create the symptoms. Thanks !
TL;DR: can stress elevate so much acid levels that it can decrease PPI efficacity ?</t>
        </is>
      </c>
      <c r="D7573" t="n">
        <v>1</v>
      </c>
      <c r="E7573" t="n">
        <v>11</v>
      </c>
      <c r="F7573">
        <f>HYPERLINK("https://www.reddit.com/r/GERD/comments/gqscci/can_major_anxiety_crisis_counter_ppi_effect/")</f>
        <v/>
      </c>
      <c r="G7573" t="inlineStr">
        <is>
          <t>2020-05-26 00:19:03</t>
        </is>
      </c>
      <c r="H7573" t="inlineStr"/>
    </row>
    <row r="7574">
      <c r="A7574" t="inlineStr">
        <is>
          <t>gqsolr</t>
        </is>
      </c>
      <c r="B7574" t="inlineStr">
        <is>
          <t>Pain Medication (?)</t>
        </is>
      </c>
      <c r="C7574" t="inlineStr">
        <is>
          <t>I can’t take NSAIDs because they make my stomach bleed and make me cough up acid. Tylenol messes up my stomach in ways that I can’t even explain without alleviating any pain. Once, after a wisdom teeth removal I was prescribed Oxycodone and it was the only medication that worked. For the past two weeks I have been in severe pain with my tonsil and the acid reflux is making it worse. Is it reasonable to ask my Gastro doctor about a possible Oxycodone prescription or do they not do that?</t>
        </is>
      </c>
      <c r="D7574" t="n">
        <v>1</v>
      </c>
      <c r="E7574" t="n">
        <v>12</v>
      </c>
      <c r="F7574">
        <f>HYPERLINK("https://www.reddit.com/r/GERD/comments/gqsolr/pain_medication/")</f>
        <v/>
      </c>
      <c r="G7574" t="inlineStr">
        <is>
          <t>2020-05-26 00:48:14</t>
        </is>
      </c>
      <c r="H7574" t="inlineStr"/>
    </row>
    <row r="7575">
      <c r="A7575" t="inlineStr">
        <is>
          <t>gqtkwm</t>
        </is>
      </c>
      <c r="B7575" t="inlineStr">
        <is>
          <t>No medication and out of control GERD</t>
        </is>
      </c>
      <c r="C7575" t="inlineStr">
        <is>
          <t>Hi all, 
I’ve had significant GERD my entire life. I would throw up regularly as a child, but for many years now my GERD has been under control via diet and Ranitidine. Of course, not with the last one anymore. 
Since Ranitidine was banned, I’ve been in so much discomfort. I regularly feel the acid burning up into my throat, no matter my diet. It constantly happens in the evening. I regularly vomit. I tried Pepcid for awhile, which helped a bit, but now I cant find it anywhere due to those COVID studies. Omeprazole does control it, but as soon as the 14 days are up it goes back to filling up my esophagus. Ive even been stomaching baking soda in water, but it only relieves symptoms for about 30 mins at most. Historically Tums have not helped. I’ve been having to overly rely on my prescription of zofran to control nausea.  Nothing has been able to replace Ranitidine and I’m quite simply miserable. My quality of life is drastically decreased. I can’t currently go to my GP because of the crisis. 
I’m asking for any recommendations at all. Is there anything you’ve been able to change to that has helped? Thank you.</t>
        </is>
      </c>
      <c r="D7575" t="n">
        <v>1</v>
      </c>
      <c r="E7575" t="n">
        <v>6</v>
      </c>
      <c r="F7575">
        <f>HYPERLINK("https://www.reddit.com/r/GERD/comments/gqtkwm/no_medication_and_out_of_control_gerd/")</f>
        <v/>
      </c>
      <c r="G7575" t="inlineStr">
        <is>
          <t>2020-05-26 02:07:07</t>
        </is>
      </c>
      <c r="H7575" t="inlineStr"/>
    </row>
    <row r="7576">
      <c r="A7576" t="inlineStr">
        <is>
          <t>gqtr6u</t>
        </is>
      </c>
      <c r="B7576" t="inlineStr">
        <is>
          <t>Did taking ppis mess up your stomach?</t>
        </is>
      </c>
      <c r="C7576" t="inlineStr">
        <is>
          <t>Wondering if taking ppis messed up anybodys stomach because ever since taking omeprazole then pantoprazole my stomach has been all fucked up</t>
        </is>
      </c>
      <c r="D7576" t="n">
        <v>1</v>
      </c>
      <c r="E7576" t="n">
        <v>2</v>
      </c>
      <c r="F7576">
        <f>HYPERLINK("https://www.reddit.com/r/GERD/comments/gqtr6u/did_taking_ppis_mess_up_your_stomach/")</f>
        <v/>
      </c>
      <c r="G7576" t="inlineStr">
        <is>
          <t>2020-05-26 02:22:18</t>
        </is>
      </c>
      <c r="H7576" t="inlineStr"/>
    </row>
    <row r="7577">
      <c r="A7577" t="inlineStr">
        <is>
          <t>gquqca</t>
        </is>
      </c>
      <c r="B7577" t="inlineStr">
        <is>
          <t>How do you handle whey protein?</t>
        </is>
      </c>
      <c r="C7577" t="inlineStr">
        <is>
          <t>Can you safely consume it? Or does it worsen your symptoms? Question mostly to those who have problems with dairy.</t>
        </is>
      </c>
      <c r="D7577" t="n">
        <v>1</v>
      </c>
      <c r="E7577" t="n">
        <v>12</v>
      </c>
      <c r="F7577">
        <f>HYPERLINK("https://www.reddit.com/r/GERD/comments/gquqca/how_do_you_handle_whey_protein/")</f>
        <v/>
      </c>
      <c r="G7577" t="inlineStr">
        <is>
          <t>2020-05-26 03:46:43</t>
        </is>
      </c>
      <c r="H7577" t="inlineStr"/>
    </row>
    <row r="7578">
      <c r="A7578" t="inlineStr">
        <is>
          <t>gqvjdc</t>
        </is>
      </c>
      <c r="B7578" t="inlineStr">
        <is>
          <t>duodenitis (biopsy) and mild antral erythema (endoscopy)</t>
        </is>
      </c>
      <c r="C7578" t="inlineStr">
        <is>
          <t>i’ve had this acid heat up pain past two months or so everytime my stomach was empty and i when i ate anything regularly cooked (whatever mom makes) i used to get these tens of small bumps on my forehead (once i counted and they were more than 100). 
i had my self check from a gastroenterologist, he after my endoscopy prescribed me mebeverene hcl, esomeprazole and famotidine. 
this made it even worst because i felt even more pain and felt my body is very hot all the time and couldn’t sleep properly. 
i had to wait for biopsy after endoscopy for two weeks. i took the doc prescribed med for a week and consulted a doctor friend who prescribed me amoxicillin, omeprazole and clarithromycin. 
i’ve been taking these for a week twice a day now although my body is not hot all the time but i still feel acid heat up between the meals when in empty stomach.
title say the result of biopsy and endoscopy. i’m not sure to go to the same doctor again who did my endoscopy after biopsy result from the lab. 
what should i do? pls help. i’m 32/male/125lb</t>
        </is>
      </c>
      <c r="D7578" t="n">
        <v>1</v>
      </c>
      <c r="E7578" t="n">
        <v>0</v>
      </c>
      <c r="F7578">
        <f>HYPERLINK("https://www.reddit.com/r/GERD/comments/gqvjdc/duodenitis_biopsy_and_mild_antral_erythema/")</f>
        <v/>
      </c>
      <c r="G7578" t="inlineStr">
        <is>
          <t>2020-05-26 04:48:23</t>
        </is>
      </c>
      <c r="H7578" t="inlineStr"/>
    </row>
    <row r="7579">
      <c r="A7579" t="inlineStr">
        <is>
          <t>gqxj32</t>
        </is>
      </c>
      <c r="B7579" t="inlineStr">
        <is>
          <t>Can PPIs Actually Cause GERD Symptoms?</t>
        </is>
      </c>
      <c r="C7579" t="inlineStr">
        <is>
          <t>I’m tapering off close to a year of Pantoprazole, and to my great surprise, my symptoms are significantly improving. The throat burn, globus sensation, stomach pain, night choking, bloating and nausea-all better, some even gone. Some days I have few to no symptoms. After years of struggle. I expected some rebound and am reducing my dosage slowly, but I did not expect to immediately feel better off the meds. Don’t get me wrong, I’m happy, but wtf?</t>
        </is>
      </c>
      <c r="D7579" t="n">
        <v>1</v>
      </c>
      <c r="E7579" t="n">
        <v>26</v>
      </c>
      <c r="F7579">
        <f>HYPERLINK("https://www.reddit.com/r/GERD/comments/gqxj32/can_ppis_actually_cause_gerd_symptoms/")</f>
        <v/>
      </c>
      <c r="G7579" t="inlineStr">
        <is>
          <t>2020-05-26 06:57:07</t>
        </is>
      </c>
      <c r="H7579" t="inlineStr"/>
    </row>
    <row r="7580">
      <c r="A7580" t="inlineStr">
        <is>
          <t>gqxt2o</t>
        </is>
      </c>
      <c r="B7580" t="inlineStr">
        <is>
          <t>Feeling of needing to cough</t>
        </is>
      </c>
      <c r="C7580" t="inlineStr">
        <is>
          <t>Is this a common symptom? It usually happens mid day and in the morning after I wake up the hardest, but it is usually apparent throughout my day but minor enough for me to just ignore it. I'm not sick either, I have a body temperature of 96.8. Also when I wake up my throat is sore for about 15 minutes and then it goes away randomly. I do feel a slight esophagus burn though after I eat, and I experience it more noticeably after i eat a large meal or something spicy (I love spicy food)</t>
        </is>
      </c>
      <c r="D7580" t="n">
        <v>1</v>
      </c>
      <c r="E7580" t="n">
        <v>2</v>
      </c>
      <c r="F7580">
        <f>HYPERLINK("https://www.reddit.com/r/GERD/comments/gqxt2o/feeling_of_needing_to_cough/")</f>
        <v/>
      </c>
      <c r="G7580" t="inlineStr">
        <is>
          <t>2020-05-26 07:13:49</t>
        </is>
      </c>
      <c r="H7580" t="inlineStr"/>
    </row>
    <row r="7581">
      <c r="A7581" t="inlineStr">
        <is>
          <t>gr0253</t>
        </is>
      </c>
      <c r="B7581" t="inlineStr">
        <is>
          <t>Does this sound like GERD?</t>
        </is>
      </c>
      <c r="C7581" t="inlineStr">
        <is>
          <t>Since late February, I started having difficulty breathing while exercising. I noticed it became worse while lying down and included coughing/chest tightness. I also experienced intense fatigue. I did not experience a fever, but Covid was a consideration. I was not able to get tested until recently and was screened for antibodies. The test was returned negative. My doctor is now treating me for acid reflux and recommended Prilosec OTC. I've been taking the Prilosec for 5 days now with no change in symptoms. Does this sound like typical acid reflux/gerd?</t>
        </is>
      </c>
      <c r="D7581" t="n">
        <v>1</v>
      </c>
      <c r="E7581" t="n">
        <v>2</v>
      </c>
      <c r="F7581">
        <f>HYPERLINK("https://www.reddit.com/r/GERD/comments/gr0253/does_this_sound_like_gerd/")</f>
        <v/>
      </c>
      <c r="G7581" t="inlineStr">
        <is>
          <t>2020-05-26 09:16:53</t>
        </is>
      </c>
      <c r="H7581" t="inlineStr"/>
    </row>
    <row r="7582">
      <c r="A7582" t="inlineStr">
        <is>
          <t>gr02v2</t>
        </is>
      </c>
      <c r="B7582" t="inlineStr">
        <is>
          <t>What do you guys eat for late night snacks?</t>
        </is>
      </c>
      <c r="C7582" t="inlineStr">
        <is>
          <t>I been working to eat dinner as early as possible around 6pm but then I get hungry around 9pm.  I'm reluctant to eat anything 2 hours before bedtime but if I go to bed hungry I get more heart burn from hunger..
I'm trying small amount of nuts and some probiotic yogurt.  Any suggestions?</t>
        </is>
      </c>
      <c r="D7582" t="n">
        <v>1</v>
      </c>
      <c r="E7582" t="n">
        <v>18</v>
      </c>
      <c r="F7582">
        <f>HYPERLINK("https://www.reddit.com/r/GERD/comments/gr02v2/what_do_you_guys_eat_for_late_night_snacks/")</f>
        <v/>
      </c>
      <c r="G7582" t="inlineStr">
        <is>
          <t>2020-05-26 09:17:57</t>
        </is>
      </c>
      <c r="H7582" t="inlineStr"/>
    </row>
    <row r="7583">
      <c r="A7583" t="inlineStr">
        <is>
          <t>gr030s</t>
        </is>
      </c>
      <c r="B7583" t="inlineStr">
        <is>
          <t>Bloating from PPI's??</t>
        </is>
      </c>
      <c r="C7583" t="inlineStr">
        <is>
          <t>I was put on pantoprazole a couple months back and in the short time (2 weeks) I took it, it seemed to greatly improve my LPR symptoms. I only stopped taking it because it was causing serious bloating and a 2-3 pound weight gain in just those 2 weeks. I felt so uncomfortable all the time so i decided to stop. My doctor put me on prescription pepcid ac and that helped some but not as well as the PPI. My doctor then switched me to nexium which has been helping a lot more but now I'm back to being extremely bloated and gaining weight. I've only been on it for 11 days but again feeling so uncomfortable. Does anyone else experience immediate side effects like these? Should I stick it out and continue to take the nexium?</t>
        </is>
      </c>
      <c r="D7583" t="n">
        <v>1</v>
      </c>
      <c r="E7583" t="n">
        <v>5</v>
      </c>
      <c r="F7583">
        <f>HYPERLINK("https://www.reddit.com/r/GERD/comments/gr030s/bloating_from_ppis/")</f>
        <v/>
      </c>
      <c r="G7583" t="inlineStr">
        <is>
          <t>2020-05-26 09:18:12</t>
        </is>
      </c>
      <c r="H7583" t="inlineStr"/>
    </row>
    <row r="7584">
      <c r="A7584" t="inlineStr">
        <is>
          <t>gr0rgf</t>
        </is>
      </c>
      <c r="B7584" t="inlineStr">
        <is>
          <t>Gastritis and stomach not emptying</t>
        </is>
      </c>
      <c r="C7584" t="inlineStr">
        <is>
          <t>Despite radical diet and lifestyle changes as well as medication, I’m still getting intense flare ups causing ongoing gastritis, leading to awful hours of vomiting every couple days or so. What I’ve noticed is that I’m often vomiting what I’ve eaten 6-10 hours prior, looking like it hasn’t digested/broken down any further than when I ate it. Anyone have experience with this? I can’t continue living like this and everything suggested by my doctor has barely helped:(</t>
        </is>
      </c>
      <c r="D7584" t="n">
        <v>1</v>
      </c>
      <c r="E7584" t="n">
        <v>5</v>
      </c>
      <c r="F7584">
        <f>HYPERLINK("https://www.reddit.com/r/GERD/comments/gr0rgf/gastritis_and_stomach_not_emptying/")</f>
        <v/>
      </c>
      <c r="G7584" t="inlineStr">
        <is>
          <t>2020-05-26 09:53:40</t>
        </is>
      </c>
      <c r="H7584" t="inlineStr"/>
    </row>
    <row r="7585">
      <c r="A7585" t="inlineStr">
        <is>
          <t>gr2ehs</t>
        </is>
      </c>
      <c r="B7585" t="inlineStr">
        <is>
          <t>How long for acid levels to return to normal after taking pantoprazole?</t>
        </is>
      </c>
      <c r="C7585" t="inlineStr">
        <is>
          <t>Took it for 1 month and a half twice a day before coming off of it, chest burns with certain things i eat and stomach constantly hurts 4 months after stopping it</t>
        </is>
      </c>
      <c r="D7585" t="n">
        <v>1</v>
      </c>
      <c r="E7585" t="n">
        <v>0</v>
      </c>
      <c r="F7585">
        <f>HYPERLINK("https://www.reddit.com/r/GERD/comments/gr2ehs/how_long_for_acid_levels_to_return_to_normal/")</f>
        <v/>
      </c>
      <c r="G7585" t="inlineStr">
        <is>
          <t>2020-05-26 11:18:18</t>
        </is>
      </c>
      <c r="H7585" t="inlineStr"/>
    </row>
    <row r="7586">
      <c r="A7586" t="inlineStr">
        <is>
          <t>gr4a2g</t>
        </is>
      </c>
      <c r="B7586" t="inlineStr">
        <is>
          <t>What is this?</t>
        </is>
      </c>
      <c r="C7586" t="inlineStr">
        <is>
          <t>Anybody get the feeling of wanting to burp but it doesnt come up so its stuck in the the middle of the chest or something? V uncomfortable accompanied by shortness of breath. What could it be gas pain? Gerd? Or smth more srs</t>
        </is>
      </c>
      <c r="D7586" t="n">
        <v>1</v>
      </c>
      <c r="E7586" t="n">
        <v>4</v>
      </c>
      <c r="F7586">
        <f>HYPERLINK("https://www.reddit.com/r/GERD/comments/gr4a2g/what_is_this/")</f>
        <v/>
      </c>
      <c r="G7586" t="inlineStr">
        <is>
          <t>2020-05-26 12:53:07</t>
        </is>
      </c>
      <c r="H7586" t="inlineStr"/>
    </row>
    <row r="7587">
      <c r="A7587" t="inlineStr">
        <is>
          <t>gr4u29</t>
        </is>
      </c>
      <c r="B7587" t="inlineStr">
        <is>
          <t>Anybody here with gerd get like a pressure in their stomach that feels like trapped gas?</t>
        </is>
      </c>
      <c r="C7587" t="inlineStr">
        <is>
          <t>Stomach hurts feels like a knot as if gas is trapped there with gas noises coming from it off and on, cant sleep because of it</t>
        </is>
      </c>
      <c r="D7587" t="n">
        <v>1</v>
      </c>
      <c r="E7587" t="n">
        <v>8</v>
      </c>
      <c r="F7587">
        <f>HYPERLINK("https://www.reddit.com/r/GERD/comments/gr4u29/anybody_here_with_gerd_get_like_a_pressure_in/")</f>
        <v/>
      </c>
      <c r="G7587" t="inlineStr">
        <is>
          <t>2020-05-26 13:21:55</t>
        </is>
      </c>
      <c r="H7587" t="inlineStr"/>
    </row>
    <row r="7588">
      <c r="A7588" t="inlineStr">
        <is>
          <t>gr60jq</t>
        </is>
      </c>
      <c r="B7588" t="inlineStr">
        <is>
          <t>acid reflux accompanied by nausea?</t>
        </is>
      </c>
      <c r="C7588" t="inlineStr">
        <is>
          <t>I’m not sure if I have acid reflux or another issue because I never see people talk about my symptoms? I have very minimal heartburn. The only truly noticeable symptom I have is that I feel nauseated when I eat anything. I can have very small meals only. Once I start to eat more I feel sick and I continue to feel sick for hours even after the meal. It is worse with heavily seasoned foods/greasy/spicy food. It’s been a mystery to me for years and I’ve taken tons of tests that all came up clean, so my doctor said it was most likely just GERD. 
I definitely think that that’s partially accurate because when I sit/lay down after eating I feel food come back up and I have burping/burning, but I’m not sure if that’s the reason I have nausea all the time from food. Do you think nausea is just a part of having GERD or is it something else? Does anyone else have this symptom? 
I have a super hard time gaining weight because I can’t eat and it seriously sucks and impacts my quality of life and I want it to go away :(</t>
        </is>
      </c>
      <c r="D7588" t="n">
        <v>1</v>
      </c>
      <c r="E7588" t="n">
        <v>10</v>
      </c>
      <c r="F7588">
        <f>HYPERLINK("https://www.reddit.com/r/GERD/comments/gr60jq/acid_reflux_accompanied_by_nausea/")</f>
        <v/>
      </c>
      <c r="G7588" t="inlineStr">
        <is>
          <t>2020-05-26 14:25:18</t>
        </is>
      </c>
      <c r="H7588" t="inlineStr"/>
    </row>
    <row r="7589">
      <c r="A7589" t="inlineStr">
        <is>
          <t>gr63nl</t>
        </is>
      </c>
      <c r="B7589" t="inlineStr">
        <is>
          <t>Hair loss, GERD/LPR and PPIs</t>
        </is>
      </c>
      <c r="C7589" t="inlineStr">
        <is>
          <t>Hi everyone —
It could be just be the walls closing in during such a strained time but I’m worried quite a bit about hair loss/thinning lately.
Could be genetics. But I’m also wondering if PPIs, GERD/LPR or possible h pylori/ulcers could be the culprit. 
Has anyone experienced this and found a solution?</t>
        </is>
      </c>
      <c r="D7589" t="n">
        <v>1</v>
      </c>
      <c r="E7589" t="n">
        <v>10</v>
      </c>
      <c r="F7589">
        <f>HYPERLINK("https://www.reddit.com/r/GERD/comments/gr63nl/hair_loss_gerdlpr_and_ppis/")</f>
        <v/>
      </c>
      <c r="G7589" t="inlineStr">
        <is>
          <t>2020-05-26 14:29:56</t>
        </is>
      </c>
      <c r="H7589" t="inlineStr"/>
    </row>
    <row r="7590">
      <c r="A7590" t="inlineStr">
        <is>
          <t>gr6zk8</t>
        </is>
      </c>
      <c r="B7590" t="inlineStr">
        <is>
          <t>GERD-friendly recipes resources?</t>
        </is>
      </c>
      <c r="C7590" t="inlineStr">
        <is>
          <t>I've been struggling to lose weight, and my recent GERD diagnosis has made all my old "go-to" healthy recipes unusable. I'm looking for recipes for healthy meals I can make on a recent 2020 college grad budget.</t>
        </is>
      </c>
      <c r="D7590" t="n">
        <v>1</v>
      </c>
      <c r="E7590" t="n">
        <v>1</v>
      </c>
      <c r="F7590">
        <f>HYPERLINK("https://www.reddit.com/r/GERD/comments/gr6zk8/gerdfriendly_recipes_resources/")</f>
        <v/>
      </c>
      <c r="G7590" t="inlineStr">
        <is>
          <t>2020-05-26 15:19:17</t>
        </is>
      </c>
      <c r="H7590" t="inlineStr"/>
    </row>
    <row r="7591">
      <c r="A7591" t="inlineStr">
        <is>
          <t>gr7o50</t>
        </is>
      </c>
      <c r="B7591" t="inlineStr">
        <is>
          <t>Prilosec isn't working.</t>
        </is>
      </c>
      <c r="C7591" t="inlineStr">
        <is>
          <t>I've been on Prilosec for 11 days and besides taking the burn away, it's not working. Still have gas and pressure in chest and regurgitation. :( Is there something that works better?</t>
        </is>
      </c>
      <c r="D7591" t="n">
        <v>1</v>
      </c>
      <c r="E7591" t="n">
        <v>3</v>
      </c>
      <c r="F7591">
        <f>HYPERLINK("https://www.reddit.com/r/GERD/comments/gr7o50/prilosec_isnt_working/")</f>
        <v/>
      </c>
      <c r="G7591" t="inlineStr">
        <is>
          <t>2020-05-26 15:57:51</t>
        </is>
      </c>
      <c r="H7591" t="inlineStr"/>
    </row>
    <row r="7592">
      <c r="A7592" t="inlineStr">
        <is>
          <t>gr8ut9</t>
        </is>
      </c>
      <c r="B7592" t="inlineStr">
        <is>
          <t>H pylori</t>
        </is>
      </c>
      <c r="C7592" t="inlineStr">
        <is>
          <t>Im seeing my GI again tomorrow for my ongoing heartburn. Last time I asked him about H Pylori eradication and he said H pylori doesnt cause heartburn. 
Anyone here have experience treating for this infection and then resolution of their heartburn symptoms?
Im asking specifically about heartburn because thats all i have. I am not bloated or abdo pain etc...just burning reflux.</t>
        </is>
      </c>
      <c r="D7592" t="n">
        <v>1</v>
      </c>
      <c r="E7592" t="n">
        <v>13</v>
      </c>
      <c r="F7592">
        <f>HYPERLINK("https://www.reddit.com/r/GERD/comments/gr8ut9/h_pylori/")</f>
        <v/>
      </c>
      <c r="G7592" t="inlineStr">
        <is>
          <t>2020-05-26 17:08:00</t>
        </is>
      </c>
      <c r="H7592" t="inlineStr"/>
    </row>
    <row r="7593">
      <c r="A7593" t="inlineStr">
        <is>
          <t>gr9yba</t>
        </is>
      </c>
      <c r="B7593" t="inlineStr">
        <is>
          <t>Can't seem to wean off of famotidine</t>
        </is>
      </c>
      <c r="C7593" t="inlineStr">
        <is>
          <t>I don't know why this is showing up in all caps. I didn't do that.
I've been taking h2 blockers for about two years. I had Class C esophagitis, gastritis and a hiatal hernia when I had my endoscopy 2 years ago. I was on Ranitidine until they removed it from the market, and had weaned from 600mg twice a day to 150 mg twice a day. I changed to Famotidine (Pepcid) 20 mg twice a day when it was removed, and I'd like to get off of them altogether, but I can't seem to wean myself off of this dosage. I've tried taking 10 mg 3x a day, which works o.k., but when I try to move on to 10 mg 2x a day, the rebound effect is so bad, I just can't do it. 
My gastro doctor's office is basically a procedure mill. They just want to give you the endoscopy and get the money, then they forget about you. There is no other gastro practice in this town, and I don't have a car to travel out of town, and trying to find any doctor around here who accepts both Medicare and Medicaid is almost impossible. 
Has anyone successfully weaned off of Pepcid? How did you do it?</t>
        </is>
      </c>
      <c r="D7593" t="n">
        <v>1</v>
      </c>
      <c r="E7593" t="n">
        <v>6</v>
      </c>
      <c r="F7593">
        <f>HYPERLINK("https://www.reddit.com/r/GERD/comments/gr9yba/cant_seem_to_wean_off_of_famotidine/")</f>
        <v/>
      </c>
      <c r="G7593" t="inlineStr">
        <is>
          <t>2020-05-26 18:17:21</t>
        </is>
      </c>
      <c r="H7593" t="inlineStr"/>
    </row>
    <row r="7594">
      <c r="A7594" t="inlineStr">
        <is>
          <t>graly2</t>
        </is>
      </c>
      <c r="B7594" t="inlineStr">
        <is>
          <t>Treated for H.Pylori. Worked but then didn't.</t>
        </is>
      </c>
      <c r="C7594" t="inlineStr">
        <is>
          <t>I was treated for H.Pylori recently and took the PPI for three weeks instead of two. The treatment itself really wasn't so terrible except it seemed to make my acid symptoms worse. I even got this strange cold sensation in my chest. I tried reading up on it but I could only find like one person that thought their symptoms were linked to GERD.
Anywho, I finished treatment and stopped taking everything. I felt GREAT for two weeks. Where before I could not eat anything without feeling super bloated and my chest burning terribly... after treatment I could eat again. No burning. But only for two weeks. Now the burning has started again. Admittedly, I have been eating a few things I probably shouldn't. But even when I eat something bland it seems to cause burning in my chest, just like before.
I'm noticing a bit of a pattern. I've taken PPI before for a month or less and felt bad on them but for a period of 1-2 weeks after quitting them I feel good. Has anyone else experienced this or know why this may be? If I feel bad before PPI... and then ON them... but then seem to feel good for a small period of time just as I quit them, why would that be?? 
Is it possible that it has nothing to do with PPI and it's still H.Pylori? Like could it have been "weakened" for two weeks and has just gotten worse again? 
I'm going to try to eat as healthy as I can but even when I tried that in the past (before H.Pylori treatment) it never seemed to help. I'd live on rice, beans, fish, chicken and veggies... I'm just depressed and feeling kinda hopeless. The two week reprieve was so good and yet so bad... Like a prisoner released and then locked back up with no release date. :(</t>
        </is>
      </c>
      <c r="D7594" t="n">
        <v>1</v>
      </c>
      <c r="E7594" t="n">
        <v>5</v>
      </c>
      <c r="F7594">
        <f>HYPERLINK("https://www.reddit.com/r/GERD/comments/graly2/treated_for_hpylori_worked_but_then_didnt/")</f>
        <v/>
      </c>
      <c r="G7594" t="inlineStr">
        <is>
          <t>2020-05-26 18:59:59</t>
        </is>
      </c>
      <c r="H7594" t="inlineStr"/>
    </row>
    <row r="7595">
      <c r="A7595" t="inlineStr">
        <is>
          <t>grarft</t>
        </is>
      </c>
      <c r="B7595" t="inlineStr">
        <is>
          <t>As a Health Care Worker Working Specifically in GI, Please Tell Me How Your GERD Has Effected You</t>
        </is>
      </c>
      <c r="C7595" t="inlineStr">
        <is>
          <t>Hello! I work in a lab where I process GI tissue samples to be examined by pathologists. I get many samples from people with GERD and I'd like to know more about how GERD effects you all. Although I'm just a bio student working in a lab, I still care about the health of my community and would love some insight from someone who has this disease.</t>
        </is>
      </c>
      <c r="D7595" t="n">
        <v>1</v>
      </c>
      <c r="E7595" t="n">
        <v>19</v>
      </c>
      <c r="F7595">
        <f>HYPERLINK("https://www.reddit.com/r/GERD/comments/grarft/as_a_health_care_worker_working_specifically_in/")</f>
        <v/>
      </c>
      <c r="G7595" t="inlineStr">
        <is>
          <t>2020-05-26 19:09:29</t>
        </is>
      </c>
      <c r="H7595" t="inlineStr"/>
    </row>
    <row r="7596">
      <c r="A7596" t="inlineStr">
        <is>
          <t>graveb</t>
        </is>
      </c>
      <c r="B7596" t="inlineStr">
        <is>
          <t>coughing, headache, and trapped burp?</t>
        </is>
      </c>
      <c r="C7596" t="inlineStr">
        <is>
          <t>how would you guys deal with this? i feel like it i got the trapped burp out it would help a lot. what should i do?</t>
        </is>
      </c>
      <c r="D7596" t="n">
        <v>1</v>
      </c>
      <c r="E7596" t="n">
        <v>10</v>
      </c>
      <c r="F7596">
        <f>HYPERLINK("https://www.reddit.com/r/GERD/comments/graveb/coughing_headache_and_trapped_burp/")</f>
        <v/>
      </c>
      <c r="G7596" t="inlineStr">
        <is>
          <t>2020-05-26 19:16:46</t>
        </is>
      </c>
      <c r="H7596" t="inlineStr"/>
    </row>
    <row r="7597">
      <c r="A7597" t="inlineStr">
        <is>
          <t>grayt7</t>
        </is>
      </c>
      <c r="B7597" t="inlineStr">
        <is>
          <t>Chest pressure</t>
        </is>
      </c>
      <c r="C7597" t="inlineStr">
        <is>
          <t>Anyone else deal with super uncomfortable chest pain. My dumb ass had a cup of coffee and a decent size piece of chocolate and now i feel this crushing pain in my chest. I keep burping and it provides some relief but it feels like the gas builds up very fast again.</t>
        </is>
      </c>
      <c r="D7597" t="n">
        <v>1</v>
      </c>
      <c r="E7597" t="n">
        <v>6</v>
      </c>
      <c r="F7597">
        <f>HYPERLINK("https://www.reddit.com/r/GERD/comments/grayt7/chest_pressure/")</f>
        <v/>
      </c>
      <c r="G7597" t="inlineStr">
        <is>
          <t>2020-05-26 19:23:08</t>
        </is>
      </c>
      <c r="H7597" t="inlineStr"/>
    </row>
    <row r="7598">
      <c r="A7598" t="inlineStr">
        <is>
          <t>grcbkl</t>
        </is>
      </c>
      <c r="B7598" t="inlineStr">
        <is>
          <t>L Glutamine</t>
        </is>
      </c>
      <c r="C7598" t="inlineStr">
        <is>
          <t>Starting taking L Glutamine today because my esphogus has been feeling "burnt" for days and days. I read a post about it and am curious. Read some more about it on Google as well. , longest I've dealt with this feeling consistently so I'm thinking why not? 
 I also got the liquid Gaviscon Advance and it helping tremendously. Instantly felt better after drinking it. So I'm now taking 80mg of Nexium insetad of 60mg because this flare up has been a living hell. Took some Tylenol tonight which I never do because I naturally am not one to take meds unless I feel like I'm dyiing. I am semi confident I will sleep well tonight but fear it's the Tylenol talking....
Sending good ZzZzzZz to everyone 💫</t>
        </is>
      </c>
      <c r="D7598" t="n">
        <v>1</v>
      </c>
      <c r="E7598" t="n">
        <v>6</v>
      </c>
      <c r="F7598">
        <f>HYPERLINK("https://www.reddit.com/r/GERD/comments/grcbkl/l_glutamine/")</f>
        <v/>
      </c>
      <c r="G7598" t="inlineStr">
        <is>
          <t>2020-05-26 20:55:55</t>
        </is>
      </c>
      <c r="H7598" t="inlineStr"/>
    </row>
    <row r="7599">
      <c r="A7599" t="inlineStr">
        <is>
          <t>grcf34</t>
        </is>
      </c>
      <c r="B7599" t="inlineStr">
        <is>
          <t>Tight/uncomfortable throat, sometimes weak voice. Does this sound familiar to anyone?</t>
        </is>
      </c>
      <c r="C7599" t="inlineStr">
        <is>
          <t>In December I started having a weird sensation in my throat.  Hard to explain but basically feels like a bit of a tightness in my throat (basically by my voicebox).  Not very tight or anything, and not really sore, just kind of an uncomfortable feeling.  Kind of like if you have a big, good cry and that "frog in your throat" feeling.
I also notice that it sometimes interferes with my voice.  My voice will feel a little weak at times.  But that comes and goes and usually my voice is OK.
I went to ENT and he said the area near my voicebox was a bit inflamed and diagnosed silent reflux. I took PPI but never noticed it really helping.  Went back to him again and he said there was less inflammation than the first time but still some, and said since the PPI doesn't seem to help, I should go see a Gastro who can help more with seeing what is causing it.
I haven't yet gone to the Gastro with all this Covid madness but will once things are somewhat normal again.
In the meantime, I've tried Tums/Rolaids and they don't help at all.  I've recently tried Gaviscon Advance from UK (aniseed) and it seems to help a bit but I think that's mainly because it's so strong/thick and coats my throat so naturally that makes my throat feel a bit better.
In general, eating food and drinking actually makes me feel better and helps me forget about it.  In the mornings I don't usually feel it much, but it gradually gets worse as the day wears on and by bedtime it's pretty uncomfortable. 
I sometimes have mucus in my throat, but not too often. So the only real persistent symptom is this damn uncomfortable feeling in my throat.
I eat relatively healthy but do enjoy drinking wine or beer almost daily. I've tried stopping for several days but it doesn't seem to help at all. Anyone familiar with HOW LONG you have to stop a potential trigger food to see results?  I imagine it's different for everyone.
Anyone, if I was told i had to live with this sensation the rest of my life, it would kind of suck, but I certainly could do it. So many people have such worse afflictions. But if anyone has any similar experience, things that possibly worked, etc, Id love to hear them.
Again, I will see a Gastro at some point but it might not be for another few months.
Thanks</t>
        </is>
      </c>
      <c r="D7599" t="n">
        <v>1</v>
      </c>
      <c r="E7599" t="n">
        <v>17</v>
      </c>
      <c r="F7599">
        <f>HYPERLINK("https://www.reddit.com/r/GERD/comments/grcf34/tightuncomfortable_throat_sometimes_weak_voice/")</f>
        <v/>
      </c>
      <c r="G7599" t="inlineStr">
        <is>
          <t>2020-05-26 21:02:34</t>
        </is>
      </c>
      <c r="H7599" t="inlineStr"/>
    </row>
    <row r="7600">
      <c r="A7600" t="inlineStr">
        <is>
          <t>grck01</t>
        </is>
      </c>
      <c r="B7600" t="inlineStr">
        <is>
          <t>Low-Acid Coffee??</t>
        </is>
      </c>
      <c r="C7600" t="inlineStr">
        <is>
          <t>Has anyone with GERD tried any of these low-acid coffees?? just here being hopeful cuz i looooove coffee. [https://www.littlecoffeeplace.com/low-acid-coffee](https://www.littlecoffeeplace.com/low-acid-coffee)</t>
        </is>
      </c>
      <c r="D7600" t="n">
        <v>1</v>
      </c>
      <c r="E7600" t="n">
        <v>42</v>
      </c>
      <c r="F7600">
        <f>HYPERLINK("https://www.reddit.com/r/GERD/comments/grck01/lowacid_coffee/")</f>
        <v/>
      </c>
      <c r="G7600" t="inlineStr">
        <is>
          <t>2020-05-26 21:12:06</t>
        </is>
      </c>
      <c r="H7600" t="inlineStr"/>
    </row>
    <row r="7601">
      <c r="A7601" t="inlineStr">
        <is>
          <t>grcskd</t>
        </is>
      </c>
      <c r="B7601" t="inlineStr">
        <is>
          <t>I am feeling overwhelmed and anxious</t>
        </is>
      </c>
      <c r="C7601" t="inlineStr">
        <is>
          <t>Hi r/GERD,
I don't normally make posts but I am having so much anxiety over my symptoms right now. Sorry for the long post, it would mean so much if someone read this.
To start, I am 22F and I am a normal healthy weight for my height. I don't normally get acid reflux unless I eat foods the typical trigger foods for GERD. I can normally enjoy them on occasion as long as I don't eat it too close to bedtime.
About a 3 weeks ago, I noticed my stomach acting up with reflux after dinner. I didn't think much of it since some of the food was quite oily and heavy and it's normal for me to get acid reflux after meals like that. One night after eating a heavy meal and I had really bad reflux when trying to sleep so I took Mylanta. I could still feel the food coming up but it wasn't acidic. Thought it was fine, just told myself I would be more careful next time...
The next few days, I would get acid reflux even in the morning after eating a small meal like fruit. No matter what I ate, I would get reflux. So the next two nights, I took Mylanta again so I could sleep and not worry about the acid damaging my oesophagus. I stopped taking Mylanta because I feel like it was making my acid reflux worse.
Every day after that, I was even more careful not to eat any trigger foods. After a week, my reflux and that burning feeling improved a little but I had a new feeling of something stuck in my lower throat/upper stomach area. It felt like having a rock in my stomach. I would feel like this mainly when I lie down or after I eat any sort of food. I find it difficult to swallow, my mouth is dry, it is slightly? hard to breathe at night because of this feeling in my stomach/throat.
I've noticed that standing up is really helpful for the symptoms but the moment I lie down, it all comes back. The rock in my stomach, the reflux, all of it. At night, I have been forced to sleep on my left side even when I want to swap because any other position will worsen my reflux and symptoms.
I've also started to notice a discomfort in my oesophagus when I swallow water or food. It feels sort of tight... Could it be inflamed or irritated? I'm worried that it's because of the acid.
2 years ago, I had a bout of acid reflux and the doctor put me on 40mg omeprazole and I took it for a few months and had to stop because of the extreme nausea I would get after eating foods. When I stopped, my reflux was worse than it ever was before and I told myself I would never take omeprazole again. It took months and months to recover from the horrible reflux from stopping omeprazole. After that ordeal, I was back to being almost completely normal! I just had to be more careful with the foods I ate.
I am writing this because I don't know what other options I have right now. My symptoms are so much worse than last time and I don't know what caused it. If I go to the doctor, he will just tell me to change my diet and give me omeprazole or antacids which haven't worked for me.
I am trying to be as careful as I can with my diet. I am absolutely terrified to eat. I've been incorporating some more exercise into my lifestyle too. I am not opposed to going to the GP (it is free and easy to book appointments) but from my past experience, they haven't been able to tell me much. H.pylori test came back negative last time.
Maybe I took omeprazole for too long last time and should have just stopped after 2 weeks? Do I try taking a 2 week course? I am worried about the potentially worse reflux I will get. What is this feeling of having something in my stomach when I lie down? I am getting so much anxiety 24/7 ever since this started happening because I am so worried about my health. What if it never gets better?
If anyone has any insight, I would appreciate this so much.</t>
        </is>
      </c>
      <c r="D7601" t="n">
        <v>1</v>
      </c>
      <c r="E7601" t="n">
        <v>16</v>
      </c>
      <c r="F7601">
        <f>HYPERLINK("https://www.reddit.com/r/GERD/comments/grcskd/i_am_feeling_overwhelmed_and_anxious/")</f>
        <v/>
      </c>
      <c r="G7601" t="inlineStr">
        <is>
          <t>2020-05-26 21:29:12</t>
        </is>
      </c>
      <c r="H7601" t="inlineStr"/>
    </row>
    <row r="7602">
      <c r="A7602" t="inlineStr">
        <is>
          <t>grd46m</t>
        </is>
      </c>
      <c r="B7602" t="inlineStr">
        <is>
          <t>Working out &amp;amp; lifting after GERD surgeries. Any feedback from people who have had surgery &amp;amp; if you were able to lift &amp;amp; do core work afterwards?</t>
        </is>
      </c>
      <c r="C7602" t="inlineStr">
        <is>
          <t>At my wits end with GERD &amp;amp; considering getting one of the surgeries to finally try &amp;amp; fix the root cause. But I am worried about lifting heavy &amp;amp; also doing core workouts afterwards. I’ve read that both are no-no’s after such surgery &amp;amp; that worries me as thats how I like to work out. 
Also playing sports is really important to me as well (mainly basketball &amp;amp; soccer). Any concerns there? 
(Would appreciate feedback from people who have actually gotten it done. I have read the Google results already lol)</t>
        </is>
      </c>
      <c r="D7602" t="n">
        <v>1</v>
      </c>
      <c r="E7602" t="n">
        <v>18</v>
      </c>
      <c r="F7602">
        <f>HYPERLINK("https://www.reddit.com/r/GERD/comments/grd46m/working_out_lifting_after_gerd_surgeries_any/")</f>
        <v/>
      </c>
      <c r="G7602" t="inlineStr">
        <is>
          <t>2020-05-26 21:53:23</t>
        </is>
      </c>
      <c r="H7602" t="inlineStr"/>
    </row>
    <row r="7603">
      <c r="A7603" t="inlineStr">
        <is>
          <t>grdw0i</t>
        </is>
      </c>
      <c r="B7603" t="inlineStr">
        <is>
          <t>GERD sucks</t>
        </is>
      </c>
      <c r="C7603" t="inlineStr">
        <is>
          <t>I’m only 24, I’ve posted on here a few times before and I know things could be worse but this sucks . I had a bad, bad reaction to tea almost two weeks ago now and ever since then I have had horrible heartburn/ reflux . It gets worse at night and then I get nervous thinking that I have a more serious condition. I’ve never had to deal with something like this before . And it’s exhausting and hard .</t>
        </is>
      </c>
      <c r="D7603" t="n">
        <v>1</v>
      </c>
      <c r="E7603" t="n">
        <v>3</v>
      </c>
      <c r="F7603">
        <f>HYPERLINK("https://www.reddit.com/r/GERD/comments/grdw0i/gerd_sucks/")</f>
        <v/>
      </c>
      <c r="G7603" t="inlineStr">
        <is>
          <t>2020-05-26 22:53:14</t>
        </is>
      </c>
      <c r="H7603" t="inlineStr"/>
    </row>
    <row r="7604">
      <c r="A7604" t="inlineStr">
        <is>
          <t>gre0ws</t>
        </is>
      </c>
      <c r="B7604" t="inlineStr">
        <is>
          <t>can reflux cause palpitations??</t>
        </is>
      </c>
      <c r="C7604" t="inlineStr">
        <is>
          <t>I likely have LPR (was supposed to get tested weeks ago, but covid has delayed things. My doctor is almost certain I have it, though, since I have nearly every symptom) and it has been worse than usual lately. Definitely my fault because I've been stress eating and having too many trigger foods :/ My throat hurts, nose is runny and I have lots of post nasal drip, voice is hoarse, etc. But now I seem to have developed a new symptom, palpitations. It's sort of in throat/neck, not my chest (google tells me this could be vagus nerve palpitations?) and it flares up several times a a day. Usually 20-30 minutes each time, and I cough a lot during these little episodes. I wasn't aware that reflux could cause a symptom like this, but the coughing makes me think that it's probably related. Has anyone else experienced this? It's really freaking me out!</t>
        </is>
      </c>
      <c r="D7604" t="n">
        <v>1</v>
      </c>
      <c r="E7604" t="n">
        <v>3</v>
      </c>
      <c r="F7604">
        <f>HYPERLINK("https://www.reddit.com/r/GERD/comments/gre0ws/can_reflux_cause_palpitations/")</f>
        <v/>
      </c>
      <c r="G7604" t="inlineStr">
        <is>
          <t>2020-05-26 23:04:09</t>
        </is>
      </c>
      <c r="H7604" t="inlineStr"/>
    </row>
    <row r="7605">
      <c r="A7605" t="inlineStr">
        <is>
          <t>grehkg</t>
        </is>
      </c>
      <c r="B7605" t="inlineStr">
        <is>
          <t>LPR, Vertigo/Dizziness &amp;amp; Eustachian Tube Dysfunction.</t>
        </is>
      </c>
      <c r="C7605" t="inlineStr">
        <is>
          <t>I'm just curious, how many of you struggle with Vertigo &amp;amp; or dizziness on a constant basis?
Also, do any of you have an ETD due to LPR?</t>
        </is>
      </c>
      <c r="D7605" t="n">
        <v>1</v>
      </c>
      <c r="E7605" t="n">
        <v>4</v>
      </c>
      <c r="F7605">
        <f>HYPERLINK("https://www.reddit.com/r/GERD/comments/grehkg/lpr_vertigodizziness_eustachian_tube_dysfunction/")</f>
        <v/>
      </c>
      <c r="G7605" t="inlineStr">
        <is>
          <t>2020-05-26 23:41:38</t>
        </is>
      </c>
      <c r="H7605" t="inlineStr"/>
    </row>
    <row r="7606">
      <c r="A7606" t="inlineStr">
        <is>
          <t>grfh50</t>
        </is>
      </c>
      <c r="B7606" t="inlineStr">
        <is>
          <t>Silent reflux for 3 years (question)</t>
        </is>
      </c>
      <c r="C7606" t="inlineStr">
        <is>
          <t>So, I’ve been to multiple doctors including ENT’s, gastros, gotten tests such as endoscopes, biopsies, etc etc. no valid reason for the cause to my reflux. I’ve been tested for h pylori , one being the breath test or saliva ? Forgot which it is, which came out negative (on my first year on this shitty journey).  About 9 months ago I had an endoscopy with biopsy which tested for h pylori also, came out negative.... mind you, I was on Nexium for months during this time. 
I just read from many sources that h pylori can basically not show up on tests because of nexium and any PPI’s... what are the chances my symptoms are actually caused by h pylori, and that I should request antibiotics ? 
By the way it’s been 3 long fing years, I’ve tried literally EVERYTHING.</t>
        </is>
      </c>
      <c r="D7606" t="n">
        <v>1</v>
      </c>
      <c r="E7606" t="n">
        <v>0</v>
      </c>
      <c r="F7606">
        <f>HYPERLINK("https://www.reddit.com/r/GERD/comments/grfh50/silent_reflux_for_3_years_question/")</f>
        <v/>
      </c>
      <c r="G7606" t="inlineStr">
        <is>
          <t>2020-05-27 01:01:09</t>
        </is>
      </c>
      <c r="H7606" t="inlineStr"/>
    </row>
    <row r="7607">
      <c r="A7607" t="inlineStr">
        <is>
          <t>grfxav</t>
        </is>
      </c>
      <c r="B7607" t="inlineStr">
        <is>
          <t>Advice to anyone with LPR - stay consistent</t>
        </is>
      </c>
      <c r="C7607" t="inlineStr">
        <is>
          <t>I've been struggling with LPR for 5 years now, have tried many things in the short term i.e. Cutting out alcohol, tobacco, diet changes, eating slower, not eating 3 hours before bed etc. The last 6 weeks I've strictly followed Dr Aviv's acid watchers diet and for the first few weeks even eating alkaline foods would cause me to get reflux and throat irritation. I finally feel my throat getting better now. The best advice I can give is to just try stay consistent with all the measures for a few weeks and don't lose hope after a few days like I did on so many occasions. I also found Dr Aviv's book to be so helpful as he explains how so many foods you think would be okay are actually acidic like most breads pasta and rice for example.</t>
        </is>
      </c>
      <c r="D7607" t="n">
        <v>1</v>
      </c>
      <c r="E7607" t="n">
        <v>4</v>
      </c>
      <c r="F7607">
        <f>HYPERLINK("https://www.reddit.com/r/GERD/comments/grfxav/advice_to_anyone_with_lpr_stay_consistent/")</f>
        <v/>
      </c>
      <c r="G7607" t="inlineStr">
        <is>
          <t>2020-05-27 01:38:53</t>
        </is>
      </c>
      <c r="H7607" t="inlineStr"/>
    </row>
    <row r="7608">
      <c r="A7608" t="inlineStr">
        <is>
          <t>grgk42</t>
        </is>
      </c>
      <c r="B7608" t="inlineStr">
        <is>
          <t>Concerns, questions about my LPR case</t>
        </is>
      </c>
      <c r="C7608" t="inlineStr">
        <is>
          <t>Hello everyone, as the title says, I am curious about my case of LPR.
Backstory: In August last year, I was drinking lots of sodas, eating lots of oranges, and I would eat before going to bed. From that point on I have had LPR. 
However, once I figured out what caused this LPR, I made lifestyle changes in September including not eating/drinking 3 hours before sleeping, avoiding any type of acidic food, alcohol, soda, and fatty foods. I have also inclined my bed. I've taken PPI but it does not help me too much. I also avoid clearing the throat and instead try to do a dry cough or swallow to alleviate the lump feeling.
To this day, I still have the feeling of the lump in my throat, and if I talk or laugh for extended periods of time my throat gets really aggregated and I feel like I really have to clear it. This also happens when I yell. I also feel like I have a hoarse throat even though I drink lots of water during the day.
I'm anxious to know that if these inconveniences will last forever or if they will ever go away. I feel like I've had these annoyances for months now and they're not improving, even with my attempted lifestyle changes. I should note that I have asthma and that before August, (before I got LPR) I could talk, yell, and laugh freely without the feeling in my throat as I previously mentioned.
Thank you for reading, and any input is appreciated.</t>
        </is>
      </c>
      <c r="D7608" t="n">
        <v>1</v>
      </c>
      <c r="E7608" t="n">
        <v>1</v>
      </c>
      <c r="F7608">
        <f>HYPERLINK("https://www.reddit.com/r/GERD/comments/grgk42/concerns_questions_about_my_lpr_case/")</f>
        <v/>
      </c>
      <c r="G7608" t="inlineStr">
        <is>
          <t>2020-05-27 02:32:48</t>
        </is>
      </c>
      <c r="H7608" t="inlineStr"/>
    </row>
    <row r="7609">
      <c r="A7609" t="inlineStr">
        <is>
          <t>grgqg4</t>
        </is>
      </c>
      <c r="B7609" t="inlineStr">
        <is>
          <t>Help... ?</t>
        </is>
      </c>
      <c r="C7609" t="inlineStr">
        <is>
          <t>I’m not sure if I have gastroparesis... my mum is convinced my symptoms correlate far more with GERD / LPR but I am just not sure and wondering if anyone can share some insight... I have been on the phone begging for appointments with GI doctors but due to COVID they’re all telling me to wait. 
I’m 23 F. My most debilitating symptom is a lump in my throat... sometimes I think this is what makes me feel nauseous. The constant sensation of something being stuck there. I have always been small! But I have lost about 9 pounds in 6 months and this makes me seriously insecure... prior to this I was wanting to gain 10 pounds and now I have lost them :( but I will admit I have a lack of appetite due to the throat feeling rather than not wanting to eat. I get really bad head aches and ear aches. Sometimes I feel like my urine is really acidic and has an off smell but that’s most likely due to not drinking enough water. I have nausea but I never vomit. I can eat a large meal and not vomit. But it excerbates the throat feeling. My nausea feels like it comes more from my throat more than my stomach. I have really bad breath and constantly feel like I can taste blood / metal in my mouth. I occasionally get heartburn. I sometimes follow a better diet and the symptoms aren’t as bad but definitely still there. If I eat fatty, spicy or dairy, the symptoms make me want to stay in bed all day. I don’t really know what bloating feels like or if I feel it... I’m not in pain, maybe slightly uncomfortable sometimes. My stomach is CONSTANTLY gurgling and rumbling though which I always thought meant digestion was occurring.</t>
        </is>
      </c>
      <c r="D7609" t="n">
        <v>1</v>
      </c>
      <c r="E7609" t="n">
        <v>1</v>
      </c>
      <c r="F7609">
        <f>HYPERLINK("https://www.reddit.com/r/GERD/comments/grgqg4/help/")</f>
        <v/>
      </c>
      <c r="G7609" t="inlineStr">
        <is>
          <t>2020-05-27 02:47:17</t>
        </is>
      </c>
      <c r="H7609" t="inlineStr"/>
    </row>
    <row r="7610">
      <c r="A7610" t="inlineStr">
        <is>
          <t>grh6za</t>
        </is>
      </c>
      <c r="B7610" t="inlineStr">
        <is>
          <t>LPR Induction Diet and Stopping PPI Usage</t>
        </is>
      </c>
      <c r="C7610" t="inlineStr">
        <is>
          <t>Hi. As the title suggests, I am going to start Jamie Koufman's two-week induction diet in an attempt to curtail the LPR symptoms I have been plagued with for the last few years. 
However, I am currently taking 2 x 20mg of Omeprazole every day, and was not sure of the protocol surrounding continuing PPI usage whilst on the diet. Ideally, I would like to be able to come off the Omeprazole and rely on diet alone for my LPR as I have been dependent on the PPI's for several years now with very little success.
TL;DR Want to know if it is possible to come off the PPI's cold turkey when starting the Jamie Koufman Induction diet for LPR.</t>
        </is>
      </c>
      <c r="D7610" t="n">
        <v>1</v>
      </c>
      <c r="E7610" t="n">
        <v>2</v>
      </c>
      <c r="F7610">
        <f>HYPERLINK("https://www.reddit.com/r/GERD/comments/grh6za/lpr_induction_diet_and_stopping_ppi_usage/")</f>
        <v/>
      </c>
      <c r="G7610" t="inlineStr">
        <is>
          <t>2020-05-27 03:24:57</t>
        </is>
      </c>
      <c r="H7610" t="inlineStr"/>
    </row>
    <row r="7611">
      <c r="A7611" t="inlineStr">
        <is>
          <t>grhhwv</t>
        </is>
      </c>
      <c r="B7611" t="inlineStr">
        <is>
          <t>Brief rattly chest at night but no cough and not coughing up phlegm?</t>
        </is>
      </c>
      <c r="C7611" t="inlineStr">
        <is>
          <t>Anyone else experience this? Is it reflux?</t>
        </is>
      </c>
      <c r="D7611" t="n">
        <v>1</v>
      </c>
      <c r="E7611" t="n">
        <v>0</v>
      </c>
      <c r="F7611">
        <f>HYPERLINK("https://www.reddit.com/r/GERD/comments/grhhwv/brief_rattly_chest_at_night_but_no_cough_and_not/")</f>
        <v/>
      </c>
      <c r="G7611" t="inlineStr">
        <is>
          <t>2020-05-27 03:49:32</t>
        </is>
      </c>
      <c r="H7611" t="inlineStr"/>
    </row>
    <row r="7612">
      <c r="A7612" t="inlineStr">
        <is>
          <t>grjxlx</t>
        </is>
      </c>
      <c r="B7612" t="inlineStr">
        <is>
          <t>Endoscopy and PPIs</t>
        </is>
      </c>
      <c r="C7612" t="inlineStr">
        <is>
          <t>Did anyone’s dr tell them to continue with PPIs prior to an endoscopy? I have one scheduled and the dr told me PPIs won’t interfere with checking for ulcers, h pylori, hiatal hernia, esophagitis and precancerous issues but I keep reading that PPIs might hide certain issues?</t>
        </is>
      </c>
      <c r="D7612" t="n">
        <v>1</v>
      </c>
      <c r="E7612" t="n">
        <v>4</v>
      </c>
      <c r="F7612">
        <f>HYPERLINK("https://www.reddit.com/r/GERD/comments/grjxlx/endoscopy_and_ppis/")</f>
        <v/>
      </c>
      <c r="G7612" t="inlineStr">
        <is>
          <t>2020-05-27 06:41:14</t>
        </is>
      </c>
      <c r="H7612" t="inlineStr"/>
    </row>
    <row r="7613">
      <c r="A7613" t="inlineStr">
        <is>
          <t>grlbns</t>
        </is>
      </c>
      <c r="B7613" t="inlineStr">
        <is>
          <t>Bile reflux? Gerd and gastritis?</t>
        </is>
      </c>
      <c r="C7613" t="inlineStr">
        <is>
          <t>i've been doing some research to try to figure out why my chronic gastritis (7+ years now) turned into gerd and esophagitis so suddenly last year. i have two questions:
1) does gastritis usually cause severe gerd over time? but isn't gerd inherently a motility issue (weakened ability of the les valve?)
2) has anyone ever gotten diagnosed with bile reflux? how? looking into it, it seems hard to diagnose or is often misdiagnosed as gerd, and it often causes more severe cases of esophagitis.
i'm seeing my GI in about two weeks and want to advocate for myself more efficiently and correctly so he doesn't keep writing off my symptoms as stress so any answers and advice would help!</t>
        </is>
      </c>
      <c r="D7613" t="n">
        <v>1</v>
      </c>
      <c r="E7613" t="n">
        <v>13</v>
      </c>
      <c r="F7613">
        <f>HYPERLINK("https://www.reddit.com/r/GERD/comments/grlbns/bile_reflux_gerd_and_gastritis/")</f>
        <v/>
      </c>
      <c r="G7613" t="inlineStr">
        <is>
          <t>2020-05-27 08:02:56</t>
        </is>
      </c>
      <c r="H7613" t="inlineStr"/>
    </row>
    <row r="7614">
      <c r="A7614" t="inlineStr">
        <is>
          <t>grn5mo</t>
        </is>
      </c>
      <c r="B7614" t="inlineStr">
        <is>
          <t>Seeking Advice for first GI Visit ; tracking symtoms</t>
        </is>
      </c>
      <c r="C7614" t="inlineStr">
        <is>
          <t>Hi, this is my first time posting to Reddit, love that it's about my gut.
I (30,F) have been burping/belching constantly for the post year or longer. I don't remember when it started.
I burp 100 times a day, and it doesn't seem to be triggered by any food, is that possible? It seems I burp every 10 minutes at least. 
Other symptoms: I have tightness/ache in my upper- center abdomen often. I also feel bloated often, usually more after eating, but also right when I wake up. It feels like I swallowed a balloon.
 I sometimes push down on my stomach to try to make it go away. I'm not overly stressed, but I suppose my burps could be a reflex/compulsive thing?
I've never had heartburn or more severe symptoms, mostly bloat/burping.
I am seeing a GI next week and have been keeping a food (and burp) diary. I am also taking Pepcid AC in the morning/night for now. 
I cut out acidic foods/coffee/sugar/carbs this week, should I try anything else? I don't take any medicine.
Is there anything I should do to help the GI when I visit?
 Thank you!</t>
        </is>
      </c>
      <c r="D7614" t="n">
        <v>1</v>
      </c>
      <c r="E7614" t="n">
        <v>2</v>
      </c>
      <c r="F7614">
        <f>HYPERLINK("https://www.reddit.com/r/GERD/comments/grn5mo/seeking_advice_for_first_gi_visit_tracking_symtoms/")</f>
        <v/>
      </c>
      <c r="G7614" t="inlineStr">
        <is>
          <t>2020-05-27 09:40:47</t>
        </is>
      </c>
      <c r="H7614" t="inlineStr"/>
    </row>
    <row r="7615">
      <c r="A7615" t="inlineStr">
        <is>
          <t>groce5</t>
        </is>
      </c>
      <c r="B7615" t="inlineStr">
        <is>
          <t>Any experience with Cold Showers ?</t>
        </is>
      </c>
      <c r="C7615" t="inlineStr">
        <is>
          <t>I've started doing cold showers lately and it has been almost 2 weeks. Since doing heavy breathing during shower I've noticed that I get a feeling of sick when doing the heavy breathing, sorry for mentioning but I feel like I'm in verge of &amp;gt;!puking!&amp;lt;.
Any one else experience the same ?</t>
        </is>
      </c>
      <c r="D7615" t="n">
        <v>1</v>
      </c>
      <c r="E7615" t="n">
        <v>8</v>
      </c>
      <c r="F7615">
        <f>HYPERLINK("https://www.reddit.com/r/GERD/comments/groce5/any_experience_with_cold_showers/")</f>
        <v/>
      </c>
      <c r="G7615" t="inlineStr">
        <is>
          <t>2020-05-27 10:39:12</t>
        </is>
      </c>
      <c r="H7615" t="inlineStr"/>
    </row>
    <row r="7616">
      <c r="A7616" t="inlineStr">
        <is>
          <t>groyq2</t>
        </is>
      </c>
      <c r="B7616" t="inlineStr">
        <is>
          <t>do i have gerd? should i be worried?</t>
        </is>
      </c>
      <c r="C7616" t="inlineStr">
        <is>
          <t>Hi guys, I'm a 13 year old female, and from some research online, it seems I've recently been experiencing some symptoms of acid reflux/GERD and I've come to this subreddit to calm myself down, and to assure myself I'm not alone. So basically, a few months ago, I started coughing, like a lot. It wasn't because I was sick or anything, I just always felt mucus in my throat. For only a few weeks, I would experience a lot of stomach pain after eating meals, and every meal would be a hit or miss, I would either feel fine or end up on the toilet with diarrhea. This led me to believe I had IBS. However, after these few weeks, the diarrhea stopped, but I was still left with always bloating from meals and some slight nausea. Now, I'm feeling a lot better, but the only lingering symptom I have (other then slight stomach pain, but it's a lot better now still) is always feeling this lump in my throat. I can get a few seconds of relief from drinking water or coughing or swallowing, but it always comes back. It gets kind of annoying and sometimes makes me nauseous. Do you guys have any tips to deal with these symptoms? My diet is pretty bland, just rice, chicken, and some veggies for lunch and dinner. For some background info, I've experienced bloating and nausea a lot in my life, but it seems a lot more frequent now, especially the weird feeling in my throat. Keep in mind that I'm only 13, I don't have many anxiety issues but I've come to this subreddit to be comforted. I hope my symptoms will go away soon, as I think this is just a flare up or something. Because of covid 19, and that I'm a child who doesn't have any medical conditions (that I know of), I won't be able to visit the doctor anytime soon, so I'd prefer maybe some lifestyle tips. Thank you guys so much!</t>
        </is>
      </c>
      <c r="D7616" t="n">
        <v>1</v>
      </c>
      <c r="E7616" t="n">
        <v>9</v>
      </c>
      <c r="F7616">
        <f>HYPERLINK("https://www.reddit.com/r/GERD/comments/groyq2/do_i_have_gerd_should_i_be_worried/")</f>
        <v/>
      </c>
      <c r="G7616" t="inlineStr">
        <is>
          <t>2020-05-27 11:10:34</t>
        </is>
      </c>
      <c r="H7616" t="inlineStr"/>
    </row>
    <row r="7617">
      <c r="A7617" t="inlineStr">
        <is>
          <t>grssjh</t>
        </is>
      </c>
      <c r="B7617" t="inlineStr">
        <is>
          <t>An undiagnosed condition, need advice.</t>
        </is>
      </c>
      <c r="C7617" t="inlineStr">
        <is>
          <t>I have been suffering horrifically since late 2016. What used to be a once a month episode of extreme epigastric pressure and distention, has now become a daily battle. I unfortunately developed a lot of anxiety from the discomfort and my life now is completely different to how I used to live.
I’ve moved back home to live with my parents, as I’ve had to stop working because of the discomfort.
I get epigastric (central upper abdominal) pressure and tightness, so much that sometimes I get short of breath. I have zero answers so far. I don’t ever experience reflux. Just extreme pressure and distension in the upper central part of my abdomen same place every time. I also sometimes have trouble swallowing liquids (weirdly food is easier). I feel like it’s more sending the message to my throat to swallow trouble then the actual mechanism however sometimes I go to swallow and I don’t and i shoot up and have to breath quickly because i start to choke in a way. Weird. My pain is definitely brought on worse when eating, however an EMPTY stomach is very uncomfortable I’ve even woken up in the night with like these weird cramps and once I eat dry crackers and water it goes away. So it’s like a lose lose situation. Exercise also brings on the discomfort so I’m home bounce and agoraphobic.
I’ve done 2 endoscopies, 1 barium swallow, CT chest and CT abdomen, regular chest and abdominal xray, comprehensive stool analysis test and SIBO breath test, countless ECG’s and an echocardiogram. And all have come back fine, the only thing that showed up was when I had my first endoscopy I did it without any sedation and I was throwing up the whole time (awful) and she diagnosed me with non-erosive gastritis and a hiatal hernia (she did not specify any size). Also another thing that shows up all the time is raised IGM in my blood tests? Doc said this means nothing...
However 8 months later as nothing got better, I got another endoscopy privately to see if I still had gastritis and it was all gone and he said there was no hiatal hernia but I had a ‘lax - goj’ which means a relaxed gastro esophagal junction. Or a relaxed LES as I’ve seen described elsewhere. However he said there’s no hiatal hernia. Even my barium swallow guy said I have no idea why they said you had one earlier in the year, I cannot see any form of reflux or any hernia whatsoever. And when I did that barium swallow test he even had me swallowing a liquid lying down and tilted backwards! 
I felt so lost hearing this. I don’t know what else to do. I swear I really resonate with a hernia my epigastric area is constantly bloated and I’m really skinny, the rest of my stomach from my belly button downwards is completely flat! Same with my sternum. So I have this like, bulge at the central top part. Does anyone else get this? I even have photos. Doctors say it doesn’t look right but the gastroenterologist’s just do tests to say everything’s fine.
The only other thing I haven’t tried is amitriptyline which 2 doctors have recommended and say it helps the nerves around that area. I’m quite a happy guy and really don’t want to have to start taking this medicine but I don’t know how else to move forward in life!
I’m paying to see a super expensive naturopath to try and go down that path but no relief so far. I’ve done low fodmap, tried taking betaine HCL which actually helped but I started to get acid reflux which is something I never had before so stopped.
Does anyone have a suggestion? Sorry to post such a long depressing post. Just thought maybe I could reach out!
Zak</t>
        </is>
      </c>
      <c r="D7617" t="n">
        <v>1</v>
      </c>
      <c r="E7617" t="n">
        <v>8</v>
      </c>
      <c r="F7617">
        <f>HYPERLINK("https://www.reddit.com/r/GERD/comments/grssjh/an_undiagnosed_condition_need_advice/")</f>
        <v/>
      </c>
      <c r="G7617" t="inlineStr">
        <is>
          <t>2020-05-27 14:29:21</t>
        </is>
      </c>
      <c r="H7617" t="inlineStr"/>
    </row>
    <row r="7618">
      <c r="A7618" t="inlineStr">
        <is>
          <t>grtl35</t>
        </is>
      </c>
      <c r="B7618" t="inlineStr">
        <is>
          <t>Im sick and tired, seeking advice</t>
        </is>
      </c>
      <c r="C7618" t="inlineStr">
        <is>
          <t>Hey everyone.
My symptoms appeared exactly on 3/12. My initial symptoms were chest pain, chest tightness, and shortness of breath. I went to the ER on 3/15 and got diagnosed with pleurisy. Fast forward 2 months later, my condition did not improve whatsoever and I had symptoms of heart attack so I went to the ER again. Turns out, I had a panic attack and the doctor ruled out acid reflux as a potential cause. I did an ECG, Chest x-ray, and spirometer test and results came out all normal. As a result, I've been taking 40mg of omeprazole daily for the past 3 weeks. My symptoms did improve by a little initially, but it's gotten worse for the past few days. I really dont know what to do and Im not even sure if this is acid reflux (although I'm starting to feel heartburn and sensation that something is stuck in my throat more frequently). Im really sick and tired of dealing with this, especially because the coronavirus has been pretty bad in my area and im starting to develop anxiety as well. Please give me some advice and the best next steps i can take. Thank you!</t>
        </is>
      </c>
      <c r="D7618" t="n">
        <v>1</v>
      </c>
      <c r="E7618" t="n">
        <v>50</v>
      </c>
      <c r="F7618">
        <f>HYPERLINK("https://www.reddit.com/r/GERD/comments/grtl35/im_sick_and_tired_seeking_advice/")</f>
        <v/>
      </c>
      <c r="G7618" t="inlineStr">
        <is>
          <t>2020-05-27 15:13:30</t>
        </is>
      </c>
      <c r="H7618" t="inlineStr"/>
    </row>
    <row r="7619">
      <c r="A7619" t="inlineStr">
        <is>
          <t>grusec</t>
        </is>
      </c>
      <c r="B7619" t="inlineStr">
        <is>
          <t>Obsessing over GERD</t>
        </is>
      </c>
      <c r="C7619" t="inlineStr">
        <is>
          <t>Over the last month, I've experienced a sudden loss of appetite and general repulsion to food (a result of nausea). I ended up eating only a couple of tbsp of food a day and lost 13 lbs in 13 days. My doctor had me start Prilosec- which didn't help.  I was then prescribed Carafate, which helped to bring down my nausea. However, in the last week, I've been having on-and-off bouts of nausea, so that I'm eating about 1 meal every other day. Also, my throat now feels like it's burning and closing up.
Not eating has made me obsessive about GERD, which I think about all day long. I'm also aware of the fact that I've become more depressed and straight-up angry at everything. I don't act on my anger (even though I constantly want to kick a hole in the wall), but my depression has become evident to my dad who said that I have to stop acting depressed because I'm triggering depression in him and his girlfriend.
I'm afraid that I'm going to go back to eating only a few tbsp of food a day. I went from running 5 miles a day to not being able to walk 10 ft without getting out of breath. I was always cold, wearing heavy sweaters (which were never warm enough) while people in the same room were sweating. I never want to go back to that.</t>
        </is>
      </c>
      <c r="D7619" t="n">
        <v>1</v>
      </c>
      <c r="E7619" t="n">
        <v>12</v>
      </c>
      <c r="F7619">
        <f>HYPERLINK("https://www.reddit.com/r/GERD/comments/grusec/obsessing_over_gerd/")</f>
        <v/>
      </c>
      <c r="G7619" t="inlineStr">
        <is>
          <t>2020-05-27 16:24:49</t>
        </is>
      </c>
      <c r="H7619" t="inlineStr"/>
    </row>
    <row r="7620">
      <c r="A7620" t="inlineStr">
        <is>
          <t>grvbt0</t>
        </is>
      </c>
      <c r="B7620" t="inlineStr">
        <is>
          <t>Anyone else experience anxiety (not related to rebound reflux) AFTER stopping PPIs cold turkey?</t>
        </is>
      </c>
      <c r="C7620" t="inlineStr">
        <is>
          <t>I’ve been on 40 mg twice daily of pantoprazole, and I decided to try to quit cold turkey. However within a week or two I started experiencing anxiety throughout the day and usually right before dinner. I could almost argue that it was always when I had not eaten for an hour or two, which was NEVER a problem when I was on this medication before quitting. I believe that my stomach is emptying way faster now, now that my acid levels have returned to normal, and therefore my body is experiencing low blood sugar quicker than before and without giving me much notice. Has anyone else experienced this?</t>
        </is>
      </c>
      <c r="D7620" t="n">
        <v>1</v>
      </c>
      <c r="E7620" t="n">
        <v>1</v>
      </c>
      <c r="F7620">
        <f>HYPERLINK("https://www.reddit.com/r/GERD/comments/grvbt0/anyone_else_experience_anxiety_not_related_to/")</f>
        <v/>
      </c>
      <c r="G7620" t="inlineStr">
        <is>
          <t>2020-05-27 16:57:11</t>
        </is>
      </c>
      <c r="H7620" t="inlineStr"/>
    </row>
    <row r="7621">
      <c r="A7621" t="inlineStr">
        <is>
          <t>grvrll</t>
        </is>
      </c>
      <c r="B7621" t="inlineStr">
        <is>
          <t>Any suggestions?</t>
        </is>
      </c>
      <c r="C7621" t="inlineStr">
        <is>
          <t>So I’ve taken 2 Prilosec, a Pepcid AC and a Rolaid and every time I eat not matter what I eat (all I’ve had today is chicken soup and matzo crackers) I get acid flowing back up into my throat/mouth so my mouth tastes sour all day like stomach acid. I’ve never had it so bad that none of these thing help and I don’t know what to do. Do I go to the doctor? Does anyone have any suggestions on tricks that might work, i’m desperate</t>
        </is>
      </c>
      <c r="D7621" t="n">
        <v>1</v>
      </c>
      <c r="E7621" t="n">
        <v>6</v>
      </c>
      <c r="F7621">
        <f>HYPERLINK("https://www.reddit.com/r/GERD/comments/grvrll/any_suggestions/")</f>
        <v/>
      </c>
      <c r="G7621" t="inlineStr">
        <is>
          <t>2020-05-27 17:24:22</t>
        </is>
      </c>
      <c r="H7621" t="inlineStr"/>
    </row>
    <row r="7622">
      <c r="A7622" t="inlineStr">
        <is>
          <t>grwxdp</t>
        </is>
      </c>
      <c r="B7622" t="inlineStr">
        <is>
          <t>What do GI doctors do ?</t>
        </is>
      </c>
      <c r="C7622" t="inlineStr">
        <is>
          <t>I’ve been referred to see a GI doctor , I was wondering what they do , and how they can help ?</t>
        </is>
      </c>
      <c r="D7622" t="n">
        <v>1</v>
      </c>
      <c r="E7622" t="n">
        <v>1</v>
      </c>
      <c r="F7622">
        <f>HYPERLINK("https://www.reddit.com/r/GERD/comments/grwxdp/what_do_gi_doctors_do/")</f>
        <v/>
      </c>
      <c r="G7622" t="inlineStr">
        <is>
          <t>2020-05-27 18:38:19</t>
        </is>
      </c>
      <c r="H7622" t="inlineStr"/>
    </row>
    <row r="7623">
      <c r="A7623" t="inlineStr">
        <is>
          <t>grx1z6</t>
        </is>
      </c>
      <c r="B7623" t="inlineStr">
        <is>
          <t>scared of what to do after my zantac runs out,</t>
        </is>
      </c>
      <c r="C7623" t="inlineStr">
        <is>
          <t>i’ve been on zantac for about 3 years now and it has literally been a miracle for me, I know it’s recalled and you can’t get it anymore but anytime I try any other kind of h2 blocker or ppi they end up just giving me bad side effects and i’m scared of going back to having bad acid reflux and nausea all day once my supply runs out, i’ve tried omeprazol, it doesn’t really help at all, i’m pretty sure I had an allergic reaction to tagamet, and nexium and pepcid were a little effective but for some reason they both gave me a side effect of a very very very dry mouth and that wasn’t fun to deal with either so I went back to zantac, this sucks so much I hope it comes back one day but I know it’s probably unlikely</t>
        </is>
      </c>
      <c r="D7623" t="n">
        <v>1</v>
      </c>
      <c r="E7623" t="n">
        <v>6</v>
      </c>
      <c r="F7623">
        <f>HYPERLINK("https://www.reddit.com/r/GERD/comments/grx1z6/scared_of_what_to_do_after_my_zantac_runs_out/")</f>
        <v/>
      </c>
      <c r="G7623" t="inlineStr">
        <is>
          <t>2020-05-27 18:46:43</t>
        </is>
      </c>
      <c r="H7623" t="inlineStr"/>
    </row>
    <row r="7624">
      <c r="A7624" t="inlineStr">
        <is>
          <t>grx77a</t>
        </is>
      </c>
      <c r="B7624" t="inlineStr">
        <is>
          <t>Possible Triggers for Acid Reflux</t>
        </is>
      </c>
      <c r="C7624" t="inlineStr">
        <is>
          <t>Hey guys, im 21 years old and at this point im fairly convinced I have some form of gerd. I got absolutely hammered last friday and this week has been absolute hell. Just looking to see if anyone else’s symptoms get bad after heavy drinking? Also i drink a couple of coffees a day so im not sure if its the alcohol or caffiene or both.. just trying to track down what the trigger is</t>
        </is>
      </c>
      <c r="D7624" t="n">
        <v>1</v>
      </c>
      <c r="E7624" t="n">
        <v>1</v>
      </c>
      <c r="F7624">
        <f>HYPERLINK("https://www.reddit.com/r/GERD/comments/grx77a/possible_triggers_for_acid_reflux/")</f>
        <v/>
      </c>
      <c r="G7624" t="inlineStr">
        <is>
          <t>2020-05-27 18:56:32</t>
        </is>
      </c>
      <c r="H7624" t="inlineStr"/>
    </row>
    <row r="7625">
      <c r="A7625" t="inlineStr">
        <is>
          <t>grx8sj</t>
        </is>
      </c>
      <c r="B7625" t="inlineStr">
        <is>
          <t>does anyone have a good probiotic they can recommend?</t>
        </is>
      </c>
      <c r="C7625" t="inlineStr">
        <is>
          <t>not sure what probiotic I should take for acid reflux</t>
        </is>
      </c>
      <c r="D7625" t="n">
        <v>1</v>
      </c>
      <c r="E7625" t="n">
        <v>2</v>
      </c>
      <c r="F7625">
        <f>HYPERLINK("https://www.reddit.com/r/GERD/comments/grx8sj/does_anyone_have_a_good_probiotic_they_can/")</f>
        <v/>
      </c>
      <c r="G7625" t="inlineStr">
        <is>
          <t>2020-05-27 18:59:18</t>
        </is>
      </c>
      <c r="H7625" t="inlineStr"/>
    </row>
    <row r="7626">
      <c r="A7626" t="inlineStr">
        <is>
          <t>grx96j</t>
        </is>
      </c>
      <c r="B7626" t="inlineStr">
        <is>
          <t>How long did it take for your reflux erosive esophagitis to improve?</t>
        </is>
      </c>
      <c r="C7626" t="inlineStr">
        <is>
          <t>I am dying and it’s already been 20 days on 3 different PPI’s. I need hope. I am really in so much pain (burning aching shooting pains anxiety back pain muscle pain).  
Thank you.</t>
        </is>
      </c>
      <c r="D7626" t="n">
        <v>1</v>
      </c>
      <c r="E7626" t="n">
        <v>5</v>
      </c>
      <c r="F7626">
        <f>HYPERLINK("https://www.reddit.com/r/GERD/comments/grx96j/how_long_did_it_take_for_your_reflux_erosive/")</f>
        <v/>
      </c>
      <c r="G7626" t="inlineStr">
        <is>
          <t>2020-05-27 19:00:00</t>
        </is>
      </c>
      <c r="H7626" t="inlineStr"/>
    </row>
    <row r="7627">
      <c r="A7627" t="inlineStr">
        <is>
          <t>grxgz1</t>
        </is>
      </c>
      <c r="B7627" t="inlineStr">
        <is>
          <t>Seeing a gi tmrw</t>
        </is>
      </c>
      <c r="C7627" t="inlineStr">
        <is>
          <t>Extremely nervous rn, anxiety is through the roof
I am 20m, I have heartburn, really bad dysphagia Have only had liquids in 2 weeks. 
What should I ask my doctor tmrw to get the best treatment possible . I’m also scared of having cancer or barrets which I am scared to find out plz share any tips and your experience</t>
        </is>
      </c>
      <c r="D7627" t="n">
        <v>1</v>
      </c>
      <c r="E7627" t="n">
        <v>3</v>
      </c>
      <c r="F7627">
        <f>HYPERLINK("https://www.reddit.com/r/GERD/comments/grxgz1/seeing_a_gi_tmrw/")</f>
        <v/>
      </c>
      <c r="G7627" t="inlineStr">
        <is>
          <t>2020-05-27 19:13:48</t>
        </is>
      </c>
      <c r="H7627" t="inlineStr"/>
    </row>
    <row r="7628">
      <c r="A7628" t="inlineStr">
        <is>
          <t>grxrsu</t>
        </is>
      </c>
      <c r="B7628" t="inlineStr">
        <is>
          <t>Bowels are different all of the sudden?</t>
        </is>
      </c>
      <c r="C7628" t="inlineStr">
        <is>
          <t>i hate to be disgusting but lately, my stools have been different and i cant find an exact trigger. Yesterday, I had no potential triggers and it continues the same?</t>
        </is>
      </c>
      <c r="D7628" t="n">
        <v>1</v>
      </c>
      <c r="E7628" t="n">
        <v>1</v>
      </c>
      <c r="F7628">
        <f>HYPERLINK("https://www.reddit.com/r/GERD/comments/grxrsu/bowels_are_different_all_of_the_sudden/")</f>
        <v/>
      </c>
      <c r="G7628" t="inlineStr">
        <is>
          <t>2020-05-27 19:34:03</t>
        </is>
      </c>
      <c r="H7628" t="inlineStr"/>
    </row>
    <row r="7629">
      <c r="A7629" t="inlineStr">
        <is>
          <t>grxso9</t>
        </is>
      </c>
      <c r="B7629" t="inlineStr">
        <is>
          <t>Slight gut pain left and right and bowel movement</t>
        </is>
      </c>
      <c r="C7629" t="inlineStr">
        <is>
          <t>Hey folks ever since I had gerd ( Acid reflux) the past week and past few days, I had on and off gut pain ( lower right and left abdominal pain) the pain isn't that bad I would say buy it occurs sometimes like yesterday it was okay. And today after eating sandwich, I started having that pain and slowly after a couple of hours I need to go to the toilet. Surprisingly after that I will be okay.
Could this be IBS, or is it something else.
The pain sometimes is exactly where my appendicits surgery took place and sometimes on the left side. I would let some gas go (fart) at some point.</t>
        </is>
      </c>
      <c r="D7629" t="n">
        <v>1</v>
      </c>
      <c r="E7629" t="n">
        <v>0</v>
      </c>
      <c r="F7629">
        <f>HYPERLINK("https://www.reddit.com/r/GERD/comments/grxso9/slight_gut_pain_left_and_right_and_bowel_movement/")</f>
        <v/>
      </c>
      <c r="G7629" t="inlineStr">
        <is>
          <t>2020-05-27 19:35:35</t>
        </is>
      </c>
      <c r="H7629" t="inlineStr"/>
    </row>
    <row r="7630">
      <c r="A7630" t="inlineStr">
        <is>
          <t>gryt84</t>
        </is>
      </c>
      <c r="B7630" t="inlineStr">
        <is>
          <t>Burning in throat only under exertion.</t>
        </is>
      </c>
      <c r="C7630" t="inlineStr">
        <is>
          <t>So I had a telecom doctor visit because for the past few months I'd get burning in my throat when I'm up moving around. I'm not getting acid up in my throat like I normally would with acid reflux. So he wants me on prilosec 40mg for two months. I've never taking it a PPI before and made the mistake of reading the reviews. And lot of people are saying it causes bad anxiety which  I'm terrified about because I get that without taking anything. The burning in my throat isn't present if I'm not up walking or jogging which I can't do anymore because it gets awful quick. But the burn goes away shortly after I'm relaxed. Diet doesn't seem to have any effect. I can eat pretty much eat whatever still and it has little effect. What else I find odd is adrenaline can make my throat burn also like if I'm  sitting down and getting real amped up about something it'll cause a burning in my thoat.  So weird.</t>
        </is>
      </c>
      <c r="D7630" t="n">
        <v>1</v>
      </c>
      <c r="E7630" t="n">
        <v>4</v>
      </c>
      <c r="F7630">
        <f>HYPERLINK("https://www.reddit.com/r/GERD/comments/gryt84/burning_in_throat_only_under_exertion/")</f>
        <v/>
      </c>
      <c r="G7630" t="inlineStr">
        <is>
          <t>2020-05-27 20:44:38</t>
        </is>
      </c>
      <c r="H7630" t="inlineStr"/>
    </row>
    <row r="7631">
      <c r="A7631" t="inlineStr">
        <is>
          <t>grzsfg</t>
        </is>
      </c>
      <c r="B7631" t="inlineStr">
        <is>
          <t>Always Hungry (Hiatal Hernia)</t>
        </is>
      </c>
      <c r="C7631" t="inlineStr">
        <is>
          <t>Can I ask, does Hiatal Hernia always makes you feel hungry? Or should be opposite?</t>
        </is>
      </c>
      <c r="D7631" t="n">
        <v>1</v>
      </c>
      <c r="E7631" t="n">
        <v>2</v>
      </c>
      <c r="F7631">
        <f>HYPERLINK("https://www.reddit.com/r/GERD/comments/grzsfg/always_hungry_hiatal_hernia/")</f>
        <v/>
      </c>
      <c r="G7631" t="inlineStr">
        <is>
          <t>2020-05-27 21:56:19</t>
        </is>
      </c>
      <c r="H7631" t="inlineStr"/>
    </row>
    <row r="7632">
      <c r="A7632" t="inlineStr">
        <is>
          <t>grzsou</t>
        </is>
      </c>
      <c r="B7632" t="inlineStr">
        <is>
          <t>Shortness of Breathe</t>
        </is>
      </c>
      <c r="C7632" t="inlineStr">
        <is>
          <t>My pulmonologist believes my recent bout of shortness of breathe is not asthma related but instead GERD, and has started me on a nexium regiment. The last few days I have had pretty significant shortness of breathe, my chest feels tight. Has anyone else experienced this!?</t>
        </is>
      </c>
      <c r="D7632" t="n">
        <v>1</v>
      </c>
      <c r="E7632" t="n">
        <v>8</v>
      </c>
      <c r="F7632">
        <f>HYPERLINK("https://www.reddit.com/r/GERD/comments/grzsou/shortness_of_breathe/")</f>
        <v/>
      </c>
      <c r="G7632" t="inlineStr">
        <is>
          <t>2020-05-27 21:56:55</t>
        </is>
      </c>
      <c r="H7632" t="inlineStr"/>
    </row>
    <row r="7633">
      <c r="A7633" t="inlineStr">
        <is>
          <t>gs0nyr</t>
        </is>
      </c>
      <c r="B7633" t="inlineStr">
        <is>
          <t>Burning sensation after taking my omeprazole in the morning?</t>
        </is>
      </c>
      <c r="C7633" t="inlineStr">
        <is>
          <t>In the morning, after i take my omeprazole, i start to get this burning sensation and it goes away when i eat of course, but is that normal? it is really right after i take my pill</t>
        </is>
      </c>
      <c r="D7633" t="n">
        <v>1</v>
      </c>
      <c r="E7633" t="n">
        <v>0</v>
      </c>
      <c r="F7633">
        <f>HYPERLINK("https://www.reddit.com/r/GERD/comments/gs0nyr/burning_sensation_after_taking_my_omeprazole_in/")</f>
        <v/>
      </c>
      <c r="G7633" t="inlineStr">
        <is>
          <t>2020-05-27 23:06:09</t>
        </is>
      </c>
      <c r="H7633" t="inlineStr"/>
    </row>
    <row r="7634">
      <c r="A7634" t="inlineStr">
        <is>
          <t>gs1r2f</t>
        </is>
      </c>
      <c r="B7634" t="inlineStr">
        <is>
          <t>Problem Constantly belching</t>
        </is>
      </c>
      <c r="C7634" t="inlineStr">
        <is>
          <t>I swear i burp over 100 times a day if i dont my abdomen starts hurting, with them being wet burps a good 20% of the time. At this point im not even convinced i have gerds, ppi's do nothing for me and i havent even had heart burn in like, a year and i really only get reflux when ive burped a bunch. 
Anyone else have similar problems and any clues on what might help?</t>
        </is>
      </c>
      <c r="D7634" t="n">
        <v>1</v>
      </c>
      <c r="E7634" t="n">
        <v>3</v>
      </c>
      <c r="F7634">
        <f>HYPERLINK("https://www.reddit.com/r/GERD/comments/gs1r2f/problem_constantly_belching/")</f>
        <v/>
      </c>
      <c r="G7634" t="inlineStr">
        <is>
          <t>2020-05-28 00:38:17</t>
        </is>
      </c>
      <c r="H7634" t="inlineStr"/>
    </row>
    <row r="7635">
      <c r="A7635" t="inlineStr">
        <is>
          <t>gs1zqo</t>
        </is>
      </c>
      <c r="B7635" t="inlineStr">
        <is>
          <t>Gaining weight</t>
        </is>
      </c>
      <c r="C7635" t="inlineStr">
        <is>
          <t>How can I gain weight without getting symptoms ? I feel when I eat too much in a day I get bloated heartburn</t>
        </is>
      </c>
      <c r="D7635" t="n">
        <v>1</v>
      </c>
      <c r="E7635" t="n">
        <v>4</v>
      </c>
      <c r="F7635">
        <f>HYPERLINK("https://www.reddit.com/r/GERD/comments/gs1zqo/gaining_weight/")</f>
        <v/>
      </c>
      <c r="G7635" t="inlineStr">
        <is>
          <t>2020-05-28 00:59:58</t>
        </is>
      </c>
      <c r="H7635" t="inlineStr"/>
    </row>
    <row r="7636">
      <c r="A7636" t="inlineStr">
        <is>
          <t>gs24un</t>
        </is>
      </c>
      <c r="B7636" t="inlineStr">
        <is>
          <t>Osteopath for GERD??</t>
        </is>
      </c>
      <c r="C7636" t="inlineStr">
        <is>
          <t>Hi all! Suffering like crazy from what I think is GERD or LPR? I am going to see a GI in about 10 days. In the mean time a friend recommended trying out an osteopath to try and get some symptom relief. Curious is anyone else here has tried this?</t>
        </is>
      </c>
      <c r="D7636" t="n">
        <v>1</v>
      </c>
      <c r="E7636" t="n">
        <v>0</v>
      </c>
      <c r="F7636">
        <f>HYPERLINK("https://www.reddit.com/r/GERD/comments/gs24un/osteopath_for_gerd/")</f>
        <v/>
      </c>
      <c r="G7636" t="inlineStr">
        <is>
          <t>2020-05-28 01:11:48</t>
        </is>
      </c>
      <c r="H7636" t="inlineStr"/>
    </row>
    <row r="7637">
      <c r="A7637" t="inlineStr">
        <is>
          <t>gs2si9</t>
        </is>
      </c>
      <c r="B7637" t="inlineStr">
        <is>
          <t>22M, starting to get desperate</t>
        </is>
      </c>
      <c r="C7637" t="inlineStr">
        <is>
          <t>I honestly just want to give up. Everything started late November 2018, after I took antibiotics and painkillers to heal a tooth infection(the tooth got removed, thank God)for an extended period of time. I felt sick for a long time and eventually threw up everything I ate during the entire day. I never recovered from this, I got all your typical GERD symptoms(throat burning, chest pain, burning in stomach etc.) and abdominal pain. After being on esomeprazole and gaviscon for months, I got an endoscopy. It showed gastroduodenitis, esophagitis and tertiary peristalsis(still don't know what that means). I continued with esomeprazole and gaviscon, 20 mg in the morning and 20 mg before dinner. PPIs gave me horrible constipation and bloating, but the thought of feeling good again pushed me forward. After 6 months on PPIs, I felt a little bit better, so I tried to eat more(lost 20 lbs while feeling sick). I quickly returned to how I felt when everything started. If I don't take my PPIs, my throat burns, I get the typical lump feeling and abdominal pain. I even did a barium swallow, which showed regular transit in my esophagus, slow peristalsis at the beginning of the process, and tertiary waves in my stomach due to my gastritis and duodenitis, which also showed a lot of acid. Every doctor I see gives me the same thing, and I'm tired. I just don't know what to do, I basically stopped living at 22 years old. Ppis stop the burning and make the lump feeling more bearable, but they keep causing me terrible bloating and constipation. 
If anyone has even a little bit of advice, or can tell me what has worked for them in a similar situation, thank you. I gave up on living normally again, but I'd like to make the situation a little bit easier.</t>
        </is>
      </c>
      <c r="D7637" t="n">
        <v>1</v>
      </c>
      <c r="E7637" t="n">
        <v>1</v>
      </c>
      <c r="F7637">
        <f>HYPERLINK("https://www.reddit.com/r/GERD/comments/gs2si9/22m_starting_to_get_desperate/")</f>
        <v/>
      </c>
      <c r="G7637" t="inlineStr">
        <is>
          <t>2020-05-28 02:07:29</t>
        </is>
      </c>
      <c r="H7637" t="inlineStr"/>
    </row>
    <row r="7638">
      <c r="A7638" t="inlineStr">
        <is>
          <t>gs2zns</t>
        </is>
      </c>
      <c r="B7638" t="inlineStr">
        <is>
          <t>What in the hell is this?</t>
        </is>
      </c>
      <c r="C7638" t="inlineStr">
        <is>
          <t>Hi,  
So it started of as sudden sharp pain in the middle of the chest, that would go in a few seconds and only come while changing posture. I pinned it down to me slouching for long hours and working on a laptop on my bed. Though now its more of lingering muscle spasm in my upper chest, both sides now, and my left arm aches as well from time to time. It isn't brought by being active, so I am pretty sure it's not my heart, I am 25, 6 feet male and have no family history of Heart-related ailments. Sometimes I feel breathless but it comes out of nowhere, though at that time too I can literally walk 6 km to the hospital because of the lockdown which I eventually did, he said the arm pain is muscular. My posture still sucks and my work requires me to sit on a laptop for extended periods. Do you think that can cause pain in my chest, which is sometimes like a heavy pull on the right side and most of the times just feel like sore muscles in upper chest and when I wake up in the morning, I try to get up as slowly as I can as a I am scared a sudden movement will flare this shit up. I do have GERD and IBS . Anxiety and Health Anxiety. Also sometimes the tightness in my middle chest feels as a pressure, that comes with an urge to burp. Also my chest is tender to touch and sometimes the pain can be felt during breathing in if I am flaring  and not always.</t>
        </is>
      </c>
      <c r="D7638" t="n">
        <v>1</v>
      </c>
      <c r="E7638" t="n">
        <v>2</v>
      </c>
      <c r="F7638">
        <f>HYPERLINK("https://www.reddit.com/r/GERD/comments/gs2zns/what_in_the_hell_is_this/")</f>
        <v/>
      </c>
      <c r="G7638" t="inlineStr">
        <is>
          <t>2020-05-28 02:24:11</t>
        </is>
      </c>
      <c r="H7638" t="inlineStr"/>
    </row>
    <row r="7639">
      <c r="A7639" t="inlineStr">
        <is>
          <t>gs3yt3</t>
        </is>
      </c>
      <c r="B7639" t="inlineStr">
        <is>
          <t>Bodyweight exercises excluding core exercises</t>
        </is>
      </c>
      <c r="C7639" t="inlineStr">
        <is>
          <t>I would like to start training in my house again by doing exercises like pushups, squats, lunges, pull ups etc. I have GERD alongwith a small hiatal hernia. The symptoms are mostly under control with diet and PPIs that I take once everyday. Would you guys suggest that I do basic bodyweight exercises  and should I do it on an empty stomach or should I do it 3 -4 hours after having food ? Anyone who has had prior experience with this please suggest.</t>
        </is>
      </c>
      <c r="D7639" t="n">
        <v>1</v>
      </c>
      <c r="E7639" t="n">
        <v>5</v>
      </c>
      <c r="F7639">
        <f>HYPERLINK("https://www.reddit.com/r/GERD/comments/gs3yt3/bodyweight_exercises_excluding_core_exercises/")</f>
        <v/>
      </c>
      <c r="G7639" t="inlineStr">
        <is>
          <t>2020-05-28 03:44:45</t>
        </is>
      </c>
      <c r="H7639" t="inlineStr"/>
    </row>
    <row r="7640">
      <c r="A7640" t="inlineStr">
        <is>
          <t>gs3ywt</t>
        </is>
      </c>
      <c r="B7640" t="inlineStr">
        <is>
          <t>Ive had LPR for 9 months... will it ever go away?</t>
        </is>
      </c>
      <c r="C7640" t="inlineStr">
        <is>
          <t>As the title says I’ve had LPR for 9 months and I’ve got a wedge pillow, avoided food triggers, stopped eating/drinking before bed, etc, and yet I’ve still had globus and a sore throat for months now. Before I got LPR i had no throat issues. Im starting to think this feeling will never go away. Can anyone give some insight or some feedback? Anything helps.</t>
        </is>
      </c>
      <c r="D7640" t="n">
        <v>1</v>
      </c>
      <c r="E7640" t="n">
        <v>4</v>
      </c>
      <c r="F7640">
        <f>HYPERLINK("https://www.reddit.com/r/GERD/comments/gs3ywt/ive_had_lpr_for_9_months_will_it_ever_go_away/")</f>
        <v/>
      </c>
      <c r="G7640" t="inlineStr">
        <is>
          <t>2020-05-28 03:44:57</t>
        </is>
      </c>
      <c r="H7640" t="inlineStr"/>
    </row>
    <row r="7641">
      <c r="A7641" t="inlineStr">
        <is>
          <t>gs46rf</t>
        </is>
      </c>
      <c r="B7641" t="inlineStr">
        <is>
          <t>LPR Relief Story</t>
        </is>
      </c>
      <c r="C7641" t="inlineStr">
        <is>
          <t>All, 
I had searched this forum and the web in general for hours and hours looking for relief for my LPR symptoms. My most severe symptom was/is globus sensation. On my worst days it would prevent me from sleeping and started to take a toll on me mentally. To keep this short, I tried nearly everything I found on the web for cures. I even got a little obsessive about filtering my drinking water and taking extremely short showers due to the chloramine in our water supply. I am 33 years old, about 180 lbs, work out 5-7 days a week (crossfit and lifting), eat very healthy, etc. I have had LPR with varying extremity for nearly 10 years.
Sleeping on an incline is a must. If you suffer from LPR, find a way to get your whole mattress at an angle. My bed had a box spring that sat on 5 horizontal slats. I made progressively thinner wedges and screwed them to each slat to raise the head of the mattress 5 inches. I used sketch-up to get the measurements for the 2x lumber I used to make the wedges.
Improving digestion also seemed to help some. I use AbsorbAid digestive enzymes twice a day. I also don’t eat for \~2.5hrs before bed. Maybe the enzymes are a placebo…I don’t know. I am not as sold on them as I am on sleeping on an incline and not eating before bed.
Even after all the above, and trying countless other things (Prescription PPIs and H2 blockers, multiple doctors, melatonin, limonene, baking soda water, alginates, diet modifications, etc, etc, etc) I was still having issues. I would still wake up some nights with what felt like reflux in my throat choking me, my mouth watering for an hour after, throat clearing, getting less sleep, etc. There were days where it felt like I cleared my throat a thousand times and would only get 3-4 hours of spotty sleep.
A website that got my attention was this:
[https://www.fauquierent.net/throatclearing.htm](https://www.fauquierent.net/throatclearing.htm)
I have no affiliation with them. There is a video on that page showing LPR in action, a foamy mixture getting refluxed and how it gets to the throat. That got me thinking about gas and surface tension. My wife would occasionally take simethicone for bloating/gas (Gas-x or similar). On a whim I took simethicone when I started feeling a globus sensation and the effect was nearly immediate. Minutes after taking an 80mg chewable my globus lessened. I have continued this for a month now and am taking less and less simethicone, and my number of globus episodes is greatly reduced. I am only taking 0-3 80mg chewables a day, well under any max doses I see for simethicone. Further research shows I am not the only one taking it for LPR. There is anecdotal as well as scientific evidence.
I know everyone’s LPR is different, but give simethicone a try! I am currently only taking digestive enzymes (had a lot left over), sleeping on an incline, and taking simethicone when needed. I feel I have my LPR \~90% controlled at this point and am not on any prescriptions.</t>
        </is>
      </c>
      <c r="D7641" t="n">
        <v>1</v>
      </c>
      <c r="E7641" t="n">
        <v>20</v>
      </c>
      <c r="F7641">
        <f>HYPERLINK("https://www.reddit.com/r/GERD/comments/gs46rf/lpr_relief_story/")</f>
        <v/>
      </c>
      <c r="G7641" t="inlineStr">
        <is>
          <t>2020-05-28 04:01:34</t>
        </is>
      </c>
      <c r="H7641" t="inlineStr"/>
    </row>
    <row r="7642">
      <c r="A7642" t="inlineStr">
        <is>
          <t>gs48da</t>
        </is>
      </c>
      <c r="B7642" t="inlineStr">
        <is>
          <t>Never responded to any meds, can anyone relate to all of my symptoms as i don't understand how it can be GERD if no meds work</t>
        </is>
      </c>
      <c r="C7642" t="inlineStr">
        <is>
          <t>Foul taste in my mouth all the time, burping up crap, excessive mucus and foamy spit, often yelllw, sometimes regurgitating food. Shortness of breath, the feeling that i always need to go to the toilet. Hoarse voice.
Soreness throughout my whole GI tract, taste of blood sometimes, covered tongue, my sinuses can even feel feel weird. My eyes often get inflamed with it too.
I've had a stool test, 2 endoscopies, a chest xray - everything comes back clear.
I've tried all kinds of diets also. Still don't eat any sugar, caffeine, carbonation, garlic, onions or tomatoes. Rarely ever drink now and haven't touched a drop in over a month, nor do i smoke.
I cannot cope. :(</t>
        </is>
      </c>
      <c r="D7642" t="n">
        <v>1</v>
      </c>
      <c r="E7642" t="n">
        <v>10</v>
      </c>
      <c r="F7642">
        <f>HYPERLINK("https://www.reddit.com/r/GERD/comments/gs48da/never_responded_to_any_meds_can_anyone_relate_to/")</f>
        <v/>
      </c>
      <c r="G7642" t="inlineStr">
        <is>
          <t>2020-05-28 04:04:49</t>
        </is>
      </c>
      <c r="H7642" t="inlineStr"/>
    </row>
    <row r="7643">
      <c r="A7643" t="inlineStr">
        <is>
          <t>gs4odi</t>
        </is>
      </c>
      <c r="B7643" t="inlineStr">
        <is>
          <t>Sore throat &amp;amp; nausea so bad</t>
        </is>
      </c>
      <c r="C7643" t="inlineStr">
        <is>
          <t>I have had gastritis years and years ago. That was brought on by high doses of Naproxen. I cured it naturally over several months.  Now, my doctor things I have alcohol induced gastritis and GERD symptoms. I have stopped drinking a month ago after being a heavy drinker.  My symptoms got really bad in the beginning of February. I believe years of drinking alcohol, eating large amounts of food, loads of traumatic stress, etc. has triggered a new bout of symptoms. This time it’s wayyyy worse and at one point I thought I was dying of a heart attack. All tests have come back normal. I have quit drinking, stopped eating large meals, sleep elevated, stopped eating or drinking hours before bed, taking PPIs, antacids, and probiotics. I have slowly started to lower my stress levels and although I no longer feel 15 months pregnant from gas and bloating, I walked up every morning nauseous and lately my throat has been burning and been so sore more and more every morning.  I try to calm it down by drinking honey and water and then eating a small amount of oatmeal first thing in the morning.  I have not seen a GI yet as the COVID situation has put that off for who knows how long. I don’t get it and I’m so scared about ruining my throat. What is going on? Anyone experience this, have insight, helpful tips? I feel lost since I can’t see a specialist for quite some time.  Also, I will do a H. pylori breath test bit that won’t help for another several months either but my bloodwork came back negative. Please help.  I need my life back.</t>
        </is>
      </c>
      <c r="D7643" t="n">
        <v>1</v>
      </c>
      <c r="E7643" t="n">
        <v>7</v>
      </c>
      <c r="F7643">
        <f>HYPERLINK("https://www.reddit.com/r/GERD/comments/gs4odi/sore_throat_nausea_so_bad/")</f>
        <v/>
      </c>
      <c r="G7643" t="inlineStr">
        <is>
          <t>2020-05-28 04:38:30</t>
        </is>
      </c>
      <c r="H7643" t="inlineStr"/>
    </row>
    <row r="7644">
      <c r="A7644" t="inlineStr">
        <is>
          <t>gs52ek</t>
        </is>
      </c>
      <c r="B7644" t="inlineStr">
        <is>
          <t>Dieting, Intermediate Fasting, and Gerd</t>
        </is>
      </c>
      <c r="C7644" t="inlineStr">
        <is>
          <t>Hello there So a couple of years ago I tried intermediate fasting to lose weight and it worked back then my GERD wasn't that bad.
now I gained some of the weight back and intermediate fasting is out of the option as my GERD will go berserk.
not to mentions that the majority of diets involve eating salads which all of them (I know of) have an acid-based sauce. 
so what are my option (M / 25) to lose weight other than intermediate fasting or what diets do you recommend me to do</t>
        </is>
      </c>
      <c r="D7644" t="n">
        <v>1</v>
      </c>
      <c r="E7644" t="n">
        <v>2</v>
      </c>
      <c r="F7644">
        <f>HYPERLINK("https://www.reddit.com/r/GERD/comments/gs52ek/dieting_intermediate_fasting_and_gerd/")</f>
        <v/>
      </c>
      <c r="G7644" t="inlineStr">
        <is>
          <t>2020-05-28 05:07:04</t>
        </is>
      </c>
      <c r="H7644" t="inlineStr"/>
    </row>
    <row r="7645">
      <c r="A7645" t="inlineStr">
        <is>
          <t>gs5dnn</t>
        </is>
      </c>
      <c r="B7645" t="inlineStr">
        <is>
          <t>H. pylori questions</t>
        </is>
      </c>
      <c r="C7645" t="inlineStr">
        <is>
          <t>Hello everyone. If anyone in here has h. pylori, can you please tell me what age you were diagnosed? I am currently waiting on test results (my doc thinks I may have an ulcer) but I'm just curious if there is a typical age that some people start having pain and stomach issues because of h. pylori. I do recognize many people have this without symptoms, but is there a typical age that symptoms show up in those that do?</t>
        </is>
      </c>
      <c r="D7645" t="n">
        <v>1</v>
      </c>
      <c r="E7645" t="n">
        <v>14</v>
      </c>
      <c r="F7645">
        <f>HYPERLINK("https://www.reddit.com/r/GERD/comments/gs5dnn/h_pylori_questions/")</f>
        <v/>
      </c>
      <c r="G7645" t="inlineStr">
        <is>
          <t>2020-05-28 05:29:09</t>
        </is>
      </c>
      <c r="H7645" t="inlineStr"/>
    </row>
    <row r="7646">
      <c r="A7646" t="inlineStr">
        <is>
          <t>gs7apr</t>
        </is>
      </c>
      <c r="B7646" t="inlineStr">
        <is>
          <t>App to Manage GERD</t>
        </is>
      </c>
      <c r="C7646" t="inlineStr">
        <is>
          <t>All,
I have GERD  for last few [months](https://months.In) and am trying to manage it through better life style. In this process, I have come with list of life style changes  wanted to make [daily.So](https://daily.So) , currently building an app for myself and wondering, if fellow GERDERS (is that even a term) would be interested. Some of the features include
1. Daily checkin of life style goals
2. Monitor your symptoms
3. Foods to avoid/ add to your life ( next level : recipes and videos)
4. Exercises and yoga to manage reflux and stress ( next level: dedicated yoga videos to manage by experts)
5. Water intake tracker and set reminders
6. Weight/BMI  tracker
7. on demand dietician for custom meal plan and consulting.
My question to this group is
1. would you use it ?
2. Would you pay 9$ per year subscription
Cheers</t>
        </is>
      </c>
      <c r="D7646" t="n">
        <v>1</v>
      </c>
      <c r="E7646" t="n">
        <v>7</v>
      </c>
      <c r="F7646">
        <f>HYPERLINK("https://www.reddit.com/r/GERD/comments/gs7apr/app_to_manage_gerd/")</f>
        <v/>
      </c>
      <c r="G7646" t="inlineStr">
        <is>
          <t>2020-05-28 07:30:51</t>
        </is>
      </c>
      <c r="H7646" t="inlineStr"/>
    </row>
    <row r="7647">
      <c r="A7647" t="inlineStr">
        <is>
          <t>gs85bc</t>
        </is>
      </c>
      <c r="B7647" t="inlineStr">
        <is>
          <t>Acid Watcher Diet?</t>
        </is>
      </c>
      <c r="C7647" t="inlineStr">
        <is>
          <t>Has anyone used Dr. Aviv's Acid Watcher Diet book? Do you need to follow exactly the healing phase week 1 from the start or can you do your own thing based on his list of allowable foods?
I started Monday, but I am not following the meal plan exactly. I am following the meal times and snack section of the meal plan, but the actual meals are tricky daily with how busy I am with meetings and such - again just sticking with the foods that are okay to eat in his book. I also do not like fish at all, and some of the meals are fish based, so that's no good for me sadly. Just want to make sure what I'm doing is okay and not for nothing!</t>
        </is>
      </c>
      <c r="D7647" t="n">
        <v>1</v>
      </c>
      <c r="E7647" t="n">
        <v>12</v>
      </c>
      <c r="F7647">
        <f>HYPERLINK("https://www.reddit.com/r/GERD/comments/gs85bc/acid_watcher_diet/")</f>
        <v/>
      </c>
      <c r="G7647" t="inlineStr">
        <is>
          <t>2020-05-28 08:18:18</t>
        </is>
      </c>
      <c r="H7647" t="inlineStr"/>
    </row>
    <row r="7648">
      <c r="A7648" t="inlineStr">
        <is>
          <t>gs8jw5</t>
        </is>
      </c>
      <c r="B7648" t="inlineStr">
        <is>
          <t>Unsure if I have silent reflux. Want to find out by changing diet. Some questions pertaining to that...</t>
        </is>
      </c>
      <c r="C7648" t="inlineStr">
        <is>
          <t>I'm a passionate coke drinker (low pH). Also I like to eat veeery spicy food. And I do so very often. I have infrequent trouble when speaking, could never really figure out where it comes from. First I thought my asthma was the cause, it wasn't, then I thought I had muscle tension disphonia, wasn't the cause either. Then I quit smoking, didn't help either. I feel like there's acidic sour air building up in my throat and building some kind of pressure against my voice. Feels like my voice can't really grip the tones sometimes. Sounds breathy and light. Sometimes I get very hoarse. I don't really experience any pain in my throat area though. Just some sourness. I really frequently get infections in my throat area. Sometimes I feel pressure on my ears. Sorry if I sound a bit dull, I'm not a native english speaker :D Now my questions:
1: Could I just from time to time drink a sip of something really alkaline to equalize the pH-value in my stomach? I'd tape a bottle of apple cider vinegar to my belt like a cowboy. I kinda really do not wanna cut down my coke consume, it's also exam period for me right now and I got lots of things to do and learn :D
2: Is a water fasting diet (only drinking water for a couple of days to a week) a good way to find out if I have silent reflux? Water is kinda pH neutral, so it should, right? I'd try that after my exams are over.
Any other tips for me? Thanks for any input. I've read through many posts here on the sub, but would like some chat about my personal situation. Thanks again!</t>
        </is>
      </c>
      <c r="D7648" t="n">
        <v>1</v>
      </c>
      <c r="E7648" t="n">
        <v>2</v>
      </c>
      <c r="F7648">
        <f>HYPERLINK("https://www.reddit.com/r/GERD/comments/gs8jw5/unsure_if_i_have_silent_reflux_want_to_find_out/")</f>
        <v/>
      </c>
      <c r="G7648" t="inlineStr">
        <is>
          <t>2020-05-28 08:40:26</t>
        </is>
      </c>
      <c r="H7648" t="inlineStr"/>
    </row>
    <row r="7649">
      <c r="A7649" t="inlineStr">
        <is>
          <t>gs9u8e</t>
        </is>
      </c>
      <c r="B7649" t="inlineStr">
        <is>
          <t>Chronic belching ph levels?</t>
        </is>
      </c>
      <c r="C7649" t="inlineStr">
        <is>
          <t>I used to have chronic stress from really high breathing and mouth breathing and then I just stopped 1 day. started breathing from the belly and all tension went away after a while and I felt like a new me... however after I did this I know have severe belching. What should I take. I feel like I either have too much acid or too low. Idk how to fix this l. Any ideas? I even did an endoscopy which showed nothing wrong. I have no other symptom but bloating and belchingm belching seems to get less when i statt mouth breathing and putting unnecessary stress on my body. Help is appreciated. I take ppis now but idk if thats a good idea.. not sure ifni should take ppis or digestive enzymes</t>
        </is>
      </c>
      <c r="D7649" t="n">
        <v>1</v>
      </c>
      <c r="E7649" t="n">
        <v>9</v>
      </c>
      <c r="F7649">
        <f>HYPERLINK("https://www.reddit.com/r/GERD/comments/gs9u8e/chronic_belching_ph_levels/")</f>
        <v/>
      </c>
      <c r="G7649" t="inlineStr">
        <is>
          <t>2020-05-28 09:49:32</t>
        </is>
      </c>
      <c r="H7649" t="inlineStr"/>
    </row>
    <row r="7650">
      <c r="A7650" t="inlineStr">
        <is>
          <t>gsa6xf</t>
        </is>
      </c>
      <c r="B7650" t="inlineStr">
        <is>
          <t>So I haven't been fully diagnosed if its Gastritis or Gerd but Inow feeling sensations in my throat??</t>
        </is>
      </c>
      <c r="C7650" t="inlineStr">
        <is>
          <t>Hello,
So I've been posting in the gastritis group but the more research I do on my symptoms, I'm assuming it might have something to do with gerd. So I don't have stomach pains, those are finally over and I'm always hungry now but over the last week and a half/2 weeks I'm getting sensations in the throat like air or a little tension, or something is in there. I cant exactly pin point when I get the sensations. Sometimes it feels like I have to keep my throat open. Does anybody know what it could be? I am about to get my monthly (sorry TMI) and I'm feeling it more as the beginning of the month I didnt feel this sensation or when the flare up started the end of March this sensation just started to happen. I also have a lot of saliva to point where I need a spit cup at times. What the hell is this?</t>
        </is>
      </c>
      <c r="D7650" t="n">
        <v>1</v>
      </c>
      <c r="E7650" t="n">
        <v>0</v>
      </c>
      <c r="F7650">
        <f>HYPERLINK("https://www.reddit.com/r/GERD/comments/gsa6xf/so_i_havent_been_fully_diagnosed_if_its_gastritis/")</f>
        <v/>
      </c>
      <c r="G7650" t="inlineStr">
        <is>
          <t>2020-05-28 10:07:46</t>
        </is>
      </c>
      <c r="H7650" t="inlineStr"/>
    </row>
    <row r="7651">
      <c r="A7651" t="inlineStr">
        <is>
          <t>gsasb8</t>
        </is>
      </c>
      <c r="B7651" t="inlineStr">
        <is>
          <t>How did you get diagnosed?</t>
        </is>
      </c>
      <c r="C7651" t="inlineStr">
        <is>
          <t>I went to a CVS clinic with my symptoms and got told that I'm having an allergic reaction despite no known allergies. Since starting Zyrtec, my throat symptoms and stomachaches have seemingly gotten worse. I'm experiencing the feeling of something stuck in my throat, mucus, and shortness of breath. She also said I have fluid in my ears. I'll try to make some diet and eating changes and see if that helps, but if not should I seek out someone for GERD (/related)?</t>
        </is>
      </c>
      <c r="D7651" t="n">
        <v>1</v>
      </c>
      <c r="E7651" t="n">
        <v>1</v>
      </c>
      <c r="F7651">
        <f>HYPERLINK("https://www.reddit.com/r/GERD/comments/gsasb8/how_did_you_get_diagnosed/")</f>
        <v/>
      </c>
      <c r="G7651" t="inlineStr">
        <is>
          <t>2020-05-28 10:39:30</t>
        </is>
      </c>
      <c r="H7651" t="inlineStr"/>
    </row>
    <row r="7652">
      <c r="A7652" t="inlineStr">
        <is>
          <t>gsaz1r</t>
        </is>
      </c>
      <c r="B7652" t="inlineStr">
        <is>
          <t>Bad gas and digestion</t>
        </is>
      </c>
      <c r="C7652" t="inlineStr">
        <is>
          <t>Going to try and keep this one short. For as long as I can remember I have always farted a lot, I’ve always been unable to burp so i assume that’s why it comes out the other end. For the past few months I’ve really been struggling with smelly gas, like it is horrible. I’ve read into it but can’t find my cause, cutting out milk helped a lot but it still persists and I’m already on a very strict diet. I’ve tried pro biotics and they made the issue 5x worse, including a lot of stomach pain that lasted weeks. Just looking for some advice to combat this, I’ve seen cutting carbs a lot may help but they never gave me issues in the past. I’m only 21 if that’s helps.</t>
        </is>
      </c>
      <c r="D7652" t="n">
        <v>1</v>
      </c>
      <c r="E7652" t="n">
        <v>1</v>
      </c>
      <c r="F7652">
        <f>HYPERLINK("https://www.reddit.com/r/GERD/comments/gsaz1r/bad_gas_and_digestion/")</f>
        <v/>
      </c>
      <c r="G7652" t="inlineStr">
        <is>
          <t>2020-05-28 10:49:25</t>
        </is>
      </c>
      <c r="H7652" t="inlineStr"/>
    </row>
    <row r="7653">
      <c r="A7653" t="inlineStr">
        <is>
          <t>gsb4bq</t>
        </is>
      </c>
      <c r="B7653" t="inlineStr">
        <is>
          <t>I'm an idiot.</t>
        </is>
      </c>
      <c r="C7653" t="inlineStr">
        <is>
          <t>So because I've been feeling great for about 2 weeks I indulged yesterday. It was my daughter's birthday. 
I've recently been dx with suspected gerd/lpr. Confirmation as soon as my colonoscopy/EDG is done on June 23.
Anyway, after avoiding trigger foods, took a two week course of aciphex (quit since it seemed to cause joint/muscle pain), started drinking turmeric. I felt better. Chest pain faded, globus sensation, GI issues, etc. 
I added a half cup of coffee and gradually worked my way up to a cup. Perfectly fine no problems. Days later had a few bites of pizza, again fine. Two mini twix few days later, fine again. 
Ah! My insides must be healed and symptoms are gone. Chucked it up to the course of antibiotics I was on twice in a month. 
Yesterday, had two cups of coffee (doesn't/hasnt affected me), ate two slices of pepperoni pizza, some carbonara pasta, and later a slice of feta and spinach pizza. Song happy birthday to my daughter and have a larger than average slice of chocolate cake.
10pm a slight burn/itch in my throat. 2am quick coughing fit from itch. Woke up at 6am with pressure/tightness around my sternum and a globus sensation. 
Took some Zyrtec for the itch. 
Chest discomfort still there. 
Oh goodness! Covid?!!?!!
Read another post here that mentioned chocolate and coffee. 
Aha! Idiot! I had an aha moment. Now I'm gonna suffer. 
Anybody do something as stupid? How long til the symptoms went away after a binge? 
Note. CT, blood, x-ray, EKG all good. Heart and lungs are great. Doctors words, "your cardiac workup,bloodwork, and imaging look better than even many 18 year olds."
I'm a 34f, 8-10 a day smoker btw.</t>
        </is>
      </c>
      <c r="D7653" t="n">
        <v>1</v>
      </c>
      <c r="E7653" t="n">
        <v>17</v>
      </c>
      <c r="F7653">
        <f>HYPERLINK("https://www.reddit.com/r/GERD/comments/gsb4bq/im_an_idiot/")</f>
        <v/>
      </c>
      <c r="G7653" t="inlineStr">
        <is>
          <t>2020-05-28 10:56:53</t>
        </is>
      </c>
      <c r="H7653" t="inlineStr"/>
    </row>
    <row r="7654">
      <c r="A7654" t="inlineStr">
        <is>
          <t>gsbsdp</t>
        </is>
      </c>
      <c r="B7654" t="inlineStr">
        <is>
          <t>you guys ever get a knock in your throat when you swallow?</t>
        </is>
      </c>
      <c r="C7654" t="inlineStr">
        <is>
          <t>Like something is moving out of the way, like a bone cracking?</t>
        </is>
      </c>
      <c r="D7654" t="n">
        <v>1</v>
      </c>
      <c r="E7654" t="n">
        <v>6</v>
      </c>
      <c r="F7654">
        <f>HYPERLINK("https://www.reddit.com/r/GERD/comments/gsbsdp/you_guys_ever_get_a_knock_in_your_throat_when_you/")</f>
        <v/>
      </c>
      <c r="G7654" t="inlineStr">
        <is>
          <t>2020-05-28 11:30:58</t>
        </is>
      </c>
      <c r="H7654" t="inlineStr"/>
    </row>
    <row r="7655">
      <c r="A7655" t="inlineStr">
        <is>
          <t>gsbyae</t>
        </is>
      </c>
      <c r="B7655" t="inlineStr">
        <is>
          <t>My tongue and lips feel raw/irritated?</t>
        </is>
      </c>
      <c r="C7655" t="inlineStr">
        <is>
          <t>I have LPR and it is sort of flaring up right now, probably worse than it ever has. My throat is so sore, it feels tight and makes me choke sometimes, my nose is stuffed up, I’m having palpitations, and most recently.. my tongue and the inside of my lips feel very raw and sore (sometimes it itches too). It feels like I ate something hot and burned my mouth, but I know I didn’t. I’m assuming this is related to reflux? I’m pretty sure I know what food is making my reflux so bad and I’ve stopped eating it, so I’m hoping this goes away soon.. but is there anything I can to help with the discomfort? It’s really painful and distracting :/</t>
        </is>
      </c>
      <c r="D7655" t="n">
        <v>1</v>
      </c>
      <c r="E7655" t="n">
        <v>6</v>
      </c>
      <c r="F7655">
        <f>HYPERLINK("https://www.reddit.com/r/GERD/comments/gsbyae/my_tongue_and_lips_feel_rawirritated/")</f>
        <v/>
      </c>
      <c r="G7655" t="inlineStr">
        <is>
          <t>2020-05-28 11:39:27</t>
        </is>
      </c>
      <c r="H7655" t="inlineStr"/>
    </row>
    <row r="7656">
      <c r="A7656" t="inlineStr">
        <is>
          <t>gseam4</t>
        </is>
      </c>
      <c r="B7656" t="inlineStr">
        <is>
          <t>PPI's, anti depressants and alternative pain meds.</t>
        </is>
      </c>
      <c r="C7656" t="inlineStr">
        <is>
          <t>Hi all, Just FYI, make sure when starting a ppi, or other doctor prescribed medication, to not take CBD oil (although it helped me when i was taking nothing else). It will impede the absorption of the PPI, and it will cause the PPI to not get properly flushed from your liver and so forth - which can be dangerous. Not that any of you are doing this, but from my own research, and inquiring with my doctor, just don't. If you are on any anxiety meds as well, CBD will also impair it's absorption, and worst yet it can accumulate in the liver and what not. Also licorice tea causes high blood pressure if used to much and for too long. Don't take my word on any of this, consult with you physician. Most of you know this, but considering we are always on a constant search for help and answers, just want to advise.</t>
        </is>
      </c>
      <c r="D7656" t="n">
        <v>1</v>
      </c>
      <c r="E7656" t="n">
        <v>0</v>
      </c>
      <c r="F7656">
        <f>HYPERLINK("https://www.reddit.com/r/GERD/comments/gseam4/ppis_anti_depressants_and_alternative_pain_meds/")</f>
        <v/>
      </c>
      <c r="G7656" t="inlineStr">
        <is>
          <t>2020-05-28 13:38:04</t>
        </is>
      </c>
      <c r="H7656" t="inlineStr"/>
    </row>
    <row r="7657">
      <c r="A7657" t="inlineStr">
        <is>
          <t>gseaw1</t>
        </is>
      </c>
      <c r="B7657" t="inlineStr">
        <is>
          <t>Stomach and chest pain after pH test</t>
        </is>
      </c>
      <c r="C7657" t="inlineStr">
        <is>
          <t>Hi all. Had the manometry and 24-hour pH test done (the standard one, not the Bravo test) this Monday to Tuesday and my chest and stomach (top area) has been sore since. Especially while eating and right after eating.    
Anyone else had a similar experience? I was told the procedure should be without major risks and pain but I still feel a lot worse than before the test.</t>
        </is>
      </c>
      <c r="D7657" t="n">
        <v>1</v>
      </c>
      <c r="E7657" t="n">
        <v>4</v>
      </c>
      <c r="F7657">
        <f>HYPERLINK("https://www.reddit.com/r/GERD/comments/gseaw1/stomach_and_chest_pain_after_ph_test/")</f>
        <v/>
      </c>
      <c r="G7657" t="inlineStr">
        <is>
          <t>2020-05-28 13:38:27</t>
        </is>
      </c>
      <c r="H7657" t="inlineStr"/>
    </row>
    <row r="7658">
      <c r="A7658" t="inlineStr">
        <is>
          <t>gsfu0u</t>
        </is>
      </c>
      <c r="B7658" t="inlineStr">
        <is>
          <t>Is waking up with a burning stomach related to GERD or something else?</t>
        </is>
      </c>
      <c r="C7658" t="inlineStr">
        <is>
          <t>I was diagnosed with GERD recently. I eat clean, I’m a healthy weight, don’t smoke or drink anything that causes triggers symptoms. My only big trigger is stress. I wake up every morning with my stomach burning, it feels like hunger but even if I eat right before bed (bad for GERD I know but I got desperate). Is this a symptom?</t>
        </is>
      </c>
      <c r="D7658" t="n">
        <v>1</v>
      </c>
      <c r="E7658" t="n">
        <v>11</v>
      </c>
      <c r="F7658">
        <f>HYPERLINK("https://www.reddit.com/r/GERD/comments/gsfu0u/is_waking_up_with_a_burning_stomach_related_to/")</f>
        <v/>
      </c>
      <c r="G7658" t="inlineStr">
        <is>
          <t>2020-05-28 15:00:26</t>
        </is>
      </c>
      <c r="H7658" t="inlineStr"/>
    </row>
    <row r="7659">
      <c r="A7659" t="inlineStr">
        <is>
          <t>gsfyw4</t>
        </is>
      </c>
      <c r="B7659" t="inlineStr">
        <is>
          <t>Severe panic attacks</t>
        </is>
      </c>
      <c r="C7659" t="inlineStr">
        <is>
          <t>When I first got GERD, I was at my college campus and I remember running to the bathroom and just gagging over the trash can. It didn’t help that the bathroom was small and it made my claustrophobia worse. I remember just being alone and constantly gagging and throwing up spit. Now, whenever I’m out in public, I have these severe panic attacks that I’m going to gag and throw up in front of people and I won’t be able to get home safely. I feel like GERD gave me extreme health anxiety that I will live like this forever. Does anyone else feel this way? What can I do?</t>
        </is>
      </c>
      <c r="D7659" t="n">
        <v>1</v>
      </c>
      <c r="E7659" t="n">
        <v>12</v>
      </c>
      <c r="F7659">
        <f>HYPERLINK("https://www.reddit.com/r/GERD/comments/gsfyw4/severe_panic_attacks/")</f>
        <v/>
      </c>
      <c r="G7659" t="inlineStr">
        <is>
          <t>2020-05-28 15:07:56</t>
        </is>
      </c>
      <c r="H7659" t="inlineStr"/>
    </row>
    <row r="7660">
      <c r="A7660" t="inlineStr">
        <is>
          <t>gsi30o</t>
        </is>
      </c>
      <c r="B7660" t="inlineStr">
        <is>
          <t>Liquidy/Watery feeling in lower esophagus or upper stomach</t>
        </is>
      </c>
      <c r="C7660" t="inlineStr">
        <is>
          <t>My heartburn is gone but occasionally I get this feeling as if I had small amount of water stuck somewhere inside my lower chest or upper stomach. If I burp nothing comes up but what is this feeling and does other ppl with gerd have the same thing? Its not painful or even that uncomfortable, just a weird coldish liquidy feeling that disappears after a while</t>
        </is>
      </c>
      <c r="D7660" t="n">
        <v>1</v>
      </c>
      <c r="E7660" t="n">
        <v>0</v>
      </c>
      <c r="F7660">
        <f>HYPERLINK("https://www.reddit.com/r/GERD/comments/gsi30o/liquidywatery_feeling_in_lower_esophagus_or_upper/")</f>
        <v/>
      </c>
      <c r="G7660" t="inlineStr">
        <is>
          <t>2020-05-28 17:09:57</t>
        </is>
      </c>
      <c r="H7660" t="inlineStr"/>
    </row>
    <row r="7661">
      <c r="A7661" t="inlineStr">
        <is>
          <t>gsi6lr</t>
        </is>
      </c>
      <c r="B7661" t="inlineStr">
        <is>
          <t>Inclining Bed Suggestions</t>
        </is>
      </c>
      <c r="C7661" t="inlineStr">
        <is>
          <t>My  GI doctor told me that I need to incline my bed in addition to some new, to me, medications and check back in with him in a month.  He said pillows don't work, the bed has to be inclined.  Here is the situation for my bed:  it is on a heavy duty steel frame with 9 legs, with a TempurPedic mattress. The frame and mattress cost a pretty penny and I really don't want to wreck them. 
&amp;amp;#x200B;
1. My first thought was heavy duty risers at the head. But there are legs halfway between the head and foot so those need some kind of support or my entire bed will bow.
2. I also looked at this:  [http://www.bedsup.com/](http://www.bedsup.com/)   It is a great idea but looks so flimsy compared to my steel frame.
3. My roommate sent me this link:  [https://www.refluxguard.com/order-now?fbclid=IwAR1bnvSEumYwFY1J4iwDb1-xUqSbtVvn5HWrbvM\_Lkx0-wEW-0njAH3DUF4](https://www.refluxguard.com/order-now?fbclid=IwAR1bnvSEumYwFY1J4iwDb1-xUqSbtVvn5HWrbvM_Lkx0-wEW-0njAH3DUF4)
Here are a couple wrinkles to my situation - I am obsese, a restless sleeper, and live in Boston which is still pretty shut down from COVID. I'm looking for suggestions or feedback.  Thank you for your time/help!</t>
        </is>
      </c>
      <c r="D7661" t="n">
        <v>1</v>
      </c>
      <c r="E7661" t="n">
        <v>3</v>
      </c>
      <c r="F7661">
        <f>HYPERLINK("https://www.reddit.com/r/GERD/comments/gsi6lr/inclining_bed_suggestions/")</f>
        <v/>
      </c>
      <c r="G7661" t="inlineStr">
        <is>
          <t>2020-05-28 17:15:40</t>
        </is>
      </c>
      <c r="H7661" t="inlineStr"/>
    </row>
    <row r="7662">
      <c r="A7662" t="inlineStr">
        <is>
          <t>gsimao</t>
        </is>
      </c>
      <c r="B7662" t="inlineStr">
        <is>
          <t>Is this normal for procedures?</t>
        </is>
      </c>
      <c r="C7662" t="inlineStr">
        <is>
          <t>I've had GERD since I turned 18, and had alot of acid reflux issues until I got on Omeperazole which helped a ton. One thing they did was an endoscopy which was in 2011.
Many years later now I've still been using my medication that I need for GERD, and I got a new doctor since my old one left the practice. Going through my records they finally tell me that during my endoscopy back then, they detected early stages of berrets esphongus. 
This obviously made me very upset, because nobody followed through with me on this or apparently took it seriously. I now have a new Gastro appointment after all this time and getting a new endo done.
I mean should I be worried I'm going to die from this? That was over 10 years ago almost, and nobody ever even told me. The omeperazole all this time has worked because I rarely feel pain with it, but once in a while at night I can still feel the acid messing with my breathing or it goes back down when I'm awake. 
Anyway sorry for the long story. I just feel like if I do have cancer now or am at high risk shouldn't the doctors practice be held accountable for never following up with me?</t>
        </is>
      </c>
      <c r="D7662" t="n">
        <v>1</v>
      </c>
      <c r="E7662" t="n">
        <v>4</v>
      </c>
      <c r="F7662">
        <f>HYPERLINK("https://www.reddit.com/r/GERD/comments/gsimao/is_this_normal_for_procedures/")</f>
        <v/>
      </c>
      <c r="G7662" t="inlineStr">
        <is>
          <t>2020-05-28 17:43:13</t>
        </is>
      </c>
      <c r="H7662" t="inlineStr"/>
    </row>
    <row r="7663">
      <c r="A7663" t="inlineStr">
        <is>
          <t>gsjawl</t>
        </is>
      </c>
      <c r="B7663" t="inlineStr">
        <is>
          <t>Gallstones/Gallbladder</t>
        </is>
      </c>
      <c r="C7663" t="inlineStr">
        <is>
          <t>I've had gallstones for the past several years. I've wanted to have my gall bladder removed. But, because of the cost, I've tried to manage my diet. Unfortunately, I've already had several attacks this year and must try something new. I've been furloughed from my job, and still have an $8150 deductible on my medical insurance. Any advice since my resources are limited. Thank You.</t>
        </is>
      </c>
      <c r="D7663" t="n">
        <v>1</v>
      </c>
      <c r="E7663" t="n">
        <v>8</v>
      </c>
      <c r="F7663">
        <f>HYPERLINK("https://www.reddit.com/r/GERD/comments/gsjawl/gallstonesgallbladder/")</f>
        <v/>
      </c>
      <c r="G7663" t="inlineStr">
        <is>
          <t>2020-05-28 18:26:36</t>
        </is>
      </c>
      <c r="H7663" t="inlineStr"/>
    </row>
    <row r="7664">
      <c r="A7664" t="inlineStr">
        <is>
          <t>gsjh2v</t>
        </is>
      </c>
      <c r="B7664" t="inlineStr">
        <is>
          <t>Looking for help in figuring out what I'm experiencing.</t>
        </is>
      </c>
      <c r="C7664" t="inlineStr">
        <is>
          <t>Hello everyone.    
I'm trying to understand what is happening to me and why. Maybe one of you has the same thing.    
I've been having "episodes" more frequently in the last few months where it starts with a chest pain behind the sternum.   That slowly builds up to sharp stabbing pain which is accompanied by intense burning sensation in the esophagus and whole chest area actually. Then comes the nausea, excessive salivating, constantly needing to clear my throat, and pressure in the ears probably from the spasm sensation in the parotid glands..   
It usually lasts about an hour, which I spend sitting perched over the toilet bowl thinking I'm going to vomit and spitting out excess foamy saliva that I can't swallow because it stays in the back of my throat..   
These episodes started out on a once a month basis and are now a weekly occurrence. Usually at night, when I'm sitting up in bed reading, so maybe a positional thing, I don't know anymore.   
My doctor gave me a referral for a gastric ultrasound and a barium swallow test, but with all the Covid stuff hindering the medical system where I am, that won't be for a few months maybe.   
Anyone else have these episodes? Is it "only" GERD with my own personal twist? Or something more specific? Would something like Nexium help? Or another drug? Any advice would be greatly appreciated! Thanks</t>
        </is>
      </c>
      <c r="D7664" t="n">
        <v>1</v>
      </c>
      <c r="E7664" t="n">
        <v>1</v>
      </c>
      <c r="F7664">
        <f>HYPERLINK("https://www.reddit.com/r/GERD/comments/gsjh2v/looking_for_help_in_figuring_out_what_im/")</f>
        <v/>
      </c>
      <c r="G7664" t="inlineStr">
        <is>
          <t>2020-05-28 18:37:54</t>
        </is>
      </c>
      <c r="H7664" t="inlineStr"/>
    </row>
    <row r="7665">
      <c r="A7665" t="inlineStr">
        <is>
          <t>gsjya6</t>
        </is>
      </c>
      <c r="B7665" t="inlineStr">
        <is>
          <t>Stomach burning / headaches</t>
        </is>
      </c>
      <c r="C7665" t="inlineStr">
        <is>
          <t>Hey all. I’ve been a reddit voyeur for quite some time, thanks for sharing.
I’ve had Gerd for 8 years. 7 of those 8 years, I could practically consume whatever, and would only experience regurgitation if I ate a lot (I was on Delixant every day, and eventually got down to every other day, switched to Nexium 40 every other day) Alcohol, spicy food, pizza, you name it, no pain only regurgitative symptoms that were transient. 
Welp in November that all stopped. I had severe burning in my stomach, different than from the initial onset of GERD. I’m talking insanely painful. Two months of living like a monk, it began to heal. Got almost back to normal, and then when Covid hit my stress went out of control. I was drinking a few beers every night, coffee every day, for like three weeks. Bam, the pain is back in full throttle (bad move, I know). Anyways, my symptoms are still this gnawing burning, and when it gets really bad, I get migraine like symptoms. Going on a 30 day cleanse after the weekend (no carbs, only tea, no alcohol, no weed). Also taking Dexilant 60, DGL, slippery elm, Other herbs for stomach healing, melatonin, magnesium, calcium... Anyone else get the hot burning feeling, but no acid taste in the throat? Man it hurts, it’s driven me over the edge on a few days. I just wanted to pass out and start over. The headache is UNREAL.</t>
        </is>
      </c>
      <c r="D7665" t="n">
        <v>1</v>
      </c>
      <c r="E7665" t="n">
        <v>10</v>
      </c>
      <c r="F7665">
        <f>HYPERLINK("https://www.reddit.com/r/GERD/comments/gsjya6/stomach_burning_headaches/")</f>
        <v/>
      </c>
      <c r="G7665" t="inlineStr">
        <is>
          <t>2020-05-28 19:09:37</t>
        </is>
      </c>
      <c r="H7665" t="inlineStr"/>
    </row>
    <row r="7666">
      <c r="A7666" t="inlineStr">
        <is>
          <t>gsknhn</t>
        </is>
      </c>
      <c r="B7666" t="inlineStr">
        <is>
          <t>Do I have acid reflux?</t>
        </is>
      </c>
      <c r="C7666" t="inlineStr">
        <is>
          <t>I’ve been told my doctor and the ENT department I have acid reflux. It all began with a VERY sore throat, and the sensation of something being stuck in my throat. I’ve been given Lansoprazole, Ranitidine, Omeprazole and Esomeprazole all of which did nothing to ease my symptoms. After a while it all went away on it’s own. Then recently it’s flared back up but this time is feels different. I feel like I have wheeziness to my chest and I’m constantly trying to clear my throat. I feel as though there is a big build up of phlegm in the back of my throat that I can’t get rid of. And I’ve never experienced heart burn which I understand to be a major symptom, however I do sometimes feel as though my chest/throat is tightening. Could this definitely be acid reflux seeing as tablets are not working, or is there something else that could be going on? It’s very annoying and most days I’m just sat in pain.</t>
        </is>
      </c>
      <c r="D7666" t="n">
        <v>1</v>
      </c>
      <c r="E7666" t="n">
        <v>3</v>
      </c>
      <c r="F7666">
        <f>HYPERLINK("https://www.reddit.com/r/GERD/comments/gsknhn/do_i_have_acid_reflux/")</f>
        <v/>
      </c>
      <c r="G7666" t="inlineStr">
        <is>
          <t>2020-05-28 19:57:16</t>
        </is>
      </c>
      <c r="H7666" t="inlineStr"/>
    </row>
    <row r="7667">
      <c r="A7667" t="inlineStr">
        <is>
          <t>gskoth</t>
        </is>
      </c>
      <c r="B7667" t="inlineStr">
        <is>
          <t>barrett's esophagus and Cannibis.</t>
        </is>
      </c>
      <c r="C7667" t="inlineStr">
        <is>
          <t>Hello I have had barrett's esophagus for about a year now  and have chronic knee pain. I use to be on strong NSAIDS but lately i have been on opiates for the pain. I wanted to switch to something different and got a medical marijuana card. I havnt been able to get much out of my doctors about the subject and so i thought pose my questions here. Please help!!  Does smokeing or vaping cannibis further esophagus danage or worsen GERD?</t>
        </is>
      </c>
      <c r="D7667" t="n">
        <v>1</v>
      </c>
      <c r="E7667" t="n">
        <v>12</v>
      </c>
      <c r="F7667">
        <f>HYPERLINK("https://www.reddit.com/r/GERD/comments/gskoth/barretts_esophagus_and_cannibis/")</f>
        <v/>
      </c>
      <c r="G7667" t="inlineStr">
        <is>
          <t>2020-05-28 19:59:47</t>
        </is>
      </c>
      <c r="H7667" t="inlineStr"/>
    </row>
    <row r="7668">
      <c r="A7668" t="inlineStr">
        <is>
          <t>gsly27</t>
        </is>
      </c>
      <c r="B7668" t="inlineStr">
        <is>
          <t>Look for reassurance (getting ct scan)</t>
        </is>
      </c>
      <c r="C7668" t="inlineStr">
        <is>
          <t>I have a hiatal hernia which I know is causing me worse gerd symptoms but I’ve also have ear pain off and on for about a year (both ears) and my lymph nodes are always swollen. I’ve had an endoscopy, and my ent has looked at my throat a couple of times. He says I don’t have anything he sees that’s worrisome and my ears could be from gerd but he suggested a ct scan to make sure. I’m really nervous and of course have anxiety issues on top of everything. I guess I’m just looking for reassurance!</t>
        </is>
      </c>
      <c r="D7668" t="n">
        <v>1</v>
      </c>
      <c r="E7668" t="n">
        <v>2</v>
      </c>
      <c r="F7668">
        <f>HYPERLINK("https://www.reddit.com/r/GERD/comments/gsly27/look_for_reassurance_getting_ct_scan/")</f>
        <v/>
      </c>
      <c r="G7668" t="inlineStr">
        <is>
          <t>2020-05-28 21:27:31</t>
        </is>
      </c>
      <c r="H7668" t="inlineStr"/>
    </row>
    <row r="7669">
      <c r="A7669" t="inlineStr">
        <is>
          <t>gsn1ee</t>
        </is>
      </c>
      <c r="B7669" t="inlineStr">
        <is>
          <t>What are your GERD meals or diet that you are on?</t>
        </is>
      </c>
      <c r="C7669" t="inlineStr">
        <is>
          <t>I'm just looking for any new ideas about how and what to eat. I'm down to some real basic eating right now and I don't ever feel satisfied. I weaned myself off a meat, sugar, caffeine, and some other triggering foods. Could really use some thing new. My day goes like this:
**Breakfast:** 3 corn tortillas with scrambled tofu and tumeric.
**Lunch:** Salad with lots of fresh veggies and a light dressing that has no vineager in it.
**Dinner:** Steamed veggies such as broccoli or yams with light plant base butter.
**Night snack:** popcorn with light seasoning, salt and olive oil.
The thing is that I am still really hungry at the end of the day. but, I force myself not to eat 3 hours before bed time so by the time I sleep my stomach is growling hard! I wake up and sometimes I already have an empty stomach ache that feels really uncomfortable. And you would think that I would be losing weight like crazy. But I'm just maintaining it. Any ideas or suggestions is really appreciated.</t>
        </is>
      </c>
      <c r="D7669" t="n">
        <v>1</v>
      </c>
      <c r="E7669" t="n">
        <v>37</v>
      </c>
      <c r="F7669">
        <f>HYPERLINK("https://www.reddit.com/r/GERD/comments/gsn1ee/what_are_your_gerd_meals_or_diet_that_you_are_on/")</f>
        <v/>
      </c>
      <c r="G7669" t="inlineStr">
        <is>
          <t>2020-05-28 22:50:47</t>
        </is>
      </c>
      <c r="H7669" t="inlineStr"/>
    </row>
    <row r="7670">
      <c r="A7670" t="inlineStr">
        <is>
          <t>gspy39</t>
        </is>
      </c>
      <c r="B7670" t="inlineStr">
        <is>
          <t>Had a terrible week, thought screw it and ate a lasagna last night, much better this morning!</t>
        </is>
      </c>
      <c r="C7670" t="inlineStr">
        <is>
          <t>How does this even make sense? Also how long is Gaviscon Advance supposed to take to work?</t>
        </is>
      </c>
      <c r="D7670" t="n">
        <v>1</v>
      </c>
      <c r="E7670" t="n">
        <v>19</v>
      </c>
      <c r="F7670">
        <f>HYPERLINK("https://www.reddit.com/r/GERD/comments/gspy39/had_a_terrible_week_thought_screw_it_and_ate_a/")</f>
        <v/>
      </c>
      <c r="G7670" t="inlineStr">
        <is>
          <t>2020-05-29 02:48:28</t>
        </is>
      </c>
      <c r="H7670" t="inlineStr"/>
    </row>
    <row r="7671">
      <c r="A7671" t="inlineStr">
        <is>
          <t>gspz7j</t>
        </is>
      </c>
      <c r="B7671" t="inlineStr">
        <is>
          <t>Prescribed Pantoprazolum, nervous to take it due to bad side effects previously from Omeprazole. Should I be concerned or are they really totally different pills?</t>
        </is>
      </c>
      <c r="C7671" t="inlineStr">
        <is>
          <t>So a bit about me.... 41/M/in good physical shape.
Have had bouts with a nervous stomach in the past, which seem to rear up maybe once ever couple years. Typically I just alter my diet and be more healthy for a while and it fades away. This time it's stuck around for about 12 weeks and made me go see the doctor today. 
He prescribed me Pantoprazolum for two weeks and a probiotic, which is why I'm posting and will get into in a bit more, but first wanted to describe my symptoms so people can give me an idea of - whether they think its GERD or something else.  
Symptoms have been:   
\- Tightness around my solar plexus at several points throughout the day,   
\- Intermittent headache and earache in both ears (earache came on about two weeks ago and won't go away)  
\- Lots of gas after eating  
\- Really poor sleep and nightmares (usually woken up around 3am and/or 5am)   
\- Nausea often in the morning and can also be after food hits the gut (usually snacks are worse rather than full meals)  
\-One bowel movement per day, only in the morning, which is always hard (even though I ingest a fair amount of fiber).   
\- Some sensitivity in my intestines/stomach  
\- A bit of a sour taste in the mouth from time to time in the morning. Interestingly last night I took Pepto Bismol for the first time and when I was brushing my teeth I had some black spit. That pretty much confirmed that I was getting reflux, as pepto can turn black when interacting with stomach contents I believe. 
&amp;amp;#x200B;
Some random strange stuff has been:
\- Sort of a shaky, weak feeling in my legs  
\- A bit of an uncomfortable sensation in general all over my body, sort of sensitive skin and sometimes even a bit itchy  
\- Two times this week serious fatigue in the afternoon where I just need to lay down and do nothing for like an hour (maybe an accumulation of the poor sleep?)  
So to my question about the Pantroprazolum. I am nervous to take this as two times in the past when I've taken PPIs (Omeprazole) I had really bad side effects which I suppose could be classified as psychological. The most recent time-- a few years ago when I had some nausea-- I took one in the afternoon and felt fine, then the second one at night gave me unbelievable anxiety, dizziness, insomnia, and then brain fog for several days. It  was absolutely awful. 
I told my doctor about this and he said that he'd prescribe this Pantroprazolum (called Controloc here) and that it was a different drug, so I shouldn't have the same side effects. But of course, they are listed as side effects, albeit rare.   
So what do you guys think-- any experience with Pantoprazolum-- and has anyone had issues with Omeprazole (particularly the side effects I had above) but been okay with Pantoprazolum?  
Thanks so much in advance for any advice or experience you'd like to share!</t>
        </is>
      </c>
      <c r="D7671" t="n">
        <v>1</v>
      </c>
      <c r="E7671" t="n">
        <v>2</v>
      </c>
      <c r="F7671">
        <f>HYPERLINK("https://www.reddit.com/r/GERD/comments/gspz7j/prescribed_pantoprazolum_nervous_to_take_it_due/")</f>
        <v/>
      </c>
      <c r="G7671" t="inlineStr">
        <is>
          <t>2020-05-29 02:51:07</t>
        </is>
      </c>
      <c r="H7671" t="inlineStr"/>
    </row>
    <row r="7672">
      <c r="A7672" t="inlineStr">
        <is>
          <t>gsrh25</t>
        </is>
      </c>
      <c r="B7672" t="inlineStr">
        <is>
          <t>Does Mastic Gum Helps?</t>
        </is>
      </c>
      <c r="C7672" t="inlineStr">
        <is>
          <t>Recently order Mastic Gum (Horbaach brand). Just wanted to know if this product helped anyone one here.</t>
        </is>
      </c>
      <c r="D7672" t="n">
        <v>1</v>
      </c>
      <c r="E7672" t="n">
        <v>1</v>
      </c>
      <c r="F7672">
        <f>HYPERLINK("https://www.reddit.com/r/GERD/comments/gsrh25/does_mastic_gum_helps/")</f>
        <v/>
      </c>
      <c r="G7672" t="inlineStr">
        <is>
          <t>2020-05-29 04:46:04</t>
        </is>
      </c>
      <c r="H7672" t="inlineStr"/>
    </row>
    <row r="7673">
      <c r="A7673" t="inlineStr">
        <is>
          <t>gssn1u</t>
        </is>
      </c>
      <c r="B7673" t="inlineStr">
        <is>
          <t>Sucralfate/Carafate for GERD and Gastritis</t>
        </is>
      </c>
      <c r="C7673" t="inlineStr">
        <is>
          <t>Male, 26, no familiar history of gastrointestinal diseases, low alcohol consumption, non smoker, low BMI.
I have been suffering from gastritis and GERD symptoms for more than 5 years in an alternating pattern. For a few weeks I will just feel fine. For others, i will have severe heartburn and stomach pain, especially at night, that wakes me up arround 5am. But after having breakfast I would feel quite better and able to have an almost normal day.
I know I should go more often to the Doc. The thing is, they always would prescribe me PPIs and more PPIs that didn't seem to work. I've been on Nexium, Pariet, Dexilant, Prilosec, Zantac... None of them did anything. After the third or fourth time I kind of gave up and tried to find the cure by myself.
I found out I couldn't get any better by trying any different diets or changing lifestyle habits. The heartburn would get much worse if I lay down and a wedge pillow didn't help at all. Stress and skipping meals though would exacerbate my symtpons.
So I decided to go back to the Doctor and he prescribe me Sucralfate 2g while awating to get scoped. I tried it yesterday before dinner and before sleeping and it started to work after a few hours. For the first time in months I was able to get some rest without pain.
**TLDR: Healthy male suffering from GERD and Gastritis. PPIs and zantac didn't work at all. Sucralfate gave me the first reflief in months.**</t>
        </is>
      </c>
      <c r="D7673" t="n">
        <v>1</v>
      </c>
      <c r="E7673" t="n">
        <v>7</v>
      </c>
      <c r="F7673">
        <f>HYPERLINK("https://www.reddit.com/r/GERD/comments/gssn1u/sucralfatecarafate_for_gerd_and_gastritis/")</f>
        <v/>
      </c>
      <c r="G7673" t="inlineStr">
        <is>
          <t>2020-05-29 06:04:04</t>
        </is>
      </c>
      <c r="H7673" t="inlineStr"/>
    </row>
    <row r="7674">
      <c r="A7674" t="inlineStr">
        <is>
          <t>gssy50</t>
        </is>
      </c>
      <c r="B7674" t="inlineStr">
        <is>
          <t>Trying to understand the burning sensation in throat</t>
        </is>
      </c>
      <c r="C7674" t="inlineStr">
        <is>
          <t>So, the main symptoms in my jolly *GERD experience* have been throat burning, voice hoarseness and sharp burning sensations in my stomach that occur luckily quite seldom and only last a second. Nothing ever comes up my throat nor do I have any non-stop pain. I understand that these symptoms are part of this illness but I'd like to better understand why these symptoms *actually* occur. This might help me to realize how to ease them more efficiently.
The burning sensation in my throat even when standing straight puzzles me the most. Why this happens? Surely the acid don't climb up the throat defying gravity? Or if it does, why doesn't it burn in the same fashion as the more painful heartburn events? It's more like if I had eaten something spicy an hour ago. It's not pain and agony but you feel it's there. Is it some sort of acid "steam" escaping that constantly irritates the throat?
Googling this question didn't really help, when every article states that throat burning is caused by GERD. Gee, thanks.</t>
        </is>
      </c>
      <c r="D7674" t="n">
        <v>1</v>
      </c>
      <c r="E7674" t="n">
        <v>8</v>
      </c>
      <c r="F7674">
        <f>HYPERLINK("https://www.reddit.com/r/GERD/comments/gssy50/trying_to_understand_the_burning_sensation_in/")</f>
        <v/>
      </c>
      <c r="G7674" t="inlineStr">
        <is>
          <t>2020-05-29 06:23:56</t>
        </is>
      </c>
      <c r="H7674" t="inlineStr"/>
    </row>
    <row r="7675">
      <c r="A7675" t="inlineStr">
        <is>
          <t>gstort</t>
        </is>
      </c>
      <c r="B7675" t="inlineStr">
        <is>
          <t>What are the longterm side effects of constantly taking Nexium?</t>
        </is>
      </c>
      <c r="C7675" t="inlineStr">
        <is>
          <t>Hi, I'm in my early 20s and have been taking Nexium on/off since middle school.  Recently, I had an ENT (which I'm seeing because of Sinus issues related to Silent Reflux) encourage me to try and get off of Nexium due to its "long term side effects." Considering that it is such a popular drug what should I be worried about? Nexium is the most effective medication I have to control my chronic reflux, apart from maybe pursuing Fundoplication surgery, but I hate the idea of surgery.</t>
        </is>
      </c>
      <c r="D7675" t="n">
        <v>2</v>
      </c>
      <c r="E7675" t="n">
        <v>8</v>
      </c>
      <c r="F7675">
        <f>HYPERLINK("https://www.reddit.com/r/GERD/comments/gstort/what_are_the_longterm_side_effects_of_constantly/")</f>
        <v/>
      </c>
      <c r="G7675" t="inlineStr">
        <is>
          <t>2020-05-29 07:10:17</t>
        </is>
      </c>
      <c r="H7675" t="inlineStr"/>
    </row>
    <row r="7676">
      <c r="A7676" t="inlineStr">
        <is>
          <t>gswivf</t>
        </is>
      </c>
      <c r="B7676" t="inlineStr">
        <is>
          <t>LPR - PPIs and diet changes</t>
        </is>
      </c>
      <c r="C7676" t="inlineStr">
        <is>
          <t>How long did it take for PPIs/diet to help with LPR symptoms?  I’ve been taking a PPI and Pepcid for about 18 days now and don’t see a difference in my chronic cough, belching, shortness of breath, throat mucus and post nasal drip.  I also feel like there’s something in my throat most of the time.  I’ve also been eating low acid and made significant lifestyles changes so I’m getting a little antsy on why my symptoms are getting better...</t>
        </is>
      </c>
      <c r="D7676" t="n">
        <v>1</v>
      </c>
      <c r="E7676" t="n">
        <v>4</v>
      </c>
      <c r="F7676">
        <f>HYPERLINK("https://www.reddit.com/r/GERD/comments/gswivf/lpr_ppis_and_diet_changes/")</f>
        <v/>
      </c>
      <c r="G7676" t="inlineStr">
        <is>
          <t>2020-05-29 09:49:29</t>
        </is>
      </c>
      <c r="H7676" t="inlineStr"/>
    </row>
    <row r="7677">
      <c r="A7677" t="inlineStr">
        <is>
          <t>gsxu2z</t>
        </is>
      </c>
      <c r="B7677" t="inlineStr">
        <is>
          <t>What do I need to do?</t>
        </is>
      </c>
      <c r="C7677" t="inlineStr">
        <is>
          <t>Okay so the docs, an ENT and my gp thinks I have gerd/lpr. I’ve always struggled with acid reflux and that burning sensation. Just usually take tums. 
Then in March I got a sore throat. Doc said it looked like a viral infection and post nasal drip. Turns out they then think I have gerd/lpr since it never went away. 
I cut out alcohol, spicy food, most tomato sauces and the doc put me on Pepcid. 
Fast forward to today. My throat is a lot better but...I can’t seem to shake these other three symptoms. 
The first is this damn clicking in my throat when I swallow saliva. It doesn’t happen when I swallow water or food. And then it doesn’t always happen. 
I do have occasional need to clear the throat and occasional hoarseness but it’s not bad. 
Finally, I have this “burnt” feeling in my lower esophagus. The back of my throat in my mouth feels a
lot better now. I don’t have the sore throat feeling. 
What do I need to do to get rid of these last few symptoms? The clicking doesn’t hurt thankfully and the burnt feeling/food stuck isn’t bad either. (I can sleep just fine)
Should I just wait a few more weeks?
I feel like healing happened, then I hit a plateau and now I can’t shake the rest of it.</t>
        </is>
      </c>
      <c r="D7677" t="n">
        <v>1</v>
      </c>
      <c r="E7677" t="n">
        <v>5</v>
      </c>
      <c r="F7677">
        <f>HYPERLINK("https://www.reddit.com/r/GERD/comments/gsxu2z/what_do_i_need_to_do/")</f>
        <v/>
      </c>
      <c r="G7677" t="inlineStr">
        <is>
          <t>2020-05-29 10:59:49</t>
        </is>
      </c>
      <c r="H7677" t="inlineStr"/>
    </row>
    <row r="7678">
      <c r="A7678" t="inlineStr">
        <is>
          <t>gt09oe</t>
        </is>
      </c>
      <c r="B7678" t="inlineStr">
        <is>
          <t>Horrible day. GERD induced by anxiety?</t>
        </is>
      </c>
      <c r="C7678" t="inlineStr">
        <is>
          <t>26 M, diagnosed with Hiatal Hernia. Man I just wanna feel normal. I stupidly went out to the thrift store that just opened back up in my area. Masks were required, but still I started having health anxiety about getting the rona, social anxiety, and it set my reflux off which caused more anxiety and just caused a vicious circle of hell. Felt like I could barely breathe.
I felt like dying for hours, just absolute misery, globus sensation, and throat spasms so bad I couldn’t even really talk. I’m still here but it’s just like, idk if I’m ever going to have a normal life again. I took two tums when I got to the car. It helped just a little bit and as I started to calm down I felt as if I just did a work out I was so exhausted. I still feel like I’m in the middle of a flare up even though I made it home and am comfortable. I just don’t even want to eat anymore. I feel so depressed. I’ve really cleaned up my diet but it’s not a cure. It definitely helps at times. I feel like so much of it is from anxiety and my head. I want to be normal again, but I don’t even know how to begin healing. I feel like a weak human being, like a defect that should be cast out of society and executed. I’m not enjoying life.</t>
        </is>
      </c>
      <c r="D7678" t="n">
        <v>1</v>
      </c>
      <c r="E7678" t="n">
        <v>7</v>
      </c>
      <c r="F7678">
        <f>HYPERLINK("https://www.reddit.com/r/GERD/comments/gt09oe/horrible_day_gerd_induced_by_anxiety/")</f>
        <v/>
      </c>
      <c r="G7678" t="inlineStr">
        <is>
          <t>2020-05-29 13:08:18</t>
        </is>
      </c>
      <c r="H7678" t="inlineStr"/>
    </row>
    <row r="7679">
      <c r="A7679" t="inlineStr">
        <is>
          <t>gt1cuq</t>
        </is>
      </c>
      <c r="B7679" t="inlineStr">
        <is>
          <t>hypersalivation? is this a normal symptom?</t>
        </is>
      </c>
      <c r="C7679" t="inlineStr">
        <is>
          <t>for the past few months, i've been experiencing some mild acid reflux, including constanting bloating, and that lump you feel in your throat. all of my symptoms have been managed a lot better now, but i recently started having a lot of like, saliva being produced in my mouth? it's super annoying and it makes my mouth feel dry and idk weird and rough. anyone experiencing something similar? any tips?</t>
        </is>
      </c>
      <c r="D7679" t="n">
        <v>1</v>
      </c>
      <c r="E7679" t="n">
        <v>10</v>
      </c>
      <c r="F7679">
        <f>HYPERLINK("https://www.reddit.com/r/GERD/comments/gt1cuq/hypersalivation_is_this_a_normal_symptom/")</f>
        <v/>
      </c>
      <c r="G7679" t="inlineStr">
        <is>
          <t>2020-05-29 14:08:33</t>
        </is>
      </c>
      <c r="H7679" t="inlineStr"/>
    </row>
    <row r="7680">
      <c r="A7680" t="inlineStr">
        <is>
          <t>gt2lja</t>
        </is>
      </c>
      <c r="B7680" t="inlineStr">
        <is>
          <t>Esoph Cancer fear</t>
        </is>
      </c>
      <c r="C7680" t="inlineStr">
        <is>
          <t>I’m definitely freaking out right now. I’ve had gerd for about 2-3 months and the symptoms haven’t been too horrible, but I lost it a little today reading a post from someone w esophageal cancer. I’ve been on otcs for a while, seeing GI soon. What are the chances of Esophageal cancer after 2-3 months. 19M.</t>
        </is>
      </c>
      <c r="D7680" t="n">
        <v>1</v>
      </c>
      <c r="E7680" t="n">
        <v>11</v>
      </c>
      <c r="F7680">
        <f>HYPERLINK("https://www.reddit.com/r/GERD/comments/gt2lja/esoph_cancer_fear/")</f>
        <v/>
      </c>
      <c r="G7680" t="inlineStr">
        <is>
          <t>2020-05-29 15:19:48</t>
        </is>
      </c>
      <c r="H7680" t="inlineStr"/>
    </row>
    <row r="7681">
      <c r="A7681" t="inlineStr">
        <is>
          <t>gt2qy8</t>
        </is>
      </c>
      <c r="B7681" t="inlineStr">
        <is>
          <t>Just got prescribed Dexilant - when is the best time to take it?</t>
        </is>
      </c>
      <c r="C7681" t="inlineStr">
        <is>
          <t>As the title says - I have been on pantoprazole for 2 years and now my doctor wants to try Dexilant for a month. I usually take panto right before dinner because it helps with my overnight symptoms the most. My pharmacist said Dexilant is dual release. Does that mean I should be taking it in the morning, not in the evening?</t>
        </is>
      </c>
      <c r="D7681" t="n">
        <v>1</v>
      </c>
      <c r="E7681" t="n">
        <v>12</v>
      </c>
      <c r="F7681">
        <f>HYPERLINK("https://www.reddit.com/r/GERD/comments/gt2qy8/just_got_prescribed_dexilant_when_is_the_best/")</f>
        <v/>
      </c>
      <c r="G7681" t="inlineStr">
        <is>
          <t>2020-05-29 15:28:46</t>
        </is>
      </c>
      <c r="H7681" t="inlineStr"/>
    </row>
    <row r="7682">
      <c r="A7682" t="inlineStr">
        <is>
          <t>gt4n9p</t>
        </is>
      </c>
      <c r="B7682" t="inlineStr">
        <is>
          <t>Is it safe to take PPis</t>
        </is>
      </c>
      <c r="C7682" t="inlineStr">
        <is>
          <t>I just got prescribed pantoprazole and I’ve heard the symptoms become a lot worse when you get off of them. Has anyone else here had this experience after using it for awhile and leaning off of it?</t>
        </is>
      </c>
      <c r="D7682" t="n">
        <v>1</v>
      </c>
      <c r="E7682" t="n">
        <v>8</v>
      </c>
      <c r="F7682">
        <f>HYPERLINK("https://www.reddit.com/r/GERD/comments/gt4n9p/is_it_safe_to_take_ppis/")</f>
        <v/>
      </c>
      <c r="G7682" t="inlineStr">
        <is>
          <t>2020-05-29 17:28:58</t>
        </is>
      </c>
      <c r="H7682" t="inlineStr"/>
    </row>
    <row r="7683">
      <c r="A7683" t="inlineStr">
        <is>
          <t>gt5qcs</t>
        </is>
      </c>
      <c r="B7683" t="inlineStr">
        <is>
          <t>Does anyone else ever get the sensation of air escaping your chest/lungs without exhaling?</t>
        </is>
      </c>
      <c r="C7683" t="inlineStr">
        <is>
          <t>It doesn’t happen often for me, but if i love or situate myself in a certain way it seems to push air out of my chest almost. Has anyone else ever felt this due to gerd/reflux?</t>
        </is>
      </c>
      <c r="D7683" t="n">
        <v>1</v>
      </c>
      <c r="E7683" t="n">
        <v>2</v>
      </c>
      <c r="F7683">
        <f>HYPERLINK("https://www.reddit.com/r/GERD/comments/gt5qcs/does_anyone_else_ever_get_the_sensation_of_air/")</f>
        <v/>
      </c>
      <c r="G7683" t="inlineStr">
        <is>
          <t>2020-05-29 18:41:29</t>
        </is>
      </c>
      <c r="H7683" t="inlineStr"/>
    </row>
    <row r="7684">
      <c r="A7684" t="inlineStr">
        <is>
          <t>gt6mti</t>
        </is>
      </c>
      <c r="B7684" t="inlineStr">
        <is>
          <t>Heartburn how did it feels?</t>
        </is>
      </c>
      <c r="C7684" t="inlineStr">
        <is>
          <t>Sorry , this maybe is a stupid question , but Im trying to understand to help my bf , he was puttrnd on ppis because the feeling of a lump in throat, anyway the lump went away with xanax, but the doctor insisted on put him on two weeks of ppi, after the course ended, he experience bad heartburn, is this permament? Its been already 1 month and still having daily basis heartburn, but he feels the "heartburn " in his right side not in the left side, the 2 questions here is 
* could this be potentially be somethijg else? In his case the heartburn doesn't feel it in his right side but in the left, for you it feels in the right side?  , that is why is called heartburn??? Sorry I know this is a stupid question
* since he doesn't have symptoms prior to the ppi, could this be possible permanent? Its been already one month and he is the same . 
 Thanks in advance</t>
        </is>
      </c>
      <c r="D7684" t="n">
        <v>1</v>
      </c>
      <c r="E7684" t="n">
        <v>3</v>
      </c>
      <c r="F7684">
        <f>HYPERLINK("https://www.reddit.com/r/GERD/comments/gt6mti/heartburn_how_did_it_feels/")</f>
        <v/>
      </c>
      <c r="G7684" t="inlineStr">
        <is>
          <t>2020-05-29 19:44:01</t>
        </is>
      </c>
      <c r="H7684" t="inlineStr"/>
    </row>
    <row r="7685">
      <c r="A7685" t="inlineStr">
        <is>
          <t>gt6u41</t>
        </is>
      </c>
      <c r="B7685" t="inlineStr">
        <is>
          <t>How to time sodium alginate?</t>
        </is>
      </c>
      <c r="C7685" t="inlineStr">
        <is>
          <t>Before meals, after meals? Right at bedtime, a certain interval before lying down?</t>
        </is>
      </c>
      <c r="D7685" t="n">
        <v>1</v>
      </c>
      <c r="E7685" t="n">
        <v>4</v>
      </c>
      <c r="F7685">
        <f>HYPERLINK("https://www.reddit.com/r/GERD/comments/gt6u41/how_to_time_sodium_alginate/")</f>
        <v/>
      </c>
      <c r="G7685" t="inlineStr">
        <is>
          <t>2020-05-29 19:58:32</t>
        </is>
      </c>
      <c r="H7685" t="inlineStr"/>
    </row>
    <row r="7686">
      <c r="A7686" t="inlineStr">
        <is>
          <t>gt6vp9</t>
        </is>
      </c>
      <c r="B7686" t="inlineStr">
        <is>
          <t>Hypersensitive esophagus ?</t>
        </is>
      </c>
      <c r="C7686" t="inlineStr">
        <is>
          <t>I have a burning throat everday,  and mild heartburn everytime I lay down , I have done 2 endoscopies completely normal, manometry normal , and one ph impedance, I was diagnosed with esophageal sensitivity , never read about this, ppis don't have effect on me, they told me antidepressants maybe could fix this, btw I.have ocd since childhood so maybe is my brain overeacting? Dont know , any advice will be truly apprecieated it, please help 🙏</t>
        </is>
      </c>
      <c r="D7686" t="n">
        <v>1</v>
      </c>
      <c r="E7686" t="n">
        <v>25</v>
      </c>
      <c r="F7686">
        <f>HYPERLINK("https://www.reddit.com/r/GERD/comments/gt6vp9/hypersensitive_esophagus/")</f>
        <v/>
      </c>
      <c r="G7686" t="inlineStr">
        <is>
          <t>2020-05-29 20:01:41</t>
        </is>
      </c>
      <c r="H7686" t="inlineStr"/>
    </row>
    <row r="7687">
      <c r="A7687" t="inlineStr">
        <is>
          <t>gt7aca</t>
        </is>
      </c>
      <c r="B7687" t="inlineStr">
        <is>
          <t>My mom has LPR and its her birthday in three days</t>
        </is>
      </c>
      <c r="C7687" t="inlineStr">
        <is>
          <t>I have no idea what food to order on her birthday because most of the time, it's just pizza, fried chicken, and pasta (Carbonara or Spaghetti) and I heard they make LPR worse so... We can't order that I guess.
I just want her to be able to eat well on her birthday because most of the time, she doesn't because she can't have a lot of things she usually consumes. It would suck if the lump in her throat thingy would get worse on her day (to the point that she has trouble breathing) and I want to avoid that. However... I'm clueless, do you have any suggestions? Thank you if you do.</t>
        </is>
      </c>
      <c r="D7687" t="n">
        <v>1</v>
      </c>
      <c r="E7687" t="n">
        <v>8</v>
      </c>
      <c r="F7687">
        <f>HYPERLINK("https://www.reddit.com/r/GERD/comments/gt7aca/my_mom_has_lpr_and_its_her_birthday_in_three_days/")</f>
        <v/>
      </c>
      <c r="G7687" t="inlineStr">
        <is>
          <t>2020-05-29 20:30:55</t>
        </is>
      </c>
      <c r="H7687" t="inlineStr"/>
    </row>
    <row r="7688">
      <c r="A7688" t="inlineStr">
        <is>
          <t>gt7ktc</t>
        </is>
      </c>
      <c r="B7688" t="inlineStr">
        <is>
          <t>Question</t>
        </is>
      </c>
      <c r="C7688" t="inlineStr">
        <is>
          <t>So, I have GERD. I’ve had it for a long time and it’s been diagnosed for a long time. I also have a weak esophagus, a over production of stomach acid, and a stomach hernia. I’ve (literally) tried every reflux, ant-acid, and PPI on the market... except one. It’s called Sucralfate, and I’m not sure how effective it is in helping with my GERD. I’m already eating barely anything, I drink lots of water and don’t lay down for at least 4 hours after a meal. I’ve got the head of my bed raised slightly, and I’ve been doing exercise to help with my weight. So far, nothing has worked. My GI specialist (even more specialized than my last one), decided that the Sucralfate was the best course of action when paired with a stomach emptying medication. 
Has anyone else gone through this, or had Sucralfate? How effective is it? When did you start seeing results? Did you have major side effects?</t>
        </is>
      </c>
      <c r="D7688" t="n">
        <v>1</v>
      </c>
      <c r="E7688" t="n">
        <v>4</v>
      </c>
      <c r="F7688">
        <f>HYPERLINK("https://www.reddit.com/r/GERD/comments/gt7ktc/question/")</f>
        <v/>
      </c>
      <c r="G7688" t="inlineStr">
        <is>
          <t>2020-05-29 20:53:10</t>
        </is>
      </c>
      <c r="H7688" t="inlineStr"/>
    </row>
    <row r="7689">
      <c r="A7689" t="inlineStr">
        <is>
          <t>gt7r2h</t>
        </is>
      </c>
      <c r="B7689" t="inlineStr">
        <is>
          <t>Smoking weed and acid reflux</t>
        </is>
      </c>
      <c r="C7689" t="inlineStr">
        <is>
          <t>So ive been smoking weed almost daily for the past 3 years and I started getting acid reflux about 2 years ago and sometime I cant eat without smoking, or I just feel like I'm going to throw up Is there anyone else who is a stoner and suffers from acid reflux? Please let me know it'd great if we could tak about it.</t>
        </is>
      </c>
      <c r="D7689" t="n">
        <v>1</v>
      </c>
      <c r="E7689" t="n">
        <v>5</v>
      </c>
      <c r="F7689">
        <f>HYPERLINK("https://www.reddit.com/r/GERD/comments/gt7r2h/smoking_weed_and_acid_reflux/")</f>
        <v/>
      </c>
      <c r="G7689" t="inlineStr">
        <is>
          <t>2020-05-29 21:06:25</t>
        </is>
      </c>
      <c r="H7689" t="inlineStr"/>
    </row>
    <row r="7690">
      <c r="A7690" t="inlineStr">
        <is>
          <t>gta5pz</t>
        </is>
      </c>
      <c r="B7690" t="inlineStr">
        <is>
          <t>Increased symptoms while in calorie deficit?</t>
        </is>
      </c>
      <c r="C7690" t="inlineStr">
        <is>
          <t>Anyone have any tips for getting rid of symptoms while in a calorie deficit? I’ve used dietary changes to manage my GERD successfully for years because no medications could touch it. Ive been restricting calories to drop some fat and have been noticing my symptoms are back with a vengeance. I’m assuming because there’s not enough food hanging out in my stomach at all hours to soak up the acid. 
Anyone have any tips for me? I would prefer to not stop restricting calories. I’m intaking around 1400-1600 daily.</t>
        </is>
      </c>
      <c r="D7690" t="n">
        <v>1</v>
      </c>
      <c r="E7690" t="n">
        <v>8</v>
      </c>
      <c r="F7690">
        <f>HYPERLINK("https://www.reddit.com/r/GERD/comments/gta5pz/increased_symptoms_while_in_calorie_deficit/")</f>
        <v/>
      </c>
      <c r="G7690" t="inlineStr">
        <is>
          <t>2020-05-30 00:23:35</t>
        </is>
      </c>
      <c r="H7690" t="inlineStr"/>
    </row>
    <row r="7691">
      <c r="A7691" t="inlineStr">
        <is>
          <t>gta8oh</t>
        </is>
      </c>
      <c r="B7691" t="inlineStr">
        <is>
          <t>Cold Symptoms with Lansoprazole?</t>
        </is>
      </c>
      <c r="C7691" t="inlineStr">
        <is>
          <t>Has anyone experience cold symptoms that don’t go away while taking Lanzoprazole? It started within a couple of days of starting the pills and hasn’t gone away since. Is there anything to this? 
Also TMI I know but really foul smelling gas? Anyone?
TIA</t>
        </is>
      </c>
      <c r="D7691" t="n">
        <v>1</v>
      </c>
      <c r="E7691" t="n">
        <v>22</v>
      </c>
      <c r="F7691">
        <f>HYPERLINK("https://www.reddit.com/r/GERD/comments/gta8oh/cold_symptoms_with_lansoprazole/")</f>
        <v/>
      </c>
      <c r="G7691" t="inlineStr">
        <is>
          <t>2020-05-30 00:30:47</t>
        </is>
      </c>
      <c r="H7691" t="inlineStr"/>
    </row>
    <row r="7692">
      <c r="A7692" t="inlineStr">
        <is>
          <t>gtaz6f</t>
        </is>
      </c>
      <c r="B7692" t="inlineStr">
        <is>
          <t>New to this whole feeling</t>
        </is>
      </c>
      <c r="C7692" t="inlineStr">
        <is>
          <t>Hello! Not sure if i’m allowed to post here since i haven’t technically been diagnosed with GERD or Acid Reflux by a specialist but it’s what i think i have and it’s kind of killing me...
My breathlessness started after a few days of fatty, oily and spicy food (and i’ve also drank black iced coffee once a day for years). We went to the doctor yesterday who gave me Omeprazole and Domperidone and told me to also try to stay calm because my anxiety could exacerbate my breathlessness.
I’ve all along known i’ve been abit refluxy, i burp a lot and often my food comes back up and i also have had a terrible habit of lying down/sitting down right after eating. But never before have i ever been breathless and this feeling is really so traumatizing. It’s like i have something in my throat and my nose also feels kind of stuffy and I keep being super conscious of my breathing such that if i don’t consciously breathe, i feel like i’m not breathing. Lately my stomach has been kind of bloated and painful too and i’ve been surviving on congee and souls and rice...
Anyone has tips on how to handle this situation as a newcomer? I’m really so miserable and scared when i feel breathless and it’s making my life really difficult. Thanks in advance!</t>
        </is>
      </c>
      <c r="D7692" t="n">
        <v>1</v>
      </c>
      <c r="E7692" t="n">
        <v>12</v>
      </c>
      <c r="F7692">
        <f>HYPERLINK("https://www.reddit.com/r/GERD/comments/gtaz6f/new_to_this_whole_feeling/")</f>
        <v/>
      </c>
      <c r="G7692" t="inlineStr">
        <is>
          <t>2020-05-30 01:38:32</t>
        </is>
      </c>
      <c r="H7692" t="inlineStr"/>
    </row>
    <row r="7693">
      <c r="A7693" t="inlineStr">
        <is>
          <t>gtb52o</t>
        </is>
      </c>
      <c r="B7693" t="inlineStr">
        <is>
          <t>6 months since Nissen Fundoplication. Ask me anything</t>
        </is>
      </c>
      <c r="C7693" t="inlineStr">
        <is>
          <t>I’m 24. 5’ 7” and 130lb. The skinniest chronic GERD sufferer my doctors have seen lol. I had the LNF done in November at Mass General in Boston. I took Omeprazole (2x daily) and Ranitidine (2x before bed) up until the surgery. Now I take Famotidine as needed. AMA</t>
        </is>
      </c>
      <c r="D7693" t="n">
        <v>1</v>
      </c>
      <c r="E7693" t="n">
        <v>22</v>
      </c>
      <c r="F7693">
        <f>HYPERLINK("https://www.reddit.com/r/GERD/comments/gtb52o/6_months_since_nissen_fundoplication_ask_me/")</f>
        <v/>
      </c>
      <c r="G7693" t="inlineStr">
        <is>
          <t>2020-05-30 01:53:30</t>
        </is>
      </c>
      <c r="H7693" t="inlineStr"/>
    </row>
    <row r="7694">
      <c r="A7694" t="inlineStr">
        <is>
          <t>gtbmay</t>
        </is>
      </c>
      <c r="B7694" t="inlineStr">
        <is>
          <t>No trigger foods, just portions</t>
        </is>
      </c>
      <c r="C7694" t="inlineStr">
        <is>
          <t>So has anyone seen their GERD triggered by portion size and not trigger foods? I was diagnosed remotely three weeks ago, had a stressor event, no history whatsoever, then all of a sudden my stomach hurt really bad, lots of pressure in my chest, lump in throat, gas bubbles felt through upper body, shortness of breath and light headedness. Also can’t workout, and been doing 60m very slow walk on a treadmill. Put myself on an alkaline diet and after nearly a month I’ve felt better but noticed two more incidents and each time it was due to eating a medium sized portion, not a specific type of food. Got hit hard today when for dinner I added a slice of toast with my usual three eggs. I feel like this isn’t GERD but some sort of blockage but during these crazy times I really don’t want to go to a hospital just yet since if I eat tiny portions I seem to be ok. I don’t get any acidic feeling in my throat, just completely thrown by the fact that it’s portion size that is my trigger and that even after a month I can’t do a normal workout without feeling like I am dying. Blood pressure and temp have been normal and rock steady through this whole thing. Basically just wondering if anyone has noticed that their trigger has only been portion size and if it’s normal to feel great when eating very little bit still not be able to be active physically</t>
        </is>
      </c>
      <c r="D7694" t="n">
        <v>1</v>
      </c>
      <c r="E7694" t="n">
        <v>2</v>
      </c>
      <c r="F7694">
        <f>HYPERLINK("https://www.reddit.com/r/GERD/comments/gtbmay/no_trigger_foods_just_portions/")</f>
        <v/>
      </c>
      <c r="G7694" t="inlineStr">
        <is>
          <t>2020-05-30 02:37:42</t>
        </is>
      </c>
      <c r="H7694" t="inlineStr"/>
    </row>
    <row r="7695">
      <c r="A7695" t="inlineStr">
        <is>
          <t>gtci20</t>
        </is>
      </c>
      <c r="B7695" t="inlineStr">
        <is>
          <t>Can anyone empathise with coughing up excessive mucus/thick saliva?</t>
        </is>
      </c>
      <c r="C7695" t="inlineStr">
        <is>
          <t>Feel likes I'm hacking frommy stomach, from my lungs/chest and even my sinuses. Feel so uncomfortable. Any advice?</t>
        </is>
      </c>
      <c r="D7695" t="n">
        <v>1</v>
      </c>
      <c r="E7695" t="n">
        <v>16</v>
      </c>
      <c r="F7695">
        <f>HYPERLINK("https://www.reddit.com/r/GERD/comments/gtci20/can_anyone_empathise_with_coughing_up_excessive/")</f>
        <v/>
      </c>
      <c r="G7695" t="inlineStr">
        <is>
          <t>2020-05-30 04:01:29</t>
        </is>
      </c>
      <c r="H7695" t="inlineStr"/>
    </row>
    <row r="7696">
      <c r="A7696" t="inlineStr">
        <is>
          <t>gte3dh</t>
        </is>
      </c>
      <c r="B7696" t="inlineStr">
        <is>
          <t>Constant pain in chest</t>
        </is>
      </c>
      <c r="C7696" t="inlineStr">
        <is>
          <t>Hey everyone! 
For almost 3 months now I have been having a slight but constant pain on the left side of my chest. My heartbeat is usually over 100 even while at rest. I wanted to know do you guys think this is because of stress? Can stress cause such prolonged periods of pain? Or is it some other health concern? 
Thank you!</t>
        </is>
      </c>
      <c r="D7696" t="n">
        <v>1</v>
      </c>
      <c r="E7696" t="n">
        <v>5</v>
      </c>
      <c r="F7696">
        <f>HYPERLINK("https://www.reddit.com/r/GERD/comments/gte3dh/constant_pain_in_chest/")</f>
        <v/>
      </c>
      <c r="G7696" t="inlineStr">
        <is>
          <t>2020-05-30 06:13:51</t>
        </is>
      </c>
      <c r="H7696" t="inlineStr"/>
    </row>
    <row r="7697">
      <c r="A7697" t="inlineStr">
        <is>
          <t>gte44z</t>
        </is>
      </c>
      <c r="B7697" t="inlineStr">
        <is>
          <t>MASSIVE flare up</t>
        </is>
      </c>
      <c r="C7697" t="inlineStr">
        <is>
          <t>I was diagnosed with GERD over two years ago, taking 40mg omeprazole daily with Zantac prn until the pulled it from the market, switched to Pepcid which doesn’t do jack shit imo.
Anyway, I have no further “lifestyle” changes to make as I am a very healthy weight, exercise regularly, eat a healthy diet and avoid my triggers (tomatoes, spicy, fried and meals larger than about 1 cup in volume)
I made the mistake of eating two smaller pieces of homemade pizza about a week ago and life has been hell ever since.
So two days ago my doctor ordered a stool sample and an ultrasound for next week, he also switched me to 20mg Nexium. Yesterday morning was my first dose and I ate very bland, easy diet (avocado, banana, plain potatoes, scrambled eggs etc)
The reflux I experienced in the middle of the night was debilitating, I felt like I couldn’t breathe and my throat is filled with razor blades. I don’t know if it’s because of the switch to the Nexium? I went from my dose of omeprazole on Thursday straight to the Nexium on Friday. Could the transition cause an attack?</t>
        </is>
      </c>
      <c r="D7697" t="n">
        <v>1</v>
      </c>
      <c r="E7697" t="n">
        <v>4</v>
      </c>
      <c r="F7697">
        <f>HYPERLINK("https://www.reddit.com/r/GERD/comments/gte44z/massive_flare_up/")</f>
        <v/>
      </c>
      <c r="G7697" t="inlineStr">
        <is>
          <t>2020-05-30 06:15:27</t>
        </is>
      </c>
      <c r="H7697" t="inlineStr"/>
    </row>
    <row r="7698">
      <c r="A7698" t="inlineStr">
        <is>
          <t>gtf4zs</t>
        </is>
      </c>
      <c r="B7698" t="inlineStr">
        <is>
          <t>If I'm able to mimic voices well but it's still not my natural tone, does anyone think this specific voice in the begging can cause globus sensation and make it feel like you have a pill or something stuck in your throat? https://www.youtube.com/watch?v=AyFlW_bOg-Q</t>
        </is>
      </c>
      <c r="C7698" t="inlineStr">
        <is>
          <t>I went to the er 3 different times they did a cat scan and didn't find anything. Thing is that I was smoking a tobacco pipe maybe 4 days ago and I was inhaling and got a peace of tobacco stuck at the back of my throat. It wasn't hot but to my knowledge it was def stuck, one would think they might not have swallowed it if they then experience pretty bad globus a day or two afterwards. I feel better today but a main reason as to why I was so distressed was because I thought it was something that was stuck. I don't mean to rant thank somebody that I'm better today and it feels a little more \*natural\* and not like a foreign object. But like I said main point is does anyone think mimicking that intro voice and create feelings like globus afterwards? It makes me want to believe it's that but also because it makes sense. I mean it's almost like going aaaaaaaaaaaaaaaaa, know what I mean?</t>
        </is>
      </c>
      <c r="D7698" t="n">
        <v>1</v>
      </c>
      <c r="E7698" t="n">
        <v>2</v>
      </c>
      <c r="F7698">
        <f>HYPERLINK("https://www.reddit.com/r/GERD/comments/gtf4zs/if_im_able_to_mimic_voices_well_but_its_still_not/")</f>
        <v/>
      </c>
      <c r="G7698" t="inlineStr">
        <is>
          <t>2020-05-30 07:27:04</t>
        </is>
      </c>
      <c r="H7698" t="inlineStr"/>
    </row>
    <row r="7699">
      <c r="A7699" t="inlineStr">
        <is>
          <t>gtfndc</t>
        </is>
      </c>
      <c r="B7699" t="inlineStr">
        <is>
          <t>Pain with deep breaths</t>
        </is>
      </c>
      <c r="C7699" t="inlineStr">
        <is>
          <t>I have GERD, take nexium and it pretty much does nothing. The pain is usually there all day, like a weight on my chest. I’ve noticed when I take deep breaths the pain worsens for a while, does anyone else get this? The pain is more apparent on the left side of my chest slightly above my pecs. I’ve had a lot of tests done on my heart so I know for sure it’s nothing to do with that.</t>
        </is>
      </c>
      <c r="D7699" t="n">
        <v>1</v>
      </c>
      <c r="E7699" t="n">
        <v>6</v>
      </c>
      <c r="F7699">
        <f>HYPERLINK("https://www.reddit.com/r/GERD/comments/gtfndc/pain_with_deep_breaths/")</f>
        <v/>
      </c>
      <c r="G7699" t="inlineStr">
        <is>
          <t>2020-05-30 08:00:39</t>
        </is>
      </c>
      <c r="H7699" t="inlineStr"/>
    </row>
    <row r="7700">
      <c r="A7700" t="inlineStr">
        <is>
          <t>gtgxh1</t>
        </is>
      </c>
      <c r="B7700" t="inlineStr">
        <is>
          <t>How you deal with voice issues from Gerd?</t>
        </is>
      </c>
      <c r="C7700" t="inlineStr">
        <is>
          <t>I'm lloking for ways to deal with acid reflux, it affects my voice a lot. At the extent that it hurts if I raise the voice. I got gerd suddenly 2 years ago and my voice is like a crow or raven and it make me feel bad about myself, and makes me anxious 
Do you guys have same issue? 
How you  deal with it?</t>
        </is>
      </c>
      <c r="D7700" t="n">
        <v>1</v>
      </c>
      <c r="E7700" t="n">
        <v>22</v>
      </c>
      <c r="F7700">
        <f>HYPERLINK("https://www.reddit.com/r/GERD/comments/gtgxh1/how_you_deal_with_voice_issues_from_gerd/")</f>
        <v/>
      </c>
      <c r="G7700" t="inlineStr">
        <is>
          <t>2020-05-30 09:26:20</t>
        </is>
      </c>
      <c r="H7700" t="inlineStr"/>
    </row>
    <row r="7701">
      <c r="A7701" t="inlineStr">
        <is>
          <t>gtkbdg</t>
        </is>
      </c>
      <c r="B7701" t="inlineStr">
        <is>
          <t>Worse with exertion?</t>
        </is>
      </c>
      <c r="C7701" t="inlineStr">
        <is>
          <t>So I've tried seeing my doctor but with Covid they're really swamped at the moment and I can't get checked over. So in the mean time I could really do with some advice from you lovely people!!
Long story short I had a panic attack nearly 2 months ago which has caused quite bad silent reflux that didn't really show face until a few weeks ago. I didn't self diagnose the panic attack I managed to speak to a doctor ... anyway!!! 
I'm curious with GERD can you have a pressure across your chest and shortness of breath when exerting yourself?
For example when I'm out walking my dog I already feel like I'm short of breath because of the silent reflux and burning pain in my stomach and then I start walking and the pressure appears in the middle of my chest as my heart rate goes up but I'll do some abdomen breathing and suddenly I can breathe slightly better and the pressure lifts! Anyone with GERD ever experienced this?
Also, I'll experience silent reflux with the burning in my stomach during the day and at night I'll have acid reflux when I lie down! But the silent reflux has messed with my chest and stomach as they both feel heavy most days. Anyone else get this?</t>
        </is>
      </c>
      <c r="D7701" t="n">
        <v>1</v>
      </c>
      <c r="E7701" t="n">
        <v>1</v>
      </c>
      <c r="F7701">
        <f>HYPERLINK("https://www.reddit.com/r/GERD/comments/gtkbdg/worse_with_exertion/")</f>
        <v/>
      </c>
      <c r="G7701" t="inlineStr">
        <is>
          <t>2020-05-30 12:38:47</t>
        </is>
      </c>
      <c r="H7701" t="inlineStr"/>
    </row>
    <row r="7702">
      <c r="A7702" t="inlineStr">
        <is>
          <t>gtkmao</t>
        </is>
      </c>
      <c r="B7702" t="inlineStr">
        <is>
          <t>Gerd from bulimia??</t>
        </is>
      </c>
      <c r="C7702" t="inlineStr">
        <is>
          <t>My gerd started from bulimia as a teenager! Anyone else on the same boat? Bc my gerd has gone untreated for 6 years and my doctor doesn’t care! Smh</t>
        </is>
      </c>
      <c r="D7702" t="n">
        <v>1</v>
      </c>
      <c r="E7702" t="n">
        <v>5</v>
      </c>
      <c r="F7702">
        <f>HYPERLINK("https://www.reddit.com/r/GERD/comments/gtkmao/gerd_from_bulimia/")</f>
        <v/>
      </c>
      <c r="G7702" t="inlineStr">
        <is>
          <t>2020-05-30 12:55:59</t>
        </is>
      </c>
      <c r="H7702" t="inlineStr"/>
    </row>
    <row r="7703">
      <c r="A7703" t="inlineStr">
        <is>
          <t>gtksf9</t>
        </is>
      </c>
      <c r="B7703" t="inlineStr">
        <is>
          <t>Could our app help keeping your dieting style?</t>
        </is>
      </c>
      <c r="C7703" t="inlineStr">
        <is>
          <t>Hi,
I’m a researcher at an early stage nutrition startup called [Heali](https://heali.ai/). We’re looking to recruit research participants to help us improve our product design. I'd love to let you see some early concepts of what we’re working on to get your feedback and let you influence what we build. Basically, we want to see if what we have would actually be helpful to you.
Please click this 15 seconds online form to join us! I’ll follow up with you regarding our upcoming research study.
[https://forms.gle/igZifNimfggayXJe9](https://forms.gle/igZifNimfggayXJe9) 
Thanks for your help. Cheers!</t>
        </is>
      </c>
      <c r="D7703" t="n">
        <v>1</v>
      </c>
      <c r="E7703" t="n">
        <v>0</v>
      </c>
      <c r="F7703">
        <f>HYPERLINK("https://www.reddit.com/r/GERD/comments/gtksf9/could_our_app_help_keeping_your_dieting_style/")</f>
        <v/>
      </c>
      <c r="G7703" t="inlineStr">
        <is>
          <t>2020-05-30 13:05:50</t>
        </is>
      </c>
      <c r="H7703" t="inlineStr"/>
    </row>
    <row r="7704">
      <c r="A7704" t="inlineStr">
        <is>
          <t>gtmjhr</t>
        </is>
      </c>
      <c r="B7704" t="inlineStr">
        <is>
          <t>Does this sound like LPR or something else?</t>
        </is>
      </c>
      <c r="C7704" t="inlineStr">
        <is>
          <t>I am an 18 year old male who has had some issues involving possible reflux the past 7+ months. It all started out when night about 6-7 months ago, when I found it hard to take a deep breath in. I had been vaping previously for over a year (possible cause of this situation). I stopped because I suddenly felt this pain and irritated feeling in the larynx region when I inhaled the vape. I did however quit vaping and the symptoms have still been persistent. I feel these symptoms everyday. Please comment if you have experienced these symptoms or you know a lot about these disease!
Symptoms:
- Irritated Throat
- Post Nasal Drip
- Difficulty breathing (uncomfortable)
- Chest and neck pain (on the sides) 
- Tickle in throat 
- Tight throat
- My larynx constantly seems sore and irritated
- Voice feels rough and scratchy
- Frequent burping
- sinus pressure occasionally
- Occasional ear pain
Other Notes:
- I have pollen allergies
- I’ve tried Zyrtec and Claritin and neither has really helped relive my symptoms
- I’ve tried Prevacid and it hasn’t worked
- Not entirely sure what triggers it
- I feel it 24/7
- I also have pectus excavatum
- The worst symptom in the irritated and raw feeling in larynx</t>
        </is>
      </c>
      <c r="D7704" t="n">
        <v>1</v>
      </c>
      <c r="E7704" t="n">
        <v>7</v>
      </c>
      <c r="F7704">
        <f>HYPERLINK("https://www.reddit.com/r/GERD/comments/gtmjhr/does_this_sound_like_lpr_or_something_else/")</f>
        <v/>
      </c>
      <c r="G7704" t="inlineStr">
        <is>
          <t>2020-05-30 14:44:48</t>
        </is>
      </c>
      <c r="H7704" t="inlineStr"/>
    </row>
    <row r="7705">
      <c r="A7705" t="inlineStr">
        <is>
          <t>gtmkwd</t>
        </is>
      </c>
      <c r="B7705" t="inlineStr">
        <is>
          <t>Possible LPR</t>
        </is>
      </c>
      <c r="C7705" t="inlineStr">
        <is>
          <t>I’ve had this feeling of a chronic irritated and raw feeling in the larynx region. My voice also seems a bit hoarse and scratchy.</t>
        </is>
      </c>
      <c r="D7705" t="n">
        <v>1</v>
      </c>
      <c r="E7705" t="n">
        <v>5</v>
      </c>
      <c r="F7705">
        <f>HYPERLINK("https://www.reddit.com/r/GERD/comments/gtmkwd/possible_lpr/")</f>
        <v/>
      </c>
      <c r="G7705" t="inlineStr">
        <is>
          <t>2020-05-30 14:47:16</t>
        </is>
      </c>
      <c r="H7705" t="inlineStr"/>
    </row>
    <row r="7706">
      <c r="A7706" t="inlineStr">
        <is>
          <t>gtn6xa</t>
        </is>
      </c>
      <c r="B7706" t="inlineStr">
        <is>
          <t>Question about possible lpr</t>
        </is>
      </c>
      <c r="C7706" t="inlineStr">
        <is>
          <t>Can LPR cause a swollen, irritated, and raw feeling in larynx that last pretty much all day?</t>
        </is>
      </c>
      <c r="D7706" t="n">
        <v>1</v>
      </c>
      <c r="E7706" t="n">
        <v>6</v>
      </c>
      <c r="F7706">
        <f>HYPERLINK("https://www.reddit.com/r/GERD/comments/gtn6xa/question_about_possible_lpr/")</f>
        <v/>
      </c>
      <c r="G7706" t="inlineStr">
        <is>
          <t>2020-05-30 15:23:34</t>
        </is>
      </c>
      <c r="H7706" t="inlineStr"/>
    </row>
    <row r="7707">
      <c r="A7707" t="inlineStr">
        <is>
          <t>gtnrd7</t>
        </is>
      </c>
      <c r="B7707" t="inlineStr">
        <is>
          <t>When I go to my ENT on monday is this the right doctor and not a gi? Apparently if I'm having throat problems and I need a scope and or throat inflation is that an ent?</t>
        </is>
      </c>
      <c r="C7707" t="inlineStr">
        <is>
          <t>Thanks a lot. I am thanking somebody high above right now since I don't feel as distressed idk if it wil come back but I havn't drank coffee in like 3 days and I'm trying to not smoke as much. I was thinking really bad thoughts but I feel like I am healing and something is coming around. Also I was trying to mimic a voice from a song and the tone is kind of like an aaaaaaaa kind of tone almost like the grudge not to sound funny but that's the tone.</t>
        </is>
      </c>
      <c r="D7707" t="n">
        <v>1</v>
      </c>
      <c r="E7707" t="n">
        <v>0</v>
      </c>
      <c r="F7707">
        <f>HYPERLINK("https://www.reddit.com/r/GERD/comments/gtnrd7/when_i_go_to_my_ent_on_monday_is_this_the_right/")</f>
        <v/>
      </c>
      <c r="G7707" t="inlineStr">
        <is>
          <t>2020-05-30 15:56:50</t>
        </is>
      </c>
      <c r="H7707" t="inlineStr"/>
    </row>
    <row r="7708">
      <c r="A7708" t="inlineStr">
        <is>
          <t>gtnuep</t>
        </is>
      </c>
      <c r="B7708" t="inlineStr">
        <is>
          <t>Silent Reflux and shortness of breath.</t>
        </is>
      </c>
      <c r="C7708" t="inlineStr">
        <is>
          <t>Hello, sorry if wrong sub reddit. I suffer from silent reflux. I was taking 40 mg of pantrzepole, I think that is what it is called. My ENT has me on a plan to weennof now at 20 mg every other day. Two weeks into this new regime my shortness of breath returned with a vengeance. I'm back to taking the 20mg every day now and it seems to help a little. I'm trying my best with diet, sleeping on an incline, no food 3 hours before bed. Should I push for the surgery.</t>
        </is>
      </c>
      <c r="D7708" t="n">
        <v>1</v>
      </c>
      <c r="E7708" t="n">
        <v>15</v>
      </c>
      <c r="F7708">
        <f>HYPERLINK("https://www.reddit.com/r/GERD/comments/gtnuep/silent_reflux_and_shortness_of_breath/")</f>
        <v/>
      </c>
      <c r="G7708" t="inlineStr">
        <is>
          <t>2020-05-30 16:01:42</t>
        </is>
      </c>
      <c r="H7708" t="inlineStr"/>
    </row>
    <row r="7709">
      <c r="A7709" t="inlineStr">
        <is>
          <t>gto8xk</t>
        </is>
      </c>
      <c r="B7709" t="inlineStr">
        <is>
          <t>Could this be acid reflux?</t>
        </is>
      </c>
      <c r="C7709" t="inlineStr">
        <is>
          <t>Hi, lately I've been wondering wether I have acid reflux or not, I don't feel the burning sensation, my voice is normal, no difficulty swallowing and no chest pain. But I do have mucus in my throat and found out that I have [this](https://ibb.co/FWF9P6D) in my throat, I've had it for at least 3 months. I "cough" to take out the mucus.
Something very weird that sometimes happens is that I feel a "burning" sensation (more of a heat sensation) in my chest but it only lasts for seconds, and it's not strong at all.
If anyone could tell me whether this could be acid reflux or not, or has had a similar situation I'd appreciate it. Thank you!</t>
        </is>
      </c>
      <c r="D7709" t="n">
        <v>1</v>
      </c>
      <c r="E7709" t="n">
        <v>1</v>
      </c>
      <c r="F7709">
        <f>HYPERLINK("https://www.reddit.com/r/GERD/comments/gto8xk/could_this_be_acid_reflux/")</f>
        <v/>
      </c>
      <c r="G7709" t="inlineStr">
        <is>
          <t>2020-05-30 16:25:27</t>
        </is>
      </c>
      <c r="H7709" t="inlineStr"/>
    </row>
    <row r="7710">
      <c r="A7710" t="inlineStr">
        <is>
          <t>gtqw70</t>
        </is>
      </c>
      <c r="B7710" t="inlineStr">
        <is>
          <t>Tonight, like many nights, I am struggling . Struggling to see the light at the end of the tunnel.</t>
        </is>
      </c>
      <c r="C7710" t="inlineStr">
        <is>
          <t>I am tired. It’s been 3 months. I live in constant pain. The past month has gotten extreme. I have upper right back pain that is debilitating . I cannot even unload the dishwasher without immense pain. This pain is also on the front side, same area. And I get chronic rib cage and chest tightness . The one that is the hardest to cope with , right behind the new back pain , is the shortness of breath and difficulty swallowing. Sometimes the breathing feels short and labored , followed by large inhalation’s just trying to get my lungs full. It’s involuntary. My body is gasping for air randomly . Sometimes I get the full breath and feel temporary relief . Sometimes I don’t get the full breath, it’s like I just can’t. When I add the difficulty to swallow on top of that, some nights I feel like I may not wake up in the morning. I get random bursts where I can’t swallow at all for about 30 seconds . My life genuinely feels over. I live at the doctor . And no meds they throw at me , or lifestyle changes even make a dent . I keep trying to hold out hope. I am 29. Life is not meant to be this way. I cry nearly every single day now. I am just tired .</t>
        </is>
      </c>
      <c r="D7710" t="n">
        <v>1</v>
      </c>
      <c r="E7710" t="n">
        <v>40</v>
      </c>
      <c r="F7710">
        <f>HYPERLINK("https://www.reddit.com/r/GERD/comments/gtqw70/tonight_like_many_nights_i_am_struggling/")</f>
        <v/>
      </c>
      <c r="G7710" t="inlineStr">
        <is>
          <t>2020-05-30 19:22:34</t>
        </is>
      </c>
      <c r="H7710" t="inlineStr"/>
    </row>
    <row r="7711">
      <c r="A7711" t="inlineStr">
        <is>
          <t>gtqxgw</t>
        </is>
      </c>
      <c r="B7711" t="inlineStr">
        <is>
          <t>Has anyone actually been cured in this subreddit?</t>
        </is>
      </c>
      <c r="C7711" t="inlineStr">
        <is>
          <t>I'm only 25 and I think I've been dealing with this over a decade. This year it got worse and some days I kind of want to rip out my esophagus and not doing the living thing anymore.</t>
        </is>
      </c>
      <c r="D7711" t="n">
        <v>1</v>
      </c>
      <c r="E7711" t="n">
        <v>21</v>
      </c>
      <c r="F7711">
        <f>HYPERLINK("https://www.reddit.com/r/GERD/comments/gtqxgw/has_anyone_actually_been_cured_in_this_subreddit/")</f>
        <v/>
      </c>
      <c r="G7711" t="inlineStr">
        <is>
          <t>2020-05-30 19:24:59</t>
        </is>
      </c>
      <c r="H7711" t="inlineStr"/>
    </row>
    <row r="7712">
      <c r="A7712" t="inlineStr">
        <is>
          <t>gtqzin</t>
        </is>
      </c>
      <c r="B7712" t="inlineStr">
        <is>
          <t>Heart Palpitations after eating/GERD/anxiety</t>
        </is>
      </c>
      <c r="C7712" t="inlineStr">
        <is>
          <t>21/F, 5’5 -115lbs
I somehow developed GERD in high school and I discovered it when all of a sudden I started burping (when I was never in my life able to before) and throwing up food upon burping. 
Since then, I have gone to college and I have been diagnosed with ADHD, so I am prescribed Adderall XR - 30mg. I have also been diagnosed with anxiety and depression and have been previously medicated for it.
Now you may be thinking that the heart palpitations are from my adderall medication, which they could be. However, I take that early in the morning and it is meant to up last 12 hours. By dinner time, my appetite has returned and I’m fairly hungry. Recently, every night after I eat dinner my heart has started beating really fast and I feel like I either have to burp or throw up. (Fast heart beat for me has always meant I am about to throw up... it happens every time when I don’t feel good). I have seen a doctor and she prescribed me 40mg of omeprazole, which worked great. Unfortunately, my insurance did not cover it and with the high amount that I need, I can’t afford the OTC version either. Point is: I don’t take anything for GERD.
My question is: is this GERD related? Does anyone else get these heart palpitations? 
Side thought: I also think anxiety of throwing up is involved because being on adderall has already made me lose weight and I am trying to maintain where I’m at, but GERD is making that difficult. I don’t want to throw up because I’m scared of getting skinnier.
I have so much more to say on this, but I am worried that it will be long-winded and not be solely about GERD anymore.</t>
        </is>
      </c>
      <c r="D7712" t="n">
        <v>1</v>
      </c>
      <c r="E7712" t="n">
        <v>6</v>
      </c>
      <c r="F7712">
        <f>HYPERLINK("https://www.reddit.com/r/GERD/comments/gtqzin/heart_palpitations_after_eatinggerdanxiety/")</f>
        <v/>
      </c>
      <c r="G7712" t="inlineStr">
        <is>
          <t>2020-05-30 19:29:07</t>
        </is>
      </c>
      <c r="H7712" t="inlineStr"/>
    </row>
    <row r="7713">
      <c r="A7713" t="inlineStr">
        <is>
          <t>gtre6n</t>
        </is>
      </c>
      <c r="B7713" t="inlineStr">
        <is>
          <t>How frequent can you take H2 blockers without having acid rebound when you stop?</t>
        </is>
      </c>
      <c r="C7713" t="inlineStr">
        <is>
          <t>I sometimes take one along with my Prilosec daily for extra help. But I just realized, I don't wanna become dependent on it, since I already am with Prilosec.</t>
        </is>
      </c>
      <c r="D7713" t="n">
        <v>1</v>
      </c>
      <c r="E7713" t="n">
        <v>0</v>
      </c>
      <c r="F7713">
        <f>HYPERLINK("https://www.reddit.com/r/GERD/comments/gtre6n/how_frequent_can_you_take_h2_blockers_without/")</f>
        <v/>
      </c>
      <c r="G7713" t="inlineStr">
        <is>
          <t>2020-05-30 19:59:25</t>
        </is>
      </c>
      <c r="H7713" t="inlineStr"/>
    </row>
    <row r="7714">
      <c r="A7714" t="inlineStr">
        <is>
          <t>gtrq89</t>
        </is>
      </c>
      <c r="B7714" t="inlineStr">
        <is>
          <t>How can I fast, exercise and diet while it's trigger my gastric problem?</t>
        </is>
      </c>
      <c r="C7714" t="inlineStr">
        <is>
          <t>Anyone can help me with ideas to get rid of my gastric and anxiety while fasting amd exercise and diet? Every time I eat late my gastric problem increases. How can I solve this problem?</t>
        </is>
      </c>
      <c r="D7714" t="n">
        <v>1</v>
      </c>
      <c r="E7714" t="n">
        <v>12</v>
      </c>
      <c r="F7714">
        <f>HYPERLINK("https://www.reddit.com/r/GERD/comments/gtrq89/how_can_i_fast_exercise_and_diet_while_its/")</f>
        <v/>
      </c>
      <c r="G7714" t="inlineStr">
        <is>
          <t>2020-05-30 20:24:24</t>
        </is>
      </c>
      <c r="H7714" t="inlineStr"/>
    </row>
    <row r="7715">
      <c r="A7715" t="inlineStr">
        <is>
          <t>gtrskz</t>
        </is>
      </c>
      <c r="B7715" t="inlineStr">
        <is>
          <t>Endoscopy question for anyone that went through BENZO withdrawal before.</t>
        </is>
      </c>
      <c r="C7715" t="inlineStr">
        <is>
          <t>I had my appt with a GI doctor yesterday and he wants me to get an endoscopy (thank the lord). i was afraid he was going to just write a script for a PPI and send me on my way, but he said the symptoms i explained didn't sound like the typical acid reflux. He said it usually takes about 2 weeks to get the approval from my insurance.
My question is I've read that they ususally use Versed to put you under, but i've been through benzo withdrawal twice and the first time was really bad. the second time was bad, but i knew what was happening so i just rode it out. it was longer too the second time because of the kindling effect. Is there some other thing they can use to put me under besides the Versed (which is classified as a benzo)? Do i request it? (I'm actually really nervous about being put under as i've never experienced that before.)</t>
        </is>
      </c>
      <c r="D7715" t="n">
        <v>1</v>
      </c>
      <c r="E7715" t="n">
        <v>16</v>
      </c>
      <c r="F7715">
        <f>HYPERLINK("https://www.reddit.com/r/GERD/comments/gtrskz/endoscopy_question_for_anyone_that_went_through/")</f>
        <v/>
      </c>
      <c r="G7715" t="inlineStr">
        <is>
          <t>2020-05-30 20:29:22</t>
        </is>
      </c>
      <c r="H7715" t="inlineStr"/>
    </row>
    <row r="7716">
      <c r="A7716" t="inlineStr">
        <is>
          <t>gtwv5v</t>
        </is>
      </c>
      <c r="B7716" t="inlineStr">
        <is>
          <t>I have grade D gastritis ? Will i lead a normal life again ?</t>
        </is>
      </c>
      <c r="C7716" t="inlineStr">
        <is>
          <t>Hi guys, as per my endescopy i have grade D gastritis. I mean i had some pain but i didnt expect myself to have the worst grade. Plus i have my esophagul flap valve assesment at grade 3. The doctor said i may undergo surgery and may stay on ppis for life. That is really daunting as i love food, especially spicy food, and love beer. And i am afraid that ppis have side effects when taken for a long time. Anyone had any experience like this? Thanks</t>
        </is>
      </c>
      <c r="D7716" t="n">
        <v>1</v>
      </c>
      <c r="E7716" t="n">
        <v>0</v>
      </c>
      <c r="F7716">
        <f>HYPERLINK("https://www.reddit.com/r/GERD/comments/gtwv5v/i_have_grade_d_gastritis_will_i_lead_a_normal/")</f>
        <v/>
      </c>
      <c r="G7716" t="inlineStr">
        <is>
          <t>2020-05-31 03:37:24</t>
        </is>
      </c>
      <c r="H7716" t="inlineStr"/>
    </row>
    <row r="7717">
      <c r="A7717" t="inlineStr">
        <is>
          <t>gtwybu</t>
        </is>
      </c>
      <c r="B7717" t="inlineStr">
        <is>
          <t>Bad breath and Gerd (PLS HELP)</t>
        </is>
      </c>
      <c r="C7717" t="inlineStr">
        <is>
          <t>Over 2 years ago. I was treated for hpylori infection. I had bad breath before the treatment and a much worse bad breath after the treatment. I’ve tried multiple thing but nothing is working for me. I’m constantly depressed and anxiety and I just don’t know what to do anymore. All I can think of is giving up. I mean, I can’t live the rest of my life like this. It’s way too painful and exhausting. Please help me fix this issue, I’m desperate.</t>
        </is>
      </c>
      <c r="D7717" t="n">
        <v>1</v>
      </c>
      <c r="E7717" t="n">
        <v>11</v>
      </c>
      <c r="F7717">
        <f>HYPERLINK("https://www.reddit.com/r/GERD/comments/gtwybu/bad_breath_and_gerd_pls_help/")</f>
        <v/>
      </c>
      <c r="G7717" t="inlineStr">
        <is>
          <t>2020-05-31 03:44:47</t>
        </is>
      </c>
      <c r="H7717" t="inlineStr"/>
    </row>
    <row r="7718">
      <c r="A7718" t="inlineStr">
        <is>
          <t>gtxp2j</t>
        </is>
      </c>
      <c r="B7718" t="inlineStr">
        <is>
          <t>Burping after even drinking water only</t>
        </is>
      </c>
      <c r="C7718" t="inlineStr">
        <is>
          <t>So I wake up, drink a glass of water. burp like a mad man. The more water I drink the more I burp out .When eating and drinking it gets worse. I make sure to not swallow air btw. My GP does not take me seriosuly anymore and pretty much refuses to see me now (probably because of covid). But my gp doesnt even know why it happens, but doesnt think its anyhting serious and leaves me be. 
I used to have health anxiety for a couple of months and did have acid reflux, heartburn for like a few weeks (cause of anxiety, it was pretty severe). anxiety full gone for a month now, i can eat like a king but I still belch... My endoscopy around 2 months ago only showed esaphogus irritation but thats it. Could this be gerd? i havent had acid reflux in a really long time. My guess would go to a weak LES. I am now 1 week on 40 mg of antacids and havent seen any improvements...</t>
        </is>
      </c>
      <c r="D7718" t="n">
        <v>1</v>
      </c>
      <c r="E7718" t="n">
        <v>10</v>
      </c>
      <c r="F7718">
        <f>HYPERLINK("https://www.reddit.com/r/GERD/comments/gtxp2j/burping_after_even_drinking_water_only/")</f>
        <v/>
      </c>
      <c r="G7718" t="inlineStr">
        <is>
          <t>2020-05-31 04:45:43</t>
        </is>
      </c>
      <c r="H7718" t="inlineStr"/>
    </row>
    <row r="7719">
      <c r="A7719" t="inlineStr">
        <is>
          <t>gu013m</t>
        </is>
      </c>
      <c r="B7719" t="inlineStr">
        <is>
          <t>LPR/ Hiatal Hernia -Dietary changes?</t>
        </is>
      </c>
      <c r="C7719" t="inlineStr">
        <is>
          <t>So I have been diagnosed with silent reflux (lpr?) and hiatal hernia. I’m have been having symptoms for 2 years now and my doctor is at the point of recommending surgery. But he always kind of breezed over lifestyle/diet changes so I have never really given them much of a shot. I honestly want to try everything possible before surgery, so which diets have helped for you? 
If it helps to know, my symptoms are trouble swallowing lots of post nasal drip/mucus, nasal inflammation, and feeling regurgitation. A lot of times it honestly feels like I’m not digesting my food, or at least not very fast. 
Any tips would be so appreciated. 
Also, has anyone been able to keep drinking coffee? Or is that a forbidden food now?</t>
        </is>
      </c>
      <c r="D7719" t="n">
        <v>1</v>
      </c>
      <c r="E7719" t="n">
        <v>15</v>
      </c>
      <c r="F7719">
        <f>HYPERLINK("https://www.reddit.com/r/GERD/comments/gu013m/lpr_hiatal_hernia_dietary_changes/")</f>
        <v/>
      </c>
      <c r="G7719" t="inlineStr">
        <is>
          <t>2020-05-31 07:26:32</t>
        </is>
      </c>
      <c r="H7719" t="inlineStr"/>
    </row>
    <row r="7720">
      <c r="A7720" t="inlineStr">
        <is>
          <t>gu2sz8</t>
        </is>
      </c>
      <c r="B7720" t="inlineStr">
        <is>
          <t>How do you deal with breathlessness</t>
        </is>
      </c>
      <c r="C7720" t="inlineStr">
        <is>
          <t>Do you guys have asthma pumps? How do you deal with breathlessness?</t>
        </is>
      </c>
      <c r="D7720" t="n">
        <v>5</v>
      </c>
      <c r="E7720" t="n">
        <v>9</v>
      </c>
      <c r="F7720">
        <f>HYPERLINK("https://www.reddit.com/r/GERD/comments/gu2sz8/how_do_you_deal_with_breathlessness/")</f>
        <v/>
      </c>
      <c r="G7720" t="inlineStr">
        <is>
          <t>2020-05-31 10:12:36</t>
        </is>
      </c>
      <c r="H7720" t="inlineStr"/>
    </row>
    <row r="7721">
      <c r="A7721" t="inlineStr">
        <is>
          <t>gu2xkm</t>
        </is>
      </c>
      <c r="B7721" t="inlineStr">
        <is>
          <t>Has anyone had a scope without sedation?</t>
        </is>
      </c>
      <c r="C7721" t="inlineStr">
        <is>
          <t>Im having a scope tues for reflux. I asked if anesthesia would be in the room and they said no. Yet they want to use fentanyl and midazolam. Im not comfortable with that without a provider with expertise in airway management. Why? Because I'm an anesthesiologist.
Has anyone had this done with minimal to no sedation? Maybe just a mg or 2 of midazolam?</t>
        </is>
      </c>
      <c r="D7721" t="n">
        <v>6</v>
      </c>
      <c r="E7721" t="n">
        <v>54</v>
      </c>
      <c r="F7721">
        <f>HYPERLINK("https://www.reddit.com/r/GERD/comments/gu2xkm/has_anyone_had_a_scope_without_sedation/")</f>
        <v/>
      </c>
      <c r="G7721" t="inlineStr">
        <is>
          <t>2020-05-31 10:20:06</t>
        </is>
      </c>
      <c r="H7721" t="inlineStr"/>
    </row>
    <row r="7722">
      <c r="A7722" t="inlineStr">
        <is>
          <t>gu3199</t>
        </is>
      </c>
      <c r="B7722" t="inlineStr">
        <is>
          <t>How much did your endoscopy cost in the U.S.A</t>
        </is>
      </c>
      <c r="C7722" t="inlineStr">
        <is>
          <t>My stomach pain is getting worst and the pain is unbearable at this point. However, I recently lost my job, still got my insurance luckily, however, I don't want to break the bank going to the doctor for this horrible stomach pain. I can't even sleep now because the pain gets so unbearable at points whenever I eat anything. So how much did yall pay to diagnose your stomach condition; it doesn't just have to be an endoscopy.</t>
        </is>
      </c>
      <c r="D7722" t="n">
        <v>6</v>
      </c>
      <c r="E7722" t="n">
        <v>18</v>
      </c>
      <c r="F7722">
        <f>HYPERLINK("https://www.reddit.com/r/GERD/comments/gu3199/how_much_did_your_endoscopy_cost_in_the_usa/")</f>
        <v/>
      </c>
      <c r="G7722" t="inlineStr">
        <is>
          <t>2020-05-31 10:26:11</t>
        </is>
      </c>
      <c r="H7722" t="inlineStr"/>
    </row>
    <row r="7723">
      <c r="A7723" t="inlineStr">
        <is>
          <t>gu3def</t>
        </is>
      </c>
      <c r="B7723" t="inlineStr">
        <is>
          <t>Did i have gerd my whole life?</t>
        </is>
      </c>
      <c r="C7723" t="inlineStr">
        <is>
          <t>I have been dealing with nausea,indigestion and bad breath and other gerd symptoms.My daily food is greasy foods and acidic.I would have hurtburns and later it developed in a throbbing back pain.i sometimes when i am full i feel like i want to burp but it feels like i am gonna throw up if i do.I had indigestion making me have pain in the abdomen and i thought it was either celiac or other food intolerances.I havent had any endoscopies or other tests that spesifically test for gerd.I have done every other test and i was very healthy.So that must be it.I dont have any intolerances and i am completely healthy in normal tests and thyroid also ulta sounds and xrays.All i can say its propably gerd.And i finally hope i have it.Cause its getting tiring all these years not knowing what i have.At least i will now know and will try to fight it off easier.</t>
        </is>
      </c>
      <c r="D7723" t="n">
        <v>3</v>
      </c>
      <c r="E7723" t="n">
        <v>0</v>
      </c>
      <c r="F7723">
        <f>HYPERLINK("https://www.reddit.com/r/GERD/comments/gu3def/did_i_have_gerd_my_whole_life/")</f>
        <v/>
      </c>
      <c r="G7723" t="inlineStr">
        <is>
          <t>2020-05-31 10:45:01</t>
        </is>
      </c>
      <c r="H7723" t="inlineStr"/>
    </row>
    <row r="7724">
      <c r="A7724" t="inlineStr">
        <is>
          <t>gu42hu</t>
        </is>
      </c>
      <c r="B7724" t="inlineStr">
        <is>
          <t>My LPR peeps!</t>
        </is>
      </c>
      <c r="C7724" t="inlineStr">
        <is>
          <t>I have a few questions
How do you manage your LPR (diet, Ppi, supplementeds, combo)
How long did it take with your plan of attack to see slight improvement and then major improvement? 
What would you recommend to those suffering from LPR?
Can you eat bread if so what kind do you go for?
What veggies do you find most safe for you? 
What fruits do you find most safe ?
I know we are all different but as crazy as it is I think we all get the most help from reddit. I’m still working on recovering and would like to expand my diet. Google at times says one thing then says another so I go to reddit for real people. 
Thanks you guys and keep up the good fight!</t>
        </is>
      </c>
      <c r="D7724" t="n">
        <v>2</v>
      </c>
      <c r="E7724" t="n">
        <v>6</v>
      </c>
      <c r="F7724">
        <f>HYPERLINK("https://www.reddit.com/r/GERD/comments/gu42hu/my_lpr_peeps/")</f>
        <v/>
      </c>
      <c r="G7724" t="inlineStr">
        <is>
          <t>2020-05-31 11:23:26</t>
        </is>
      </c>
      <c r="H7724" t="inlineStr"/>
    </row>
    <row r="7725">
      <c r="A7725" t="inlineStr">
        <is>
          <t>gu6jl4</t>
        </is>
      </c>
      <c r="B7725" t="inlineStr">
        <is>
          <t>[LPR] At what point is shortness of breath an emergency?</t>
        </is>
      </c>
      <c r="C7725" t="inlineStr">
        <is>
          <t>Very new to this!
What should I do if I can't breathe well? Could I actually die from related breathing complications? Should I go to the hospital? Try at home remedies? It seems that a heating pad on the throat allows me to breathe better, but I've got nothing else. I'm worried about underestimating this thing and suffocating at home. But I could also see myself going to the hospital only to say, jk I'm fine now. My breathing issues and globus have been *bad* this week, but it always passes.
I have been taking preventative measures, but sometimes my episodes seem unprovoked, as now.
Would be grateful for any advice. :)</t>
        </is>
      </c>
      <c r="D7725" t="n">
        <v>3</v>
      </c>
      <c r="E7725" t="n">
        <v>17</v>
      </c>
      <c r="F7725">
        <f>HYPERLINK("https://www.reddit.com/r/GERD/comments/gu6jl4/lpr_at_what_point_is_shortness_of_breath_an/")</f>
        <v/>
      </c>
      <c r="G7725" t="inlineStr">
        <is>
          <t>2020-05-31 13:40:38</t>
        </is>
      </c>
      <c r="H7725" t="inlineStr"/>
    </row>
    <row r="7726">
      <c r="A7726" t="inlineStr">
        <is>
          <t>gu77wq</t>
        </is>
      </c>
      <c r="B7726" t="inlineStr">
        <is>
          <t>GERD getting awful when running. Any tips?</t>
        </is>
      </c>
      <c r="C7726" t="inlineStr">
        <is>
          <t>I’ve been trying running as a work out and my reflux gets awful after like 10 minutes. I’m on an empty stomach, in the morning. Any tips?</t>
        </is>
      </c>
      <c r="D7726" t="n">
        <v>4</v>
      </c>
      <c r="E7726" t="n">
        <v>11</v>
      </c>
      <c r="F7726">
        <f>HYPERLINK("https://www.reddit.com/r/GERD/comments/gu77wq/gerd_getting_awful_when_running_any_tips/")</f>
        <v/>
      </c>
      <c r="G7726" t="inlineStr">
        <is>
          <t>2020-05-31 14:18:37</t>
        </is>
      </c>
      <c r="H7726" t="inlineStr"/>
    </row>
    <row r="7727">
      <c r="A7727" t="inlineStr">
        <is>
          <t>gu7grh</t>
        </is>
      </c>
      <c r="B7727" t="inlineStr">
        <is>
          <t>Is it possible to have both GERD and LPR?</t>
        </is>
      </c>
      <c r="C7727" t="inlineStr">
        <is>
          <t>I was diagnosed with gerd couple years ago. From what I understand i have silent reflux, meaning my reflux doesn't burn my esophagus but rather I have fluid come up my esophagus and then i cough on it until I swallow it back down. 
However, i notice if i go a long time without eating, Arthaat: have an empty stomach, then I get like a burst of acid shooting up that does burn my esophagus....whats up with that? Any of you guys experience this?
However, I do not experience shortness of breath like I see a lot of you guys write. At least i don't notice it....though maybe when I am sleeping and all my acid comes up my esophagus and I wake up with an esophagus and throat filled with stomach fluid, thats when I feel shortness of breath.</t>
        </is>
      </c>
      <c r="D7727" t="n">
        <v>6</v>
      </c>
      <c r="E7727" t="n">
        <v>4</v>
      </c>
      <c r="F7727">
        <f>HYPERLINK("https://www.reddit.com/r/GERD/comments/gu7grh/is_it_possible_to_have_both_gerd_and_lpr/")</f>
        <v/>
      </c>
      <c r="G7727" t="inlineStr">
        <is>
          <t>2020-05-31 14:33:11</t>
        </is>
      </c>
      <c r="H7727" t="inlineStr"/>
    </row>
    <row r="7728">
      <c r="A7728" t="inlineStr">
        <is>
          <t>gu87mz</t>
        </is>
      </c>
      <c r="B7728" t="inlineStr">
        <is>
          <t>Toothpaste and mouthwash or it doesn't matter</t>
        </is>
      </c>
      <c r="C7728" t="inlineStr">
        <is>
          <t>I have been back and forth about the toothpaste and mouthwash to use since they said mint is a trigger I'm not able to see a dentist for a month because of my blood thinners so I'm stuck any suggestions</t>
        </is>
      </c>
      <c r="D7728" t="n">
        <v>2</v>
      </c>
      <c r="E7728" t="n">
        <v>12</v>
      </c>
      <c r="F7728">
        <f>HYPERLINK("https://www.reddit.com/r/GERD/comments/gu87mz/toothpaste_and_mouthwash_or_it_doesnt_matter/")</f>
        <v/>
      </c>
      <c r="G7728" t="inlineStr">
        <is>
          <t>2020-05-31 15:16:14</t>
        </is>
      </c>
      <c r="H7728" t="inlineStr"/>
    </row>
    <row r="7729">
      <c r="A7729" t="inlineStr">
        <is>
          <t>gu9dzm</t>
        </is>
      </c>
      <c r="B7729" t="inlineStr">
        <is>
          <t>Struggling to breathe when lying down</t>
        </is>
      </c>
      <c r="C7729" t="inlineStr">
        <is>
          <t>Hi everyone. I was diagnosed with GERD over the phone by a GP, so no tests or anything. A few weeks ago I began experiencing some slight pressure/pain on my sternum when laying down to go to sleep at night which I put off as anxiety, this led me to having some breathless issues. I then started burping a lot more than usual and this still happens, even hours after drinking and when I wake up in the morning. It feels like there is something sitting right on my sternum. I’m either burping a lot or struggle to get one out to relieve some of the pressure from my chest. The pressure in my chest is giving me the breathing problems I believe, not my lungs. Does anyone have any tips to share to get some relief from this? I’ve been taking Omeprazole for just over a week now but I’m feeling no different yet. I haven’t had any heartburn in about 2 weeks now, I have however regurgitated food approx 3 times since I started taking Omeprazole. Thanks in advance :)</t>
        </is>
      </c>
      <c r="D7729" t="n">
        <v>1</v>
      </c>
      <c r="E7729" t="n">
        <v>7</v>
      </c>
      <c r="F7729">
        <f>HYPERLINK("https://www.reddit.com/r/GERD/comments/gu9dzm/struggling_to_breathe_when_lying_down/")</f>
        <v/>
      </c>
      <c r="G7729" t="inlineStr">
        <is>
          <t>2020-05-31 16:25:53</t>
        </is>
      </c>
      <c r="H7729" t="inlineStr"/>
    </row>
    <row r="7730">
      <c r="A7730" t="inlineStr">
        <is>
          <t>gubifa</t>
        </is>
      </c>
      <c r="B7730" t="inlineStr">
        <is>
          <t>Recently diagnosed. I need your help.</t>
        </is>
      </c>
      <c r="C7730" t="inlineStr">
        <is>
          <t>So I've had a consistent dry cough since early March. Getting a doctor's appointment has been difficult to say the least but I'm finally on my third diagnosis with my doctor on Zoom. He switched from a atypical pneumonia treatment to an asthma treatment to treating a GERD. I do have a history of acid reflux and went into this treatment pretty confidently despite still never meeting my new doctor in person. I've been taking 40 mg of pepcid a day. 2 pills in the morning, 2 pills before dinner. Problem is I am nearly 2 weeks into my treatment and I'm not any better. My cough goes from barely existent to heinous in the matter of hours. Is this normal? Early in the day it's typically better, later in the day breathing becomes difficult and wheezing is fairly common
To describe the cough it's like I get choked on my exhale. When I deeply exhale without coughing it comes out broken, in puffs. Whereas if I do cough it's the same feeling as water "going down the wrong hole" when I take a drink and get choked on it. Is this fairly normal? Some nights I wake up feeling like I'm drowning. The noise terrifies my girlfriend.
Any lifestyle advice outside of the usual acid reflux diet stuff? My doctor was fairly confident in the pepcid and he didn't offer any information. 
Unfortunately, the cough has strangely enough cost me my job in hospitality. Can't exactly have a waiter who can't greet their customers without coughing in this time. They let me go a week ago. This entire process has stressed me out and I really just need someone to talk to about it. My Uncle passed away from stomach cancer a few years ago. People seemed to think it was linked to his acid reflux issues. I am terrified. And I just won't stop coughing. The only thing that calms it down are benzonatate and they don't make breathing easier they just chill out the coughing fits.</t>
        </is>
      </c>
      <c r="D7730" t="n">
        <v>2</v>
      </c>
      <c r="E7730" t="n">
        <v>5</v>
      </c>
      <c r="F7730">
        <f>HYPERLINK("https://www.reddit.com/r/GERD/comments/gubifa/recently_diagnosed_i_need_your_help/")</f>
        <v/>
      </c>
      <c r="G7730" t="inlineStr">
        <is>
          <t>2020-05-31 18:38:52</t>
        </is>
      </c>
      <c r="H7730" t="inlineStr"/>
    </row>
    <row r="7731">
      <c r="A7731" t="inlineStr">
        <is>
          <t>guc24u</t>
        </is>
      </c>
      <c r="B7731" t="inlineStr">
        <is>
          <t>Health Complications from GERD</t>
        </is>
      </c>
      <c r="C7731" t="inlineStr">
        <is>
          <t>Hi, I recently developed GERD and was wondering if this could cause bigger problems like esophageal cancer or lung problems if left untreated</t>
        </is>
      </c>
      <c r="D7731" t="n">
        <v>1</v>
      </c>
      <c r="E7731" t="n">
        <v>7</v>
      </c>
      <c r="F7731">
        <f>HYPERLINK("https://www.reddit.com/r/GERD/comments/guc24u/health_complications_from_gerd/")</f>
        <v/>
      </c>
      <c r="G7731" t="inlineStr">
        <is>
          <t>2020-05-31 19:16:35</t>
        </is>
      </c>
      <c r="H7731" t="inlineStr"/>
    </row>
    <row r="7732">
      <c r="A7732" t="inlineStr">
        <is>
          <t>gucta4</t>
        </is>
      </c>
      <c r="B7732" t="inlineStr">
        <is>
          <t>I just want to eat again</t>
        </is>
      </c>
      <c r="C7732" t="inlineStr">
        <is>
          <t>Man, I just want to eat freely again. I want to enjoy food &amp;amp; not worry about what will happen after. This condition, disease, whatever sucks. It can really suck the pleasure out of one of the most important &amp;amp; pleasurable parts of life: eating. Eating with friends, family, a good cheat meal, all of it is gone. I need to fix this.</t>
        </is>
      </c>
      <c r="D7732" t="n">
        <v>4</v>
      </c>
      <c r="E7732" t="n">
        <v>30</v>
      </c>
      <c r="F7732">
        <f>HYPERLINK("https://www.reddit.com/r/GERD/comments/gucta4/i_just_want_to_eat_again/")</f>
        <v/>
      </c>
      <c r="G7732" t="inlineStr">
        <is>
          <t>2020-05-31 20:09:19</t>
        </is>
      </c>
      <c r="H7732" t="inlineStr"/>
    </row>
    <row r="7733">
      <c r="A7733" t="inlineStr">
        <is>
          <t>gudpvh</t>
        </is>
      </c>
      <c r="B7733" t="inlineStr">
        <is>
          <t>Can I have GERD or acid reflux? Symptoms below</t>
        </is>
      </c>
      <c r="C7733" t="inlineStr">
        <is>
          <t>Hi,
F (23) with symptoms going back years. Nights of drinking at college would give me acid reflux so bad I couldn’t sleep, I’d burp what felt like vomit and anything citrus I could feel the acid come up. If I had a glass of wine or anything before food that’s be bad too.
Now recently it’s been more apparent. In late Feb I brought up chest pressure to my primary care doctor. My EKG was abnormal but then a technician performed an echocardiogram (heart ultrasound) and everything perfect. She said my heart rate was a little slower than usual but that could be unique to me. I also did a spirometry test for lung function- normal. 
All my tests were normal- liver function, heart function, blood sugar, cholesterol, hormone function-etc. When I get anxious I feel a heavy chest, I live in NYC so when this pandemic started to take over everyone’s life in March my symptoms got worse, which in turn made me anxious about being sick and so forth. Now it’s so bad that when I wake up I have a hoarse voice and it feel like it takes forever to clear. I’m constantly clearing my throat and I feel burning chest pain. When I lay down I feel like it’s harder to breathe and it’s been months. It feels like a never ending heaviness and then I feel acid come up. I sometimes get nauseous and when I burp it relieves some of that nausea.
This past weekend I felt really tired and run down, I noticed the back of my throat pretty irritated like cobblestone. I somehow think it’s related to the constant throat clearing and the feeling like there’s still something caught in the back of my throat. Is it possible I have acid reflux, GERD or both?? My symptoms are constant and I think the acid gives me a sore throat. I want to get proper evaluation but I’m also scared of an endoscopy. Any tips for the time being?</t>
        </is>
      </c>
      <c r="D7733" t="n">
        <v>2</v>
      </c>
      <c r="E7733" t="n">
        <v>4</v>
      </c>
      <c r="F7733">
        <f>HYPERLINK("https://www.reddit.com/r/GERD/comments/gudpvh/can_i_have_gerd_or_acid_reflux_symptoms_below/")</f>
        <v/>
      </c>
      <c r="G7733" t="inlineStr">
        <is>
          <t>2020-05-31 21:15:06</t>
        </is>
      </c>
      <c r="H7733" t="inlineStr"/>
    </row>
    <row r="7734">
      <c r="A7734" t="inlineStr">
        <is>
          <t>gue42b</t>
        </is>
      </c>
      <c r="B7734" t="inlineStr">
        <is>
          <t>Waiting for a endoscopy but really uncertain about PPI</t>
        </is>
      </c>
      <c r="C7734" t="inlineStr">
        <is>
          <t>So this month has a been a anxiety train wreck which revealed that I most probably have gerds according to my doctor visits. Removing soda and such has practically removed the heartburn I've had majority of this month and double thinking anything that is acidic has  seemed to put it under control. Starting around the 10th of this month I had developed a "shortness of breath" which only effects my ability to have a complete yawn or a deep breath which when my anxiety flares makes it worse [Oxygen meter shuts that down fast though]. Apart from that the heartburn I've had originally its practically non existent after the shitty month I've had and I feel my breathing is improving without treatment.
Sorry for rant I'm just really skeptical about taking PPI [Omeprazole] for a year when the doctor doesn't even want me to persue a endoscopy. The doc claimed they have been on it for 6 years yet couldn't give me any info on how to monitor or treat it heartburn and only shove a script in my face [which was mild-moderate at the time but is gone/faint every few days, shortness of breath is annoyance at best] aswell as doctor possibly nickeling and diming insurance given they claimed to of actually talked to me about gerds treatment, obesity, and "provided pamphlet/material for information" which never hapend. The diagnosis I can say with certainty is correct but symptoms only ever show when anxiety starts.</t>
        </is>
      </c>
      <c r="D7734" t="n">
        <v>1</v>
      </c>
      <c r="E7734" t="n">
        <v>7</v>
      </c>
      <c r="F7734">
        <f>HYPERLINK("https://www.reddit.com/r/GERD/comments/gue42b/waiting_for_a_endoscopy_but_really_uncertain/")</f>
        <v/>
      </c>
      <c r="G7734" t="inlineStr">
        <is>
          <t>2020-05-31 21:45:26</t>
        </is>
      </c>
      <c r="H7734" t="inlineStr"/>
    </row>
    <row r="7735">
      <c r="A7735" t="inlineStr">
        <is>
          <t>gueop3</t>
        </is>
      </c>
      <c r="B7735" t="inlineStr">
        <is>
          <t>Carafate and alcohol consumption</t>
        </is>
      </c>
      <c r="C7735" t="inlineStr">
        <is>
          <t>Hi everyone-
I have been taking a mixture of carafate, Prevacid, and zofran for my acid reflux/gerd. I stopped taking my medications Friday  night, so I haven’t taken ANY meds Saturday or Sunday. I know that while on carafate you aren’t supposed to drink alcohol, does anyone know if it has been a long enlugh time without any meds in me to drink again? I want to drink on Monday but I don’t want to hurt myself either. Thanks!</t>
        </is>
      </c>
      <c r="D7735" t="n">
        <v>1</v>
      </c>
      <c r="E7735" t="n">
        <v>0</v>
      </c>
      <c r="F7735">
        <f>HYPERLINK("https://www.reddit.com/r/GERD/comments/gueop3/carafate_and_alcohol_consumption/")</f>
        <v/>
      </c>
      <c r="G7735" t="inlineStr">
        <is>
          <t>2020-05-31 22:31:39</t>
        </is>
      </c>
      <c r="H7735" t="inlineStr"/>
    </row>
    <row r="7736">
      <c r="A7736" t="inlineStr">
        <is>
          <t>guezzi</t>
        </is>
      </c>
      <c r="B7736" t="inlineStr">
        <is>
          <t>I'm going INSANE</t>
        </is>
      </c>
      <c r="C7736" t="inlineStr">
        <is>
          <t>So I'm almost 90% sure I have a stomach ulcer associated with all of this. I have pain under my left rib where my stomach is and I can just tell it's an ulcer, probably from the Advil I take. What is terrible is my gerd has been way worse in the past 4 months. I can't sleep because I feel like I'm choking, I have asthma so my lungs feel like they are on fire, and my vocal cords are damaged. And NOTHING works. I have a wedge pillow, I try sleeping sitting up, I try limiting food, taking pepcid everyday, drinking plenty of water, taking baking soda, you name it. Nothing has even made me feel a little bit better. And none of this is helping my anxiety. Between my allergies, gerd, asthma, and vocal cord dysfunction, I have no idea what the fuck is happening to me and it's causing panic attacks. I ended up in the ER two times because the choking feeling made me think I was dying. I just don't know where else to turn and I miss eating something other than bland sandwiches. Please help me.</t>
        </is>
      </c>
      <c r="D7736" t="n">
        <v>1</v>
      </c>
      <c r="E7736" t="n">
        <v>4</v>
      </c>
      <c r="F7736">
        <f>HYPERLINK("https://www.reddit.com/r/GERD/comments/guezzi/im_going_insane/")</f>
        <v/>
      </c>
      <c r="G7736" t="inlineStr">
        <is>
          <t>2020-05-31 22:58:08</t>
        </is>
      </c>
      <c r="H7736" t="inlineStr"/>
    </row>
    <row r="7737">
      <c r="A7737" t="inlineStr">
        <is>
          <t>gufikv</t>
        </is>
      </c>
      <c r="B7737" t="inlineStr">
        <is>
          <t>Dysphagia &amp;amp; Gerd / LPR</t>
        </is>
      </c>
      <c r="C7737" t="inlineStr">
        <is>
          <t>Hey guys, been a while since I’ve posted on here but, I was wondering if anyone here has experienced dysphagia with LPR or gerd (I have LPR) and I’ve had the dysphagia on and off for almost 3 years now. I had an endoscopy done less than a year ago, after I was fed up &amp;amp; swallowing got super difficult. When they did the endoscopy, it didn’t say much as to why I had it there was no acid reflux damage or any irritation, the doctor said my esophagus was clean and all the symptoms I was describing was coming as a surprise. 
Anyway, what would be a good next step? And has anyone had it before who completely resolved it ? At one point it was to the point where I couldn’t swallow a chip , now it’s gotten a lot better but still present with some foods</t>
        </is>
      </c>
      <c r="D7737" t="n">
        <v>1</v>
      </c>
      <c r="E7737" t="n">
        <v>18</v>
      </c>
      <c r="F7737">
        <f>HYPERLINK("https://www.reddit.com/r/GERD/comments/gufikv/dysphagia_gerd_lpr/")</f>
        <v/>
      </c>
      <c r="G7737" t="inlineStr">
        <is>
          <t>2020-05-31 23:42:18</t>
        </is>
      </c>
      <c r="H7737" t="inlineStr"/>
    </row>
    <row r="7738">
      <c r="A7738" t="inlineStr">
        <is>
          <t>gug0q7</t>
        </is>
      </c>
      <c r="B7738" t="inlineStr">
        <is>
          <t>Allergy Drops as a trigger?</t>
        </is>
      </c>
      <c r="C7738" t="inlineStr">
        <is>
          <t>I have had LPR for the past 9 months and I've been taking allergy drops under the tongue for about the same time now. I still have throat problems (eg globus) after all this time, and I was wondering if the allergy drops could be part of this issue? And would anyone know if these symptoms persist even after I'm done taking these drops?</t>
        </is>
      </c>
      <c r="D7738" t="n">
        <v>1</v>
      </c>
      <c r="E7738" t="n">
        <v>1</v>
      </c>
      <c r="F7738">
        <f>HYPERLINK("https://www.reddit.com/r/GERD/comments/gug0q7/allergy_drops_as_a_trigger/")</f>
        <v/>
      </c>
      <c r="G7738" t="inlineStr">
        <is>
          <t>2020-06-01 00:23:37</t>
        </is>
      </c>
      <c r="H7738" t="inlineStr"/>
    </row>
    <row r="7739">
      <c r="A7739" t="inlineStr">
        <is>
          <t>gugkyl</t>
        </is>
      </c>
      <c r="B7739" t="inlineStr">
        <is>
          <t>Prilosec side effects?</t>
        </is>
      </c>
      <c r="C7739" t="inlineStr">
        <is>
          <t>Hi everyone, I'm a 23 year old female who has been experiencing consistent acid reflux for over a month now. I decided to take Prilosec, but I am not on the 4th day and am having heart palpitations. My heart is racing and it's causing me to not be able to fall asleep? I also feel extremely nauseous. My head has also started to hurt. 
Has anyone experienced this?</t>
        </is>
      </c>
      <c r="D7739" t="n">
        <v>1</v>
      </c>
      <c r="E7739" t="n">
        <v>0</v>
      </c>
      <c r="F7739">
        <f>HYPERLINK("https://www.reddit.com/r/GERD/comments/gugkyl/prilosec_side_effects/")</f>
        <v/>
      </c>
      <c r="G7739" t="inlineStr">
        <is>
          <t>2020-06-01 01:10:07</t>
        </is>
      </c>
      <c r="H7739" t="inlineStr"/>
    </row>
    <row r="7740">
      <c r="A7740" t="inlineStr">
        <is>
          <t>gugy6e</t>
        </is>
      </c>
      <c r="B7740" t="inlineStr">
        <is>
          <t>recurring symptoms every 3 weeks - 1 month ? and then mostly gone on its own</t>
        </is>
      </c>
      <c r="C7740" t="inlineStr">
        <is>
          <t>Hello I was diagnosed with IBS + NERD (which I think is a milder symptoms of GERD) a couple of years back. I used to get really really nauseous, non stop burping and really fatigued during my symptoms. It was quite hellish for a couple of years.
&amp;amp;#x200B;
Doc simply said to take omeprazole daily, but I really don't want to be dependent on medicine, so I changed the way I ate, the amount of exercise and tried to lower stress etc. You know, the usual non-medicinal things they recommend to chronic GERD sufferer. I have been better, I do not take medicine anymore and most of the time I am OK, BUT, every 3-4 weeks or so, I would have the symptoms come back for 3-4 days, and then disappear on its own. This really does not seem to correlate with what I ate, amount of sleep, or how tired/stressed i am. Really feel like a switch is turned, one day I am OK, and then I woke up unwell for 3-4 days, and then I woke up well again after.  
I am just wondering if anyone else is like this ? Really want to know what could cause this sort of cycle. I am now thinking if I should take preventative omeprazole on 3-4 weeks cycle just to prevent this happening</t>
        </is>
      </c>
      <c r="D7740" t="n">
        <v>1</v>
      </c>
      <c r="E7740" t="n">
        <v>0</v>
      </c>
      <c r="F7740">
        <f>HYPERLINK("https://www.reddit.com/r/GERD/comments/gugy6e/recurring_symptoms_every_3_weeks_1_month_and_then/")</f>
        <v/>
      </c>
      <c r="G7740" t="inlineStr">
        <is>
          <t>2020-06-01 01:42:20</t>
        </is>
      </c>
      <c r="H7740" t="inlineStr"/>
    </row>
    <row r="7741">
      <c r="A7741" t="inlineStr">
        <is>
          <t>guh6sw</t>
        </is>
      </c>
      <c r="B7741" t="inlineStr">
        <is>
          <t>constant burping, not much pain, just burping alot</t>
        </is>
      </c>
      <c r="C7741" t="inlineStr">
        <is>
          <t>Guys what do i do, i'm only 17, this is kinda concerning? Thanks in advance for anything HAVE TRIED TAPING MY MOUTH</t>
        </is>
      </c>
      <c r="D7741" t="n">
        <v>1</v>
      </c>
      <c r="E7741" t="n">
        <v>15</v>
      </c>
      <c r="F7741">
        <f>HYPERLINK("https://www.reddit.com/r/GERD/comments/guh6sw/constant_burping_not_much_pain_just_burping_alot/")</f>
        <v/>
      </c>
      <c r="G7741" t="inlineStr">
        <is>
          <t>2020-06-01 02:03:39</t>
        </is>
      </c>
      <c r="H7741" t="inlineStr"/>
    </row>
    <row r="7742">
      <c r="A7742" t="inlineStr">
        <is>
          <t>guitzg</t>
        </is>
      </c>
      <c r="B7742" t="inlineStr">
        <is>
          <t>Can epigastric pain be caused by reflux?</t>
        </is>
      </c>
      <c r="C7742" t="inlineStr">
        <is>
          <t>I never have middle chest burning pain, but sometimes I have pain in the epigastric area, just below the sternum. Is it stomach related or oesophagus related ? Thanks !</t>
        </is>
      </c>
      <c r="D7742" t="n">
        <v>1</v>
      </c>
      <c r="E7742" t="n">
        <v>0</v>
      </c>
      <c r="F7742">
        <f>HYPERLINK("https://www.reddit.com/r/GERD/comments/guitzg/can_epigastric_pain_be_caused_by_reflux/")</f>
        <v/>
      </c>
      <c r="G7742" t="inlineStr">
        <is>
          <t>2020-06-01 04:20:09</t>
        </is>
      </c>
      <c r="H7742" t="inlineStr"/>
    </row>
    <row r="7743">
      <c r="A7743" t="inlineStr">
        <is>
          <t>gukic6</t>
        </is>
      </c>
      <c r="B7743" t="inlineStr">
        <is>
          <t>what should i worry about with gerd?</t>
        </is>
      </c>
      <c r="C7743" t="inlineStr">
        <is>
          <t>I am 22 and have been diagnosed with GERD in january 2020. I'm young and this doesnt feel right.... because medically, there's acid in my stomach that's more than normal. I take omeprazole, however I wasnt taking it as told because the side effects have me fucked up. however, I got them prescribed again and I want to go back to eating extremely healthy (low acid foods) and taking my pills as told from my doctor. 
I currently do not have it as bad as some people who post about it on here. I dont cough, my breath smells normal. I only feel nauseous when i over eat or consume alcohol, or when I eat my trigger foods. I cant eat as much as I used to, but I guess you can say thats not an issue bc I eat healthier portions now. my stomach just feels like there's liquid in it and it make rumbling sounds ocassionally before bed, and sometimes I feel it roll up my esophagus but not that much. (thats if i dont take my pills)
**my question is, can this develop into something worse? what if it stays constant... is that decently okay? what symptoms should I look out for that indicate it's becoming something worse?**
\*\*I know what habits to change, such as eating 2 hours before bed ... smaller portions... etc etc\*\*</t>
        </is>
      </c>
      <c r="D7743" t="n">
        <v>1</v>
      </c>
      <c r="E7743" t="n">
        <v>2</v>
      </c>
      <c r="F7743">
        <f>HYPERLINK("https://www.reddit.com/r/GERD/comments/gukic6/what_should_i_worry_about_with_gerd/")</f>
        <v/>
      </c>
      <c r="G7743" t="inlineStr">
        <is>
          <t>2020-06-01 06:19:46</t>
        </is>
      </c>
      <c r="H7743" t="inlineStr"/>
    </row>
    <row r="7744">
      <c r="A7744" t="inlineStr">
        <is>
          <t>gukno6</t>
        </is>
      </c>
      <c r="B7744" t="inlineStr">
        <is>
          <t>Why is clearing your throat bad for LPR?</t>
        </is>
      </c>
      <c r="C7744" t="inlineStr">
        <is>
          <t>I see a lot of mentions online that say "don't clear your throat" for people who have LPR, why is that? I often find myself clearing my throat with a light cough...does that make LPR worse? what should I do instead when I get that feeling of needing to clear my throat?</t>
        </is>
      </c>
      <c r="D7744" t="n">
        <v>1</v>
      </c>
      <c r="E7744" t="n">
        <v>1</v>
      </c>
      <c r="F7744">
        <f>HYPERLINK("https://www.reddit.com/r/GERD/comments/gukno6/why_is_clearing_your_throat_bad_for_lpr/")</f>
        <v/>
      </c>
      <c r="G7744" t="inlineStr">
        <is>
          <t>2020-06-01 06:29:29</t>
        </is>
      </c>
      <c r="H7744" t="inlineStr"/>
    </row>
    <row r="7745">
      <c r="A7745" t="inlineStr">
        <is>
          <t>gunrj0</t>
        </is>
      </c>
      <c r="B7745" t="inlineStr">
        <is>
          <t>some hope at the end of the tunnel?</t>
        </is>
      </c>
      <c r="C7745" t="inlineStr">
        <is>
          <t>hey, hi, hello there. I am a 21 y/o, f, i’m new to this so, hope I do this right, lol. 
I was diagnosed with GERD at a very young age, probably 6-7 y/o? I assume? anyways... I went years taking Prevacid prescription/OTC, until I stopped due to life... and other things. I got taken off insurance and could no longer afford my medications. I didn’t take them for years....
starting around May 21, i’ve had the WORST symptoms of my life. though they have gradually gotten better, in the beginning they were horrible :( 
I felt constantly as if I couldn’t breathe, even though my body knows I can, my esophagus continually spasms.... it makes my throat feel like a straw. or like it’s bulging outward or something of the sort... just so... obstructed. 
I burp frequent.... it’s quiet but it’s there. that’s also what my throat feels like, it’s a constant pre-burp feeling...
at night my ears hurt from the GERD, both sides... even all the pressure I feel in my ears sometimes extends to my eyes :( 
my chest hurts during the day, but dull, at night it’s on FIRE, the center of my chest burns and it rotates from side to side all night long. 
I have begun taking Omeprazole once in the morning, and Pepcid 20mg mid day as well as once at night. I take tums sometimes as well if my esophagus is spasming too much. I have been doing this for the past 5 days. I have seen this sorta alleviate my symptoms... but they are still there... and I want to SCREAM because I want to feel like a normal 21 year old again... I want to feel normal within my own body... I want to feel confident again, I feel so gross because of all this. :’( 
when I went to the Dr. finally on the 29th because i got enough money... he said there was nothing that could be done to help me besides what I have already been doing, and I just want to keel over and give up. :( 
does anyone else experience these symptoms? has anyone else had it this bad? did it ever stop for you? :( I just want to feel like I can get some relief. because right now I feel like there’s nothing I can do and I feel powerless. :(
I have been elevating my bed, taking medications without fail, staying away from spicy/greasy foods... trying to snack more than I eat big meals... I just hate how I feel constantly. I want to crawl out of my own skin because of how much discomfort this brings me. I have never had a flare up this bad... even in all the years i wasn’t able to take medicine... never.... :(</t>
        </is>
      </c>
      <c r="D7745" t="n">
        <v>1</v>
      </c>
      <c r="E7745" t="n">
        <v>3</v>
      </c>
      <c r="F7745">
        <f>HYPERLINK("https://www.reddit.com/r/GERD/comments/gunrj0/some_hope_at_the_end_of_the_tunnel/")</f>
        <v/>
      </c>
      <c r="G7745" t="inlineStr">
        <is>
          <t>2020-06-01 09:32:33</t>
        </is>
      </c>
      <c r="H7745" t="inlineStr"/>
    </row>
    <row r="7746">
      <c r="A7746" t="inlineStr">
        <is>
          <t>gup2rc</t>
        </is>
      </c>
      <c r="B7746" t="inlineStr">
        <is>
          <t>Floating/Undigested stool with PPI?</t>
        </is>
      </c>
      <c r="C7746" t="inlineStr">
        <is>
          <t>Im on 60mg of Dexilant right now. It's only been 2 weeks but ever since I've started i've had undigested food in stool (which from what i read is normal) but they've also been floating?? Has anyone else experienced this? 
(please don't respond with anything scary lol)</t>
        </is>
      </c>
      <c r="D7746" t="n">
        <v>0</v>
      </c>
      <c r="E7746" t="n">
        <v>0</v>
      </c>
      <c r="F7746">
        <f>HYPERLINK("https://www.reddit.com/r/GERD/comments/gup2rc/floatingundigested_stool_with_ppi/")</f>
        <v/>
      </c>
      <c r="G7746" t="inlineStr">
        <is>
          <t>2020-06-01 10:41:48</t>
        </is>
      </c>
      <c r="H7746" t="inlineStr"/>
    </row>
    <row r="7747">
      <c r="A7747" t="inlineStr">
        <is>
          <t>gupvmb</t>
        </is>
      </c>
      <c r="B7747" t="inlineStr">
        <is>
          <t>Pantoprazole not helping...any other suggestions?</t>
        </is>
      </c>
      <c r="C7747" t="inlineStr">
        <is>
          <t>Hi everyone. I posted a few days ago because my doc had me tested for h. pylori to see if that was causing my stomach pain, and it was negative. Looks like it's GERD. I was taking Protonix for months and it wasn't helping. 
I am actually losing weight now because I hate eating. The acidic feeling in my throat and the nausea are just awful. I used to be able to eat anything. I loved all kinds of acidic foods, and now even chocolate bothers me as much as tomato sauce. 
My doc is telling me to take omeprazole instead. Has anyone had luck with switching from one PPI to another?</t>
        </is>
      </c>
      <c r="D7747" t="n">
        <v>1</v>
      </c>
      <c r="E7747" t="n">
        <v>3</v>
      </c>
      <c r="F7747">
        <f>HYPERLINK("https://www.reddit.com/r/GERD/comments/gupvmb/pantoprazole_not_helpingany_other_suggestions/")</f>
        <v/>
      </c>
      <c r="G7747" t="inlineStr">
        <is>
          <t>2020-06-01 11:23:28</t>
        </is>
      </c>
      <c r="H7747" t="inlineStr"/>
    </row>
    <row r="7748">
      <c r="A7748" t="inlineStr">
        <is>
          <t>guqfel</t>
        </is>
      </c>
      <c r="B7748" t="inlineStr">
        <is>
          <t>Breakfast issues?</t>
        </is>
      </c>
      <c r="C7748" t="inlineStr">
        <is>
          <t>I have been having issues with breakfast like it just doesn’t digest. Then I’m staving at lunch and grumpy if I don’t eat</t>
        </is>
      </c>
      <c r="D7748" t="n">
        <v>1</v>
      </c>
      <c r="E7748" t="n">
        <v>6</v>
      </c>
      <c r="F7748">
        <f>HYPERLINK("https://www.reddit.com/r/GERD/comments/guqfel/breakfast_issues/")</f>
        <v/>
      </c>
      <c r="G7748" t="inlineStr">
        <is>
          <t>2020-06-01 11:52:00</t>
        </is>
      </c>
      <c r="H7748" t="inlineStr"/>
    </row>
    <row r="7749">
      <c r="A7749" t="inlineStr">
        <is>
          <t>gur3ae</t>
        </is>
      </c>
      <c r="B7749" t="inlineStr">
        <is>
          <t>Aloe juice for GERD</t>
        </is>
      </c>
      <c r="C7749" t="inlineStr">
        <is>
          <t>Just curious if anyone has tried aloe juice for GERD. I can't tell if it's just a coincidence, but ever since I started drinking aloe juice, my symptoms have subsided.  I tried protonix briefly but it didn't work for me. Basically the only thing I do now is drink 8 ounces of pure aloe juice every morning, take probiotics regularly and don't eat 3 hours before bed and my symptoms are almost completely gone.</t>
        </is>
      </c>
      <c r="D7749" t="n">
        <v>1</v>
      </c>
      <c r="E7749" t="n">
        <v>21</v>
      </c>
      <c r="F7749">
        <f>HYPERLINK("https://www.reddit.com/r/GERD/comments/gur3ae/aloe_juice_for_gerd/")</f>
        <v/>
      </c>
      <c r="G7749" t="inlineStr">
        <is>
          <t>2020-06-01 12:25:09</t>
        </is>
      </c>
      <c r="H7749" t="inlineStr"/>
    </row>
    <row r="7750">
      <c r="A7750" t="inlineStr">
        <is>
          <t>gurdnz</t>
        </is>
      </c>
      <c r="B7750" t="inlineStr">
        <is>
          <t>H Pylori infection.</t>
        </is>
      </c>
      <c r="C7750" t="inlineStr">
        <is>
          <t>I have posted a few times on reddit.  My reflux journey  began in january when i was admitted to hospital with chest pains.  It turned out to be reflux.  I struggled during lockdown with pain, pressure and sleepless nights.  I then ended up with severe chest pains and there was another visit to A&amp;amp; E.  Same result as nothing showed in bloods.  Heart, liver and  kidneys were fine.   I spoke to my doctor who arranged for me to come in and give blood samples and a stool sample.  Result was severe Vitamim D deficiency and infection in the stomach caused by H Pylori bacteria.  This was causing the acid reflux and enlarged spleen which i felt as swelling under left ribcage.  I am now on 2 courses of antibiotics as well as lansaprazole to keep acid level down so antibiotics can do thier job.  It has been a hellish 5 months but i feel that i am alot better already.  Sorry for the long post.  I juat wanted to share my experience to help others out there .</t>
        </is>
      </c>
      <c r="D7750" t="n">
        <v>3</v>
      </c>
      <c r="E7750" t="n">
        <v>20</v>
      </c>
      <c r="F7750">
        <f>HYPERLINK("https://www.reddit.com/r/GERD/comments/gurdnz/h_pylori_infection/")</f>
        <v/>
      </c>
      <c r="G7750" t="inlineStr">
        <is>
          <t>2020-06-01 12:39:50</t>
        </is>
      </c>
      <c r="H7750" t="inlineStr"/>
    </row>
    <row r="7751">
      <c r="A7751" t="inlineStr">
        <is>
          <t>gus3d4</t>
        </is>
      </c>
      <c r="B7751" t="inlineStr">
        <is>
          <t>Off Dexilant and symptoms came back??</t>
        </is>
      </c>
      <c r="C7751" t="inlineStr">
        <is>
          <t>Hello Gerd friends. I took Dexilant for 90 days and it greatly relieved my biggest symptom which I think is called Globus - a sense that I have a stick caught in my throat. Now that I am off the meds the sensation is back. An endoscopy is not possible right now. Has anyone btdt? Do you go back on the meds? Thank you.</t>
        </is>
      </c>
      <c r="D7751" t="n">
        <v>1</v>
      </c>
      <c r="E7751" t="n">
        <v>0</v>
      </c>
      <c r="F7751">
        <f>HYPERLINK("https://www.reddit.com/r/GERD/comments/gus3d4/off_dexilant_and_symptoms_came_back/")</f>
        <v/>
      </c>
      <c r="G7751" t="inlineStr">
        <is>
          <t>2020-06-01 13:17:02</t>
        </is>
      </c>
      <c r="H7751" t="inlineStr"/>
    </row>
    <row r="7752">
      <c r="A7752" t="inlineStr">
        <is>
          <t>gushp4</t>
        </is>
      </c>
      <c r="B7752" t="inlineStr">
        <is>
          <t>Is it possible to contract H pylori after long term ppi use?</t>
        </is>
      </c>
      <c r="C7752" t="inlineStr">
        <is>
          <t>I took a ppi for about 8 months because my doctor thought I had gastritis. 
Turns out I didn't so I discontinued them. It's about 2.5 months since I've been off them and I'm still getting mild heartburn daily.
I never had heartburn like this prior to starting to the ppi.
Could this be an h pylori infection that I picked up while taking the ppi or something else?</t>
        </is>
      </c>
      <c r="D7752" t="n">
        <v>0</v>
      </c>
      <c r="E7752" t="n">
        <v>7</v>
      </c>
      <c r="F7752">
        <f>HYPERLINK("https://www.reddit.com/r/GERD/comments/gushp4/is_it_possible_to_contract_h_pylori_after_long/")</f>
        <v/>
      </c>
      <c r="G7752" t="inlineStr">
        <is>
          <t>2020-06-01 13:38:00</t>
        </is>
      </c>
      <c r="H7752" t="inlineStr"/>
    </row>
    <row r="7753">
      <c r="A7753" t="inlineStr">
        <is>
          <t>guswrz</t>
        </is>
      </c>
      <c r="B7753" t="inlineStr">
        <is>
          <t>My protonix peeps!!</t>
        </is>
      </c>
      <c r="C7753" t="inlineStr">
        <is>
          <t>Did using protonix give you dry mouth and/or dry eyes ?
Trying to determine if I’m dehydrated or if these dam pills are causing it. 
I think it’s the pills cause I drink an ok amount of water .. but anyone else out there had this issue ?</t>
        </is>
      </c>
      <c r="D7753" t="n">
        <v>1</v>
      </c>
      <c r="E7753" t="n">
        <v>0</v>
      </c>
      <c r="F7753">
        <f>HYPERLINK("https://www.reddit.com/r/GERD/comments/guswrz/my_protonix_peeps/")</f>
        <v/>
      </c>
      <c r="G7753" t="inlineStr">
        <is>
          <t>2020-06-01 13:59:26</t>
        </is>
      </c>
      <c r="H7753" t="inlineStr"/>
    </row>
    <row r="7754">
      <c r="A7754" t="inlineStr">
        <is>
          <t>guupag</t>
        </is>
      </c>
      <c r="B7754" t="inlineStr">
        <is>
          <t>Anyone have dental issues because of LPR?</t>
        </is>
      </c>
      <c r="C7754" t="inlineStr">
        <is>
          <t>I don't know if this is a false correlation, but right around the time my acid reflux started getting really bad, and i was waking up with a sore throat every morning, my dental health went down the drain, too. i had to go to a dentist for a regular cleaning and then a painful deep gum cleaning for my plaque buildup and gum inflammation. now, only three months after that cleaning, lots of plaque has come back.
i have never really had issues with my teeth and gums before. i brush rigorously and use mouthwash. i eat pretty healthy. i feel like i'm going nuts...</t>
        </is>
      </c>
      <c r="D7754" t="n">
        <v>1</v>
      </c>
      <c r="E7754" t="n">
        <v>10</v>
      </c>
      <c r="F7754">
        <f>HYPERLINK("https://www.reddit.com/r/GERD/comments/guupag/anyone_have_dental_issues_because_of_lpr/")</f>
        <v/>
      </c>
      <c r="G7754" t="inlineStr">
        <is>
          <t>2020-06-01 15:34:05</t>
        </is>
      </c>
      <c r="H7754" t="inlineStr"/>
    </row>
    <row r="7755">
      <c r="A7755" t="inlineStr">
        <is>
          <t>guvjkq</t>
        </is>
      </c>
      <c r="B7755" t="inlineStr">
        <is>
          <t>Magnesium citrate increasing acid?</t>
        </is>
      </c>
      <c r="C7755" t="inlineStr">
        <is>
          <t>Anyone else have a problem with magnesium citrate? I‘ve been taking it for years before my gerd symptoms started but lately I noticed that it seems to give me a sort of acid trickle in the throat. 
Not sure if it increases my stomach acid / gives me a sour stomach or decreases it like an antacid... 
Magnesium citrate also gives me bloating, I guess that’s normal because it has an osmotic effect.</t>
        </is>
      </c>
      <c r="D7755" t="n">
        <v>1</v>
      </c>
      <c r="E7755" t="n">
        <v>1</v>
      </c>
      <c r="F7755">
        <f>HYPERLINK("https://www.reddit.com/r/GERD/comments/guvjkq/magnesium_citrate_increasing_acid/")</f>
        <v/>
      </c>
      <c r="G7755" t="inlineStr">
        <is>
          <t>2020-06-01 16:20:32</t>
        </is>
      </c>
      <c r="H7755" t="inlineStr"/>
    </row>
    <row r="7756">
      <c r="A7756" t="inlineStr">
        <is>
          <t>guvnff</t>
        </is>
      </c>
      <c r="B7756" t="inlineStr">
        <is>
          <t>Does anyone get GERD (or maybe just gas) pain above their collarbone/shoulder area?</t>
        </is>
      </c>
      <c r="C7756" t="inlineStr">
        <is>
          <t>I haven’t been officially diagnosed with GERD but a lot of my doctors and I have just assumed that’s what I have considering I get all of the staple symptoms. 
That being said though, I sometimes get pain in my upper right quadrant (so around the bottom of my ribs on the right side) and above my collarbone near where it dips in that sometimes is closer to my neck. The pain comes and goes and I don’t have it every day and it hurts when I take a deep breath, flex, try to pass gas, etc etc. I have it pretty bad today and have been super belchy and gassy so I’m wondering if it’s just a new presentation. Google also says it could be something more serious though so idk. Does anyone else have this? I’m assuming it might just be really bad gas pressure? Really just nervous I need to go to the ER.</t>
        </is>
      </c>
      <c r="D7756" t="n">
        <v>1</v>
      </c>
      <c r="E7756" t="n">
        <v>3</v>
      </c>
      <c r="F7756">
        <f>HYPERLINK("https://www.reddit.com/r/GERD/comments/guvnff/does_anyone_get_gerd_or_maybe_just_gas_pain_above/")</f>
        <v/>
      </c>
      <c r="G7756" t="inlineStr">
        <is>
          <t>2020-06-01 16:26:31</t>
        </is>
      </c>
      <c r="H7756" t="inlineStr"/>
    </row>
    <row r="7757">
      <c r="A7757" t="inlineStr">
        <is>
          <t>guvox5</t>
        </is>
      </c>
      <c r="B7757" t="inlineStr">
        <is>
          <t>what to do when you go to bed and you shooting acid from hunger?</t>
        </is>
      </c>
      <c r="C7757" t="inlineStr">
        <is>
          <t>If i'm refluxing acid from an empty stomach when going to bed, should I just endure it or eat something? Like what is worse, going to bed with food in your stomach, or refluxing from an empty stomach?</t>
        </is>
      </c>
      <c r="D7757" t="n">
        <v>1</v>
      </c>
      <c r="E7757" t="n">
        <v>4</v>
      </c>
      <c r="F7757">
        <f>HYPERLINK("https://www.reddit.com/r/GERD/comments/guvox5/what_to_do_when_you_go_to_bed_and_you_shooting/")</f>
        <v/>
      </c>
      <c r="G7757" t="inlineStr">
        <is>
          <t>2020-06-01 16:28:48</t>
        </is>
      </c>
      <c r="H7757" t="inlineStr"/>
    </row>
    <row r="7758">
      <c r="A7758" t="inlineStr">
        <is>
          <t>gux6uz</t>
        </is>
      </c>
      <c r="B7758" t="inlineStr">
        <is>
          <t>Does acid rebound happen after stopping h2 blockers?</t>
        </is>
      </c>
      <c r="C7758" t="inlineStr">
        <is>
          <t>Can't really find much information if it does or not. So thoughts??</t>
        </is>
      </c>
      <c r="D7758" t="n">
        <v>1</v>
      </c>
      <c r="E7758" t="n">
        <v>9</v>
      </c>
      <c r="F7758">
        <f>HYPERLINK("https://www.reddit.com/r/GERD/comments/gux6uz/does_acid_rebound_happen_after_stopping_h2/")</f>
        <v/>
      </c>
      <c r="G7758" t="inlineStr">
        <is>
          <t>2020-06-01 17:55:30</t>
        </is>
      </c>
      <c r="H7758" t="inlineStr"/>
    </row>
    <row r="7759">
      <c r="A7759" t="inlineStr">
        <is>
          <t>guykl3</t>
        </is>
      </c>
      <c r="B7759" t="inlineStr">
        <is>
          <t>19th birthday</t>
        </is>
      </c>
      <c r="C7759" t="inlineStr">
        <is>
          <t>It’s my 19th so I’m legal and all of my friends and family stopped by for a social distancing shot or drink. I’m drunk now and I’m not sure what to do because it’s so painful. Should I throw up or will I feel worse?</t>
        </is>
      </c>
      <c r="D7759" t="n">
        <v>1</v>
      </c>
      <c r="E7759" t="n">
        <v>3</v>
      </c>
      <c r="F7759">
        <f>HYPERLINK("https://www.reddit.com/r/GERD/comments/guykl3/19th_birthday/")</f>
        <v/>
      </c>
      <c r="G7759" t="inlineStr">
        <is>
          <t>2020-06-01 19:20:12</t>
        </is>
      </c>
      <c r="H7759" t="inlineStr"/>
    </row>
    <row r="7760">
      <c r="A7760" t="inlineStr">
        <is>
          <t>guz0ay</t>
        </is>
      </c>
      <c r="B7760" t="inlineStr">
        <is>
          <t>The connection between IBS &amp;amp; GERD or LPR</t>
        </is>
      </c>
      <c r="C7760" t="inlineStr">
        <is>
          <t>Hey I just wanted to bring this to everyone’s attention on this sub. 
I don’t have diagnosed IBS, but I do have diagnosed LPR (kinda). Anyway, I never really tied the two together, but now that I look back, I definitely have IBS symptoms regularly , but I’d say mildly. If there is strong evidence that they’re tied together, then a lot of people should be experiencing both at the same time. I’m sure there’s the group of people with GERD who only have gerd and not IBS, but those of us with both and no underlying reason as to why we have gerd... it is more than likely that the IBS is inducing the gerd/LPR. Anyone else read this studies? 
My best guess to treat gerd In this case would be to treat the IBS first 
Thoughts ? 
Here’s a [source](https://www.healthline.com/health/gerd/ibs)</t>
        </is>
      </c>
      <c r="D7760" t="n">
        <v>1</v>
      </c>
      <c r="E7760" t="n">
        <v>4</v>
      </c>
      <c r="F7760">
        <f>HYPERLINK("https://www.reddit.com/r/GERD/comments/guz0ay/the_connection_between_ibs_gerd_or_lpr/")</f>
        <v/>
      </c>
      <c r="G7760" t="inlineStr">
        <is>
          <t>2020-06-01 19:47:58</t>
        </is>
      </c>
      <c r="H7760" t="inlineStr"/>
    </row>
    <row r="7761">
      <c r="A7761" t="inlineStr">
        <is>
          <t>gv0muv</t>
        </is>
      </c>
      <c r="B7761" t="inlineStr">
        <is>
          <t>Nexium Shortness of Breath</t>
        </is>
      </c>
      <c r="C7761" t="inlineStr">
        <is>
          <t>Has anyone experienced shortness of breath while on Nexium?</t>
        </is>
      </c>
      <c r="D7761" t="n">
        <v>1</v>
      </c>
      <c r="E7761" t="n">
        <v>1</v>
      </c>
      <c r="F7761">
        <f>HYPERLINK("https://www.reddit.com/r/GERD/comments/gv0muv/nexium_shortness_of_breath/")</f>
        <v/>
      </c>
      <c r="G7761" t="inlineStr">
        <is>
          <t>2020-06-01 21:40:26</t>
        </is>
      </c>
      <c r="H7761" t="inlineStr"/>
    </row>
    <row r="7762">
      <c r="A7762" t="inlineStr">
        <is>
          <t>gv1aue</t>
        </is>
      </c>
      <c r="B7762" t="inlineStr">
        <is>
          <t>Does anyone have less symptoms when they eat MORE?</t>
        </is>
      </c>
      <c r="C7762" t="inlineStr">
        <is>
          <t>Hi, I have been having bad reflux lately. It flares up every now and then but it's been ongoing for about 7 months now.
Weirdly I have noticed if I eat a lot during the day, even with big portions, I feel a lot better and have less acid reflux.
When I eat small portions spaced out I have more acid reflux and also experience a "skipping" feeling in my chest/throat. (Almost like my heart is skipping... Anyone else get this? I'm prone to anxiety/panic attacks so this might be related to that and not the acid reflux).
On the weekend I always end up overeating and kind of binge eating but throughout the day I feel okay. During the week when I eat less is when I mostly experience acid reflux and sometimes even Gaviscon doesn't help (like today :( )
Is it possible my symptoms during the week are a delayed reaction to my bad habits on the weekend? Today is Tuesday and I have been having a really bad flare up. I did binge drink on Saturday (I don't drink usually) so I'm wondering if this is somehow a super delayed reaction to the binge drinking?
Sorry if this is all over the place. Typing fast. Thanks!</t>
        </is>
      </c>
      <c r="D7762" t="n">
        <v>1</v>
      </c>
      <c r="E7762" t="n">
        <v>40</v>
      </c>
      <c r="F7762">
        <f>HYPERLINK("https://www.reddit.com/r/GERD/comments/gv1aue/does_anyone_have_less_symptoms_when_they_eat_more/")</f>
        <v/>
      </c>
      <c r="G7762" t="inlineStr">
        <is>
          <t>2020-06-01 22:30:25</t>
        </is>
      </c>
      <c r="H7762" t="inlineStr"/>
    </row>
    <row r="7763">
      <c r="A7763" t="inlineStr">
        <is>
          <t>gv1i9x</t>
        </is>
      </c>
      <c r="B7763" t="inlineStr">
        <is>
          <t>What is wrong with me?</t>
        </is>
      </c>
      <c r="C7763" t="inlineStr">
        <is>
          <t>Woke up one morning with a terrible headache that made me NAUSEOUS.  Went back to sleep and seconds later woke up with a gasp for air.  Thought I had COVID lol.  Burning/numb sensation wrapping all around my rib cage.  Same feeling up my chest.  Sharp pains in my chest, in my back, in between my shoulder blades, in my neck, and chest pains radiate to my head.  It feels like there is solid food stuck inside my chest at ALL times.  I can’t sleep right now because the pain is too unbearable.  Head pain gets so bad that I feel it in my sinuses, and my ears have been popping for two months now since feeling like this.  The other day I finally felt what made me think this could be acid reflux.  Weird slow crawling feeling up my throat and roof of my mouth, best way I can describe it is that it felt like I just inhaled water.  Scary choking feeling that I washed down with some water.  Do I have acid reflux?  I can’t stand this feeling of something stuck in my chest, giving me BAD headaches!!!</t>
        </is>
      </c>
      <c r="D7763" t="n">
        <v>1</v>
      </c>
      <c r="E7763" t="n">
        <v>4</v>
      </c>
      <c r="F7763">
        <f>HYPERLINK("https://www.reddit.com/r/GERD/comments/gv1i9x/what_is_wrong_with_me/")</f>
        <v/>
      </c>
      <c r="G7763" t="inlineStr">
        <is>
          <t>2020-06-01 22:46:09</t>
        </is>
      </c>
      <c r="H7763" t="inlineStr"/>
    </row>
    <row r="7764">
      <c r="A7764" t="inlineStr">
        <is>
          <t>gv1wbb</t>
        </is>
      </c>
      <c r="B7764" t="inlineStr">
        <is>
          <t>Advice about recently prescribed PPI?</t>
        </is>
      </c>
      <c r="C7764" t="inlineStr">
        <is>
          <t>I am 26. My symptoms are mostly heartburn (from trigger foods, coffee or alcohol), throat tightness, and difficulty sleeping due to reflux at night when laying down. A few months ago I had a period of labored breathing for a few weeks that hasn’t come back.
After speaking with a doctor last week over a video chat for a few minutes I was prescribed PPI once a day for a few weeks to see if it helps. So far it has provided me with relief but I am worried about long term side effects if they want me to continue taking it. 
Are you taking PPI long term, how has it worked for you?
Should I go to a specialist for a proper diagnosis?</t>
        </is>
      </c>
      <c r="D7764" t="n">
        <v>1</v>
      </c>
      <c r="E7764" t="n">
        <v>4</v>
      </c>
      <c r="F7764">
        <f>HYPERLINK("https://www.reddit.com/r/GERD/comments/gv1wbb/advice_about_recently_prescribed_ppi/")</f>
        <v/>
      </c>
      <c r="G7764" t="inlineStr">
        <is>
          <t>2020-06-01 23:17:16</t>
        </is>
      </c>
      <c r="H7764" t="inlineStr"/>
    </row>
    <row r="7765">
      <c r="A7765" t="inlineStr">
        <is>
          <t>gv2c8g</t>
        </is>
      </c>
      <c r="B7765" t="inlineStr">
        <is>
          <t>Not sure if this is GERD or something else. Throat pain is mostly exacerbated by talking.</t>
        </is>
      </c>
      <c r="C7765" t="inlineStr">
        <is>
          <t>\*I'm not asking for a diagnosis, I've already seen an ENT about the throat pain and plan on asking my gastroenterologist when I get the chance.   I'm just curious if other people have GERD that's primarily brought on by talking.  
A week ago I thought I may have damaged my vocal chords by yelling.   I yelled way too loud and started getting a sore throat / slightly horse voice.   I tried to avoid talking as much as possible giving my voice a rest and after only minimal talking over the weekend my throat started feeling better.  Monday morning I had an ENT appointment where they did a laparoscopy sticking a camera through my nose to visualize my vocal chords.  They told me my vocal chords looked fine and they didn't see signs of inflammation, and at that point I felt fine.   
After the Dr appointment I had to do a fair amount of talking at work by the end of the day my throat started burning again.   Nothing seems to alleviate the burning in the short term.   
I don't think it's nerves, I work a stressful job, but I'm not especially stressed at the moment and when this came on I wasn't really stressed at all.   I only have a small frame of reference, but I haven't noticed a cause/effect with the foods I eat.   It seems like talking is the primary thing that's been precipitating this throat pain.</t>
        </is>
      </c>
      <c r="D7765" t="n">
        <v>1</v>
      </c>
      <c r="E7765" t="n">
        <v>10</v>
      </c>
      <c r="F7765">
        <f>HYPERLINK("https://www.reddit.com/r/GERD/comments/gv2c8g/not_sure_if_this_is_gerd_or_something_else_throat/")</f>
        <v/>
      </c>
      <c r="G7765" t="inlineStr">
        <is>
          <t>2020-06-01 23:52:55</t>
        </is>
      </c>
      <c r="H7765" t="inlineStr"/>
    </row>
    <row r="7766">
      <c r="A7766" t="inlineStr">
        <is>
          <t>gv4e7c</t>
        </is>
      </c>
      <c r="B7766" t="inlineStr">
        <is>
          <t>Could Use Some Help Please</t>
        </is>
      </c>
      <c r="C7766" t="inlineStr">
        <is>
          <t>Hey everyone. I'm new to reddit but I have a huge question that I really need some advice on.
I am a 21 year old male. I would say I use to be pretty active. I've allowed myself to fall quite abit. Haven't gained too much weight. Just stopped really working out for abit of weeks, expecting to get back into it this week.
However, there is this constant thing that continues to happen to me and I don't know what the hell it is.
So a little backstory, my mom, and her side of the family all suffer from bad heartburn and have issues with it sometimes. So they limit certain foods that they eat so they don't have a reaction.
For the longest time I didn't believe I had it. But I don't know anymore.
Now I have a fear of nausea. A fear of stomach sickness.
So to me, it's always the worst experience of my life whenever this happens.
So, as for what I'm experiencing 
As of right now.
At random times, random nights. I will wake up. Feeling as if I'm about to puke. I'll feel my heart gojng crazy. Then I get up. Take a couple breaths and relax. It eventually goes away. Some nights I'll choke on some acid. However majority of the time I just wake up with my heart fluttering like crazy feeling nauseated.
Tonight was one of the worst nights I've been like this. I need some answers.
Am I suffering from gerd? Or is it something else?
I take pepto almost daily, Right before sleeping, but it doesn't seem to be 100% affective. As for a potential cause for tonight's massive reaction, I ate 3 mini croissants before sleeping within the 2 hours.
Please help me. Thank you.</t>
        </is>
      </c>
      <c r="D7766" t="n">
        <v>1</v>
      </c>
      <c r="E7766" t="n">
        <v>3</v>
      </c>
      <c r="F7766">
        <f>HYPERLINK("https://www.reddit.com/r/GERD/comments/gv4e7c/could_use_some_help_please/")</f>
        <v/>
      </c>
      <c r="G7766" t="inlineStr">
        <is>
          <t>2020-06-02 02:50:28</t>
        </is>
      </c>
      <c r="H7766" t="inlineStr"/>
    </row>
    <row r="7767">
      <c r="A7767" t="inlineStr">
        <is>
          <t>gv51ze</t>
        </is>
      </c>
      <c r="B7767" t="inlineStr">
        <is>
          <t>Gaviscon Advance</t>
        </is>
      </c>
      <c r="C7767" t="inlineStr">
        <is>
          <t>Anyone know where I can get Gaviscon Advance? I’ve seen it on Amazon but it’s crazy expense. I live in the US.</t>
        </is>
      </c>
      <c r="D7767" t="n">
        <v>1</v>
      </c>
      <c r="E7767" t="n">
        <v>13</v>
      </c>
      <c r="F7767">
        <f>HYPERLINK("https://www.reddit.com/r/GERD/comments/gv51ze/gaviscon_advance/")</f>
        <v/>
      </c>
      <c r="G7767" t="inlineStr">
        <is>
          <t>2020-06-02 03:44:28</t>
        </is>
      </c>
      <c r="H7767" t="inlineStr"/>
    </row>
    <row r="7768">
      <c r="A7768" t="inlineStr">
        <is>
          <t>gv5duw</t>
        </is>
      </c>
      <c r="B7768" t="inlineStr">
        <is>
          <t>Best way to get rid of upset stomach?</t>
        </is>
      </c>
      <c r="C7768" t="inlineStr">
        <is>
          <t>I got an endoscopy and everything came back normal but my stomach is always still upset and hurting which went away the other day after having a bowel movement but now its back, how can i make go away?</t>
        </is>
      </c>
      <c r="D7768" t="n">
        <v>1</v>
      </c>
      <c r="E7768" t="n">
        <v>13</v>
      </c>
      <c r="F7768">
        <f>HYPERLINK("https://www.reddit.com/r/GERD/comments/gv5duw/best_way_to_get_rid_of_upset_stomach/")</f>
        <v/>
      </c>
      <c r="G7768" t="inlineStr">
        <is>
          <t>2020-06-02 04:10:44</t>
        </is>
      </c>
      <c r="H7768" t="inlineStr"/>
    </row>
    <row r="7769">
      <c r="A7769" t="inlineStr">
        <is>
          <t>gv6xy8</t>
        </is>
      </c>
      <c r="B7769" t="inlineStr">
        <is>
          <t>Soothing your throat</t>
        </is>
      </c>
      <c r="C7769" t="inlineStr">
        <is>
          <t>Hi all,
I'm finally becoming able to manage my GERD with diet and behavioural changes (and the occasional antacid). Despite being a lot less severe, when I do get an occasional flare up I end up having a bit of a tender throat for the next 24 hours or so. 
Does anyone have any experience with helping sooth a sore/itchy throat caused by gerd? So far I've only really had success with chewing gum and I often wonder if that is going to relax my LES, even if it does give my throat some relief. 
Thanks!</t>
        </is>
      </c>
      <c r="D7769" t="n">
        <v>1</v>
      </c>
      <c r="E7769" t="n">
        <v>19</v>
      </c>
      <c r="F7769">
        <f>HYPERLINK("https://www.reddit.com/r/GERD/comments/gv6xy8/soothing_your_throat/")</f>
        <v/>
      </c>
      <c r="G7769" t="inlineStr">
        <is>
          <t>2020-06-02 06:03:10</t>
        </is>
      </c>
      <c r="H7769" t="inlineStr"/>
    </row>
    <row r="7770">
      <c r="A7770" t="inlineStr">
        <is>
          <t>gv7mov</t>
        </is>
      </c>
      <c r="B7770" t="inlineStr">
        <is>
          <t>How long is too long for GERD symptoms?</t>
        </is>
      </c>
      <c r="C7770" t="inlineStr">
        <is>
          <t>I have a phone call with my doctor coming up but I wanted to get a sense of others experiences as every doctor I’ve ever gone to has really minimized my symptoms for everything. I would get acid reflux on and off for no more than a week at a time but it’s really prolonged and uncomfortable now.
From reading online I see that GERD is when you have moderate acid reflux symptoms at least twice a week. I’ve had them every day to varying degrees for the last 3 weeks :( variety of nausea, lump in throat, sour taste/smell in mouth just to name a few. Pepcid helped for a bit but then I think my body is just used to it now!
TLDR: has anyone had GERD symptoms frequently for 3 ish weeks? Are there any other conditions like an ulcer that could be why it’s so bad?</t>
        </is>
      </c>
      <c r="D7770" t="n">
        <v>1</v>
      </c>
      <c r="E7770" t="n">
        <v>5</v>
      </c>
      <c r="F7770">
        <f>HYPERLINK("https://www.reddit.com/r/GERD/comments/gv7mov/how_long_is_too_long_for_gerd_symptoms/")</f>
        <v/>
      </c>
      <c r="G7770" t="inlineStr">
        <is>
          <t>2020-06-02 06:46:52</t>
        </is>
      </c>
      <c r="H7770" t="inlineStr"/>
    </row>
    <row r="7771">
      <c r="A7771" t="inlineStr">
        <is>
          <t>gv8m1v</t>
        </is>
      </c>
      <c r="B7771" t="inlineStr">
        <is>
          <t>Dreams about teeth falling out</t>
        </is>
      </c>
      <c r="C7771" t="inlineStr">
        <is>
          <t>Second one in 6 months, woke up and my teeth were aching and my mouth was sour.  I hate this disease.  You do everything right for months and can still have relapse from one night of poor eating/drinking.</t>
        </is>
      </c>
      <c r="D7771" t="n">
        <v>3</v>
      </c>
      <c r="E7771" t="n">
        <v>9</v>
      </c>
      <c r="F7771">
        <f>HYPERLINK("https://www.reddit.com/r/GERD/comments/gv8m1v/dreams_about_teeth_falling_out/")</f>
        <v/>
      </c>
      <c r="G7771" t="inlineStr">
        <is>
          <t>2020-06-02 07:46:20</t>
        </is>
      </c>
      <c r="H7771" t="inlineStr"/>
    </row>
    <row r="7772">
      <c r="A7772" t="inlineStr">
        <is>
          <t>gv8w49</t>
        </is>
      </c>
      <c r="B7772" t="inlineStr">
        <is>
          <t>Red lesion on esophagus , what does it mean</t>
        </is>
      </c>
      <c r="C7772" t="inlineStr">
        <is>
          <t>Hello,  after a fibroscopy they found a " suspicious" red lesion on my esophagus,  the biopsy came back today and it was " Moderate inflammation without dyplasia, absence of metaplasia" 
My GI told me its nothing 
What it can be please ?</t>
        </is>
      </c>
      <c r="D7772" t="n">
        <v>1</v>
      </c>
      <c r="E7772" t="n">
        <v>1</v>
      </c>
      <c r="F7772">
        <f>HYPERLINK("https://www.reddit.com/r/GERD/comments/gv8w49/red_lesion_on_esophagus_what_does_it_mean/")</f>
        <v/>
      </c>
      <c r="G7772" t="inlineStr">
        <is>
          <t>2020-06-02 08:02:37</t>
        </is>
      </c>
      <c r="H7772" t="inlineStr"/>
    </row>
    <row r="7773">
      <c r="A7773" t="inlineStr">
        <is>
          <t>gvbik4</t>
        </is>
      </c>
      <c r="B7773" t="inlineStr">
        <is>
          <t>Chest pain on the left side?</t>
        </is>
      </c>
      <c r="C7773" t="inlineStr">
        <is>
          <t>Sometimes I have pain either on right or left side. Usually it’s on the right (about 90 percent of the time). Today I’m experiencing it on the left side. I keep having anxiety attack that I’m having a heart attack or it’s a heart problem. But there’s also that familiar feeling of the cooling/minty sensation. This is probably a GERD symptom right? Does anyone else also get pain on the left right?</t>
        </is>
      </c>
      <c r="D7773" t="n">
        <v>1</v>
      </c>
      <c r="E7773" t="n">
        <v>2</v>
      </c>
      <c r="F7773">
        <f>HYPERLINK("https://www.reddit.com/r/GERD/comments/gvbik4/chest_pain_on_the_left_side/")</f>
        <v/>
      </c>
      <c r="G7773" t="inlineStr">
        <is>
          <t>2020-06-02 10:22:15</t>
        </is>
      </c>
      <c r="H7773" t="inlineStr"/>
    </row>
    <row r="7774">
      <c r="A7774" t="inlineStr">
        <is>
          <t>gvfgp7</t>
        </is>
      </c>
      <c r="B7774" t="inlineStr">
        <is>
          <t>Today is my last day having GERD.</t>
        </is>
      </c>
      <c r="C7774" t="inlineStr">
        <is>
          <t>I’m having the Nissen Fundoplication tomorrow. I am 21 years old and was born with GERD. I have Barrett’s Esophagus and a Hiatal Hernia. I can’t wait for this fight to be over.
I am so nervous and excited. The biggest part of my life is going away tomorrow and as happy as I am about it it feels so weird.</t>
        </is>
      </c>
      <c r="D7774" t="n">
        <v>9</v>
      </c>
      <c r="E7774" t="n">
        <v>78</v>
      </c>
      <c r="F7774">
        <f>HYPERLINK("https://www.reddit.com/r/GERD/comments/gvfgp7/today_is_my_last_day_having_gerd/")</f>
        <v/>
      </c>
      <c r="G7774" t="inlineStr">
        <is>
          <t>2020-06-02 13:46:54</t>
        </is>
      </c>
      <c r="H7774" t="inlineStr"/>
    </row>
    <row r="7775">
      <c r="A7775" t="inlineStr">
        <is>
          <t>gvfhsm</t>
        </is>
      </c>
      <c r="B7775" t="inlineStr">
        <is>
          <t>Protonix side effects</t>
        </is>
      </c>
      <c r="C7775" t="inlineStr">
        <is>
          <t>So I’ve been taking protonix for about 20+ days. 
My stomach acid does seem to be lower and symptoms are getting better. But the side effects I think I’m having are just getting out of hand in my opinion. 
Has anyone on protonix has an issue with 
Muscle cramps, spasms, weakness
Feeling tired feeling dizzy or spaced out 
Dry mouth like no matter what I do I’m so thirsty. 
Increased urination
Ringing in the ears, headaches and all of that fun stuff on these things. 
I’m debating if I should switch to Prilosec... yeah they have helped but idk I just feel like crap each day like no energy and just feel like I’m in a fog most times along with muscle weakness/spasms that just suck, the headaches come and go as well. 
I’m thinking maybe a more mild PPI will help me and maybe not have these side effects ? I’m also taking 40 mg twice a day. 
Thanks guys !</t>
        </is>
      </c>
      <c r="D7775" t="n">
        <v>1</v>
      </c>
      <c r="E7775" t="n">
        <v>6</v>
      </c>
      <c r="F7775">
        <f>HYPERLINK("https://www.reddit.com/r/GERD/comments/gvfhsm/protonix_side_effects/")</f>
        <v/>
      </c>
      <c r="G7775" t="inlineStr">
        <is>
          <t>2020-06-02 13:48:29</t>
        </is>
      </c>
      <c r="H7775" t="inlineStr"/>
    </row>
    <row r="7776">
      <c r="A7776" t="inlineStr">
        <is>
          <t>gvg6ug</t>
        </is>
      </c>
      <c r="B7776" t="inlineStr">
        <is>
          <t>Advice about barrets esophogus?</t>
        </is>
      </c>
      <c r="C7776" t="inlineStr">
        <is>
          <t>Hi all,
I've always had acid reflux problems starting around the time I was 18. I was diagnosed with GERD in 2011 along with an endoscopy procedure. I've been taking Omeperazole 40mg every day since then.
Normally my acid reflux was in check that whole time since I tried to eat healthy, sleep with bed risers, eat small meals, etc. The last three months I've been having major issues though where I cough up yellow phlegm (although I do have allergies), and can feel regurgitation when I drink water, or lay down.
I ended up going to see my doctor who was new (my old one left the practice),  and as she was reviewing my paperwork she found out that during the procedure way back then, it said they found I had the early stages of berrets esophogus.
Obviously I was furious, because after reading up on this I keep hearing that after you know you have this, you should be getting endoscopies at least every couple of years. So now I'm pretty scared that it's progressed after almost 10 years of not knowing that. I feel like if I found out I have cancer I should get a lawyer or something, I'm just extremely frustrated nobody ever told me or considered this.
Thankfully after I knew this my new doctor got me a gastro appointment later this month so I can get a update, then hopefully a new endo procedure. I asked her about it with how afraid I am but she said she has known people that are in their early 30s like me who have had barrets since their 20s and it's very low it will turn cancerous.
Anyway thanks for any advice or at least listening to my story. Didn't know how common this was..</t>
        </is>
      </c>
      <c r="D7776" t="n">
        <v>2</v>
      </c>
      <c r="E7776" t="n">
        <v>2</v>
      </c>
      <c r="F7776">
        <f>HYPERLINK("https://www.reddit.com/r/GERD/comments/gvg6ug/advice_about_barrets_esophogus/")</f>
        <v/>
      </c>
      <c r="G7776" t="inlineStr">
        <is>
          <t>2020-06-02 14:23:56</t>
        </is>
      </c>
      <c r="H7776" t="inlineStr"/>
    </row>
    <row r="7777">
      <c r="A7777" t="inlineStr">
        <is>
          <t>gvhg5v</t>
        </is>
      </c>
      <c r="B7777" t="inlineStr">
        <is>
          <t>Heartburn getting worse? Really need advice</t>
        </is>
      </c>
      <c r="C7777" t="inlineStr">
        <is>
          <t>I’ve been dealing with GERD for a long time now along with a Hiatal hernia, it felt slightly under control from diet changes, weight loss and other lifestyle changes but over the past few months it’s only gotten worse.
I was slightly overweight so I decided to reduce my portion sizes and exercise more (walking and cycling), since doing this I started getting sore throats which is completely new to me, this in turn affected my breathing as well. A few weeks later I started getting pain in my upper back, also never had this one before and it became daily. Then my heartburn started to become 24/7, feeling like a constant weight on my chest that is there all day, I feel it in the centre of my chest between my pecs. In addition to this I started getting bloated and constipated, another new symptom. 
I have tried so many different diets (Low FODMAP, Acid watchers, fasting) cut out alcohol, fizzy drinks and known triggers, stayed active, reduced stress, tried countless supplements and things only seem to be getting worse, I don’t know what else to do. I was meant to see a specialist last month but it was postponed til July due to the corona virus. I honestly can’t keep living like this, I need some relief. Before I knew it was reflux I was eating like crap and drinking all the time, the pain back then was nothing compared to now I can hardly even concentrate. 
Any advice is greatly appreciated, I feel like I’m just counting the days until I can see the specialist, honestly life sucks right now.</t>
        </is>
      </c>
      <c r="D7777" t="n">
        <v>1</v>
      </c>
      <c r="E7777" t="n">
        <v>2</v>
      </c>
      <c r="F7777">
        <f>HYPERLINK("https://www.reddit.com/r/GERD/comments/gvhg5v/heartburn_getting_worse_really_need_advice/")</f>
        <v/>
      </c>
      <c r="G7777" t="inlineStr">
        <is>
          <t>2020-06-02 15:30:01</t>
        </is>
      </c>
      <c r="H7777" t="inlineStr"/>
    </row>
    <row r="7778">
      <c r="A7778" t="inlineStr">
        <is>
          <t>gvhqt1</t>
        </is>
      </c>
      <c r="B7778" t="inlineStr">
        <is>
          <t>Who else is patiently waiting for an Endoscopy during COVID-19 reopening?</t>
        </is>
      </c>
      <c r="C7778" t="inlineStr">
        <is>
          <t>Bad timing on my part to get diagnosed with GERD/Acid Reflux mid March after bad attack and not even knowing what GERD was.
My primary care doctor put me on Omeprazole 20MG and referred me to a gastroenterologist (took over a month to get this appointment) - two weeks ago I finally see the specialist who recommended a Endoscopy.  Bad news for me is in my area/clinics - endoscopy appointments are already booked months in advance - like to Oct/Nov. I understand why there is a delay and my doctors are being cautious because of COVID-19. I notice others here in this forum are getting their procedures.  Is anyone else having similar delays or should I try to travel outside my commuting area to get the test done?  
LOL - I try to be upbeat and I jokingly said to family and friends - I've always been a healthy person and BAM - I get this in the year of the COVID.  I just turn 62 in Feb and prior to this, I have been in great shape - only seeing my primary care doctor once a year for physicals. I have no weight issues and have always been able to eat whatever I want (even spicy foods), I rarely eat fast food or dine out. I haven't had sodas in 20+ years and rarely drink alcohol.  I make most of my meals at home - diet consist mostly of some meat, lots of veggies, fruits, starches and some dairy. My only bad vice is I do love sweets and eat more than I should - especially chocolate.  I hate feeling sorry for myself but ugh why now!!!</t>
        </is>
      </c>
      <c r="D7778" t="n">
        <v>1</v>
      </c>
      <c r="E7778" t="n">
        <v>7</v>
      </c>
      <c r="F7778">
        <f>HYPERLINK("https://www.reddit.com/r/GERD/comments/gvhqt1/who_else_is_patiently_waiting_for_an_endoscopy/")</f>
        <v/>
      </c>
      <c r="G7778" t="inlineStr">
        <is>
          <t>2020-06-02 15:46:24</t>
        </is>
      </c>
      <c r="H7778" t="inlineStr"/>
    </row>
    <row r="7779">
      <c r="A7779" t="inlineStr">
        <is>
          <t>gvipfl</t>
        </is>
      </c>
      <c r="B7779" t="inlineStr">
        <is>
          <t>What does your gerd pain feel like?</t>
        </is>
      </c>
      <c r="C7779" t="inlineStr">
        <is>
          <t>Is it sharp, shooting, squeezing, etc? How often does it come and go? Where are the areas you experience it the most?</t>
        </is>
      </c>
      <c r="D7779" t="n">
        <v>1</v>
      </c>
      <c r="E7779" t="n">
        <v>6</v>
      </c>
      <c r="F7779">
        <f>HYPERLINK("https://www.reddit.com/r/GERD/comments/gvipfl/what_does_your_gerd_pain_feel_like/")</f>
        <v/>
      </c>
      <c r="G7779" t="inlineStr">
        <is>
          <t>2020-06-02 16:40:47</t>
        </is>
      </c>
      <c r="H7779" t="inlineStr"/>
    </row>
    <row r="7780">
      <c r="A7780" t="inlineStr">
        <is>
          <t>gvjgog</t>
        </is>
      </c>
      <c r="B7780" t="inlineStr">
        <is>
          <t>Just got diagnosed with acid reflux/LPR.</t>
        </is>
      </c>
      <c r="C7780" t="inlineStr">
        <is>
          <t>I stared having this phlegm in my throat feeling back in March. Didn't really think anything about until  the beginning April when i couldn't breath in my sleep and developed a cough. Thinking i have strep i had a webcam appointment with an urgent care doc who prescribed me some Prednisone and antibiotics for strep. A week went by and no relieve from my cough or phlegm throat feeling. Went to a different  health consultant in may who i told my symptoms and  diagnosed me with acid reflux. At first i was skeptical cause i come from a Mexican immigrant family and me and  my parents eat spicy food and tortillas every other day. But diagnosed at 24 with acid reflux? I was confused. This doctor prescribed me with omeprazole 20 mg a day. I started taking omeprazole for 8 days. The side affects were not worth  taking the medication. My anxiety went up the roof. Had palpitations. Shortness of breath. Brain fog. Panic attacks. Muscle cramps . Chills and night sweats. I couldn't even think at work. Talked to my doc about the symptoms and told me to stop taking the med. 12 days after taking the omeprazole i started to feel better and didn't have any symptoms of the drug. but my cough and phlegm feel were still persisting. Finally went  to an ENT today and was diagnosed with LPR/acid reflux. Told me i should start eating less junk and spicy foods and start eating stuff with less acid. The ent Doc also prescribed me some  famotidine (Pepcid) but i dont want to go use meds again after what happened with omeprazole. My questions are..... Is it possible for me cure myself naturally with dieting and exercise? And how long will my cough and constant throat clearing last once i start my lifestyle change?</t>
        </is>
      </c>
      <c r="D7780" t="n">
        <v>1</v>
      </c>
      <c r="E7780" t="n">
        <v>0</v>
      </c>
      <c r="F7780">
        <f>HYPERLINK("https://www.reddit.com/r/GERD/comments/gvjgog/just_got_diagnosed_with_acid_refluxlpr/")</f>
        <v/>
      </c>
      <c r="G7780" t="inlineStr">
        <is>
          <t>2020-06-02 17:27:14</t>
        </is>
      </c>
      <c r="H7780" t="inlineStr"/>
    </row>
    <row r="7781">
      <c r="A7781" t="inlineStr">
        <is>
          <t>gvjqkb</t>
        </is>
      </c>
      <c r="B7781" t="inlineStr">
        <is>
          <t>Medication Side Effect</t>
        </is>
      </c>
      <c r="C7781" t="inlineStr">
        <is>
          <t>Curious if anyone else has had this side effect from taking their medication. 
I am currently taking 40 mg of famotidine (generic for pepcid) and was curious if anyone else that takes this med also has found that a side effect is like a hoarseness feeling in your throat/voice? 
Just curious if this is common.</t>
        </is>
      </c>
      <c r="D7781" t="n">
        <v>1</v>
      </c>
      <c r="E7781" t="n">
        <v>1</v>
      </c>
      <c r="F7781">
        <f>HYPERLINK("https://www.reddit.com/r/GERD/comments/gvjqkb/medication_side_effect/")</f>
        <v/>
      </c>
      <c r="G7781" t="inlineStr">
        <is>
          <t>2020-06-02 17:44:33</t>
        </is>
      </c>
      <c r="H7781" t="inlineStr"/>
    </row>
    <row r="7782">
      <c r="A7782" t="inlineStr">
        <is>
          <t>gvkegd</t>
        </is>
      </c>
      <c r="B7782" t="inlineStr">
        <is>
          <t>Best PPI for someone who is scared of the anxiety side effects?</t>
        </is>
      </c>
      <c r="C7782" t="inlineStr">
        <is>
          <t>My Dr has put my me on Prilosec 40mg. After researching the different PPI’s that are offered I’ve noticed a lot of people have had severe anxiety caused by these meds. As someone who already struggles with anxiety attacks and is on medication for it, what PPI do you think has the least side effects? I was looking into Lansoprazole as it seems to have pretty good reviews and nothing mentioning anxiety. I apologize if this has been posted before. I searched but couldn’t find it!</t>
        </is>
      </c>
      <c r="D7782" t="n">
        <v>1</v>
      </c>
      <c r="E7782" t="n">
        <v>7</v>
      </c>
      <c r="F7782">
        <f>HYPERLINK("https://www.reddit.com/r/GERD/comments/gvkegd/best_ppi_for_someone_who_is_scared_of_the_anxiety/")</f>
        <v/>
      </c>
      <c r="G7782" t="inlineStr">
        <is>
          <t>2020-06-02 18:27:12</t>
        </is>
      </c>
      <c r="H7782" t="inlineStr"/>
    </row>
    <row r="7783">
      <c r="A7783" t="inlineStr">
        <is>
          <t>gvkihj</t>
        </is>
      </c>
      <c r="B7783" t="inlineStr">
        <is>
          <t>Advice on working posture?</t>
        </is>
      </c>
      <c r="C7783" t="inlineStr">
        <is>
          <t>Hello! I’ve had my first major acid reflux experience about 12 days ago and it’s been really hard grappling with the nausea, bloating, globus and shortness of breath but i’ve been watching my diet and trying to get more exercise since and i’ve come to be better at wrestling with it!
One thing i cant seem to figure out is how i can do work at a desk with this! I’m in internship now (working from home) and need to be at a computer for about 8 hours a day. When i sit down on my office chair I instantly feel a noticeable shortness of breath and i do try to sit up straight but it’s very tiring and i’m still a bit weak from poor appetite the last few days. The same goes for standing, it tires me out quite fast and then i feel even more breathless. Tbh the only position where i feel best in is reclined in bed, propped up on pillows, but of course I can’t do work on my computer in this position all day!
I’m going to make an effort to get up and walk around frequently, maybe to refill my cup with water, but I was hoping to see if anyone has any suggestions if they face similar situations?
Thanks and let’s push through this ghastly condition together! (:</t>
        </is>
      </c>
      <c r="D7783" t="n">
        <v>1</v>
      </c>
      <c r="E7783" t="n">
        <v>0</v>
      </c>
      <c r="F7783">
        <f>HYPERLINK("https://www.reddit.com/r/GERD/comments/gvkihj/advice_on_working_posture/")</f>
        <v/>
      </c>
      <c r="G7783" t="inlineStr">
        <is>
          <t>2020-06-02 18:34:29</t>
        </is>
      </c>
      <c r="H7783" t="inlineStr"/>
    </row>
    <row r="7784">
      <c r="A7784" t="inlineStr">
        <is>
          <t>gvkvkk</t>
        </is>
      </c>
      <c r="B7784" t="inlineStr">
        <is>
          <t>I was diagnosed and my doctors didn't even tell me.</t>
        </is>
      </c>
      <c r="C7784" t="inlineStr">
        <is>
          <t>I just found out I have GERD from a screenshot my mom took of my medical charts. I get it. It's there for me to view, I should be checking it, but nobody thought to even mention verbally to me that they suspect that that's what it is, or offer me advice on treating it. Wtf? I was under the impression they'd reached no conclusion on what's wrong with me. I'm honestly really mad; I've had multiple flareups since then, and been in mental agony wishing I had answers. 
Doctors keep not bothering to communicate with me on shit, both physically and psychologically. My psychiatrist did the same thing with my BPD. 
I guess I'm glad I know now. Going to ask about an endo/colonoscopy to check for ulcers and make sure it's not H. Pylori. Wish me luck.</t>
        </is>
      </c>
      <c r="D7784" t="n">
        <v>1</v>
      </c>
      <c r="E7784" t="n">
        <v>4</v>
      </c>
      <c r="F7784">
        <f>HYPERLINK("https://www.reddit.com/r/GERD/comments/gvkvkk/i_was_diagnosed_and_my_doctors_didnt_even_tell_me/")</f>
        <v/>
      </c>
      <c r="G7784" t="inlineStr">
        <is>
          <t>2020-06-02 18:59:24</t>
        </is>
      </c>
      <c r="H7784" t="inlineStr"/>
    </row>
    <row r="7785">
      <c r="A7785" t="inlineStr">
        <is>
          <t>gvnaah</t>
        </is>
      </c>
      <c r="B7785" t="inlineStr">
        <is>
          <t>Anyone have nutritional deficiencies from GERD?</t>
        </is>
      </c>
      <c r="C7785" t="inlineStr">
        <is>
          <t>Hi all, just wondering if anyone has experienced the above as a result of GERD (not as the result of PPI's). Would be interested to know which vitamins/minerals were affected. Thanks :)</t>
        </is>
      </c>
      <c r="D7785" t="n">
        <v>1</v>
      </c>
      <c r="E7785" t="n">
        <v>0</v>
      </c>
      <c r="F7785">
        <f>HYPERLINK("https://www.reddit.com/r/GERD/comments/gvnaah/anyone_have_nutritional_deficiencies_from_gerd/")</f>
        <v/>
      </c>
      <c r="G7785" t="inlineStr">
        <is>
          <t>2020-06-02 21:50:39</t>
        </is>
      </c>
      <c r="H7785" t="inlineStr"/>
    </row>
    <row r="7786">
      <c r="A7786" t="inlineStr">
        <is>
          <t>gvnmhv</t>
        </is>
      </c>
      <c r="B7786" t="inlineStr">
        <is>
          <t>Why I have lpr symptoms since all my tests are normal?</t>
        </is>
      </c>
      <c r="C7786" t="inlineStr">
        <is>
          <t>I have a chronic morning dry throat, that stays sore everyday , post nasal drip.and mucus,(no heartburn)  I have already done endoscopy twice, normal, manometry,normal , ph impendance normal
All startes after a typical cold but the sore throst never left, should I check for post viral vagal neuropathy , allergies or laryngeal sensory neuropathy? ,no diet made me feel fine, no meds , sleeping elevated, all the same , any advice?</t>
        </is>
      </c>
      <c r="D7786" t="n">
        <v>1</v>
      </c>
      <c r="E7786" t="n">
        <v>8</v>
      </c>
      <c r="F7786">
        <f>HYPERLINK("https://www.reddit.com/r/GERD/comments/gvnmhv/why_i_have_lpr_symptoms_since_all_my_tests_are/")</f>
        <v/>
      </c>
      <c r="G7786" t="inlineStr">
        <is>
          <t>2020-06-02 22:15:51</t>
        </is>
      </c>
      <c r="H7786" t="inlineStr"/>
    </row>
    <row r="7787">
      <c r="A7787" t="inlineStr">
        <is>
          <t>gvp6d7</t>
        </is>
      </c>
      <c r="B7787" t="inlineStr">
        <is>
          <t>Any help would be appreciated.</t>
        </is>
      </c>
      <c r="C7787" t="inlineStr">
        <is>
          <t>To start as a background last year beginning around March I started having trouble eating in the mornings. Always felt like I was going to throw up while eating, which would progress to my heart rate spiking and sweating. After colonoscopies, ekgs, multiple Er and gastro trips I got an endoscopy. I was told I have a slight hiatal hernia and reflux, was given 40mg protonix once a day and sent on my way. It did the trick and around mid July I got off them, and felt fine ever since. Around the same time this year, early March, started having the same issues, again went through multiple Er visits, pcp calls, and gastro telemedicine calls and am now back on 40mg protonix, it’s helped for the most part, but even once or twice or week I still have periods where I burp up acid, can’t eat in the mornings without feeling sick every time I swallow a bite. Just tonight I woke up at 6pm (midnight shift) and couldn’t eat, Had a cough, sweating, stomach just felt sick, nausea, all that good stuff. I know what caused it, I ate 2 slices of pizza around noon 2 hours before I went to bed. I’d like to get off the protonix again, this time though with full blown changes to help limit it without poi’s. Any advice? I’m actively losing weight but still heavy 5’5 236. I know that’s one big step, but diet wise I can’t figure it out. I’ve been eating a lot of bananas and apples and cut out for the most part tomatoes, spicy foods, fried foods. I’m trying to incorporate more veggies into my diet but as a welfare kid who grew up on Mac-n-cheese and hot dog type diets it’s taking some effort. Anyone have any other advice to help? Never had anxiety before this all started now any time I get a cough, a pain, feel sick, etc... I think it’s something more even though I’ve had my entire body ct scanned, blood work, etc.. the last month, so really want to get it under control and get back to a normal albeit much healthier life.</t>
        </is>
      </c>
      <c r="D7787" t="n">
        <v>1</v>
      </c>
      <c r="E7787" t="n">
        <v>5</v>
      </c>
      <c r="F7787">
        <f>HYPERLINK("https://www.reddit.com/r/GERD/comments/gvp6d7/any_help_would_be_appreciated/")</f>
        <v/>
      </c>
      <c r="G7787" t="inlineStr">
        <is>
          <t>2020-06-03 00:17:59</t>
        </is>
      </c>
      <c r="H7787" t="inlineStr"/>
    </row>
    <row r="7788">
      <c r="A7788" t="inlineStr">
        <is>
          <t>gvp9d2</t>
        </is>
      </c>
      <c r="B7788" t="inlineStr">
        <is>
          <t>I think I may have stumbled upon GERD-friendly “beef” gyros...</t>
        </is>
      </c>
      <c r="C7788" t="inlineStr">
        <is>
          <t>So I went to the Safeway grocery store today to pick up a few essentials and I noticed they had 1lb packets of ground Impossible “beef” so I bought a couple of them.
When I got home my wife suggested that we try and make Kofta kebabs, so I grabbed a bunch of ingredients and got to work.
I mixed:
1/2 cup of dried parsley 
1 tsp of cumin
1 1/2 tsp of ground coriander seed
1 tsp Kosher salt
1/2 tsp ground black pepper
I dumped this dry mix into bowl containing my Impossible “beef” and mixed by hand.
Then I added:
1 cup of breadcrumbs
1 egg
2 cups of corn starch
I mixed all the ingredients together, spilt the mix into 4, rolled it into large meatballs and put them in the fridge for and hour. 
That should keep them from falling apart right? 
Wrong!
After an hour I got the meatballs out of the fridge and rolled them into traditional Kofta ovals, fired up my favorite skillet and cooked them at med/high for 3 minutes each side.
However, upon turned after the initial 3 minutes my beautifully crafted Kofta kebabs began falling apart!
Knowing that I’d never get that cylindrical shape back, and pissed off at my failure, I thought “fuck it”, grabbed a spatula and smashed them into burgers patties.
They looked done so I dumped the thin, pathetic mess on to a couple of plates, accompanied by saffron yellow rice, a dollop of hummus, some pita bread, and guess what?  It tastes like gryo meat, it smells like gryo meat, it has the same texture as gyro meat!
I accidentally discovered the GERD-friendly Impossible Gyro! 
It’s now 6 hours since I ate and I have had ZERO discomfort/symptoms.
If any of you are like me and miss having kebabs then I highly recommend this recipe! 
TL;DR - I screwed up meatless Kofta kebabs and accidentally made meatless “beef” gyros.</t>
        </is>
      </c>
      <c r="D7788" t="n">
        <v>1</v>
      </c>
      <c r="E7788" t="n">
        <v>0</v>
      </c>
      <c r="F7788">
        <f>HYPERLINK("https://www.reddit.com/r/GERD/comments/gvp9d2/i_think_i_may_have_stumbled_upon_gerdfriendly/")</f>
        <v/>
      </c>
      <c r="G7788" t="inlineStr">
        <is>
          <t>2020-06-03 00:24:44</t>
        </is>
      </c>
      <c r="H7788" t="inlineStr"/>
    </row>
    <row r="7789">
      <c r="A7789" t="inlineStr">
        <is>
          <t>gvqtnb</t>
        </is>
      </c>
      <c r="B7789" t="inlineStr">
        <is>
          <t>Trying to wean off Omeprazole (20 mg)</t>
        </is>
      </c>
      <c r="C7789" t="inlineStr">
        <is>
          <t>Is there a proper way to do this?  I've been taking a dose every other day for the past week with no noticeable effects.  My plan is to keep spacing it out.  I've been doing some fasting (16:8) and watching what I am eating so I thought this would be a good time to try it out. Any advice or should I just keep taking it daily and hope for minimal long term side effects?  Up until last week, I've been taking a daily dose for three and a half years.  Thank you!</t>
        </is>
      </c>
      <c r="D7789" t="n">
        <v>1</v>
      </c>
      <c r="E7789" t="n">
        <v>3</v>
      </c>
      <c r="F7789">
        <f>HYPERLINK("https://www.reddit.com/r/GERD/comments/gvqtnb/trying_to_wean_off_omeprazole_20_mg/")</f>
        <v/>
      </c>
      <c r="G7789" t="inlineStr">
        <is>
          <t>2020-06-03 02:34:26</t>
        </is>
      </c>
      <c r="H7789" t="inlineStr"/>
    </row>
    <row r="7790">
      <c r="A7790" t="inlineStr">
        <is>
          <t>gvrqoz</t>
        </is>
      </c>
      <c r="B7790" t="inlineStr">
        <is>
          <t>How I got relief</t>
        </is>
      </c>
      <c r="C7790" t="inlineStr">
        <is>
          <t>After suffering for 5 months and GI Doc says everything is normal but my chest pains where very bad every day despite taking PPI (which I tried every one). After reading posts from reddit which gave me some ideas to try.   This is what I found that helped me.  I stopped dexilant 60mg and taking pepcid because it wasn't working.  I though maybe not enough acid.  So I started taking zegried OT 20mg in the am and bought DGL Licorice Root Extract.  OMG after 4 day of chewying two tablets one or twice a day 20 min before meals it gave me relief.  I no longer have chest pains due to esophagitis, My guess because GI doc says everything looked good.  Also to enjoy my Coffee again I bought (Coffee Tamer).  
So after 5 months thinking I would never feel good again, I found this to work for me.  Hope it will work for you :-)   Also I bought Digestive enzymes and take before meals which help even more.
I bought it from Patriot Health Alliance.
&amp;amp;#x200B;
Good Luck to you all...praying for some relief!!!</t>
        </is>
      </c>
      <c r="D7790" t="n">
        <v>1</v>
      </c>
      <c r="E7790" t="n">
        <v>3</v>
      </c>
      <c r="F7790">
        <f>HYPERLINK("https://www.reddit.com/r/GERD/comments/gvrqoz/how_i_got_relief/")</f>
        <v/>
      </c>
      <c r="G7790" t="inlineStr">
        <is>
          <t>2020-06-03 03:49:46</t>
        </is>
      </c>
      <c r="H7790" t="inlineStr"/>
    </row>
    <row r="7791">
      <c r="A7791" t="inlineStr">
        <is>
          <t>gvrv7v</t>
        </is>
      </c>
      <c r="B7791" t="inlineStr">
        <is>
          <t>Acid reflux and trouble sleeping.. 4am.. any tips?</t>
        </is>
      </c>
      <c r="C7791" t="inlineStr">
        <is>
          <t>I just got diagnosed with LPR a month ago. I was doing fine for a few weeks, but I ate way too many things that were bad for me and now I am having a hard time breathing and my sinuses feel extremely clogged. Plus, I’m wheezing a lot. Any tips on how I can fall asleep? It’s 4am and I’m exhausted</t>
        </is>
      </c>
      <c r="D7791" t="n">
        <v>1</v>
      </c>
      <c r="E7791" t="n">
        <v>3</v>
      </c>
      <c r="F7791">
        <f>HYPERLINK("https://www.reddit.com/r/GERD/comments/gvrv7v/acid_reflux_and_trouble_sleeping_4am_any_tips/")</f>
        <v/>
      </c>
      <c r="G7791" t="inlineStr">
        <is>
          <t>2020-06-03 03:59:37</t>
        </is>
      </c>
      <c r="H7791" t="inlineStr"/>
    </row>
    <row r="7792">
      <c r="A7792" t="inlineStr">
        <is>
          <t>gvumsv</t>
        </is>
      </c>
      <c r="B7792" t="inlineStr">
        <is>
          <t>ENERGY</t>
        </is>
      </c>
      <c r="C7792" t="inlineStr">
        <is>
          <t>Helloooo so I think I am finally starting to get my GERD under control. But I can only drink herbal tea and water now. Does anyone know of any herbal drinks that can boost energy? My PPI and allergy medicine and anxiety medication are sucking all of my energy.</t>
        </is>
      </c>
      <c r="D7792" t="n">
        <v>1</v>
      </c>
      <c r="E7792" t="n">
        <v>7</v>
      </c>
      <c r="F7792">
        <f>HYPERLINK("https://www.reddit.com/r/GERD/comments/gvumsv/energy/")</f>
        <v/>
      </c>
      <c r="G7792" t="inlineStr">
        <is>
          <t>2020-06-03 07:10:34</t>
        </is>
      </c>
      <c r="H7792" t="inlineStr"/>
    </row>
    <row r="7793">
      <c r="A7793" t="inlineStr">
        <is>
          <t>gvvjaf</t>
        </is>
      </c>
      <c r="B7793" t="inlineStr">
        <is>
          <t>Trying to help</t>
        </is>
      </c>
      <c r="C7793" t="inlineStr">
        <is>
          <t>I apologize if I'm missing any info. In the last couple months my brother has had many of the symptoms and it is suspected that he has LPR. Silent reflux? I'm actually not sure if he was officially diagnosed but know he has an appointment coming up(He was prescribed something but not sure what) He's got the stomach problems, burning throat, joint pain, high anxiety which hes never had, and depression.
Just told us about it recently and I just cant stand to see him like this and feel so helpless. I wish it was me instead.
He started the Fast Trak diet but is Acid Watchers better? Or do you just basically have to find out what works for you thru trial and error?
He's doubting that things will ever get better and mentally hes a wreck and I really think a lil hope will go a long way.
I just dont know what to tell him to give him that hope. Thanks for listening and for any help.</t>
        </is>
      </c>
      <c r="D7793" t="n">
        <v>1</v>
      </c>
      <c r="E7793" t="n">
        <v>1</v>
      </c>
      <c r="F7793">
        <f>HYPERLINK("https://www.reddit.com/r/GERD/comments/gvvjaf/trying_to_help/")</f>
        <v/>
      </c>
      <c r="G7793" t="inlineStr">
        <is>
          <t>2020-06-03 08:02:02</t>
        </is>
      </c>
      <c r="H7793" t="inlineStr"/>
    </row>
    <row r="7794">
      <c r="A7794" t="inlineStr">
        <is>
          <t>gvw2rv</t>
        </is>
      </c>
      <c r="B7794" t="inlineStr">
        <is>
          <t>Flying and gerd</t>
        </is>
      </c>
      <c r="C7794" t="inlineStr">
        <is>
          <t>Anyone else here a private pilot that gets symptoms worse with LPR or gerd when flying?  Slightly lower pressure allow LES to open up a little and allow gas to escape upward?</t>
        </is>
      </c>
      <c r="D7794" t="n">
        <v>1</v>
      </c>
      <c r="E7794" t="n">
        <v>1</v>
      </c>
      <c r="F7794">
        <f>HYPERLINK("https://www.reddit.com/r/GERD/comments/gvw2rv/flying_and_gerd/")</f>
        <v/>
      </c>
      <c r="G7794" t="inlineStr">
        <is>
          <t>2020-06-03 08:31:31</t>
        </is>
      </c>
      <c r="H7794" t="inlineStr"/>
    </row>
    <row r="7795">
      <c r="A7795" t="inlineStr">
        <is>
          <t>gvwk88</t>
        </is>
      </c>
      <c r="B7795" t="inlineStr">
        <is>
          <t>does anyone else go through both (GERD or Acid Reflux) and IBS at the same time and how are you guys dealing with it?</t>
        </is>
      </c>
      <c r="C7795" t="inlineStr">
        <is>
          <t>I'm a 20M recently diagnosed with functional indigestion and my IBS flared up at the same time, and I gotta say it is not a fun ride ..., I honestly have huge respect for people dealing with chronic illnesses  for so long, my sleep has taken a huge hit, my life isn't the same, my brain is foggy, nothing feels the same anymore, I have been  PPIs (prescribed) and they are kind of helping, Ginger is   helping me tremendously, but i seriously cannot withstand this for far too long especially with the  Lockdown and what's happening in the world
 I was wondering if you could share your own experience, that would be really uplifting</t>
        </is>
      </c>
      <c r="D7795" t="n">
        <v>6</v>
      </c>
      <c r="E7795" t="n">
        <v>40</v>
      </c>
      <c r="F7795">
        <f>HYPERLINK("https://www.reddit.com/r/GERD/comments/gvwk88/does_anyone_else_go_through_both_gerd_or_acid/")</f>
        <v/>
      </c>
      <c r="G7795" t="inlineStr">
        <is>
          <t>2020-06-03 08:58:19</t>
        </is>
      </c>
      <c r="H7795" t="inlineStr"/>
    </row>
    <row r="7796">
      <c r="A7796" t="inlineStr">
        <is>
          <t>gvwxml</t>
        </is>
      </c>
      <c r="B7796" t="inlineStr">
        <is>
          <t>Upper Esophageal Sphincter Disfunction</t>
        </is>
      </c>
      <c r="C7796" t="inlineStr">
        <is>
          <t>Hi everyone,   
Long time GERD sufferer been through many stages of PPIs, diet changes (tried: low acid diet, fast tract diet, low fodmap, gluten free, etc), baking soda, and a bunch of other things to get rid of Gerd. I mostly suffer from silent reflux, and recently I found some relief in my throat by putting pressure on the spot right below (\~1cm) my Adam's apple and simply pressing it for a while (relatively mild pressure). Not only did it open up my airways dramatically, but swallowing feels right for some reason. 
Anyways, has anyone had similar experiences or if anyone here with GERD has a proven record of some sort of Upper Esophageal Sphincter disfunction? 
Many thanks!</t>
        </is>
      </c>
      <c r="D7796" t="n">
        <v>0</v>
      </c>
      <c r="E7796" t="n">
        <v>5</v>
      </c>
      <c r="F7796">
        <f>HYPERLINK("https://www.reddit.com/r/GERD/comments/gvwxml/upper_esophageal_sphincter_disfunction/")</f>
        <v/>
      </c>
      <c r="G7796" t="inlineStr">
        <is>
          <t>2020-06-03 09:18:06</t>
        </is>
      </c>
      <c r="H7796" t="inlineStr"/>
    </row>
    <row r="7797">
      <c r="A7797" t="inlineStr">
        <is>
          <t>gvz2q1</t>
        </is>
      </c>
      <c r="B7797" t="inlineStr">
        <is>
          <t>Can anyone relate?</t>
        </is>
      </c>
      <c r="C7797" t="inlineStr">
        <is>
          <t>27F - LPR for 3ish years. Endoscopy 2.5 years ago revealed nothing but mild gastritis (took dexilant for 1 month before scope). Once corona hit it turned into full blown 24/7 uncontrollable heartburn (lasted 2 weeks before contacting my doctor). Just got off 2 weeks of 60mg of Dexilant. No more painful heartburn but still have some symptoms.
I just want to know if anyone has experiences similar symptoms:
\- Hoarse voice/ constant throat clearing
\- Regurgitating foods/liquids 30mins-1 hour after eating
\- What feels like shortness of breath after eating but relieved by an internal burp
\- gurgling noises in their throat while sleeping &amp;amp; after drinking water
\- lump feeling in throat after eating (kind of like food is stuck in the top of your throat)
\- some mild back and chest pain when eating some foods
I'm always thinking the worst although I know that these symptoms could relate to anything. Any reassurance would be helpful please :(</t>
        </is>
      </c>
      <c r="D7797" t="n">
        <v>1</v>
      </c>
      <c r="E7797" t="n">
        <v>8</v>
      </c>
      <c r="F7797">
        <f>HYPERLINK("https://www.reddit.com/r/GERD/comments/gvz2q1/can_anyone_relate/")</f>
        <v/>
      </c>
      <c r="G7797" t="inlineStr">
        <is>
          <t>2020-06-03 11:08:58</t>
        </is>
      </c>
      <c r="H7797" t="inlineStr"/>
    </row>
    <row r="7798">
      <c r="A7798" t="inlineStr">
        <is>
          <t>gw0oxm</t>
        </is>
      </c>
      <c r="B7798" t="inlineStr">
        <is>
          <t>Quest for a better solution! New Member [Long Post]</t>
        </is>
      </c>
      <c r="C7798" t="inlineStr">
        <is>
          <t>TLDR: Please answer the questions at the bottom of this post about GERD.
Hello! I've recently discovered this sub. It inspired me to begin a campaign to break free from the PPI dependency (In my case Nexium) and hopefully avoid the potential dangers of long term use. I'd like to discover the magic combination of things that will defeat my GERD!
I am 28 years old. I weight 135ish pounds. I'm a white male. I felt inclined to disclose that information because it always helps me to relate with others and that makes me feel less alone struggling with GERD. This is a long post. I get that and apologize. This is kinda a record for me to come back too along with being a curiosity post that will hopefully be helpful to myself and others.
Index:
\-My Background with GERD
\-Medical Involvement
\-Current Situation
\-Closing
\-Questions
My Background with GERD:
After eating a piece of toast covered in jam about 2.5 years ago, I got this burning sensation in my throat accompanied with acidic regurgitation. These symptoms were my constant companion for the next couple days, till I began chowing down on tums &amp;amp; pepto to try and alleviate the issue. They helped, but I knew they weren't solving the problem.
So I began my research, as most of us here have done. I discovered home remedies, lifestyle changes, and OTC medications I could take. After reading a handful of popular articles that provided suggestions for home remedies and lifestyle changes, I began to adopt the suggestions mentioned throughout each of the articles I read:
\-Loose weight - being a 25 year old at the time weighing in at about 124lbs, I crossed this suggestion off the list.
\-Stop Smoking - Hadn't really ever begun to begin with. Crossed off list.
\-Food Avoidance - I already avoided a lot of foods due to a serve Birch Tree allergy, which is a HUGE pain in the A$$. So I began avoiding the suggested foods I hadn't already been. (Coffee, Chocolate, Tomato based foods, caffeine, citrus, garlic, onions, mint, greasy foods, etc...) This didnt really provide much, if any relief, to my everyday problem, but it did help me avoid further eruptions of acidic activity.
\-Sleeping on a incline- I bought a wedge and honestly, I feel like this did help reduce the everyday sensation. It was hard to get use too. 
Medical Involvement:
After a few weeks of dealing with this, I began to worry that I might have symptoms of something more serious or completely different entirely. So I set appointments with my doctor. I discussed my issues with him. He prescribed me omeprazole (which didn't really help) then esomeprazole which is what I'm taking now everyday (and have been for nearly 2.5 years).
I have had several GI scopes preformed, none of which have discovered anything serious. I spoke with a surgeon about the fundoplication, which honestly kinda makes me nervous considering Id have to live with that surgery for a long time (the rest of my life, which I aim to make it a long time). I was cleared for surgery, but never went through with it because the medicine was doing the trick.
Current Situation:
I'm tired of taking pills every morning and feeling dependent on them. (I have also developed a weird rashless fine-on-the-surface itch all over my chest and abs that has been present for the last couple months, idk if anyone else who has taken esomeprazole for as long as I have has developed anything like that?) This subreddit has provided me with a chance to enter a community of others that share a similar malady. I am overjoyed to read about other's success in overcoming GERD. I'm intensively interested in post discussing fundoplication. 
Closing:
I feel a bit alone in my age group (late 20's) near me with this struggle. I've come here to gain a sense of community and gather information to help me alone my journey to see this ailment through till the end!
&amp;amp;#x200B;
Questions:
Who else is in their 20's around my same weight and stature with GERD?
How long have some of you been taking esomeprazole? In what dosage? How often?
How many of you have had the fundoplication surgery? What is life like living with it? Do you lose the ability to throw up and burp?
Does anyone have any suggestions to a natural remedy taken daily to replace medicine like esomeprazole? Is there a safer/better alternative medicine to esomeprazole?</t>
        </is>
      </c>
      <c r="D7798" t="n">
        <v>2</v>
      </c>
      <c r="E7798" t="n">
        <v>8</v>
      </c>
      <c r="F7798">
        <f>HYPERLINK("https://www.reddit.com/r/GERD/comments/gw0oxm/quest_for_a_better_solution_new_member_long_post/")</f>
        <v/>
      </c>
      <c r="G7798" t="inlineStr">
        <is>
          <t>2020-06-03 12:25:37</t>
        </is>
      </c>
      <c r="H7798" t="inlineStr"/>
    </row>
    <row r="7799">
      <c r="A7799" t="inlineStr">
        <is>
          <t>gw0zkb</t>
        </is>
      </c>
      <c r="B7799" t="inlineStr">
        <is>
          <t>Is GERD a lazy diagnosis?</t>
        </is>
      </c>
      <c r="C7799" t="inlineStr">
        <is>
          <t>Asking because I am 32 and until 6 weeks ago had no digestive issues, heartburn, etc. whatsoever. Burping, heartburn and upper back pain (primarily between shoulder blades) came on all of a sudden in mid-April and caught me off guard. After ruling out a cardiac root cause, the ER immediately diagnosed me with GERD, and referred me to a gastro, who agreed. 
First of all... I thought you had to have reflux for ages to have GERD? Seeing as I’m young and otherwise healthy, both the ER doctors and my gastro have been super dismissive of my symptoms (which unfortunately also includes yellow stool), tossed me some omeprazole and told me to “hang in there”. I can’t help feeling like this was a little bit of a hasty diagnosis. Does GERD just show up one day out of the blue and that’s that? 
(Btw I have pushed for and had additional tests at this point, including: abdominal ultrasound, abdominal/pelvic CT with contrast, and endoscopy which showed 2cm hiatal hernia and minor esophagitis, but again, I got the GERD diagnosis on day, like, 3 of my symptoms).</t>
        </is>
      </c>
      <c r="D7799" t="n">
        <v>3</v>
      </c>
      <c r="E7799" t="n">
        <v>33</v>
      </c>
      <c r="F7799">
        <f>HYPERLINK("https://www.reddit.com/r/GERD/comments/gw0zkb/is_gerd_a_lazy_diagnosis/")</f>
        <v/>
      </c>
      <c r="G7799" t="inlineStr">
        <is>
          <t>2020-06-03 12:40:33</t>
        </is>
      </c>
      <c r="H7799" t="inlineStr"/>
    </row>
    <row r="7800">
      <c r="A7800" t="inlineStr">
        <is>
          <t>gw1uiq</t>
        </is>
      </c>
      <c r="B7800" t="inlineStr">
        <is>
          <t>Vaping legal weed with esophagitis</t>
        </is>
      </c>
      <c r="C7800" t="inlineStr">
        <is>
          <t>Would this help or be worth it for pain?  
Also how long did your esophagitis pain last? I’m on day 24 with a small amount of relief but still chronic burning even on Dexilant 60mg PPI.</t>
        </is>
      </c>
      <c r="D7800" t="n">
        <v>2</v>
      </c>
      <c r="E7800" t="n">
        <v>12</v>
      </c>
      <c r="F7800">
        <f>HYPERLINK("https://www.reddit.com/r/GERD/comments/gw1uiq/vaping_legal_weed_with_esophagitis/")</f>
        <v/>
      </c>
      <c r="G7800" t="inlineStr">
        <is>
          <t>2020-06-03 13:24:25</t>
        </is>
      </c>
      <c r="H7800" t="inlineStr"/>
    </row>
    <row r="7801">
      <c r="A7801" t="inlineStr">
        <is>
          <t>gw24u3</t>
        </is>
      </c>
      <c r="B7801" t="inlineStr">
        <is>
          <t>Omeprazole causing this feeling?</t>
        </is>
      </c>
      <c r="C7801" t="inlineStr">
        <is>
          <t>Hi all! I just started taking omeprazole daily for the last two weeks and all of a sudden, I’m just feeling...dry, I guess I would say? Like my throat feels dry, chest feels dry/weird. Not the skin, but like...inside of my chest. Almost like a chest cold, but I’m not sick. Does Omeprazole do this?</t>
        </is>
      </c>
      <c r="D7801" t="n">
        <v>0</v>
      </c>
      <c r="E7801" t="n">
        <v>1</v>
      </c>
      <c r="F7801">
        <f>HYPERLINK("https://www.reddit.com/r/GERD/comments/gw24u3/omeprazole_causing_this_feeling/")</f>
        <v/>
      </c>
      <c r="G7801" t="inlineStr">
        <is>
          <t>2020-06-03 13:39:23</t>
        </is>
      </c>
      <c r="H7801" t="inlineStr"/>
    </row>
    <row r="7802">
      <c r="A7802" t="inlineStr">
        <is>
          <t>gw2855</t>
        </is>
      </c>
      <c r="B7802" t="inlineStr">
        <is>
          <t>Inability to get a satisfying breath?</t>
        </is>
      </c>
      <c r="C7802" t="inlineStr">
        <is>
          <t>Hi all,
Interested if others with confirmed gord have encountered anything like what I've been going through, it's been a week and it's been extremely difficult for me, I guess I just want answers.
I have a sensation of not being able to breath in deeply, it's as if my breathing feels shallow.
It's accompanied with a constant sensation of 'Air Hunger' as if I'm not breathing in enough and I thus consciously inhale hard to try and inflate my lungs
Since this began, I am yawning repeatedly, every few minutes, but everytime I do yawn, it's cut off short and I'm left desparate for air.
No pain or other issues at a push I do feel a small pressure sensation above / atop my sternum region but that's it
Doctors uncertain what's causing it, has started me on omperazole with little effect. Has moved me onto Lanzoprazole 30mg twice a day. Gaviscon before bed. 
Any ideas? I'm really stumped here and would truly appreciate someone's feedback / experience with this.</t>
        </is>
      </c>
      <c r="D7802" t="n">
        <v>0</v>
      </c>
      <c r="E7802" t="n">
        <v>6</v>
      </c>
      <c r="F7802">
        <f>HYPERLINK("https://www.reddit.com/r/GERD/comments/gw2855/inability_to_get_a_satisfying_breath/")</f>
        <v/>
      </c>
      <c r="G7802" t="inlineStr">
        <is>
          <t>2020-06-03 13:44:13</t>
        </is>
      </c>
      <c r="H7802" t="inlineStr"/>
    </row>
    <row r="7803">
      <c r="A7803" t="inlineStr">
        <is>
          <t>gw2ww5</t>
        </is>
      </c>
      <c r="B7803" t="inlineStr">
        <is>
          <t>Do normal people without pathological reflux, have, occassional heartburn or chronic belching ? ( the most difficult cases are here)?</t>
        </is>
      </c>
      <c r="C7803" t="inlineStr">
        <is>
          <t>My dad has been a chronic belcher for years , he recently got an endoscopy for other issues, and he is completely fine, also know 2  friends with gerd and  they eat all drink alcohol and eat bad  , and took once in a while a ppi and they are " fixed"
so the rarest and more difficult cases like us  , are here :( ?</t>
        </is>
      </c>
      <c r="D7803" t="n">
        <v>2</v>
      </c>
      <c r="E7803" t="n">
        <v>2</v>
      </c>
      <c r="F7803">
        <f>HYPERLINK("https://www.reddit.com/r/GERD/comments/gw2ww5/do_normal_people_without_pathological_reflux_have/")</f>
        <v/>
      </c>
      <c r="G7803" t="inlineStr">
        <is>
          <t>2020-06-03 14:18:45</t>
        </is>
      </c>
      <c r="H7803" t="inlineStr"/>
    </row>
    <row r="7804">
      <c r="A7804" t="inlineStr">
        <is>
          <t>gw39zy</t>
        </is>
      </c>
      <c r="B7804" t="inlineStr">
        <is>
          <t>Does anybody go through this esophagus feeling?</t>
        </is>
      </c>
      <c r="C7804" t="inlineStr">
        <is>
          <t>Hey guys. I’ve been dealing with the occasional heart burn for the last few years and then gastritis when I drink alcohol occasionally. However, I’ve been dealing with a sore throat and throat tickle for a few weeks and In the last two days chest pains after eating has set in. No sharp pain just a dull and uncomfortable feeling when I’m eating and can feel food move roughly down my esophagus. Today I’m scared to eat because I want to try to let this feeling heal. Any thoughts or tips?</t>
        </is>
      </c>
      <c r="D7804" t="n">
        <v>1</v>
      </c>
      <c r="E7804" t="n">
        <v>2</v>
      </c>
      <c r="F7804">
        <f>HYPERLINK("https://www.reddit.com/r/GERD/comments/gw39zy/does_anybody_go_through_this_esophagus_feeling/")</f>
        <v/>
      </c>
      <c r="G7804" t="inlineStr">
        <is>
          <t>2020-06-03 14:36:57</t>
        </is>
      </c>
      <c r="H7804" t="inlineStr"/>
    </row>
    <row r="7805">
      <c r="A7805" t="inlineStr">
        <is>
          <t>gw3pcc</t>
        </is>
      </c>
      <c r="B7805" t="inlineStr">
        <is>
          <t>Anyone get Early Satiety/ feeling full from weening off a PPI?</t>
        </is>
      </c>
      <c r="C7805" t="inlineStr">
        <is>
          <t>So I’ve been diagnosed with GERD for about 5 weeks now and have been on Omeprazole 20 mg, but since reading all the bad rebound effects it can have on our bodies, I got scared and decided to ween off the PPI. I had felt normal and really good up to the point where I started weening. There’s so many different weening off schedules that people have done and so I just decided to take one every other day until I run out, which I believe I have 2 left. I started weening off a couple days ago and felt a little bit of that feeling of being full but also made the mistake of introducing 2 trigger foods yesterday, one being a bit of chai tea in the morning which I felt really bad afterwards to the point where my throat hurt so bad, and felt super full from eating a piece of toast, and then later at night I thought it would be a good idea to have 2 sips of bubbly water to see if that made anything better, IT DIDNT. I know it’s my fault for introducing these two triggers last night but I just wanted to experiment, other than that I had been feeling a bit full for like 3/4 days before that, when I started weening. From your experiences, could the weening have anything to do with feeling full/early satiety?</t>
        </is>
      </c>
      <c r="D7805" t="n">
        <v>1</v>
      </c>
      <c r="E7805" t="n">
        <v>0</v>
      </c>
      <c r="F7805">
        <f>HYPERLINK("https://www.reddit.com/r/GERD/comments/gw3pcc/anyone_get_early_satiety_feeling_full_from/")</f>
        <v/>
      </c>
      <c r="G7805" t="inlineStr">
        <is>
          <t>2020-06-03 14:58:40</t>
        </is>
      </c>
      <c r="H7805" t="inlineStr"/>
    </row>
    <row r="7806">
      <c r="A7806" t="inlineStr">
        <is>
          <t>gw4cte</t>
        </is>
      </c>
      <c r="B7806" t="inlineStr">
        <is>
          <t>Stretta or TIF or Nissen fundoplication</t>
        </is>
      </c>
      <c r="C7806" t="inlineStr">
        <is>
          <t>I have been diagnosed with LPR. I have belching, hoarse throat and runny nose all the time. I have read about the various surgery options available. I see that not a whole lot of doctors perform Stretta and TIF anymore. I was told by my gastroenterologist that these procedures don’t work and they have been abandoned by the community and the only option out there is Nissen which comes with its own complications. 
Can you please share your positive and negative outcomes of Stretta, TIF and Nissen? Also which one should i get?</t>
        </is>
      </c>
      <c r="D7806" t="n">
        <v>1</v>
      </c>
      <c r="E7806" t="n">
        <v>14</v>
      </c>
      <c r="F7806">
        <f>HYPERLINK("https://www.reddit.com/r/GERD/comments/gw4cte/stretta_or_tif_or_nissen_fundoplication/")</f>
        <v/>
      </c>
      <c r="G7806" t="inlineStr">
        <is>
          <t>2020-06-03 15:31:55</t>
        </is>
      </c>
      <c r="H7806" t="inlineStr"/>
    </row>
    <row r="7807">
      <c r="A7807" t="inlineStr">
        <is>
          <t>gw4tep</t>
        </is>
      </c>
      <c r="B7807" t="inlineStr">
        <is>
          <t>Taking tums for ppi withdrawals?</t>
        </is>
      </c>
      <c r="C7807" t="inlineStr">
        <is>
          <t>Do they prolong the withdrawal period? Been taking Prilosec for four months and just stopped a week ago but the withdrawals are really getting to me.</t>
        </is>
      </c>
      <c r="D7807" t="n">
        <v>1</v>
      </c>
      <c r="E7807" t="n">
        <v>4</v>
      </c>
      <c r="F7807">
        <f>HYPERLINK("https://www.reddit.com/r/GERD/comments/gw4tep/taking_tums_for_ppi_withdrawals/")</f>
        <v/>
      </c>
      <c r="G7807" t="inlineStr">
        <is>
          <t>2020-06-03 15:56:57</t>
        </is>
      </c>
      <c r="H7807" t="inlineStr"/>
    </row>
    <row r="7808">
      <c r="A7808" t="inlineStr">
        <is>
          <t>gw6ho6</t>
        </is>
      </c>
      <c r="B7808" t="inlineStr">
        <is>
          <t>Just missed call from dr with results from ct scan.</t>
        </is>
      </c>
      <c r="C7808" t="inlineStr">
        <is>
          <t>I have been anxiously waiting results from my ct scan on my neck. Then what happens? My dr calls at the end of the day with my phone right next to me but my ringer was off and of course they are closed. I started crying and I’m so upset at myself. He left a voicemail and said he has the results and to call back Friday when he’s back in the office. He didn’t say if the results are good or bad! I’m so nervous and now even more so.</t>
        </is>
      </c>
      <c r="D7808" t="n">
        <v>1</v>
      </c>
      <c r="E7808" t="n">
        <v>7</v>
      </c>
      <c r="F7808">
        <f>HYPERLINK("https://www.reddit.com/r/GERD/comments/gw6ho6/just_missed_call_from_dr_with_results_from_ct_scan/")</f>
        <v/>
      </c>
      <c r="G7808" t="inlineStr">
        <is>
          <t>2020-06-03 17:32:34</t>
        </is>
      </c>
      <c r="H7808" t="inlineStr"/>
    </row>
    <row r="7809">
      <c r="A7809" t="inlineStr">
        <is>
          <t>gw6vhm</t>
        </is>
      </c>
      <c r="B7809" t="inlineStr">
        <is>
          <t>Does anyone ever get fullness or a bubble/gas like feeling on the left chest area after eating?</t>
        </is>
      </c>
      <c r="C7809" t="inlineStr">
        <is>
          <t>I had this issue for months and it suddenly went away for a while then recently came back. Anytime I eat a meal (small snacks don’t do it) it feels like everything I eat goes right to my left side of my chest and breast. I get aches on different areas of the left side sometimes towards the sternum and others towards my arm pit. Occasionally it goes away when I burp or massage the area. But it always feels idk full? Like bloated almost. I also get bloating and fullness in my stomach and sometimes pain under my left breast one. I currently take famotodine which helps my hesrt burn so much and regurgitation. I’m just confused as my doctor says that doesn’t sound like my heart.</t>
        </is>
      </c>
      <c r="D7809" t="n">
        <v>1</v>
      </c>
      <c r="E7809" t="n">
        <v>1</v>
      </c>
      <c r="F7809">
        <f>HYPERLINK("https://www.reddit.com/r/GERD/comments/gw6vhm/does_anyone_ever_get_fullness_or_a_bubblegas_like/")</f>
        <v/>
      </c>
      <c r="G7809" t="inlineStr">
        <is>
          <t>2020-06-03 17:55:51</t>
        </is>
      </c>
      <c r="H7809" t="inlineStr"/>
    </row>
    <row r="7810">
      <c r="A7810" t="inlineStr">
        <is>
          <t>gw7l75</t>
        </is>
      </c>
      <c r="B7810" t="inlineStr">
        <is>
          <t>Hunger feeling</t>
        </is>
      </c>
      <c r="C7810" t="inlineStr">
        <is>
          <t>Anyone ever get a stomach pain that kind of feels like hunger, even minutes after eating?  I don’t think it’s an ulcer but it does seem to also bring a lot of burping. 
I was negative for h pylori but I do have gerd and have had it for years. 
Can’t figure out this one symptom and curious if others have experienced. 
No specific foods make it better or worse. Again, very close to hunger pangs feeling but even happens when my stomach is full.</t>
        </is>
      </c>
      <c r="D7810" t="n">
        <v>1</v>
      </c>
      <c r="E7810" t="n">
        <v>5</v>
      </c>
      <c r="F7810">
        <f>HYPERLINK("https://www.reddit.com/r/GERD/comments/gw7l75/hunger_feeling/")</f>
        <v/>
      </c>
      <c r="G7810" t="inlineStr">
        <is>
          <t>2020-06-03 18:39:13</t>
        </is>
      </c>
      <c r="H7810" t="inlineStr"/>
    </row>
    <row r="7811">
      <c r="A7811" t="inlineStr">
        <is>
          <t>gw7tlh</t>
        </is>
      </c>
      <c r="B7811" t="inlineStr">
        <is>
          <t>Excessive saliva build-up</t>
        </is>
      </c>
      <c r="C7811" t="inlineStr">
        <is>
          <t>Hey guys!
I’ve started having acid reflux since October
It started as a once a week but pretty severe issue where I would be clutching my chest and standing next to the toilet feeling like I would throw up, this would last 2-3 hours.
Over the next few months, it became a bit more frequent but a little less severe
My primary care provider recommended to me that I take omeprazole so I started taking one 20 mg per day April to mid May. My allergist then recommended that I take 2 20 mg’s of omeprezole per day. I’ve been doing this for a week and a half.
Since I’ve started taking the omeprazole, my symptoms have gotten less severe but they are still really frequent. It’s mildly uncomfortable throughout the day about every other day. 
Whenever my symptoms are at their worst, I have tons and tons of saliva build up, it starts out thick and thins out as I recover. It’s always clear the entire time. I was wondering if anyone knows if this points to a specific issue regarding GERD. I’m seeing a GI doctor next Tuesday
I struggle with anxiety and depression and my symptoms cause me lots of anxiety and they make most of my days feel hopeless. I’m starting to recover from a pretty severe depressive state but things kinda keep reverting back when i struggle with reflux. My depression is really impulsive, and whenever I feel hopeless I start having suicidal thoughts and actively planning out my death (I am seeing a couple mental heath professionals) and it’s just a vicious cycle. I don’t even have acid reflux too severe and reading some of the cases on here geez, if I had extreme symptoms I probably wouldn’t be alive right now, you guys are so strong! I just feel so hopeless whenever I have any symptoms at all and my mind immediately starts sifting through the most immediate ways I could end my life :(</t>
        </is>
      </c>
      <c r="D7811" t="n">
        <v>1</v>
      </c>
      <c r="E7811" t="n">
        <v>5</v>
      </c>
      <c r="F7811">
        <f>HYPERLINK("https://www.reddit.com/r/GERD/comments/gw7tlh/excessive_saliva_buildup/")</f>
        <v/>
      </c>
      <c r="G7811" t="inlineStr">
        <is>
          <t>2020-06-03 18:53:37</t>
        </is>
      </c>
      <c r="H7811" t="inlineStr"/>
    </row>
    <row r="7812">
      <c r="A7812" t="inlineStr">
        <is>
          <t>gw95wr</t>
        </is>
      </c>
      <c r="B7812" t="inlineStr">
        <is>
          <t>Airfryer</t>
        </is>
      </c>
      <c r="C7812" t="inlineStr">
        <is>
          <t>Weird but has someone else noticed a increase in gerd and acid reflux by air frying?</t>
        </is>
      </c>
      <c r="D7812" t="n">
        <v>1</v>
      </c>
      <c r="E7812" t="n">
        <v>3</v>
      </c>
      <c r="F7812">
        <f>HYPERLINK("https://www.reddit.com/r/GERD/comments/gw95wr/airfryer/")</f>
        <v/>
      </c>
      <c r="G7812" t="inlineStr">
        <is>
          <t>2020-06-03 20:19:10</t>
        </is>
      </c>
      <c r="H7812" t="inlineStr"/>
    </row>
    <row r="7813">
      <c r="A7813" t="inlineStr">
        <is>
          <t>gw9ccn</t>
        </is>
      </c>
      <c r="B7813" t="inlineStr">
        <is>
          <t>Exercise, when do you find the time?</t>
        </is>
      </c>
      <c r="C7813" t="inlineStr">
        <is>
          <t>For those that workout, when do you typically? I feel like I spend all day eating with not enough time in between to exercise without making things worse.</t>
        </is>
      </c>
      <c r="D7813" t="n">
        <v>1</v>
      </c>
      <c r="E7813" t="n">
        <v>8</v>
      </c>
      <c r="F7813">
        <f>HYPERLINK("https://www.reddit.com/r/GERD/comments/gw9ccn/exercise_when_do_you_find_the_time/")</f>
        <v/>
      </c>
      <c r="G7813" t="inlineStr">
        <is>
          <t>2020-06-03 20:30:55</t>
        </is>
      </c>
      <c r="H7813" t="inlineStr"/>
    </row>
    <row r="7814">
      <c r="A7814" t="inlineStr">
        <is>
          <t>gw9wkn</t>
        </is>
      </c>
      <c r="B7814" t="inlineStr">
        <is>
          <t>Reza Band / Reflux Band Equivalent?</t>
        </is>
      </c>
      <c r="C7814" t="inlineStr">
        <is>
          <t>Hey all. My husband has been struggling with GERD for over a year now, and for the past six months he's been looking to buy the reflux band. From what we can tell, there is absolutely no availability online, response from the distributor, or clarity if the reflux band will be back in production for purchase. Does anyone know what is going on here and if the band is discontinued? Is there any other product in the market that is similar, or do any of you know how we might find one? Much appreciated. Thanks!</t>
        </is>
      </c>
      <c r="D7814" t="n">
        <v>1</v>
      </c>
      <c r="E7814" t="n">
        <v>10</v>
      </c>
      <c r="F7814">
        <f>HYPERLINK("https://www.reddit.com/r/GERD/comments/gw9wkn/reza_band_reflux_band_equivalent/")</f>
        <v/>
      </c>
      <c r="G7814" t="inlineStr">
        <is>
          <t>2020-06-03 21:08:20</t>
        </is>
      </c>
      <c r="H7814" t="inlineStr"/>
    </row>
    <row r="7815">
      <c r="A7815" t="inlineStr">
        <is>
          <t>gwb1gq</t>
        </is>
      </c>
      <c r="B7815" t="inlineStr">
        <is>
          <t>Can the 24 h pH monitoring test be incorrect?</t>
        </is>
      </c>
      <c r="C7815" t="inlineStr">
        <is>
          <t>Hi everyone! I was just wondering if anyone has ever had experience with incorrect results from the 24h pH monitoring test? Two years ago I got checked into the ER for severe chest pain which they later hypothesised was a severe acid reflux episode. I got it checked out and was made to do the 24h pH monitoring test test and even ate some triggering foods (lasagna etc.) but when I went back, the doctor said it was OK and there were no visible episodes of reflux. I thought OK and tried to go back to my normal life but since then, the situation has stayed the same - regardless of what I eat I get symptoms such as an immediate lasting sour taste in my mouth, occasional heartburn, inflamed throat etc. which makes me wonder if I should ask them to re-check if its actually GERD. Has anyone had experience with initially being told it wasn't reflux and later finding out it was?</t>
        </is>
      </c>
      <c r="D7815" t="n">
        <v>1</v>
      </c>
      <c r="E7815" t="n">
        <v>2</v>
      </c>
      <c r="F7815">
        <f>HYPERLINK("https://www.reddit.com/r/GERD/comments/gwb1gq/can_the_24_h_ph_monitoring_test_be_incorrect/")</f>
        <v/>
      </c>
      <c r="G7815" t="inlineStr">
        <is>
          <t>2020-06-03 22:27:47</t>
        </is>
      </c>
      <c r="H7815" t="inlineStr"/>
    </row>
    <row r="7816">
      <c r="A7816" t="inlineStr">
        <is>
          <t>gwbb4i</t>
        </is>
      </c>
      <c r="B7816" t="inlineStr">
        <is>
          <t>Is this GERD?</t>
        </is>
      </c>
      <c r="C7816" t="inlineStr">
        <is>
          <t>So, for the last two months or so each morning I wake up with what feels like phlegm that I just can’t never get up and after I eat just a lump feels stuck in my throat and uncomfortable chest feeling. I saw an ENT he said I have mucus probably due to allergies and then prescribed me omeprazole and I’ve taken it for the last two weeks and it’s seemed to help but it’s happening again today (didn’t take a omeprazole today)</t>
        </is>
      </c>
      <c r="D7816" t="n">
        <v>1</v>
      </c>
      <c r="E7816" t="n">
        <v>1</v>
      </c>
      <c r="F7816">
        <f>HYPERLINK("https://www.reddit.com/r/GERD/comments/gwbb4i/is_this_gerd/")</f>
        <v/>
      </c>
      <c r="G7816" t="inlineStr">
        <is>
          <t>2020-06-03 22:47:00</t>
        </is>
      </c>
      <c r="H7816" t="inlineStr"/>
    </row>
    <row r="7817">
      <c r="A7817" t="inlineStr">
        <is>
          <t>gwclra</t>
        </is>
      </c>
      <c r="B7817" t="inlineStr">
        <is>
          <t>What could be going on</t>
        </is>
      </c>
      <c r="C7817" t="inlineStr">
        <is>
          <t>So.. my symptoms are mainly burping alot , sometimes with regurgitation discomfort after  eating ( dry heaving) some trouble breathing?( anxiety? idk) and just now after i had a pill i felt it lodged in my throat until i gagged and vomit some of the content out together with the gelatin.  What could be going on</t>
        </is>
      </c>
      <c r="D7817" t="n">
        <v>1</v>
      </c>
      <c r="E7817" t="n">
        <v>7</v>
      </c>
      <c r="F7817">
        <f>HYPERLINK("https://www.reddit.com/r/GERD/comments/gwclra/what_could_be_going_on/")</f>
        <v/>
      </c>
      <c r="G7817" t="inlineStr">
        <is>
          <t>2020-06-04 00:25:14</t>
        </is>
      </c>
      <c r="H7817" t="inlineStr"/>
    </row>
    <row r="7818">
      <c r="A7818" t="inlineStr">
        <is>
          <t>gwd613</t>
        </is>
      </c>
      <c r="B7818" t="inlineStr">
        <is>
          <t>I love how half the time, fetal position is awful because acid, and half the time it's great because constipation</t>
        </is>
      </c>
      <c r="C7818" t="inlineStr">
        <is>
          <t>real fun shit</t>
        </is>
      </c>
      <c r="D7818" t="n">
        <v>1</v>
      </c>
      <c r="E7818" t="n">
        <v>0</v>
      </c>
      <c r="F7818">
        <f>HYPERLINK("https://www.reddit.com/r/GERD/comments/gwd613/i_love_how_half_the_time_fetal_position_is_awful/")</f>
        <v/>
      </c>
      <c r="G7818" t="inlineStr">
        <is>
          <t>2020-06-04 01:10:07</t>
        </is>
      </c>
      <c r="H7818" t="inlineStr"/>
    </row>
    <row r="7819">
      <c r="A7819" t="inlineStr">
        <is>
          <t>gwdyqn</t>
        </is>
      </c>
      <c r="B7819" t="inlineStr">
        <is>
          <t>Seriousness</t>
        </is>
      </c>
      <c r="C7819" t="inlineStr">
        <is>
          <t>I’ve had acid reflux for about 2 weeks now, it mostly appears when I eat trigger foods but when I don’t have heart burn after eating I sometimes have a bit trouble breathing, I just wanted to know how severe it might have gotten for having it for two weeks and wether it might maybe just be normal acid reflux which I doubt</t>
        </is>
      </c>
      <c r="D7819" t="n">
        <v>1</v>
      </c>
      <c r="E7819" t="n">
        <v>6</v>
      </c>
      <c r="F7819">
        <f>HYPERLINK("https://www.reddit.com/r/GERD/comments/gwdyqn/seriousness/")</f>
        <v/>
      </c>
      <c r="G7819" t="inlineStr">
        <is>
          <t>2020-06-04 02:14:41</t>
        </is>
      </c>
      <c r="H7819" t="inlineStr"/>
    </row>
    <row r="7820">
      <c r="A7820" t="inlineStr">
        <is>
          <t>gwe3tq</t>
        </is>
      </c>
      <c r="B7820" t="inlineStr">
        <is>
          <t>Will I die early because of GERD?</t>
        </is>
      </c>
      <c r="C7820" t="inlineStr">
        <is>
          <t>I think I may have it because I always have this urge to burp which results in heartburn. I’m only 18 and want to go to uni and stuff. Am I going to die early because of this? I’m of very healthy weight and exercise everyday</t>
        </is>
      </c>
      <c r="D7820" t="n">
        <v>1</v>
      </c>
      <c r="E7820" t="n">
        <v>1</v>
      </c>
      <c r="F7820">
        <f>HYPERLINK("https://www.reddit.com/r/GERD/comments/gwe3tq/will_i_die_early_because_of_gerd/")</f>
        <v/>
      </c>
      <c r="G7820" t="inlineStr">
        <is>
          <t>2020-06-04 02:26:13</t>
        </is>
      </c>
      <c r="H7820" t="inlineStr"/>
    </row>
    <row r="7821">
      <c r="A7821" t="inlineStr">
        <is>
          <t>gwfl2f</t>
        </is>
      </c>
      <c r="B7821" t="inlineStr">
        <is>
          <t>Sodium alginate as effective as PPIs, and minus the health risks!</t>
        </is>
      </c>
      <c r="C7821" t="inlineStr">
        <is>
          <t>That's the best summary I could come up with. Here's the study: [https://www.ncbi.nlm.nih.gov/pmc/articles/PMC6836317/](https://www.ncbi.nlm.nih.gov/pmc/articles/PMC6836317/)
Let's discuss!</t>
        </is>
      </c>
      <c r="D7821" t="n">
        <v>1</v>
      </c>
      <c r="E7821" t="n">
        <v>45</v>
      </c>
      <c r="F7821">
        <f>HYPERLINK("https://www.reddit.com/r/GERD/comments/gwfl2f/sodium_alginate_as_effective_as_ppis_and_minus/")</f>
        <v/>
      </c>
      <c r="G7821" t="inlineStr">
        <is>
          <t>2020-06-04 04:23:32</t>
        </is>
      </c>
      <c r="H7821" t="inlineStr"/>
    </row>
    <row r="7822">
      <c r="A7822" t="inlineStr">
        <is>
          <t>gwg7k4</t>
        </is>
      </c>
      <c r="B7822" t="inlineStr">
        <is>
          <t>Natural Gerd solution? Long term PPI user..</t>
        </is>
      </c>
      <c r="C7822" t="inlineStr">
        <is>
          <t>Hi,
I was diagnosed with Gerd 9 years ago and I have been taking PPI since (was taking dexrabeprazole till 6 months back and switched to omeprazole till last week).
I had persistent acne and hyperpigmentation in my face and just few days ago, the endocrinologist(have hypothyroid as well) suggested I take vitamin b12 test and testosterone test, testosterone is normal but I'm highly deficient in vitamin b12 (107 pg) and doctor has told me to get off ppi's as it's long term use caused this deficiency. So, right now I'm off ppi's since last week and I'm looking for natural remedies (supplements, acv) whichever that worked for you. Please please help. Thanks</t>
        </is>
      </c>
      <c r="D7822" t="n">
        <v>1</v>
      </c>
      <c r="E7822" t="n">
        <v>6</v>
      </c>
      <c r="F7822">
        <f>HYPERLINK("https://www.reddit.com/r/GERD/comments/gwg7k4/natural_gerd_solution_long_term_ppi_user/")</f>
        <v/>
      </c>
      <c r="G7822" t="inlineStr">
        <is>
          <t>2020-06-04 05:08:10</t>
        </is>
      </c>
      <c r="H7822" t="inlineStr"/>
    </row>
    <row r="7823">
      <c r="A7823" t="inlineStr">
        <is>
          <t>gwh9t2</t>
        </is>
      </c>
      <c r="B7823" t="inlineStr">
        <is>
          <t>Pieces of food stuck.</t>
        </is>
      </c>
      <c r="C7823" t="inlineStr">
        <is>
          <t>So.. my something's been troubling me v much and would like some insight, i feel like i have issues getting food down, might push for endo soon if this continues.  Ok so i had a pill just now in capsule form( some chinese herb supplement ) i swallowed and feel like its stuck and ofcourse i had a panic attack, i gagged and regurgitate out some of the content together with the dissolved gelatin capsules which is abit slimy and i felt better after. Fast forward to dinner time, i had steamed chicken and after that i feel like its stuck even though i can breathe its uncomfortable. I thn burp out a small tiny piece of chicken and felt better after. Idk if the whole thing is 
1.psychomatic( anxiety induced) 
2.or its reflux pushing it up 
3. Or sonething wrong with my esophagus 
As im writing this i feel it again and it has been 2 hours since my dinner.
Thank you guys..</t>
        </is>
      </c>
      <c r="D7823" t="n">
        <v>1</v>
      </c>
      <c r="E7823" t="n">
        <v>2</v>
      </c>
      <c r="F7823">
        <f>HYPERLINK("https://www.reddit.com/r/GERD/comments/gwh9t2/pieces_of_food_stuck/")</f>
        <v/>
      </c>
      <c r="G7823" t="inlineStr">
        <is>
          <t>2020-06-04 06:18:07</t>
        </is>
      </c>
      <c r="H7823" t="inlineStr"/>
    </row>
    <row r="7824">
      <c r="A7824" t="inlineStr">
        <is>
          <t>gwhktv</t>
        </is>
      </c>
      <c r="B7824" t="inlineStr">
        <is>
          <t>Worried about acid rebound and endoscopy.</t>
        </is>
      </c>
      <c r="C7824" t="inlineStr">
        <is>
          <t>Hi there.
I started to feel sick in March and April this year. I took PPI in April but only 10 days and after that, famotidine for 5 days. I still have the pain. (Private clinic)
My symptoms:- 
1) upper abdominal pain
2) burping
3) flatulence
4) bloating
I changed my doctor. I went to public hospital.
So,my new doctor gave me Pantoprazole 40mg for two months (May &amp;amp; June). I have to take it once a day in the morning. She also asked me if i want to have an endoscopy. I said I want it.
The doctor also said they will not do the endoscopy straight away on my next appointment. I dont know what she meant by that but i guess,they need to follow certain procedures .The next appointment is this end of June.
I know PPI drugs is not good for a long term and I hope they will switch me to something safer. 
I dont know if they will continue my medicine or not after 2 months. I'm worried about acid rebound. 
For those who had experience with endoscopy, did you guys continue the medicine or not?  Did you ask the doctor to switch to h2bkocker/tums by yourself or just let the doctor decide?
Thank you for reading and your answers will mean so much to me.
*I'm sorry for my bad english.</t>
        </is>
      </c>
      <c r="D7824" t="n">
        <v>2</v>
      </c>
      <c r="E7824" t="n">
        <v>4</v>
      </c>
      <c r="F7824">
        <f>HYPERLINK("https://www.reddit.com/r/GERD/comments/gwhktv/worried_about_acid_rebound_and_endoscopy/")</f>
        <v/>
      </c>
      <c r="G7824" t="inlineStr">
        <is>
          <t>2020-06-04 06:37:04</t>
        </is>
      </c>
      <c r="H7824" t="inlineStr"/>
    </row>
    <row r="7825">
      <c r="A7825" t="inlineStr">
        <is>
          <t>gwi0rz</t>
        </is>
      </c>
      <c r="B7825" t="inlineStr">
        <is>
          <t>Recent study on long term PPI use and cancer risk</t>
        </is>
      </c>
      <c r="C7825" t="inlineStr">
        <is>
          <t>I continually see post from GERD sufferers concerned with taking proton pump inhibitors. There are many health concerns people have in regards taking these long term, but one of the biggest is an increased risk of cancer. This recent large study published in the May issue of The American Journal of Gastroenterology found no association between PPI use of greater or equal to two years and gastric, colorectal, liver or pancreatic cancer, and no consistent association between increasing dose and duration of use up to 10 years and the risk of those cancers. 
[Proton Pump Inhibitor Use and Risk of Gastric Colorectal, Liver, and Pancreatic Cancers in a Community-Based Population](https://journals.lww.com/ajg/Fulltext/2020/05000/Proton_Pump_Inhibitor_Use_and_Risk_of_Gastric,.18.aspx?context=FeaturedArticles&amp;amp;collectionId=5)</t>
        </is>
      </c>
      <c r="D7825" t="n">
        <v>2</v>
      </c>
      <c r="E7825" t="n">
        <v>3</v>
      </c>
      <c r="F7825">
        <f>HYPERLINK("https://www.reddit.com/r/GERD/comments/gwi0rz/recent_study_on_long_term_ppi_use_and_cancer_risk/")</f>
        <v/>
      </c>
      <c r="G7825" t="inlineStr">
        <is>
          <t>2020-06-04 07:02:35</t>
        </is>
      </c>
      <c r="H7825" t="inlineStr"/>
    </row>
    <row r="7826">
      <c r="A7826" t="inlineStr">
        <is>
          <t>gwiv45</t>
        </is>
      </c>
      <c r="B7826" t="inlineStr">
        <is>
          <t>i quit alcohol and junk food and still not seeing any benefits, in fact im getting worse progressively</t>
        </is>
      </c>
      <c r="C7826" t="inlineStr">
        <is>
          <t>its so frustrating, i had some watermelon yesterday and today it feels like my gut is torn up. i hate living like this nothing i do makes any difference, only thing left to try is jumping off my building, I know thats the only way to end this BS</t>
        </is>
      </c>
      <c r="D7826" t="n">
        <v>1</v>
      </c>
      <c r="E7826" t="n">
        <v>7</v>
      </c>
      <c r="F7826">
        <f>HYPERLINK("https://www.reddit.com/r/GERD/comments/gwiv45/i_quit_alcohol_and_junk_food_and_still_not_seeing/")</f>
        <v/>
      </c>
      <c r="G7826" t="inlineStr">
        <is>
          <t>2020-06-04 07:48:50</t>
        </is>
      </c>
      <c r="H7826" t="inlineStr"/>
    </row>
    <row r="7827">
      <c r="A7827" t="inlineStr">
        <is>
          <t>gwjup9</t>
        </is>
      </c>
      <c r="B7827" t="inlineStr">
        <is>
          <t>Does GERD kill?</t>
        </is>
      </c>
      <c r="C7827" t="inlineStr">
        <is>
          <t>I’m 18 and scared . I think I have it because I’m always getting heartburn. Like almost every day. I’m getting it checked tomorrow to see if I have it. Does it kill?</t>
        </is>
      </c>
      <c r="D7827" t="n">
        <v>1</v>
      </c>
      <c r="E7827" t="n">
        <v>16</v>
      </c>
      <c r="F7827">
        <f>HYPERLINK("https://www.reddit.com/r/GERD/comments/gwjup9/does_gerd_kill/")</f>
        <v/>
      </c>
      <c r="G7827" t="inlineStr">
        <is>
          <t>2020-06-04 08:40:44</t>
        </is>
      </c>
      <c r="H7827" t="inlineStr"/>
    </row>
    <row r="7828">
      <c r="A7828" t="inlineStr">
        <is>
          <t>gwjx3s</t>
        </is>
      </c>
      <c r="B7828" t="inlineStr">
        <is>
          <t>On PPI for now over a month, trying to stay hopeful during flare-up. My journey with severe GERD</t>
        </is>
      </c>
      <c r="C7828" t="inlineStr">
        <is>
          <t>I have been going through I really rough GERD for the past 8 months. Extreme nausea 24/7, unable to get out of bed, to eat, to do anything basically (I felt so sick). Doctor refused to believe that I had this, because I just turned 20. Tried all the natural methods available, but witht the extreme nausea, some of these just added to fire with the weird tastes and textures. Tried H2 blockers for a month, and it worked, but only for a weak. I got to my lowest point: I couldnt sleep any hours at night because my acid would come back, and couldnt eat anything, became anorexic, I was scared for my life. I was also frustrated that I had 8 months taken away from me, I failed uni, lost relationships, missed out on many oppurtunities... I felt like a burden..
After many months, I was finally prescribed PPI over a month ago.  I had a really bad reaction to it. It took quite some time, but I managed to find out -through trial and error- that my body can only handle 20mgs of PPI. So I have been taking that for a month. It immediately helped holding back my acid. And for the first time, I experienced being able to get out of bed for a little while, and feel a little normal again. But it wasnt nearly perfect. I still felt sick many times a day, and food made me extremelely sick. Increasing the dosage made me have a really bad reaction. So I figured, that my stomach needs to heal, and I just have to be careful with everything, and be patient. So I stuck with 20mgs. And finally after almost a month, I started to really feel better.I was able to increase my food intake, which still made me really sick, but I was at least able to eat it. And slowly even that improved. Yesterday I felt one of the best in so long, and even told about this to my parents so happily. But then I had a really bad flare up in the afternoon... And flare ups last a really long time. So over a day after, I still have nausea now. Maybe I forced myself to eat too much.  That seems to be the most likely. But even then, its so confusing, why does a flare up last so long? Why did eating an additional simple toast made feel so sick again? I thought I was finally over this? These are some of the questions I ask myself. But of course im not giving up, I had been through hell everyday for 8 months, and since the PPI started to work better, Its been so much better, and I try to focus on that. 
Its just such a scary feeling, having that extreme nausea again, not being able to anything, feeling my stomach being irritated. And from this, I feel so isolated and alone again. My couple of days of joys turn into fear this easy. I try to tell myself that healing takes a lot of time, especially since mine was going on for long before the PPI. And that it will get better. I dont expect it to be ever perfect, I might always have to be careful how much and what I eat. But, It has to get better. Im trying to stay hopeful despite that fallbacks, and flare-ups. Sorry for the long rant, maybe somebody will find any information in this helpful, or just know that you are not alone.</t>
        </is>
      </c>
      <c r="D7828" t="n">
        <v>1</v>
      </c>
      <c r="E7828" t="n">
        <v>0</v>
      </c>
      <c r="F7828">
        <f>HYPERLINK("https://www.reddit.com/r/GERD/comments/gwjx3s/on_ppi_for_now_over_a_month_trying_to_stay/")</f>
        <v/>
      </c>
      <c r="G7828" t="inlineStr">
        <is>
          <t>2020-06-04 08:44:09</t>
        </is>
      </c>
      <c r="H7828" t="inlineStr"/>
    </row>
    <row r="7829">
      <c r="A7829" t="inlineStr">
        <is>
          <t>gwkjei</t>
        </is>
      </c>
      <c r="B7829" t="inlineStr">
        <is>
          <t>Chest , Back and arm pain/tingle symptoms ?</t>
        </is>
      </c>
      <c r="C7829" t="inlineStr">
        <is>
          <t>Hi guys. I’m a 18 year old male who’s experienced very very slight/mild heart burn since I was in middle school/high school. But as I’ve gotten older it’s becoming unbearable. I’ve called the ambulance 3 times in the last 3 months , because I kept thinking I was going to die or have a heart attack. Every time they check my heart I’m told I’m fine, and my heart is healthy. ( I’m pretty fit anyways) 
I think I have GERD, so I’m wondering if anyone else experiences these same symptoms 
1. Back pain ( never persistent, comes and goes after I eat too much, or eat the wrong foods that trigger it)
2. Chest pain ( mainly in the center or right pectoral region, again , also comes and goes)
3. Arm/hand tingles( it’s not really pain,just more so tingles that come randomly ie very mild pins and needles)
4. Abdomen pain/burn( upper region, this happens the least of them all) 
I never sweat, or have difficulty breathing or any piercing pain. But it’s just uncomfortable and me being young it alarms me because it happens the worst when I really lay down to sleep and I just can’t sometimes. Sometimes the symptoms linger into the morning , ( that’s a new thing that’s occurring as of today)
And not only did I get my heart checked, I even freaked out and set up a corona virus screening for which my results came back Negative
IM NOT ASKING for diagnosis, I’m getting checked for that with a doctor soon! I just want some reassurance and to see if others relate to my experiences.
Thanks in advance everyone !</t>
        </is>
      </c>
      <c r="D7829" t="n">
        <v>1</v>
      </c>
      <c r="E7829" t="n">
        <v>4</v>
      </c>
      <c r="F7829">
        <f>HYPERLINK("https://www.reddit.com/r/GERD/comments/gwkjei/chest_back_and_arm_paintingle_symptoms/")</f>
        <v/>
      </c>
      <c r="G7829" t="inlineStr">
        <is>
          <t>2020-06-04 09:16:40</t>
        </is>
      </c>
      <c r="H7829" t="inlineStr"/>
    </row>
    <row r="7830">
      <c r="A7830" t="inlineStr">
        <is>
          <t>gwkluo</t>
        </is>
      </c>
      <c r="B7830" t="inlineStr">
        <is>
          <t>Cold turkey any advice?</t>
        </is>
      </c>
      <c r="C7830" t="inlineStr">
        <is>
          <t>Hello, been on PPIs for a little under 30 days..
I’ve seen improvement but I also had my gallbladder removed almost two weeks ago when I saw my biggest improvement. 
I’m sick of the PPIs, the side effects are just getting the best of me. I’m literally in bed most days just exhausted. So I put some thought into and I am a little worried because I know people say the acid rebound is very real but I just I gotta give them up. 
If you went cold turkey how did you manage the first few weeks? I also have Pepcid I can sub if needed. I’m taking pepzin GI and digestive enzymes as well. 
Please any advice would be much appreciated thanks you guys!</t>
        </is>
      </c>
      <c r="D7830" t="n">
        <v>1</v>
      </c>
      <c r="E7830" t="n">
        <v>10</v>
      </c>
      <c r="F7830">
        <f>HYPERLINK("https://www.reddit.com/r/GERD/comments/gwkluo/cold_turkey_any_advice/")</f>
        <v/>
      </c>
      <c r="G7830" t="inlineStr">
        <is>
          <t>2020-06-04 09:20:23</t>
        </is>
      </c>
      <c r="H7830" t="inlineStr"/>
    </row>
    <row r="7831">
      <c r="A7831" t="inlineStr">
        <is>
          <t>gwl38c</t>
        </is>
      </c>
      <c r="B7831" t="inlineStr">
        <is>
          <t>Anyone experienced rebound symptoms from weaning off PPI taken short term (~5weeks)?</t>
        </is>
      </c>
      <c r="C7831" t="inlineStr">
        <is>
          <t>So I got diagnosed with GERD 5 or so weeks ago and got on Omeprazole 20mg for 6-8 weeks but since reading about the possible rebound effects that can happen to me, I decided to just start weaning off of them and only have been taking them every other day now. I felt the most normal I had been right before weaning off and when I started weaning off I started to feel the symptoms again like early satiety/feeling full off smaller meals, and a mild heartburn after meals. Is this normal even though I haven’t taken this PPI long term? I also had tried a chocolate shake for the first time since getting GERD a couple days ago and felt nothing, but the day after tried a chai tea and WHOA never doing that again, took like 3 days to feel “better” but still don’t feel fully back to normal like I had felt. Is this the effects of me weaning off the meds?</t>
        </is>
      </c>
      <c r="D7831" t="n">
        <v>1</v>
      </c>
      <c r="E7831" t="n">
        <v>8</v>
      </c>
      <c r="F7831">
        <f>HYPERLINK("https://www.reddit.com/r/GERD/comments/gwl38c/anyone_experienced_rebound_symptoms_from_weaning/")</f>
        <v/>
      </c>
      <c r="G7831" t="inlineStr">
        <is>
          <t>2020-06-04 09:45:08</t>
        </is>
      </c>
      <c r="H7831" t="inlineStr"/>
    </row>
    <row r="7832">
      <c r="A7832" t="inlineStr">
        <is>
          <t>gwmk1d</t>
        </is>
      </c>
      <c r="B7832" t="inlineStr">
        <is>
          <t>Throat Clearing &amp;amp; Vocal Cord Strain</t>
        </is>
      </c>
      <c r="C7832" t="inlineStr">
        <is>
          <t>Anyone have experience with this?  Been trying to break the habit of chronic throat clearing lately- the other day I had a soda and the clearing was the worst it has ever been.  Past couple of days I've been experiencing pain/tenderness on the center/right side of my neck, below the adam's apple, on what I assume to be my vocal cords.  It's worse when I apply pressure to the area.  Could this be a result of the chronic throat clearing over time?  I have a doctor's appointment coming up but I was wondering if anyone has experienced this before.  This is all new to me and I have pretty bad health anxiety.
&amp;amp;#x200B;
Thanks!</t>
        </is>
      </c>
      <c r="D7832" t="n">
        <v>1</v>
      </c>
      <c r="E7832" t="n">
        <v>6</v>
      </c>
      <c r="F7832">
        <f>HYPERLINK("https://www.reddit.com/r/GERD/comments/gwmk1d/throat_clearing_vocal_cord_strain/")</f>
        <v/>
      </c>
      <c r="G7832" t="inlineStr">
        <is>
          <t>2020-06-04 11:00:24</t>
        </is>
      </c>
      <c r="H7832" t="inlineStr"/>
    </row>
    <row r="7833">
      <c r="A7833" t="inlineStr">
        <is>
          <t>gwouev</t>
        </is>
      </c>
      <c r="B7833" t="inlineStr">
        <is>
          <t>What are the best food to eat when you have GERD?</t>
        </is>
      </c>
      <c r="C7833" t="inlineStr">
        <is>
          <t>I’m preferably good carbs and protein?</t>
        </is>
      </c>
      <c r="D7833" t="n">
        <v>1</v>
      </c>
      <c r="E7833" t="n">
        <v>4</v>
      </c>
      <c r="F7833">
        <f>HYPERLINK("https://www.reddit.com/r/GERD/comments/gwouev/what_are_the_best_food_to_eat_when_you_have_gerd/")</f>
        <v/>
      </c>
      <c r="G7833" t="inlineStr">
        <is>
          <t>2020-06-04 12:55:51</t>
        </is>
      </c>
      <c r="H7833" t="inlineStr"/>
    </row>
    <row r="7834">
      <c r="A7834" t="inlineStr">
        <is>
          <t>gwph99</t>
        </is>
      </c>
      <c r="B7834" t="inlineStr">
        <is>
          <t>Getting worried about lump in throat feeling.</t>
        </is>
      </c>
      <c r="C7834" t="inlineStr">
        <is>
          <t>It feels like I have constant post nasal drop all the time now. I’m constantly burping. And it feels like there’s something at the back of my throat. It makes me feel like I need to swallow to make sure my throat is okay. I’ve left my gerd go untreated for over four years now. I’m starting to actually get worried. What should I do?
Edit: oh yeah and also I get real phlegm and feel like I need to clear my throat and like there’s something in my chest. Also get shallow breath, don’t know how much of that is anxiety.</t>
        </is>
      </c>
      <c r="D7834" t="n">
        <v>1</v>
      </c>
      <c r="E7834" t="n">
        <v>9</v>
      </c>
      <c r="F7834">
        <f>HYPERLINK("https://www.reddit.com/r/GERD/comments/gwph99/getting_worried_about_lump_in_throat_feeling/")</f>
        <v/>
      </c>
      <c r="G7834" t="inlineStr">
        <is>
          <t>2020-06-04 13:27:37</t>
        </is>
      </c>
      <c r="H7834" t="inlineStr"/>
    </row>
    <row r="7835">
      <c r="A7835" t="inlineStr">
        <is>
          <t>gwpq24</t>
        </is>
      </c>
      <c r="B7835" t="inlineStr">
        <is>
          <t>Did you have PPI side effects?</t>
        </is>
      </c>
      <c r="C7835" t="inlineStr">
        <is>
          <t>Did you have PPI side effects?
If so what PPI and what side effects?
If stoping/changing PPi how long till you saw that side effect go away? 
Would love to have the information for my self and for others. I know a lot of people don’t like asking but hey I’m not shy and love the help you guys give. Thanks you guys !</t>
        </is>
      </c>
      <c r="D7835" t="n">
        <v>1</v>
      </c>
      <c r="E7835" t="n">
        <v>2</v>
      </c>
      <c r="F7835">
        <f>HYPERLINK("https://www.reddit.com/r/GERD/comments/gwpq24/did_you_have_ppi_side_effects/")</f>
        <v/>
      </c>
      <c r="G7835" t="inlineStr">
        <is>
          <t>2020-06-04 13:40:16</t>
        </is>
      </c>
      <c r="H7835" t="inlineStr"/>
    </row>
    <row r="7836">
      <c r="A7836" t="inlineStr">
        <is>
          <t>gwq2mo</t>
        </is>
      </c>
      <c r="B7836" t="inlineStr">
        <is>
          <t>Anyone here has had success with Nexium?</t>
        </is>
      </c>
      <c r="C7836" t="inlineStr">
        <is>
          <t>Please list if you had side effects or has it relieved your gerd symptoms because I'm scared to take it without doctor's approval but going to the doctor is to expensive and my stomach pain is only getting worse. I need to know asap!</t>
        </is>
      </c>
      <c r="D7836" t="n">
        <v>1</v>
      </c>
      <c r="E7836" t="n">
        <v>5</v>
      </c>
      <c r="F7836">
        <f>HYPERLINK("https://www.reddit.com/r/GERD/comments/gwq2mo/anyone_here_has_had_success_with_nexium/")</f>
        <v/>
      </c>
      <c r="G7836" t="inlineStr">
        <is>
          <t>2020-06-04 13:58:02</t>
        </is>
      </c>
      <c r="H7836" t="inlineStr"/>
    </row>
    <row r="7837">
      <c r="A7837" t="inlineStr">
        <is>
          <t>gwqs4z</t>
        </is>
      </c>
      <c r="B7837" t="inlineStr">
        <is>
          <t>Can a hiatus hernia be diagnosed by a standard chest X-ray?</t>
        </is>
      </c>
      <c r="C7837" t="inlineStr">
        <is>
          <t>The GP first thought I could have a hiatus hernia as I have ehlers danlos hypermobility type which makes me very susceptible to hernias due to weak collagen, and my symptoms came on after going to the gym weightlifting after a big meal. 
My symptoms were frequent vomiting, vomiting air, gas, chest and stomach pain, acid reflux, nasal congestion, breathlessness etc. I took gaviscon advance which helps everything but the breathlessness and nasal issues, the latter of which I’ve just been given antibiotics and a steroid spray for. 
But I had a standard chest x-ray which came back clear, so the GP thinks I have anxiety (or just worse anxiety since I already have PTSD!). Is this right?</t>
        </is>
      </c>
      <c r="D7837" t="n">
        <v>1</v>
      </c>
      <c r="E7837" t="n">
        <v>2</v>
      </c>
      <c r="F7837">
        <f>HYPERLINK("https://www.reddit.com/r/GERD/comments/gwqs4z/can_a_hiatus_hernia_be_diagnosed_by_a_standard/")</f>
        <v/>
      </c>
      <c r="G7837" t="inlineStr">
        <is>
          <t>2020-06-04 14:33:54</t>
        </is>
      </c>
      <c r="H7837" t="inlineStr"/>
    </row>
    <row r="7838">
      <c r="A7838" t="inlineStr">
        <is>
          <t>gwr2zy</t>
        </is>
      </c>
      <c r="B7838" t="inlineStr">
        <is>
          <t>Can gerd cause tongue neuropathy?</t>
        </is>
      </c>
      <c r="C7838" t="inlineStr">
        <is>
          <t>I’m 20 years old. I developed gerd when I was 14, and when I was 17 my tongue went numb. A few days later, it developed into a deep painful parasthesia/burning pain that effects mostly the right side of my tongue. My face twitches as well, and my lips pulsate and tingle constantly. I also have a very bitter metallic taste in my mouth and a deep stabbing pain that comes and goes. 
The doctors are at a loss. I’ve been all over the country looking for help. I’m just about ready to give up. This is not a life, I’m suffering badly. 
Last year they discovered my lingual nerve is inflamed. My parents think there is a connection between my tongue pain and my gerd. They keep trying to put me on diets and take me to all kinds of stomach doctors and holistic doctors. I just don’t see there being a connection.
Has anyone here heard or dealt with anything similar? Thanks.</t>
        </is>
      </c>
      <c r="D7838" t="n">
        <v>1</v>
      </c>
      <c r="E7838" t="n">
        <v>9</v>
      </c>
      <c r="F7838">
        <f>HYPERLINK("https://www.reddit.com/r/GERD/comments/gwr2zy/can_gerd_cause_tongue_neuropathy/")</f>
        <v/>
      </c>
      <c r="G7838" t="inlineStr">
        <is>
          <t>2020-06-04 14:49:37</t>
        </is>
      </c>
      <c r="H7838" t="inlineStr"/>
    </row>
    <row r="7839">
      <c r="A7839" t="inlineStr">
        <is>
          <t>gwr3c0</t>
        </is>
      </c>
      <c r="B7839" t="inlineStr">
        <is>
          <t>Do I even have GERD?</t>
        </is>
      </c>
      <c r="C7839" t="inlineStr">
        <is>
          <t>Has anyone been told they have GERD or LPR but no medication they’ve been given are helping? I seem to have standard symptoms (sore throat, constant throat clearing with the sensation of something stuck, build up of phlegm, pain when swallowing), yet I’ve been through 5 different tablets which have done nothing. And now I’m starting to get a wheezing from my throat. I understand that there are other things to ease the symptoms such as changing my diet which I’ve tried doing, but I thought tablets would do something at least. My question is, has anyone ever had this where nothing is working? Perhaps been misdiagnosed and it was something else? I’m starting to worry but the doctors and ENT department don’t seem to care. I have keep feeling really anxious about it.</t>
        </is>
      </c>
      <c r="D7839" t="n">
        <v>1</v>
      </c>
      <c r="E7839" t="n">
        <v>16</v>
      </c>
      <c r="F7839">
        <f>HYPERLINK("https://www.reddit.com/r/GERD/comments/gwr3c0/do_i_even_have_gerd/")</f>
        <v/>
      </c>
      <c r="G7839" t="inlineStr">
        <is>
          <t>2020-06-04 14:50:07</t>
        </is>
      </c>
      <c r="H7839" t="inlineStr"/>
    </row>
    <row r="7840">
      <c r="A7840" t="inlineStr">
        <is>
          <t>gwr9xu</t>
        </is>
      </c>
      <c r="B7840" t="inlineStr">
        <is>
          <t>Throat problems?</t>
        </is>
      </c>
      <c r="C7840" t="inlineStr">
        <is>
          <t>So recently I've had an increase in heartburn and just 2 days ago I had a tingly or "sore" feeling in my throat. It also felt like I had to clear my throat every so often because it was as if some of the acid was stuck but didn't pay too much mind into it. It was until yesterday when I started getting a tingly or itchy sensation on my chest and then when I cleared my throat one more time that I tasted the iron or taste of blood when I cleared it and swallowed. Afterwards I started freaking out a little bit and I for sure do not want to turn to google for any answers. Has anyone had any of these problems? Relations would mean a lot of relief to me.</t>
        </is>
      </c>
      <c r="D7840" t="n">
        <v>1</v>
      </c>
      <c r="E7840" t="n">
        <v>4</v>
      </c>
      <c r="F7840">
        <f>HYPERLINK("https://www.reddit.com/r/GERD/comments/gwr9xu/throat_problems/")</f>
        <v/>
      </c>
      <c r="G7840" t="inlineStr">
        <is>
          <t>2020-06-04 14:59:55</t>
        </is>
      </c>
      <c r="H7840" t="inlineStr"/>
    </row>
    <row r="7841">
      <c r="A7841" t="inlineStr">
        <is>
          <t>gwss2z</t>
        </is>
      </c>
      <c r="B7841" t="inlineStr">
        <is>
          <t>Long tail symptom improvement with PPIs?</t>
        </is>
      </c>
      <c r="C7841" t="inlineStr">
        <is>
          <t>I've had two previous bouts with GERD  - one 20 years ago, one 6 years ago.  
In both cases, I started PPIs, had 100% symptom improvement within a few weeks. Weaned off PPIs, followed by several years, symptom free, without meds.  
Almost months 4 ago, I started with a third bout. I had about 75% symptom improvement within a few weeks of starting PPIs. But now stalled at that level. I havent noticed much improvement beyond that for the last (almost) 2 months, still taking PPI med. (My main symptom being mild chest pain).  
Anyone else experience this? How did you address it?</t>
        </is>
      </c>
      <c r="D7841" t="n">
        <v>1</v>
      </c>
      <c r="E7841" t="n">
        <v>3</v>
      </c>
      <c r="F7841">
        <f>HYPERLINK("https://www.reddit.com/r/GERD/comments/gwss2z/long_tail_symptom_improvement_with_ppis/")</f>
        <v/>
      </c>
      <c r="G7841" t="inlineStr">
        <is>
          <t>2020-06-04 16:20:20</t>
        </is>
      </c>
      <c r="H7841" t="inlineStr"/>
    </row>
    <row r="7842">
      <c r="A7842" t="inlineStr">
        <is>
          <t>gwtbm6</t>
        </is>
      </c>
      <c r="B7842" t="inlineStr">
        <is>
          <t>Medication brought about symptoms</t>
        </is>
      </c>
      <c r="C7842" t="inlineStr">
        <is>
          <t>21F, I rarely drink and never smoke, no drug use.
On 22 and 26 May i suddenly felt shortness of breath and rapid heart rate (about 100bpm when my resting is usually around 60+). The first time i went to a doctor and he prescribed me allergy medication because i ate shrimp and i had previously reacted with hives to seafood and i was fine for 3 days. The second time i was prescribed anxiety meds and muscle relaxant (Xanax and Anarex) because my oxygen levels and lungs all were fine and the doctor said it’s possibly anxiety. During this period i had very little appetite and constantly felt weak.
My parents decided that my shortness of breath might’ve been due to stomach acid issues, since i’ve been a daily black coffee drinker for years and i did eat a lot of oily, fatty food during the weekend that i first experienced shortness of breath. So we went to a doctor for the third time on 29 May and she prescribed Omeprazole (40mg a day) and Domperidone for gastric issues and also did a blood test. My iron levels, blood count, thyroid, kidney function, sugar levels etc were all totally fine.
The issue is after eating the Omeprazole and Domperidone, i’ve noticed that i now suffer a lot from bloating after eating and that also greatly causes a shortness of breath feeling for me. The good thing is that i now have my appetite back but the bad is that whenever i eat i usually get bloated and breathless. I’ve been avoiding anything oily, spicy, caffeinated or sugary and i’ve mostly just been eating oatmeal, crackers, soups and congee. 
I’m overall just very confused because when i initially experienced shortness of breath, i had almost no stomach discomfort whatsoever. But now that i’m on medication for gastric problems, i’ve started to get prominent stomach discomfort.
Anyone has any similar experiences or thoughts?</t>
        </is>
      </c>
      <c r="D7842" t="n">
        <v>1</v>
      </c>
      <c r="E7842" t="n">
        <v>8</v>
      </c>
      <c r="F7842">
        <f>HYPERLINK("https://www.reddit.com/r/GERD/comments/gwtbm6/medication_brought_about_symptoms/")</f>
        <v/>
      </c>
      <c r="G7842" t="inlineStr">
        <is>
          <t>2020-06-04 16:51:24</t>
        </is>
      </c>
      <c r="H7842" t="inlineStr"/>
    </row>
    <row r="7843">
      <c r="A7843" t="inlineStr">
        <is>
          <t>gwtdfa</t>
        </is>
      </c>
      <c r="B7843" t="inlineStr">
        <is>
          <t>Having Pain in Esophagus after starting to wean off PPI</t>
        </is>
      </c>
      <c r="C7843" t="inlineStr">
        <is>
          <t>I started having sharp pain in my esophagus after starting to wean off PPI. I was taking 40 mg pantaprazole for the past 6 weeks and now feeling a hell lot better so decided to lower the intake to once every 2 days. But now after 4 days following this routine I have sharp pain in the esophagus which I didn't have before. Should I go back to PPIs?</t>
        </is>
      </c>
      <c r="D7843" t="n">
        <v>1</v>
      </c>
      <c r="E7843" t="n">
        <v>2</v>
      </c>
      <c r="F7843">
        <f>HYPERLINK("https://www.reddit.com/r/GERD/comments/gwtdfa/having_pain_in_esophagus_after_starting_to_wean/")</f>
        <v/>
      </c>
      <c r="G7843" t="inlineStr">
        <is>
          <t>2020-06-04 16:54:18</t>
        </is>
      </c>
      <c r="H7843" t="inlineStr"/>
    </row>
    <row r="7844">
      <c r="A7844" t="inlineStr">
        <is>
          <t>gwtuah</t>
        </is>
      </c>
      <c r="B7844" t="inlineStr">
        <is>
          <t>Does Famotidine liquid work?</t>
        </is>
      </c>
      <c r="C7844" t="inlineStr">
        <is>
          <t>Just got prescribed Famotidine liquid for the first time, does it help? Smells awful.</t>
        </is>
      </c>
      <c r="D7844" t="n">
        <v>1</v>
      </c>
      <c r="E7844" t="n">
        <v>0</v>
      </c>
      <c r="F7844">
        <f>HYPERLINK("https://www.reddit.com/r/GERD/comments/gwtuah/does_famotidine_liquid_work/")</f>
        <v/>
      </c>
      <c r="G7844" t="inlineStr">
        <is>
          <t>2020-06-04 17:21:30</t>
        </is>
      </c>
      <c r="H7844" t="inlineStr"/>
    </row>
    <row r="7845">
      <c r="A7845" t="inlineStr">
        <is>
          <t>gwu9ch</t>
        </is>
      </c>
      <c r="B7845" t="inlineStr">
        <is>
          <t>Controversial post</t>
        </is>
      </c>
      <c r="C7845" t="inlineStr">
        <is>
          <t>I'm relatively new to this forum but after reading for a month, I feel like there are people here like myself who have GERD that includes bad heartburn, aka burning retrosternal pain, burping, acid reflux into throat, and then there are people who have somewhat obscure symptoms like functional dyspepsia, bloating and comorbid anxiety that are being told they have "gerd" because they have no diagnosis. 
I'm an MD and can confidently say there are people posting here who probably do not have GERD, especially those complaining about clearing their throat or whatnot. If that was my major symptom id not be seeking advice on a message board. Genuine gerd is very painful. Likely many of the posters here have health anxiety and an associated functional GI (or even non GI disorder) and then there are people here who actually have acid refluxing into their esophagus, causing pain, and objective evidence of such.
Feel free to downvote or lambaste me but its clear the posts here get diluted by a lot of non GERD patients.</t>
        </is>
      </c>
      <c r="D7845" t="n">
        <v>1</v>
      </c>
      <c r="E7845" t="n">
        <v>17</v>
      </c>
      <c r="F7845">
        <f>HYPERLINK("https://www.reddit.com/r/GERD/comments/gwu9ch/controversial_post/")</f>
        <v/>
      </c>
      <c r="G7845" t="inlineStr">
        <is>
          <t>2020-06-04 17:47:20</t>
        </is>
      </c>
      <c r="H7845" t="inlineStr"/>
    </row>
    <row r="7846">
      <c r="A7846" t="inlineStr">
        <is>
          <t>gwunfa</t>
        </is>
      </c>
      <c r="B7846" t="inlineStr">
        <is>
          <t>Can GERD cause this?</t>
        </is>
      </c>
      <c r="C7846" t="inlineStr">
        <is>
          <t>Hello Reddit! I’m here because I’m concerned about my GERD symptoms. Well, what I hope is GERD symptoms, at least. 
I’ve been to the doctor recently (about a month ago) because I was having horrible heartburn, dizziness and left arm pain. I got an EKG, was asked some questions, given a GI cocktail, which helped, and was sent on my way after being told it’s GERD. 
Fast forward to now, along with trapped gas and heartburn, I’m getting a lot of left hand and arm pain, dizziness, horrible shortness of breath when I do simple chores, and this strange pain in the middle of my chest that sometimes radiates into my shoulders. It never goes away. It’s worse if I stand up straight, twist my body or when I’m lying down, as if stretching that area is irritating something. When I lie down on my back, I get this uncomfortable pressure and pain and need to lie on my side. 
My heart rate also often shoots up into the high 80’s-100’s randomly, most noticeably when I wake up. 
I am a horrible hypochondriac when it comes to my heart, to the point that I’ve been begging my fiancé to take me back to the doctor. He thinks it’s just GERD and anxiety, though, and so does his mother, who suffers from bad anxiety as well.
I’m a mess, Reddit. Please tell me this Hell is normal for people with GERD so I can stop thinking I’m going to keel over. 😞</t>
        </is>
      </c>
      <c r="D7846" t="n">
        <v>1</v>
      </c>
      <c r="E7846" t="n">
        <v>20</v>
      </c>
      <c r="F7846">
        <f>HYPERLINK("https://www.reddit.com/r/GERD/comments/gwunfa/can_gerd_cause_this/")</f>
        <v/>
      </c>
      <c r="G7846" t="inlineStr">
        <is>
          <t>2020-06-04 18:11:17</t>
        </is>
      </c>
      <c r="H7846" t="inlineStr"/>
    </row>
    <row r="7847">
      <c r="A7847" t="inlineStr">
        <is>
          <t>gwurmo</t>
        </is>
      </c>
      <c r="B7847" t="inlineStr">
        <is>
          <t>Pregnancy and pre-existing GERD/Reflux</t>
        </is>
      </c>
      <c r="C7847" t="inlineStr">
        <is>
          <t>Hey everyone (well more specifically, ladies),
I am just curious — did anyone of you have GERD prior to getting pregnant? How were your symptoms during pregnancy? Did they worsen? Did you take pills?
I have GERD and I want a baby so bad, but I’m nervous about acid reflux! Mine is already bad enough as it is without a baby pushing up on my guts, I can’t imagine actually being pregnant :( 
I am at a loss friends! Hopefully someone has an encouraging story!</t>
        </is>
      </c>
      <c r="D7847" t="n">
        <v>1</v>
      </c>
      <c r="E7847" t="n">
        <v>8</v>
      </c>
      <c r="F7847">
        <f>HYPERLINK("https://www.reddit.com/r/GERD/comments/gwurmo/pregnancy_and_preexisting_gerdreflux/")</f>
        <v/>
      </c>
      <c r="G7847" t="inlineStr">
        <is>
          <t>2020-06-04 18:18:23</t>
        </is>
      </c>
      <c r="H7847" t="inlineStr"/>
    </row>
    <row r="7848">
      <c r="A7848" t="inlineStr">
        <is>
          <t>gww4rd</t>
        </is>
      </c>
      <c r="B7848" t="inlineStr">
        <is>
          <t>Can I take medication daily? Any other solutions?</t>
        </is>
      </c>
      <c r="C7848" t="inlineStr">
        <is>
          <t>Hey! I feel like I made a dumb decision woohoo but it felt like I had to. I’m 19F and have had reflux since I was a kid. Many doctors have checked it out over the years and say I’ve got terrible reflux for someone so young. I eat super healthy, sleep well, exercise daily, no alcohol or weird things, and I drink maybe 2 cups of coffee a day. I do many things to help my reflux, even little things such as not drinking water 2-3 hours before bed and sleeping with my upper body elevated. Nothing has been helping so I did something without checking if I could with a doctor as I haven’t been able to go to a doctor recently. I used to not treat my reflux as a kid because I thought it was normal to have acid going up your throat all day haha. As I got older i learnt about it but I didn’t realise how serious it was and still didn’t treat it. Now I realise how dangerous it is every time you get reflux. I feel the damage has been going on for years without treatment, and then the times I have treated it as soon as I’ve stopped the treatment it just goes crazy again. My symptoms and sort of the amount of reflux (I have reflux all day long but now the amount seems bigger) have been getting worse and I’m scared of what’ll happen if I don’t take something constantly. So I started taking 20mg Nexium (a PPI) every day for about 2 months. You’re supposed to only take it for 14 days and there are apparently health risks when taking it longer (I know it makes no sense, I’m scared of the health risks of having so much untreated reflux, yet I’m taking medication constantly that could cause health risks, remember I said DUMB). Since I started taking it my symptoms have gone down (I still get a reflux just not as bad). If I skip a day I instantly get more symptoms and more reflux. If I skip 3 days everything is almost back to how bad it used to be. It feels like I have to take something every day because I can’t afford to skip even one day. Taking a few days off medication is not a few a days of a little bit of reflux, it’s a few days of nonstop reflux.
 I really need some advice, is there something I can take every day? Can I keep taking Nexium every day as there is some evidence showing it is not a health risk although I still have some reflux symptoms even on it constantly? Any other solutions? I will of course check this with a doctor when I can. Thanks for the help and I hope you’re having an awesome reflux-free day!! (:</t>
        </is>
      </c>
      <c r="D7848" t="n">
        <v>1</v>
      </c>
      <c r="E7848" t="n">
        <v>0</v>
      </c>
      <c r="F7848">
        <f>HYPERLINK("https://www.reddit.com/r/GERD/comments/gww4rd/can_i_take_medication_daily_any_other_solutions/")</f>
        <v/>
      </c>
      <c r="G7848" t="inlineStr">
        <is>
          <t>2020-06-04 19:43:02</t>
        </is>
      </c>
      <c r="H7848" t="inlineStr"/>
    </row>
    <row r="7849">
      <c r="A7849" t="inlineStr">
        <is>
          <t>gww9rf</t>
        </is>
      </c>
      <c r="B7849" t="inlineStr">
        <is>
          <t>Should I take Meds or Change my diet?</t>
        </is>
      </c>
      <c r="C7849" t="inlineStr">
        <is>
          <t>I can only eat plain foods, otherwise I get GERD. I'm tired of eating plain foods. I don't want to be reliant on medicene either though. I used to be able to eat normally. Can my stomach heal to the point where I don't get GERD anymore?</t>
        </is>
      </c>
      <c r="D7849" t="n">
        <v>1</v>
      </c>
      <c r="E7849" t="n">
        <v>5</v>
      </c>
      <c r="F7849">
        <f>HYPERLINK("https://www.reddit.com/r/GERD/comments/gww9rf/should_i_take_meds_or_change_my_diet/")</f>
        <v/>
      </c>
      <c r="G7849" t="inlineStr">
        <is>
          <t>2020-06-04 19:51:49</t>
        </is>
      </c>
      <c r="H7849" t="inlineStr"/>
    </row>
    <row r="7850">
      <c r="A7850" t="inlineStr">
        <is>
          <t>gwxo6n</t>
        </is>
      </c>
      <c r="B7850" t="inlineStr">
        <is>
          <t>Stomach cramps</t>
        </is>
      </c>
      <c r="C7850" t="inlineStr">
        <is>
          <t>Hey guys, so I haven’t had GERD in a while (been taking omeprazole, which helps majorly) but the last few days I’ll admit I ate like shit and skipped one tablet when I’ve been consistent for months. Anyway yesterday it came with vengeance, constant choking feeling etc. But what was different is that my stomach has dull pains on the left side of m stomach, does anyone else experience that? 
Also another thing that was super scary, I came home from work and the top of my stomach under my sternum all the way to to the back for about ten minutes had excruciating pain! Was that just gas form the GERD?
I took my omeprazole last night after skipping it the day before aswell as eating a balanced meal last night so I’m hoping it will all go back to normal 🤞🏽</t>
        </is>
      </c>
      <c r="D7850" t="n">
        <v>1</v>
      </c>
      <c r="E7850" t="n">
        <v>0</v>
      </c>
      <c r="F7850">
        <f>HYPERLINK("https://www.reddit.com/r/GERD/comments/gwxo6n/stomach_cramps/")</f>
        <v/>
      </c>
      <c r="G7850" t="inlineStr">
        <is>
          <t>2020-06-04 21:23:49</t>
        </is>
      </c>
      <c r="H7850" t="inlineStr"/>
    </row>
    <row r="7851">
      <c r="A7851" t="inlineStr">
        <is>
          <t>gwxy66</t>
        </is>
      </c>
      <c r="B7851" t="inlineStr">
        <is>
          <t>Anybody else experience chest burning when eating certain things after taking pantoprazole?</t>
        </is>
      </c>
      <c r="C7851" t="inlineStr">
        <is>
          <t>Took pantoprazole for stomach issues then had an endoscopy which came back fine so i stopped taking them its been 4 months already and still experiencing chest burning after eating certain things which is a symptom i didnt have prior to taking these pills, its happened before after taking omeprazole too but it went away after a couple of months but this time it hasnt. Anybody else experience this?</t>
        </is>
      </c>
      <c r="D7851" t="n">
        <v>1</v>
      </c>
      <c r="E7851" t="n">
        <v>0</v>
      </c>
      <c r="F7851">
        <f>HYPERLINK("https://www.reddit.com/r/GERD/comments/gwxy66/anybody_else_experience_chest_burning_when_eating/")</f>
        <v/>
      </c>
      <c r="G7851" t="inlineStr">
        <is>
          <t>2020-06-04 21:44:09</t>
        </is>
      </c>
      <c r="H7851" t="inlineStr"/>
    </row>
    <row r="7852">
      <c r="A7852" t="inlineStr">
        <is>
          <t>gwy9hp</t>
        </is>
      </c>
      <c r="B7852" t="inlineStr">
        <is>
          <t>Suffering from LPR and Anxiety. Need help.</t>
        </is>
      </c>
      <c r="C7852" t="inlineStr">
        <is>
          <t>**About me:**
I(26M) have been suffering from intense Laryngopharyngeal Reflux for the past 1.5 years. I am a vegetarian (But I do eat dairy products and eggs). Initially, it was just bad whenever I had really heavy food or pizza or something like that. But for the past 6 months, I have not been able to eat any of the food that I like. Some background:
**My symptoms:**
1. Breathing difficulties
2. Tight chest (which again prevents breathing beyond chest)
3. Swallowing Difficulty
4. Globus Sensation
5. Tight neck and shoulders
6. Feeling full all the time
7. Waking up gasping for breath after lying down/sleeping
**List of food that I avoid:**
1. Meat (Vegetarian)
2. Tomatoes
3. Tamarind
4. High-fat dairy products
5. Coffee
6. Alcohol
7. Cigarette
8. Raw onions and garlic
9. Soda
**Food that I eat occasionally:**
1. Tea
2. Milk 
3. Fried onions and garlic
**Food that I feel helps me:**
1. Buttermilk
2. Licorice Root powder
3. Ginger tea
4. Betel leaf (Tried it twice, think it helps really well)
5. Fennel Seeds
**What did the Gastroenterologist doctor say?** 
Says I don't have acid reflux because of the following:
Took the following tests:
1. Endoscopy (No h.pylori bacteria found)
2. Barium Sulphate Swallow Test (Was able to swallow the tablets with difficulty but no reflux found)
3. Chest CT Scan ()
She says it's just **anxiety causing the above symptoms.**
**What did the ENT say?**
ENT performed an upper endoscopy and says its Laryngopharyngeal Reflux. My throat was super red.
**Medicines that I take:**
1. PPI 40mg (Pantoprazole) in empty stomach in the morning 
2. H2 inhibitors (Ranitidine) before dinner.
3. Gaviscon Advanced Uk (After meals)
**What do I need from you guys?**
I need **HEEELP** to get my life back and need a potential cure**.** I have restricted my diet as much as possible. It was so painful to give up coffee and milk(I looove them). I gave up eating fast food. I am not that old and I want to live a normal life like a 26-year-old and not give reasons to avoid co-workers and friends whenever they want to go to a restaurant or have pizza. 
I have been doing and have done the above and although there is little relief, I haven't had a cure. I developed an anxiety disorder last year,  and my GI says its the reason for whatever symptoms I feel but I strongly feel its not anxiety since the intensity of my reflux changes based on the food I eat.
Does anybody else face the same symptoms as me?
What did you guys do to effectively solve the problem? I really need help here as I have given up my hope on doctors.</t>
        </is>
      </c>
      <c r="D7852" t="n">
        <v>1</v>
      </c>
      <c r="E7852" t="n">
        <v>24</v>
      </c>
      <c r="F7852">
        <f>HYPERLINK("https://www.reddit.com/r/GERD/comments/gwy9hp/suffering_from_lpr_and_anxiety_need_help/")</f>
        <v/>
      </c>
      <c r="G7852" t="inlineStr">
        <is>
          <t>2020-06-04 22:08:03</t>
        </is>
      </c>
      <c r="H7852" t="inlineStr"/>
    </row>
    <row r="7853">
      <c r="A7853" t="inlineStr">
        <is>
          <t>gwyisq</t>
        </is>
      </c>
      <c r="B7853" t="inlineStr">
        <is>
          <t>New study touts famotidine as beneficial for patients with COVID-19</t>
        </is>
      </c>
      <c r="C7853" t="inlineStr">
        <is>
          <t>https://www.cnn.com/2020/06/04/health/famotidine-covid-19-case-series-study/index.html
&amp;gt;	Ten people who were home sick with Covid-19 may have found relief with a common over-the-counter heartburn remedy, according to a study published Thursday.
&amp;gt;	A coauthor of the study emphasized that it's a small group of patients. Even so, he said he was "encouraged" by the results and now plans to do a larger study with outpatients on famotidine, the over-the-counter ingredient in Pepcid.
Sounds like there may be something to the speculation from a month or two ago that famotidine was helping people recover from COVID-19. 
I have been trying to avoid PPIs for treating my symptoms and have been taking famotidine as needed for the past few months after ranitidine was pulled from the market. If famotidine becomes hard to find again, not sure what my options will be for dealing with GERD/LPR symptoms. Obviously COVID-19 treatment is a higher priority but I feel like I am running out of medicines that even partially work at helping reduce my symptoms.</t>
        </is>
      </c>
      <c r="D7853" t="n">
        <v>1</v>
      </c>
      <c r="E7853" t="n">
        <v>0</v>
      </c>
      <c r="F7853">
        <f>HYPERLINK("https://www.reddit.com/r/GERD/comments/gwyisq/new_study_touts_famotidine_as_beneficial_for/")</f>
        <v/>
      </c>
      <c r="G7853" t="inlineStr">
        <is>
          <t>2020-06-04 22:28:18</t>
        </is>
      </c>
      <c r="H7853" t="inlineStr"/>
    </row>
    <row r="7854">
      <c r="A7854" t="inlineStr">
        <is>
          <t>gwyj18</t>
        </is>
      </c>
      <c r="B7854" t="inlineStr">
        <is>
          <t>Getting used to the pain?</t>
        </is>
      </c>
      <c r="C7854" t="inlineStr">
        <is>
          <t>This might not make a ton of sense, but I'm starting to be concerned that I may have gotten used to sort of constant low level reflux/discomfort and I have a hard time telling the difference between what is reflux (that is low in pain and discomfort compared to typical GERD eps) that I may have gotten used to and what is... no symptoms and normal functioning? 
Part of what is contributing tot his thought (and what is so upsetting about all of this) is the way I feel like I cant trust my body... I can avoid all trigger foods/behaviors and still feel discomfort/have reflux and bloat. It's unpredictable and confusing.
&amp;amp;#x200B;
Not necessarily looking for a solution or answers, more just curious if anyone else can relate?</t>
        </is>
      </c>
      <c r="D7854" t="n">
        <v>1</v>
      </c>
      <c r="E7854" t="n">
        <v>5</v>
      </c>
      <c r="F7854">
        <f>HYPERLINK("https://www.reddit.com/r/GERD/comments/gwyj18/getting_used_to_the_pain/")</f>
        <v/>
      </c>
      <c r="G7854" t="inlineStr">
        <is>
          <t>2020-06-04 22:28:51</t>
        </is>
      </c>
      <c r="H7854" t="inlineStr"/>
    </row>
    <row r="7855">
      <c r="A7855" t="inlineStr">
        <is>
          <t>gwymdk</t>
        </is>
      </c>
      <c r="B7855" t="inlineStr">
        <is>
          <t>Has anyone gotten off of omeprazole?</t>
        </is>
      </c>
      <c r="C7855" t="inlineStr">
        <is>
          <t>Hi, 17 yo here and I’v taken omeprazole for months and have gone without it for I think one, but symptoms started to come back mildly and I think it was because I went back to my old diet. I have been on it again for three months now. 
I just want to know if it is possible to get off of it because I have only heard of rebounds</t>
        </is>
      </c>
      <c r="D7855" t="n">
        <v>1</v>
      </c>
      <c r="E7855" t="n">
        <v>2</v>
      </c>
      <c r="F7855">
        <f>HYPERLINK("https://www.reddit.com/r/GERD/comments/gwymdk/has_anyone_gotten_off_of_omeprazole/")</f>
        <v/>
      </c>
      <c r="G7855" t="inlineStr">
        <is>
          <t>2020-06-04 22:36:09</t>
        </is>
      </c>
      <c r="H7855" t="inlineStr"/>
    </row>
    <row r="7856">
      <c r="A7856" t="inlineStr">
        <is>
          <t>gwytoo</t>
        </is>
      </c>
      <c r="B7856" t="inlineStr">
        <is>
          <t>Found one of my biggest triggers</t>
        </is>
      </c>
      <c r="C7856" t="inlineStr">
        <is>
          <t>After experimenting a bit I came to find that one of my biggest triggers is overeating. I'm still affected by other things like acidic/greasy foods but I have a big problem with overeating no matter what it is and it seems to be the biggest cause of my episodes.</t>
        </is>
      </c>
      <c r="D7856" t="n">
        <v>1</v>
      </c>
      <c r="E7856" t="n">
        <v>20</v>
      </c>
      <c r="F7856">
        <f>HYPERLINK("https://www.reddit.com/r/GERD/comments/gwytoo/found_one_of_my_biggest_triggers/")</f>
        <v/>
      </c>
      <c r="G7856" t="inlineStr">
        <is>
          <t>2020-06-04 22:52:46</t>
        </is>
      </c>
      <c r="H7856" t="inlineStr"/>
    </row>
    <row r="7857">
      <c r="A7857" t="inlineStr">
        <is>
          <t>gwzhma</t>
        </is>
      </c>
      <c r="B7857" t="inlineStr">
        <is>
          <t>Famotidine for GERD</t>
        </is>
      </c>
      <c r="C7857" t="inlineStr">
        <is>
          <t>Anyone having or have had weird eye complications w taking Famotidine for GERD? Was taking it for 6 weeks now I’m off it but I’m having weird eye complications (eye floaters and light sensitivity)</t>
        </is>
      </c>
      <c r="D7857" t="n">
        <v>1</v>
      </c>
      <c r="E7857" t="n">
        <v>0</v>
      </c>
      <c r="F7857">
        <f>HYPERLINK("https://www.reddit.com/r/GERD/comments/gwzhma/famotidine_for_gerd/")</f>
        <v/>
      </c>
      <c r="G7857" t="inlineStr">
        <is>
          <t>2020-06-04 23:47:59</t>
        </is>
      </c>
      <c r="H7857" t="inlineStr"/>
    </row>
    <row r="7858">
      <c r="A7858" t="inlineStr">
        <is>
          <t>gx1eb3</t>
        </is>
      </c>
      <c r="B7858" t="inlineStr">
        <is>
          <t>Trouble with diet.</t>
        </is>
      </c>
      <c r="C7858" t="inlineStr">
        <is>
          <t>Need help.I read that cutting out acidic foods off your diet can help.But i am reading that most foods are highily acidic and i need to cut out most of the food i eat if i want to be alkline.Need help how can i find more information of foods acidity?and what should i cut out</t>
        </is>
      </c>
      <c r="D7858" t="n">
        <v>1</v>
      </c>
      <c r="E7858" t="n">
        <v>1</v>
      </c>
      <c r="F7858">
        <f>HYPERLINK("https://www.reddit.com/r/GERD/comments/gx1eb3/trouble_with_diet/")</f>
        <v/>
      </c>
      <c r="G7858" t="inlineStr">
        <is>
          <t>2020-06-05 02:33:08</t>
        </is>
      </c>
      <c r="H7858" t="inlineStr"/>
    </row>
    <row r="7859">
      <c r="A7859" t="inlineStr">
        <is>
          <t>gx1rq0</t>
        </is>
      </c>
      <c r="B7859" t="inlineStr">
        <is>
          <t>So my doctor put me on nexium?</t>
        </is>
      </c>
      <c r="C7859" t="inlineStr">
        <is>
          <t>I’m about to pick it up. I think I have GERD and he said I should take nexium for 3 weeks daily and if I still have problems I should come back after the 3 weeks. How safe is nexium? I’m only 18</t>
        </is>
      </c>
      <c r="D7859" t="n">
        <v>1</v>
      </c>
      <c r="E7859" t="n">
        <v>1</v>
      </c>
      <c r="F7859">
        <f>HYPERLINK("https://www.reddit.com/r/GERD/comments/gx1rq0/so_my_doctor_put_me_on_nexium/")</f>
        <v/>
      </c>
      <c r="G7859" t="inlineStr">
        <is>
          <t>2020-06-05 03:05:41</t>
        </is>
      </c>
      <c r="H7859" t="inlineStr"/>
    </row>
    <row r="7860">
      <c r="A7860" t="inlineStr">
        <is>
          <t>gx3rbu</t>
        </is>
      </c>
      <c r="B7860" t="inlineStr">
        <is>
          <t>Zinc and magnesium</t>
        </is>
      </c>
      <c r="C7860" t="inlineStr">
        <is>
          <t>Has anyone on here tried zinc and magnesium supplementation to increase melatonin production as a treatment for GERD? I saw that in a few studied melatonin had been shown to be as effective as PPIS for treatment of GERD, so I was wondering if that may be the most effective way to increase it naturally? 
Any other ideas would be great. Thanks!</t>
        </is>
      </c>
      <c r="D7860" t="n">
        <v>1</v>
      </c>
      <c r="E7860" t="n">
        <v>28</v>
      </c>
      <c r="F7860">
        <f>HYPERLINK("https://www.reddit.com/r/GERD/comments/gx3rbu/zinc_and_magnesium/")</f>
        <v/>
      </c>
      <c r="G7860" t="inlineStr">
        <is>
          <t>2020-06-05 05:36:58</t>
        </is>
      </c>
      <c r="H7860" t="inlineStr"/>
    </row>
    <row r="7861">
      <c r="A7861" t="inlineStr">
        <is>
          <t>gx4is1</t>
        </is>
      </c>
      <c r="B7861" t="inlineStr">
        <is>
          <t>Should I proceed with a colonoscopy?</t>
        </is>
      </c>
      <c r="C7861" t="inlineStr">
        <is>
          <t>I know you all aren't doctors but in only 34 and am kind of nervous about having a colonoscopy done. 
Apologies for the long post. Thanks in advance.
Just seeking opinions. My GI says it's up to me but should get it done for peace of mind and to make sure all is well.
I am scheduled to have a colonoscopy/egd on June 23. 
Back on March 25 I had what was dx as inflammation/infectious colitis. 
Severe abdominal cramping primarily upper left and about an inch left of my belly button. Loud gurgles and popping sounds from my abdomen. I had trouble with bowel movement. Very little stool with so much effort. 
I couldn't get three bites of food in without feeling super full. This lasted for about 8 days.  
I lost about 12 lbs between April to mid May. 
I am 5'1F,  was 139 on Mar 25. 
Anyway, after completing the course of antibiotics I was still in pain. 
Mid April I started having fluffy stools. Floats for a second then drops to the bottom of the bowl. Had a few days of diarrhea.
Stool labs, occult blood, h plyori, all negative. 
Was put on aciphex which I feel didn't do anything. I took it for about 2 weeks but was experiencing joint and muscle pain on my arms and legs. Was told to stop. 
Ending April/beginning may I started eating carefully and fasting til 11am/12pm. Started liquid vitamins/minerals, liquid probiotics, and golden milk.
All my stomach pain is gone aside from normal stomach cramping. Type of cramping you'd feel before a bowel movement, normal stomach ache, etc. 
I get what seems like gas that effects my chest which feels like a rubber band squeezing and sometimes like pressure ony sternum and my dull ache on my back on the lower part of my ribs near my spine. Very specific spot(s). I'm assuming it's gas because if I take simethicone it relieves it by like 60-80%.
I get what I call heart grabs (not everyday now) because that's what it feels like. Though it sometimes seems musculoskeletal because I somewhat feel tenderness beneath my breast tissue, like the ribs.
 Eating or not doesn't change how or when I get it. I developed a globus sensation mainly upon waking. 
CT contrast pelvis/abd March 25 showed no hernia everything normal aside from inflammation suspected of colitis. 
CT angiogram on April 13 showed everything normal on upper abdomen.
Since mid May, Ive been having daily bowel movement again. Sometimes twice a day. Mostly medium brown in color and jagged fluffy sausage shaped. Maybe once a week I'd get some loose fluffy stool.
Should I proceed with a colonoscopy. I feel likey problems are upper. Chest pain, gas feeling in my chest and back, globus sensation, and what feels like food coming up. No voting though. For the most part I feel my abdomen is normal again.</t>
        </is>
      </c>
      <c r="D7861" t="n">
        <v>1</v>
      </c>
      <c r="E7861" t="n">
        <v>4</v>
      </c>
      <c r="F7861">
        <f>HYPERLINK("https://www.reddit.com/r/GERD/comments/gx4is1/should_i_proceed_with_a_colonoscopy/")</f>
        <v/>
      </c>
      <c r="G7861" t="inlineStr">
        <is>
          <t>2020-06-05 06:25:29</t>
        </is>
      </c>
      <c r="H7861" t="inlineStr"/>
    </row>
    <row r="7862">
      <c r="A7862" t="inlineStr">
        <is>
          <t>gx5ar3</t>
        </is>
      </c>
      <c r="B7862" t="inlineStr">
        <is>
          <t>Drinking water while laying down.</t>
        </is>
      </c>
      <c r="C7862" t="inlineStr">
        <is>
          <t>I (22m) had years where if I eat something wrong my breathing starts getting worse for a longer period. I have these recent months found some food triggers, and tried to reduce them. Lately I have found a method that have eased my symptoms in seconds. I take a glass of water. Lay down on any surface, and take a sip of water, and then swallow it while laying down. I do this with 3-4 sips, and I start letting out burps. This has helped me tremoundously, from it being a big problem to now being a problem that I can control. Anyone have any experience with this? Is this harmful in anyway? I also have had problems where my stomach area would feel uncomfortable. This method has somehow helped this also.</t>
        </is>
      </c>
      <c r="D7862" t="n">
        <v>1</v>
      </c>
      <c r="E7862" t="n">
        <v>0</v>
      </c>
      <c r="F7862">
        <f>HYPERLINK("https://www.reddit.com/r/GERD/comments/gx5ar3/drinking_water_while_laying_down/")</f>
        <v/>
      </c>
      <c r="G7862" t="inlineStr">
        <is>
          <t>2020-06-05 07:11:12</t>
        </is>
      </c>
      <c r="H7862" t="inlineStr"/>
    </row>
    <row r="7863">
      <c r="A7863" t="inlineStr">
        <is>
          <t>gx5q4i</t>
        </is>
      </c>
      <c r="B7863" t="inlineStr">
        <is>
          <t>Foul smelling burps</t>
        </is>
      </c>
      <c r="C7863" t="inlineStr">
        <is>
          <t>Anyone else get foul smelling burps before an episode? I usually get them hours before one and it gives me a lot of anxiety knowing I'm gonna have a bad episode.</t>
        </is>
      </c>
      <c r="D7863" t="n">
        <v>1</v>
      </c>
      <c r="E7863" t="n">
        <v>0</v>
      </c>
      <c r="F7863">
        <f>HYPERLINK("https://www.reddit.com/r/GERD/comments/gx5q4i/foul_smelling_burps/")</f>
        <v/>
      </c>
      <c r="G7863" t="inlineStr">
        <is>
          <t>2020-06-05 07:35:18</t>
        </is>
      </c>
      <c r="H7863" t="inlineStr"/>
    </row>
    <row r="7864">
      <c r="A7864" t="inlineStr">
        <is>
          <t>gx6b46</t>
        </is>
      </c>
      <c r="B7864" t="inlineStr">
        <is>
          <t>When doctors and the general medical comunity is going to undesrtand that PPI's dont work for LPR ? In fact could make things worse.</t>
        </is>
      </c>
      <c r="C7864" t="inlineStr">
        <is>
          <t>I Still don't undestand why they send for LPR when  you never ever had heartburn in your life. And in the ppi rebound after destroying your gut digestion you actually experienced it,this is baffling.</t>
        </is>
      </c>
      <c r="D7864" t="n">
        <v>1</v>
      </c>
      <c r="E7864" t="n">
        <v>6</v>
      </c>
      <c r="F7864">
        <f>HYPERLINK("https://www.reddit.com/r/GERD/comments/gx6b46/when_doctors_and_the_general_medical_comunity_is/")</f>
        <v/>
      </c>
      <c r="G7864" t="inlineStr">
        <is>
          <t>2020-06-05 08:07:24</t>
        </is>
      </c>
      <c r="H7864" t="inlineStr"/>
    </row>
    <row r="7865">
      <c r="A7865" t="inlineStr">
        <is>
          <t>gx72ry</t>
        </is>
      </c>
      <c r="B7865" t="inlineStr">
        <is>
          <t>Anyone know of any long term side effects of using gaviscon advanced (UK) everyday? It's the only thing that stops my reflux.</t>
        </is>
      </c>
      <c r="C7865" t="inlineStr">
        <is>
          <t>https://ibb.co/tXfzVbq</t>
        </is>
      </c>
      <c r="D7865" t="n">
        <v>2</v>
      </c>
      <c r="E7865" t="n">
        <v>8</v>
      </c>
      <c r="F7865">
        <f>HYPERLINK("https://www.reddit.com/r/GERD/comments/gx72ry/anyone_know_of_any_long_term_side_effects_of/")</f>
        <v/>
      </c>
      <c r="G7865" t="inlineStr">
        <is>
          <t>2020-06-05 08:49:37</t>
        </is>
      </c>
      <c r="H7865" t="inlineStr"/>
    </row>
    <row r="7866">
      <c r="A7866" t="inlineStr">
        <is>
          <t>gx7w0g</t>
        </is>
      </c>
      <c r="B7866" t="inlineStr">
        <is>
          <t>When does nexium start working</t>
        </is>
      </c>
      <c r="C7866" t="inlineStr">
        <is>
          <t>Just started using it today.</t>
        </is>
      </c>
      <c r="D7866" t="n">
        <v>1</v>
      </c>
      <c r="E7866" t="n">
        <v>9</v>
      </c>
      <c r="F7866">
        <f>HYPERLINK("https://www.reddit.com/r/GERD/comments/gx7w0g/when_does_nexium_start_working/")</f>
        <v/>
      </c>
      <c r="G7866" t="inlineStr">
        <is>
          <t>2020-06-05 09:33:17</t>
        </is>
      </c>
      <c r="H7866" t="inlineStr"/>
    </row>
    <row r="7867">
      <c r="A7867" t="inlineStr">
        <is>
          <t>gx87c1</t>
        </is>
      </c>
      <c r="B7867" t="inlineStr">
        <is>
          <t>Does GERD weaken our immune system?</t>
        </is>
      </c>
      <c r="C7867" t="inlineStr">
        <is>
          <t>Does having GERD and its many symptoms weaken our immune system and make us more susceptible to getting sick or secondary infections, like sinus infections from colds?</t>
        </is>
      </c>
      <c r="D7867" t="n">
        <v>1</v>
      </c>
      <c r="E7867" t="n">
        <v>4</v>
      </c>
      <c r="F7867">
        <f>HYPERLINK("https://www.reddit.com/r/GERD/comments/gx87c1/does_gerd_weaken_our_immune_system/")</f>
        <v/>
      </c>
      <c r="G7867" t="inlineStr">
        <is>
          <t>2020-06-05 09:50:05</t>
        </is>
      </c>
      <c r="H7867" t="inlineStr"/>
    </row>
    <row r="7868">
      <c r="A7868" t="inlineStr">
        <is>
          <t>gx8jyp</t>
        </is>
      </c>
      <c r="B7868" t="inlineStr">
        <is>
          <t>Combating the Negatives of PPI's</t>
        </is>
      </c>
      <c r="C7868" t="inlineStr">
        <is>
          <t>I have read about the negative effects of PPI's and wonder if daily use of probiotics and B12 supplements would combat the PPI's negative effect? 
Does anyone here include specific vitamins or probiotics along with their daily PPI?
If so what would you recommend to help support your system against the negative long term effects of PPIs?</t>
        </is>
      </c>
      <c r="D7868" t="n">
        <v>1</v>
      </c>
      <c r="E7868" t="n">
        <v>3</v>
      </c>
      <c r="F7868">
        <f>HYPERLINK("https://www.reddit.com/r/GERD/comments/gx8jyp/combating_the_negatives_of_ppis/")</f>
        <v/>
      </c>
      <c r="G7868" t="inlineStr">
        <is>
          <t>2020-06-05 10:08:13</t>
        </is>
      </c>
      <c r="H7868" t="inlineStr"/>
    </row>
    <row r="7869">
      <c r="A7869" t="inlineStr">
        <is>
          <t>gxadks</t>
        </is>
      </c>
      <c r="B7869" t="inlineStr">
        <is>
          <t>Painful behind chest</t>
        </is>
      </c>
      <c r="C7869" t="inlineStr">
        <is>
          <t>Does anyone's Gerd / Esophagitis symptoms get so bad that even movement or touching the area on chest can make the pain worse? I feel most symptoms when im inhaling and the inflamed esophagus is sensitive. But also if i put pressure on the chest area i can feel the pain even thou its behind the breastbone. For what its worth i also have a light asthma which causes some inflamation in my upper airway.., so its often hard for me to tell whether my symptoms come from my esophagus or my upper airway.
Does anyone experience this?</t>
        </is>
      </c>
      <c r="D7869" t="n">
        <v>1</v>
      </c>
      <c r="E7869" t="n">
        <v>3</v>
      </c>
      <c r="F7869">
        <f>HYPERLINK("https://www.reddit.com/r/GERD/comments/gxadks/painful_behind_chest/")</f>
        <v/>
      </c>
      <c r="G7869" t="inlineStr">
        <is>
          <t>2020-06-05 11:44:19</t>
        </is>
      </c>
      <c r="H7869" t="inlineStr"/>
    </row>
    <row r="7870">
      <c r="A7870" t="inlineStr">
        <is>
          <t>gxc28d</t>
        </is>
      </c>
      <c r="B7870" t="inlineStr">
        <is>
          <t>Proper tapering off omeprazole?</t>
        </is>
      </c>
      <c r="C7870" t="inlineStr">
        <is>
          <t>I have been taking a 40 mg capsule every morning for a long time and I want to taper myself off as I run out of my meds. Can I get the OTC pills to start to lower my dose?</t>
        </is>
      </c>
      <c r="D7870" t="n">
        <v>1</v>
      </c>
      <c r="E7870" t="n">
        <v>9</v>
      </c>
      <c r="F7870">
        <f>HYPERLINK("https://www.reddit.com/r/GERD/comments/gxc28d/proper_tapering_off_omeprazole/")</f>
        <v/>
      </c>
      <c r="G7870" t="inlineStr">
        <is>
          <t>2020-06-05 13:11:28</t>
        </is>
      </c>
      <c r="H7870" t="inlineStr"/>
    </row>
    <row r="7871">
      <c r="A7871" t="inlineStr">
        <is>
          <t>gxc6mb</t>
        </is>
      </c>
      <c r="B7871" t="inlineStr">
        <is>
          <t>Salbutamol For GERD</t>
        </is>
      </c>
      <c r="C7871" t="inlineStr">
        <is>
          <t>Will the Salbutamol inhaler work for breathlessness?</t>
        </is>
      </c>
      <c r="D7871" t="n">
        <v>1</v>
      </c>
      <c r="E7871" t="n">
        <v>0</v>
      </c>
      <c r="F7871">
        <f>HYPERLINK("https://www.reddit.com/r/GERD/comments/gxc6mb/salbutamol_for_gerd/")</f>
        <v/>
      </c>
      <c r="G7871" t="inlineStr">
        <is>
          <t>2020-06-05 13:17:50</t>
        </is>
      </c>
      <c r="H7871" t="inlineStr"/>
    </row>
    <row r="7872">
      <c r="A7872" t="inlineStr">
        <is>
          <t>gxcevx</t>
        </is>
      </c>
      <c r="B7872" t="inlineStr">
        <is>
          <t>Has anyone ever had a Barium swallow done?</t>
        </is>
      </c>
      <c r="C7872" t="inlineStr">
        <is>
          <t>Hi, I’m new to reddit and on mobile so I apologize!
 I’ve been diagnosed with Gerd for almost a year now, I really don’t think my doctors know what they’re doing? When I first brought my symptoms to their attention they continuously told me it was my birth control/I could be pregnant. At my last doctors appointment I mentioned that when I throw up in the morning some of the food in my stomach is Undigested/acid so The doctor suggested doing a barium swallow...
Today I went in for the procedure and if I understood the technicians properly they were only taking pictures of my esophagus and not really my stomach? Did I go in for a procedure that isn’t even going to help? I would like to hear your experiences with the barium swallow and if it helped you or not.</t>
        </is>
      </c>
      <c r="D7872" t="n">
        <v>1</v>
      </c>
      <c r="E7872" t="n">
        <v>17</v>
      </c>
      <c r="F7872">
        <f>HYPERLINK("https://www.reddit.com/r/GERD/comments/gxcevx/has_anyone_ever_had_a_barium_swallow_done/")</f>
        <v/>
      </c>
      <c r="G7872" t="inlineStr">
        <is>
          <t>2020-06-05 13:30:01</t>
        </is>
      </c>
      <c r="H7872" t="inlineStr"/>
    </row>
    <row r="7873">
      <c r="A7873" t="inlineStr">
        <is>
          <t>gxd4vr</t>
        </is>
      </c>
      <c r="B7873" t="inlineStr">
        <is>
          <t>Salbutamol For GERD</t>
        </is>
      </c>
      <c r="C7873" t="inlineStr">
        <is>
          <t>Will the Salbutamol inhaler work for breathlessness?</t>
        </is>
      </c>
      <c r="D7873" t="n">
        <v>1</v>
      </c>
      <c r="E7873" t="n">
        <v>0</v>
      </c>
      <c r="F7873">
        <f>HYPERLINK("https://www.reddit.com/r/GERD/comments/gxd4vr/salbutamol_for_gerd/")</f>
        <v/>
      </c>
      <c r="G7873" t="inlineStr">
        <is>
          <t>2020-06-05 14:08:34</t>
        </is>
      </c>
      <c r="H7873" t="inlineStr"/>
    </row>
    <row r="7874">
      <c r="A7874" t="inlineStr">
        <is>
          <t>gxf9ws</t>
        </is>
      </c>
      <c r="B7874" t="inlineStr">
        <is>
          <t>Severe neck stiffness?</t>
        </is>
      </c>
      <c r="C7874" t="inlineStr">
        <is>
          <t>I have been experiencing horrible neck stiffness since this afternoon , and my poop has been very watery for the past few days and feel horrible . The doctors think I might have GERD . Is neck stiffness a system of GERD ? No fever ...</t>
        </is>
      </c>
      <c r="D7874" t="n">
        <v>1</v>
      </c>
      <c r="E7874" t="n">
        <v>2</v>
      </c>
      <c r="F7874">
        <f>HYPERLINK("https://www.reddit.com/r/GERD/comments/gxf9ws/severe_neck_stiffness/")</f>
        <v/>
      </c>
      <c r="G7874" t="inlineStr">
        <is>
          <t>2020-06-05 16:08:25</t>
        </is>
      </c>
      <c r="H7874" t="inlineStr"/>
    </row>
    <row r="7875">
      <c r="A7875" t="inlineStr">
        <is>
          <t>gxg3xv</t>
        </is>
      </c>
      <c r="B7875" t="inlineStr">
        <is>
          <t>Relentless heartburn</t>
        </is>
      </c>
      <c r="C7875" t="inlineStr">
        <is>
          <t>So last month I head heartburn for 10 (ten!!!!) days straight and now it’s slowly starting again now: I take 40 mg pantoprazole daily, and I was trying pepcid x2 a day, liquid antacids, tums and all my usual reflux tricks. (All the antacids were adequately spaced apart per instructions). Absolutely nothing worked except sleeping/not eating. I went to my Gastro like two weeks ago and he was confused why nothing helped: now I have an endoscopy scheduled for a week from today- next Friday. I will be getting acid testing (48 hour monitoring) and biopsies and such. 
My diet is pretty good: no tomatoes, no chocolate, no otherwise acid foods, I try to not over eat, I stop eating 3-4 hours before bed. I sleep somewhat elevated in bed but sometimes sleep sitting up in couch when it’s severely bad. Milk/dairy is ok for me, I’m trying to reduce sugar and carbs. I don’t know what else I can do.
I need additional suggestions for helping the heartburn. It’s such a dry, center of my sternum burn that radiates.</t>
        </is>
      </c>
      <c r="D7875" t="n">
        <v>1</v>
      </c>
      <c r="E7875" t="n">
        <v>40</v>
      </c>
      <c r="F7875">
        <f>HYPERLINK("https://www.reddit.com/r/GERD/comments/gxg3xv/relentless_heartburn/")</f>
        <v/>
      </c>
      <c r="G7875" t="inlineStr">
        <is>
          <t>2020-06-05 16:56:29</t>
        </is>
      </c>
      <c r="H7875" t="inlineStr"/>
    </row>
    <row r="7876">
      <c r="A7876" t="inlineStr">
        <is>
          <t>gxgst9</t>
        </is>
      </c>
      <c r="B7876" t="inlineStr">
        <is>
          <t>Rice cakes triggering reflux?</t>
        </is>
      </c>
      <c r="C7876" t="inlineStr">
        <is>
          <t>had no idea whats going on my reflux has been awful even though i been eating everything i thought was safe, but ive been suspecting that rice cakes are a trigger for me and they are made of brown rice which i feel is a trigger.
Anyone else get screwed up by rice cakes? will stop them for  a couple days and see if it gets better, if so ill never eat a rice cake again!</t>
        </is>
      </c>
      <c r="D7876" t="n">
        <v>1</v>
      </c>
      <c r="E7876" t="n">
        <v>7</v>
      </c>
      <c r="F7876">
        <f>HYPERLINK("https://www.reddit.com/r/GERD/comments/gxgst9/rice_cakes_triggering_reflux/")</f>
        <v/>
      </c>
      <c r="G7876" t="inlineStr">
        <is>
          <t>2020-06-05 17:38:06</t>
        </is>
      </c>
      <c r="H7876" t="inlineStr"/>
    </row>
    <row r="7877">
      <c r="A7877" t="inlineStr">
        <is>
          <t>gxh0ql</t>
        </is>
      </c>
      <c r="B7877" t="inlineStr">
        <is>
          <t>Barium swallow vs. upper endoscopy?</t>
        </is>
      </c>
      <c r="C7877" t="inlineStr">
        <is>
          <t>I finally got in to see a gastroenterologist recently, and she talked about doing either a barium swallow or an endoscopy. It seemed like she was leaning towards the barium swallow and only wants to do the endoscopy as a last resort. I kind of want to avoid the barium swallow for reasons that I won’t go into, so I’d honestly rather do the scope. I’m also hesitant about the barium because I most likely have LPR and have heard that that test isn’t the best for diagnosing LPR (or even GERD, afaik). I mentioned this to my doctor and she’s really insistent about doing the barium first, though. She also seems convinced that I have GERD and not LPR, and keeps mentioning heartburn? I’m not sure why because I already told her that I don’t have heartburn. I’ll do the barium swallow if I absolutely need to, but honestly I would rather just do the endoscopy since. Is it worth it to do both, or am I better off skipping to the endoscopy?</t>
        </is>
      </c>
      <c r="D7877" t="n">
        <v>1</v>
      </c>
      <c r="E7877" t="n">
        <v>1</v>
      </c>
      <c r="F7877">
        <f>HYPERLINK("https://www.reddit.com/r/GERD/comments/gxh0ql/barium_swallow_vs_upper_endoscopy/")</f>
        <v/>
      </c>
      <c r="G7877" t="inlineStr">
        <is>
          <t>2020-06-05 17:51:54</t>
        </is>
      </c>
      <c r="H7877" t="inlineStr"/>
    </row>
    <row r="7878">
      <c r="A7878" t="inlineStr">
        <is>
          <t>gxizpp</t>
        </is>
      </c>
      <c r="B7878" t="inlineStr">
        <is>
          <t>"Ingcogmeato"</t>
        </is>
      </c>
      <c r="C7878" t="inlineStr">
        <is>
          <t>I dunno why but I ate one of these veggie burgers and it tore. me. up. I rarely eat soy, and that basically all that's in it, so I guess soy is a no no? 10/10 do not recommend, even though it tasted good.</t>
        </is>
      </c>
      <c r="D7878" t="n">
        <v>1</v>
      </c>
      <c r="E7878" t="n">
        <v>9</v>
      </c>
      <c r="F7878">
        <f>HYPERLINK("https://www.reddit.com/r/GERD/comments/gxizpp/ingcogmeato/")</f>
        <v/>
      </c>
      <c r="G7878" t="inlineStr">
        <is>
          <t>2020-06-05 19:56:43</t>
        </is>
      </c>
      <c r="H7878" t="inlineStr"/>
    </row>
    <row r="7879">
      <c r="A7879" t="inlineStr">
        <is>
          <t>gxj7i8</t>
        </is>
      </c>
      <c r="B7879" t="inlineStr">
        <is>
          <t>Does anyone else get triggered by celery juice?</t>
        </is>
      </c>
      <c r="C7879" t="inlineStr">
        <is>
          <t>I heard it was suppose to be healthy and really helpful towards acid reflux but somehow it was the complete opposite for me. Had chest pain/burn after drinking a bit :( 
This is what I ate for today:
Oatmeal
Chickpeas 
Fish 
Cauliflower 
But the pain started after drinking the celery juice for some reason</t>
        </is>
      </c>
      <c r="D7879" t="n">
        <v>1</v>
      </c>
      <c r="E7879" t="n">
        <v>6</v>
      </c>
      <c r="F7879">
        <f>HYPERLINK("https://www.reddit.com/r/GERD/comments/gxj7i8/does_anyone_else_get_triggered_by_celery_juice/")</f>
        <v/>
      </c>
      <c r="G7879" t="inlineStr">
        <is>
          <t>2020-06-05 20:10:28</t>
        </is>
      </c>
      <c r="H7879" t="inlineStr"/>
    </row>
    <row r="7880">
      <c r="A7880" t="inlineStr">
        <is>
          <t>gxk26v</t>
        </is>
      </c>
      <c r="B7880" t="inlineStr">
        <is>
          <t>Chronic belching</t>
        </is>
      </c>
      <c r="C7880" t="inlineStr">
        <is>
          <t>Does anyone just belch these long belches all day long after each meal. I don’t wake up with the problem but no matter what I eat throughout the day I’m belching and on top of this is extreme pressure and shortness of breath that is mainly relieved after bouts of belching. Help me figure out a cure. My doctor doesn’t really diagnose me just tells me to use omperazole which I have yet to try.</t>
        </is>
      </c>
      <c r="D7880" t="n">
        <v>1</v>
      </c>
      <c r="E7880" t="n">
        <v>15</v>
      </c>
      <c r="F7880">
        <f>HYPERLINK("https://www.reddit.com/r/GERD/comments/gxk26v/chronic_belching/")</f>
        <v/>
      </c>
      <c r="G7880" t="inlineStr">
        <is>
          <t>2020-06-05 21:08:10</t>
        </is>
      </c>
      <c r="H7880" t="inlineStr"/>
    </row>
    <row r="7881">
      <c r="A7881" t="inlineStr">
        <is>
          <t>gxki1t</t>
        </is>
      </c>
      <c r="B7881" t="inlineStr">
        <is>
          <t>What was your first endo/colonoscopy like? Start to finish?</t>
        </is>
      </c>
      <c r="C7881" t="inlineStr">
        <is>
          <t>I’ve got my first one ever scheduled to be on Wednesday so long as my covid test is negative. Saw a brilliant gastro a few days ago and the sense of urgency to get me in for this procedure was evident. 
What should I expect? Pre prep, prep, procedure, recovery? Anything is helpful. Thanks!</t>
        </is>
      </c>
      <c r="D7881" t="n">
        <v>1</v>
      </c>
      <c r="E7881" t="n">
        <v>6</v>
      </c>
      <c r="F7881">
        <f>HYPERLINK("https://www.reddit.com/r/GERD/comments/gxki1t/what_was_your_first_endocolonoscopy_like_start_to/")</f>
        <v/>
      </c>
      <c r="G7881" t="inlineStr">
        <is>
          <t>2020-06-05 21:40:32</t>
        </is>
      </c>
      <c r="H7881" t="inlineStr"/>
    </row>
    <row r="7882">
      <c r="A7882" t="inlineStr">
        <is>
          <t>gxkzpx</t>
        </is>
      </c>
      <c r="B7882" t="inlineStr">
        <is>
          <t>Wedge Pillow and back pain</t>
        </is>
      </c>
      <c r="C7882" t="inlineStr">
        <is>
          <t>So recently I bought a wedge pillow to help deal with my GERD symptoms. It has helped a lot with waking up in the middle of the night and terrible terrible mornings one thing I’ve noticed is it’s been giving me a lot more pain. Back pain particularly but also chest pain and bloating feeling. It’s almost like I’ve replaced my symptoms with slightly less annoying aches and pains. Does anyone else get back pain from a wedge pillow? Anyone know how to help with this?</t>
        </is>
      </c>
      <c r="D7882" t="n">
        <v>1</v>
      </c>
      <c r="E7882" t="n">
        <v>10</v>
      </c>
      <c r="F7882">
        <f>HYPERLINK("https://www.reddit.com/r/GERD/comments/gxkzpx/wedge_pillow_and_back_pain/")</f>
        <v/>
      </c>
      <c r="G7882" t="inlineStr">
        <is>
          <t>2020-06-05 22:18:03</t>
        </is>
      </c>
      <c r="H7882" t="inlineStr"/>
    </row>
    <row r="7883">
      <c r="A7883" t="inlineStr">
        <is>
          <t>gxlb77</t>
        </is>
      </c>
      <c r="B7883" t="inlineStr">
        <is>
          <t>What are typical food triggers for GERD that you CAN eat?</t>
        </is>
      </c>
      <c r="C7883" t="inlineStr">
        <is>
          <t>Just a hopeful question.</t>
        </is>
      </c>
      <c r="D7883" t="n">
        <v>1</v>
      </c>
      <c r="E7883" t="n">
        <v>16</v>
      </c>
      <c r="F7883">
        <f>HYPERLINK("https://www.reddit.com/r/GERD/comments/gxlb77/what_are_typical_food_triggers_for_gerd_that_you/")</f>
        <v/>
      </c>
      <c r="G7883" t="inlineStr">
        <is>
          <t>2020-06-05 22:43:45</t>
        </is>
      </c>
      <c r="H7883" t="inlineStr"/>
    </row>
    <row r="7884">
      <c r="A7884" t="inlineStr">
        <is>
          <t>gxlo20</t>
        </is>
      </c>
      <c r="B7884" t="inlineStr">
        <is>
          <t>Share your diet plan for GERD</t>
        </is>
      </c>
      <c r="C7884" t="inlineStr">
        <is>
          <t>Hi! I just wanna ask about your diet plans for GERD. What fruits and foods are effective to treat GERD. Thanks!</t>
        </is>
      </c>
      <c r="D7884" t="n">
        <v>1</v>
      </c>
      <c r="E7884" t="n">
        <v>3</v>
      </c>
      <c r="F7884">
        <f>HYPERLINK("https://www.reddit.com/r/GERD/comments/gxlo20/share_your_diet_plan_for_gerd/")</f>
        <v/>
      </c>
      <c r="G7884" t="inlineStr">
        <is>
          <t>2020-06-05 23:13:49</t>
        </is>
      </c>
      <c r="H7884" t="inlineStr"/>
    </row>
    <row r="7885">
      <c r="A7885" t="inlineStr">
        <is>
          <t>gxnjhk</t>
        </is>
      </c>
      <c r="B7885" t="inlineStr">
        <is>
          <t>Burning only after/while swallowing food</t>
        </is>
      </c>
      <c r="C7885" t="inlineStr">
        <is>
          <t>I have experienced countless reflux episodes, but it has gotten worse lately. Now, everytime I swallow food, I could feel burning when it reaches my stomach. It burns and it hurts for a few seconds. It is especially worse in the morning. Do you have suggestions on what food I should take? Should I only take soft food in the meantime? Thank you!</t>
        </is>
      </c>
      <c r="D7885" t="n">
        <v>1</v>
      </c>
      <c r="E7885" t="n">
        <v>0</v>
      </c>
      <c r="F7885">
        <f>HYPERLINK("https://www.reddit.com/r/GERD/comments/gxnjhk/burning_only_afterwhile_swallowing_food/")</f>
        <v/>
      </c>
      <c r="G7885" t="inlineStr">
        <is>
          <t>2020-06-06 02:01:19</t>
        </is>
      </c>
      <c r="H7885" t="inlineStr"/>
    </row>
    <row r="7886">
      <c r="A7886" t="inlineStr">
        <is>
          <t>gxnm5j</t>
        </is>
      </c>
      <c r="B7886" t="inlineStr">
        <is>
          <t>Found something that might be a shed of light, or just another false hope</t>
        </is>
      </c>
      <c r="C7886" t="inlineStr">
        <is>
          <t>Okay, this is definitely not my first rodeo at this point. I’ve had silent reflux for about 2.5 years now, since I was 22, and honestly this has been a living hell, I’ve spent thousands on medication, supplements, and GARBAGE. I’m so sick and tired of taking Nexium which literally doesn’t help and I’m taking 2 a day. 
I found this video on YouTube , I’m praying and literally hoping that this guy is correct, and everyone else is wrong.... 
Apparently he’s claiming the diaphragm &amp;amp; esophageal sphincter (muscles) go hand in hand... meaning if you have a dysfunctional diaphragm , chances are your gerd is caused by this. 
In no way shape or form am I promoting this mans product &amp;amp; I have 0 ties to anything that has to do with the product, but I will be ordering it &amp;amp; doing everyone else the favor to see if it helps with anything. I truly believe after taking disgusting amounts of meds &amp;amp; supplements, that my problem personally isn’t rooting from anything to do with my stomach, purely functional .
Also if anyone has tried this, please let me know your experience, thank you! 
[YouTube video of him explaining ](https://youtu.be/zVrMp71nZWY)
[product to ‘fix the issue’](https://mybackloop.com/product/mybackloop/)</t>
        </is>
      </c>
      <c r="D7886" t="n">
        <v>1</v>
      </c>
      <c r="E7886" t="n">
        <v>1</v>
      </c>
      <c r="F7886">
        <f>HYPERLINK("https://www.reddit.com/r/GERD/comments/gxnm5j/found_something_that_might_be_a_shed_of_light_or/")</f>
        <v/>
      </c>
      <c r="G7886" t="inlineStr">
        <is>
          <t>2020-06-06 02:07:14</t>
        </is>
      </c>
      <c r="H7886" t="inlineStr"/>
    </row>
    <row r="7887">
      <c r="A7887" t="inlineStr">
        <is>
          <t>gxooeo</t>
        </is>
      </c>
      <c r="B7887" t="inlineStr">
        <is>
          <t>Day 37, where do I go from here?</t>
        </is>
      </c>
      <c r="C7887" t="inlineStr">
        <is>
          <t>Hey guys, day 37 of GERD and I could use some guidance. I’ve been on Famotidine since May 21st, and Pantoprazole since June 1st. 
I was told that taking Pantoprazole would cure my Moderate Gastritis after they did my Endoscopy and diagnosed me on Monday, and was advised to see my GI in a year for medication management. 
The issue is I still feel awful. I take my drugs, eat bland food, have been propping my pillow up to sleep, eating probiotics, drinking a lot of tea, and I still cannot breathe for the life of me. 
I haven’t really dealt with acid reflux or heart burn, just this chest tightness and feeling of not being able to take a deep breath, and it’s honestly effecting me so bad. I don’t know where to go from here, and the GI seems pretty content on just leaving me out to dry. 
Any thoughts? I’ll take any help or ideas. Nothing seems to help and I’m really struggling on why I still cannot breathe.</t>
        </is>
      </c>
      <c r="D7887" t="n">
        <v>1</v>
      </c>
      <c r="E7887" t="n">
        <v>19</v>
      </c>
      <c r="F7887">
        <f>HYPERLINK("https://www.reddit.com/r/GERD/comments/gxooeo/day_37_where_do_i_go_from_here/")</f>
        <v/>
      </c>
      <c r="G7887" t="inlineStr">
        <is>
          <t>2020-06-06 03:37:25</t>
        </is>
      </c>
      <c r="H7887" t="inlineStr"/>
    </row>
    <row r="7888">
      <c r="A7888" t="inlineStr">
        <is>
          <t>gxorz3</t>
        </is>
      </c>
      <c r="B7888" t="inlineStr">
        <is>
          <t>Newly developed issue</t>
        </is>
      </c>
      <c r="C7888" t="inlineStr">
        <is>
          <t>Hi, I’ve developed recurring heartburn in the last half a year or so, however it seems to come in “episodes”? They usually last a few weeks at least where I will have massive heartburn after eating dinner, very often it occurs on days I’ve been more active (usually just yoga though so it’s nothing strenuous). My mom has had GERD for as long as I can remember which is why I’m assuming I’ve just inherited it, but I know nothing about it. When it’s bad, it’s bad. It starts when I’m still eating and I can’t eat more than a few spoonfuls, and it often lasts hours into the night and I can’t sleep and it means I’m sleep deprived at work. Atm I’m tackling it with gaviscon chewable tablets which kind of cool my throat which is nice but I don’t feel like that’s an actual fix. Can someone help and educate me? Does gerd come in episodes for you as well? I’ve been fine these past few weeks but want to be a bit more active in doing whatever I can to help manage it in the future.</t>
        </is>
      </c>
      <c r="D7888" t="n">
        <v>1</v>
      </c>
      <c r="E7888" t="n">
        <v>0</v>
      </c>
      <c r="F7888">
        <f>HYPERLINK("https://www.reddit.com/r/GERD/comments/gxorz3/newly_developed_issue/")</f>
        <v/>
      </c>
      <c r="G7888" t="inlineStr">
        <is>
          <t>2020-06-06 03:45:52</t>
        </is>
      </c>
      <c r="H7888" t="inlineStr"/>
    </row>
    <row r="7889">
      <c r="A7889" t="inlineStr">
        <is>
          <t>gxq0l5</t>
        </is>
      </c>
      <c r="B7889" t="inlineStr">
        <is>
          <t>Does an upper endoscopy detect if you have LPR?</t>
        </is>
      </c>
      <c r="C7889" t="inlineStr">
        <is>
          <t>Yesterday I got an endoscopy and the doctor said everything looked normal to him. I haven’t really had heartburn in a while but now I think suffering from LPR symptoms that started about 3 weeks ago. It’s mostly just a sore throat at night.
The endoscopy did get a look at my tonsils and the doc didn’t mention anything there. The biopsy from my esophagus and stomach don’t come back for a week or two so we shall see all the results I guess.
I’m just wondering if I should see an ENT too and get a nasal endoscopy to cover all my bases? Or is that overkill? I’m gonna talk about it with my GP when I see her in a week and a half too but just wanted to see what others have done.</t>
        </is>
      </c>
      <c r="D7889" t="n">
        <v>1</v>
      </c>
      <c r="E7889" t="n">
        <v>16</v>
      </c>
      <c r="F7889">
        <f>HYPERLINK("https://www.reddit.com/r/GERD/comments/gxq0l5/does_an_upper_endoscopy_detect_if_you_have_lpr/")</f>
        <v/>
      </c>
      <c r="G7889" t="inlineStr">
        <is>
          <t>2020-06-06 05:22:39</t>
        </is>
      </c>
      <c r="H7889" t="inlineStr"/>
    </row>
    <row r="7890">
      <c r="A7890" t="inlineStr">
        <is>
          <t>gxqn8l</t>
        </is>
      </c>
      <c r="B7890" t="inlineStr">
        <is>
          <t>Does any one else have a similar experience with itchy throat/hoarseness caused by their GERD?</t>
        </is>
      </c>
      <c r="C7890" t="inlineStr">
        <is>
          <t>Hey guys, 
So I started getting GERD about 10 years ago when I was 26. I didn't realize it at the time but I was a HEAVY drinker and that was causing it. I eventually quit drinking about 7 years ago but continued to take medicine to manage my GERD which continued even after quitting. I went from prevacid to prilosec to zantc. I was taking zantac daily for a while and am now on pepcid. I've often thought about trying to change my diet to get off but never take action.
Anyway a few weeks ago I got a wicked sore throat and it turned out to be strep. My tonsil was HUGE and I can be prone to health anxiety so it really freaked me out. Luckily it has gone back down now and I have tested negative for strep, so that is good. But since then I have been hyper focused on my throat/chest and I have noticed an itchiness that is in my throat and ear that will not go away. I'm also noticing that Im often hoarse. Now, I think that this has been there for years, and im only focused on it now because the strep brought it to my attention, but it is starting to drive me insane. I feel the effects of my GERD with tradtional heartburn, but it is usually very mild since im always taking my pepcid. 
Sorry for going on so long. I was just wondering if anyone has similar symptoms from their GERD (Itchy throat, itchy ear, hoarseness) even when managing their symptoms with medication. Thanks for any replies and I hope everyone is well.</t>
        </is>
      </c>
      <c r="D7890" t="n">
        <v>1</v>
      </c>
      <c r="E7890" t="n">
        <v>9</v>
      </c>
      <c r="F7890">
        <f>HYPERLINK("https://www.reddit.com/r/GERD/comments/gxqn8l/does_any_one_else_have_a_similar_experience_with/")</f>
        <v/>
      </c>
      <c r="G7890" t="inlineStr">
        <is>
          <t>2020-06-06 06:05:55</t>
        </is>
      </c>
      <c r="H7890" t="inlineStr"/>
    </row>
    <row r="7891">
      <c r="A7891" t="inlineStr">
        <is>
          <t>gxqqj7</t>
        </is>
      </c>
      <c r="B7891" t="inlineStr">
        <is>
          <t>Is having long flare-ups during PPI normal? Will it go away?</t>
        </is>
      </c>
      <c r="C7891" t="inlineStr">
        <is>
          <t>A month ago I started 20mgs of PPI (any higher dosage made me VERY sick). It immediately helped holding back my acid. And for the first time in 8 months, I experienced being able to get out of bed for a little while, and feel a little normal again. But it wasnt nearly perfect. I still felt sick (nauseaus) many times a day, and any food made me sicker. So I figured, that my stomach needs to heal, and I just have to be careful with everything, and be patient. So I stuck with 20mgs. And finally after almost a month, I started to really feel better.I was able to increase my food intake, and slowly I felt less sick from eating. A few days ago I felt one of the best in so long. But then I had a really bad flare up in the afternoon... And flare ups last a really long time. So I had strong nausea for a day, but even now I feel somewhat nauseaus and eating makes me sicker again. Maybe I forced myself to eat too much on that day, and that irritated my stomach.  But even then, its so confusing, why does a flare up last so long? Why did eating an additional simple toast made feel so sick again? I thought I was finally over this? And after several days of the incident, why do I still feel like I have too much acid, even tho Im on PPI?
I have tried natural methods for 8 months, for my non-stop strong nausea, and only started PPI a month ago, so my stomach must heal a lot im guessing. But its so scary to feel like im back at it again.</t>
        </is>
      </c>
      <c r="D7891" t="n">
        <v>1</v>
      </c>
      <c r="E7891" t="n">
        <v>4</v>
      </c>
      <c r="F7891">
        <f>HYPERLINK("https://www.reddit.com/r/GERD/comments/gxqqj7/is_having_long_flareups_during_ppi_normal_will_it/")</f>
        <v/>
      </c>
      <c r="G7891" t="inlineStr">
        <is>
          <t>2020-06-06 06:11:55</t>
        </is>
      </c>
      <c r="H7891" t="inlineStr"/>
    </row>
    <row r="7892">
      <c r="A7892" t="inlineStr">
        <is>
          <t>gxr5a4</t>
        </is>
      </c>
      <c r="B7892" t="inlineStr">
        <is>
          <t>Does anyone have the experience of feeling like the flesh underneath your chin is being pushed?</t>
        </is>
      </c>
      <c r="C7892" t="inlineStr">
        <is>
          <t>The feeling started to come a little after I ate something last night. It feels as though I've been using my hand to push the area underneath my chin constantly and it's making me salivate more. I thought it might go away after I slept through the night, but now's the second day and it's gotten worse. And sometimes when I move my neck, I can feel as though something somewhere around the middle area gets twisted</t>
        </is>
      </c>
      <c r="D7892" t="n">
        <v>1</v>
      </c>
      <c r="E7892" t="n">
        <v>2</v>
      </c>
      <c r="F7892">
        <f>HYPERLINK("https://www.reddit.com/r/GERD/comments/gxr5a4/does_anyone_have_the_experience_of_feeling_like/")</f>
        <v/>
      </c>
      <c r="G7892" t="inlineStr">
        <is>
          <t>2020-06-06 06:38:20</t>
        </is>
      </c>
      <c r="H7892" t="inlineStr"/>
    </row>
    <row r="7893">
      <c r="A7893" t="inlineStr">
        <is>
          <t>gxrifa</t>
        </is>
      </c>
      <c r="B7893" t="inlineStr">
        <is>
          <t>Where do you feel heartburn?</t>
        </is>
      </c>
      <c r="C7893" t="inlineStr">
        <is>
          <t>I’m interested in knowing where people feel their heartburn, for me the burn is in the centre of my chest just above the pecs. I see a lot of people complaining about the pain being much lower down than mine.</t>
        </is>
      </c>
      <c r="D7893" t="n">
        <v>1</v>
      </c>
      <c r="E7893" t="n">
        <v>6</v>
      </c>
      <c r="F7893">
        <f>HYPERLINK("https://www.reddit.com/r/GERD/comments/gxrifa/where_do_you_feel_heartburn/")</f>
        <v/>
      </c>
      <c r="G7893" t="inlineStr">
        <is>
          <t>2020-06-06 07:01:07</t>
        </is>
      </c>
      <c r="H7893" t="inlineStr"/>
    </row>
    <row r="7894">
      <c r="A7894" t="inlineStr">
        <is>
          <t>gxsp9f</t>
        </is>
      </c>
      <c r="B7894" t="inlineStr">
        <is>
          <t>Anyone get bloated from Gaviscon?</t>
        </is>
      </c>
      <c r="C7894" t="inlineStr">
        <is>
          <t>I tried to take some to mitigate the reflux induced gagging and the Gaviscon stopped it but now I’m just super bloated instead. Does Gaviscon or antacids make anyone else bloat like crazy?</t>
        </is>
      </c>
      <c r="D7894" t="n">
        <v>1</v>
      </c>
      <c r="E7894" t="n">
        <v>3</v>
      </c>
      <c r="F7894">
        <f>HYPERLINK("https://www.reddit.com/r/GERD/comments/gxsp9f/anyone_get_bloated_from_gaviscon/")</f>
        <v/>
      </c>
      <c r="G7894" t="inlineStr">
        <is>
          <t>2020-06-06 08:11:27</t>
        </is>
      </c>
      <c r="H7894" t="inlineStr"/>
    </row>
    <row r="7895">
      <c r="A7895" t="inlineStr">
        <is>
          <t>gxsucv</t>
        </is>
      </c>
      <c r="B7895" t="inlineStr">
        <is>
          <t>9 Months Post-TIF</t>
        </is>
      </c>
      <c r="C7895" t="inlineStr">
        <is>
          <t>I've been meaning to make an update since I posted here last about my TIF experience. The thread is here:
https://www.reddit.com/r/GERD/comments/dbte5q/why_is_it_so_hard_to_find_real_peoples_tif/?utm_medium=android_app&amp;amp;utm_source=share
I can tell you that from where I'm standing now I don't have any regrets and I'm glad I had the procedure done. I do still experience heartburn, but it's from being hungry or when I do vigorous exercise. Basically, I went from having heartburn all day every day no matter what I did without meds to being able to predict and manage my heartburn. I am no longer on a PPI and if I do experience heartburn, TUMS actually helps!
When I last followed up with my GI doc he told me it was very common for people who've had TIF to experience heartburn from the scenarios described above. Also, my heartburn is never as severe as it used to be without meds. It's nice to not have to take a PPI anymore and worry about potential side effects from long-term use.
All that to say, if anyone has any questions about TIF, I'll do my best to answer them (from a standpoint of experience, I cannot give anyone medical advice as I am not a doctor). I am admittedly not... doing well in my personal life right now so I hope you'll be patient with me if my responses aren't always quick. Thanks for reading!</t>
        </is>
      </c>
      <c r="D7895" t="n">
        <v>1</v>
      </c>
      <c r="E7895" t="n">
        <v>54</v>
      </c>
      <c r="F7895">
        <f>HYPERLINK("https://www.reddit.com/r/GERD/comments/gxsucv/9_months_posttif/")</f>
        <v/>
      </c>
      <c r="G7895" t="inlineStr">
        <is>
          <t>2020-06-06 08:19:56</t>
        </is>
      </c>
      <c r="H7895" t="inlineStr"/>
    </row>
    <row r="7896">
      <c r="A7896" t="inlineStr">
        <is>
          <t>gxt2u1</t>
        </is>
      </c>
      <c r="B7896" t="inlineStr">
        <is>
          <t>Esophageal spasm?</t>
        </is>
      </c>
      <c r="C7896" t="inlineStr">
        <is>
          <t>I've read through all the posts and find some similarities but not close enough to what I feel.
Throughout the day and sometimes upon waking I start to feel what I describe as a gnawing/squeezing sensation on the left side of my chest. Lasts about 2-3 seconds then fades.
I've narrowed its location to be slightly under my breast. It sometimes extends to the side below my armpit. 
It feels musculoskeletal but at the same time under my ribs. 
Like a quick jab or pinch to whatever organ/nerve that's there. 
Have had multiple EKG's, x-rays,  CT angiogram, cardiac and full blood workups. Heart has been ruled out 
It happens regardless if I eat or not. 
I only have one light cup of coffee a day now. Have significantly reduced smoking. 
I am not on ppis. I take a pepcid ac sometimes.</t>
        </is>
      </c>
      <c r="D7896" t="n">
        <v>1</v>
      </c>
      <c r="E7896" t="n">
        <v>9</v>
      </c>
      <c r="F7896">
        <f>HYPERLINK("https://www.reddit.com/r/GERD/comments/gxt2u1/esophageal_spasm/")</f>
        <v/>
      </c>
      <c r="G7896" t="inlineStr">
        <is>
          <t>2020-06-06 08:33:24</t>
        </is>
      </c>
      <c r="H7896" t="inlineStr"/>
    </row>
    <row r="7897">
      <c r="A7897" t="inlineStr">
        <is>
          <t>gxue9e</t>
        </is>
      </c>
      <c r="B7897" t="inlineStr">
        <is>
          <t>My abs hurt like I’ve just done plenty of sit ups. Is this bad?</t>
        </is>
      </c>
      <c r="C7897" t="inlineStr">
        <is>
          <t>Firstly, new to this sub so forgive me if I say something stupid or out of line. 
I’m Having a bad episode of reflux now, it’s one of the longest and weirdest one. Medication (PPIs) are not really working. One of the strangest feeling is my stomach muscles feel like they’re aching, akin to the day after doing fifty to hundred sit ups or crunches - except I haven’t done any. Some times the aching feeling becomes a burning feeling and I can physically feel my stomach area being warmer than the intestinal area. 
I’ve seen my family doctor and she’s got a me referred to a specialist, but that won’t be for a few weeks later. Meanwhile it’s more PPIs for me and hoping it would go away on its own. But the aching doesn’t stop. Doc said it’s gastritis, which makes sense as if it’s an inflammation it would explain the hot feeling and aching. But it’s the first time ever that I’m getting gastritis in my many reflux episodes (usually it’s sore throat, lots of phlegm and bloated ness due to PPIs). 
Oh and another symptom I got that’s new but I forgot to bring up to the doc cos it slipped my mind - I have been feeling a bit breathless of late. It’s worrisome due to covid pandemic but I also read that it’s normal for GERD patients to feel so? Any tips on how to relieve this? Shouldn’t really be covid as I’ve been obediently isolated at home for the past months and a member of the same household was tested negative recently.</t>
        </is>
      </c>
      <c r="D7897" t="n">
        <v>1</v>
      </c>
      <c r="E7897" t="n">
        <v>0</v>
      </c>
      <c r="F7897">
        <f>HYPERLINK("https://www.reddit.com/r/GERD/comments/gxue9e/my_abs_hurt_like_ive_just_done_plenty_of_sit_ups/")</f>
        <v/>
      </c>
      <c r="G7897" t="inlineStr">
        <is>
          <t>2020-06-06 09:46:55</t>
        </is>
      </c>
      <c r="H7897" t="inlineStr"/>
    </row>
    <row r="7898">
      <c r="A7898" t="inlineStr">
        <is>
          <t>gxunrd</t>
        </is>
      </c>
      <c r="B7898" t="inlineStr">
        <is>
          <t>Honest question for those with relentless reflux who have had surgery</t>
        </is>
      </c>
      <c r="C7898" t="inlineStr">
        <is>
          <t>I had an endoscopy that found Class C esophagitis, hiatal hernia, and gastritis. I've worked hard on my diet and have gotten so much better, but am working now to get off of my H2 blocker. It's not going so well. 
When I first went to a doctor about my reflux, he told me it was caused by fat around my middle, and if I would lose the weight and strengthen my core, I wouldn't have it anymore. I didn't listen. In fact, I still weigh the same I weighed then, and even though I have tried to lose weight (and failed), I haven't strengthened my core muscles, although I say every day I'm going to exercise.
I'm not trying to shame anyone, I just want to know if I have any other options than surgery at this point. 
My question is, before you had your surgery, if you are overweight, did you try to lose weight and strengthen your core before you opted for surgery?
I ask because I'm so tired of fighting this battle, and I'm thinking of surgery, but don't want to go under the knife if losing 40 pounds and tightening my muscles would do the same thing.</t>
        </is>
      </c>
      <c r="D7898" t="n">
        <v>1</v>
      </c>
      <c r="E7898" t="n">
        <v>1</v>
      </c>
      <c r="F7898">
        <f>HYPERLINK("https://www.reddit.com/r/GERD/comments/gxunrd/honest_question_for_those_with_relentless_reflux/")</f>
        <v/>
      </c>
      <c r="G7898" t="inlineStr">
        <is>
          <t>2020-06-06 10:01:20</t>
        </is>
      </c>
      <c r="H7898" t="inlineStr"/>
    </row>
    <row r="7899">
      <c r="A7899" t="inlineStr">
        <is>
          <t>gxus9q</t>
        </is>
      </c>
      <c r="B7899" t="inlineStr">
        <is>
          <t>LPR or Allergies?</t>
        </is>
      </c>
      <c r="C7899" t="inlineStr">
        <is>
          <t>So i’m trying to figure out what’s wrong with me. Recently, i’m starting to believe it is more allergies than LRP.
To start, i do have seasonal allergies and i was taking allergy shots to fight it. Prescribed montelukast once a day and i take claritin on the side. I also have cat/dog allergies and i live with two cats. Also, allergic to dust mites and i guess we could be a little cleaner in our house. My environment has changed a lot since the start of the pandemic. I now work from home totally so i spend majority of my time inside with the cats instead of going to the office with fresh air 5 days a week. Also, majority of weekends are spent at home.
All started back in March during the start of COVID-19. Super stressed out. Eating/drinking all the wrong types of foods. Started having some pretty bad chest pains/tightness. Little bit of sore throat nothing notable. Primary put me on omeprazole twice a day (40mg total). After several weeks, chest pains went away. Was feeling good finally!
Few weeks later, started developing some tightness in my throat and little bit of soreness (felt deep). No other symptoms. Little bit of runny nose from time to time. The tightness in the throat has continued on. I have some good days and some bad days. I’m now going on almost 8 weeks of omeprazole. I’ve also tried TUMS, Rolaids, Mylanta, gas-x, and gaviscon (not the UK version, that’s coming Monday) and they all don’t seem to do anything. GI Doc says it might be eosinophilia esophagitis but due to COVID i wont be able do an endoscopy or any tests until late August. I do have a virtual appointment Tuesday with my Allergist. 
Diet is great. Following all the rules. This is where it get’s interesting though. Occasionally i’ll have a cheat day. Like yesterday. Had a glass of whiskey with dinner and a decent amount of ice cream afterwards with oreos. No change. No distress. felt the same. Went to bed 3 hours later and felt perfectly fine. I have never been able to identify my triggers. I’ve had a few cheat days before that one and same thing, no reactions.
Anyone else have a similar experience? I’m hoping it is allergies because then i can continue my normal diet. I’ve already lost 12 pounds and i was average weight. Any help is appreciated! Thanks in advance!</t>
        </is>
      </c>
      <c r="D7899" t="n">
        <v>1</v>
      </c>
      <c r="E7899" t="n">
        <v>3</v>
      </c>
      <c r="F7899">
        <f>HYPERLINK("https://www.reddit.com/r/GERD/comments/gxus9q/lpr_or_allergies/")</f>
        <v/>
      </c>
      <c r="G7899" t="inlineStr">
        <is>
          <t>2020-06-06 10:07:49</t>
        </is>
      </c>
      <c r="H7899" t="inlineStr"/>
    </row>
    <row r="7900">
      <c r="A7900" t="inlineStr">
        <is>
          <t>gxuy0n</t>
        </is>
      </c>
      <c r="B7900" t="inlineStr">
        <is>
          <t>I can trigger/hear my reflux with a deep breath</t>
        </is>
      </c>
      <c r="C7900" t="inlineStr">
        <is>
          <t>It's not on command per se, but I can hear a gurgling sound in my esophagus when I inhale deep(not always) , and only can do this with full stomach as strange as it sound, anyone happens to do the same?  I've donde endoscopy 2 times before and theres no hernia , in the beggining I was thinking about it, btw I have lpr no gerd.</t>
        </is>
      </c>
      <c r="D7900" t="n">
        <v>1</v>
      </c>
      <c r="E7900" t="n">
        <v>3</v>
      </c>
      <c r="F7900">
        <f>HYPERLINK("https://www.reddit.com/r/GERD/comments/gxuy0n/i_can_triggerhear_my_reflux_with_a_deep_breath/")</f>
        <v/>
      </c>
      <c r="G7900" t="inlineStr">
        <is>
          <t>2020-06-06 10:16:13</t>
        </is>
      </c>
      <c r="H7900" t="inlineStr"/>
    </row>
    <row r="7901">
      <c r="A7901" t="inlineStr">
        <is>
          <t>gxv63t</t>
        </is>
      </c>
      <c r="B7901" t="inlineStr">
        <is>
          <t>Has anyone avoided surgery by losing weight and strengthening your core muscles?</t>
        </is>
      </c>
      <c r="C7901" t="inlineStr">
        <is>
          <t>My last endoscopy showed Class C esophagitis, hiatal hernia and gastritis. Since then, I've tried hard to change my diet and taken my meds faithfully, and I'm a lot better, but still can't get off of the H2 blockers. I get down to half strength, and it gets so bad, I have to go back up. 
My original doctor told me my GERD is caused by the fat around my middle and if I would lose it and strengthen my core muscles, I could get rid of it. I chose to go on meds, because I had to have some relief, but being unable to get off the meds, I'm considering surgery.
Still, I wonder if losing the weight and exercising my core would actually cure it. Has anyone had success with that? It's so hard for me. I have night eating syndrome, and I don't even get hungry until about 7 p.m., and it's hard for me not to eat at night, but I've gotten better.</t>
        </is>
      </c>
      <c r="D7901" t="n">
        <v>1</v>
      </c>
      <c r="E7901" t="n">
        <v>20</v>
      </c>
      <c r="F7901">
        <f>HYPERLINK("https://www.reddit.com/r/GERD/comments/gxv63t/has_anyone_avoided_surgery_by_losing_weight_and/")</f>
        <v/>
      </c>
      <c r="G7901" t="inlineStr">
        <is>
          <t>2020-06-06 10:27:56</t>
        </is>
      </c>
      <c r="H7901" t="inlineStr"/>
    </row>
    <row r="7902">
      <c r="A7902" t="inlineStr">
        <is>
          <t>gxwkag</t>
        </is>
      </c>
      <c r="B7902" t="inlineStr">
        <is>
          <t>Anybody have luck with enzymes or probiotics?</t>
        </is>
      </c>
      <c r="C7902" t="inlineStr">
        <is>
          <t>Just wondering if anyone has had success with these in terms of digestion? I took probiotics for a bit and don’t notice much change.</t>
        </is>
      </c>
      <c r="D7902" t="n">
        <v>1</v>
      </c>
      <c r="E7902" t="n">
        <v>16</v>
      </c>
      <c r="F7902">
        <f>HYPERLINK("https://www.reddit.com/r/GERD/comments/gxwkag/anybody_have_luck_with_enzymes_or_probiotics/")</f>
        <v/>
      </c>
      <c r="G7902" t="inlineStr">
        <is>
          <t>2020-06-06 11:44:51</t>
        </is>
      </c>
      <c r="H7902" t="inlineStr"/>
    </row>
    <row r="7903">
      <c r="A7903" t="inlineStr">
        <is>
          <t>gxwogo</t>
        </is>
      </c>
      <c r="B7903" t="inlineStr">
        <is>
          <t>EsoPH. Has anyone tried it or something similar?</t>
        </is>
      </c>
      <c r="C7903" t="inlineStr">
        <is>
          <t>This is a liquid OTC product in  Canada that says it heals your throat from ravages of acid reflux and pepsin. Not the same as Gaviscon, which protects throat via raft quality. It’s main actives are chrondoitin and hyaluronic acid.  Very curious to know if using regular liquid chrondoitin ( which a lot of us have for joint pain) has this beneficial effect.</t>
        </is>
      </c>
      <c r="D7903" t="n">
        <v>1</v>
      </c>
      <c r="E7903" t="n">
        <v>11</v>
      </c>
      <c r="F7903">
        <f>HYPERLINK("https://www.reddit.com/r/GERD/comments/gxwogo/esoph_has_anyone_tried_it_or_something_similar/")</f>
        <v/>
      </c>
      <c r="G7903" t="inlineStr">
        <is>
          <t>2020-06-06 11:51:30</t>
        </is>
      </c>
      <c r="H7903" t="inlineStr"/>
    </row>
    <row r="7904">
      <c r="A7904" t="inlineStr">
        <is>
          <t>gxx6tu</t>
        </is>
      </c>
      <c r="B7904" t="inlineStr">
        <is>
          <t>Fatigue/exhaustion</t>
        </is>
      </c>
      <c r="C7904" t="inlineStr">
        <is>
          <t>Does Gerd and LPR leave anyone very fatigued / exhausted?</t>
        </is>
      </c>
      <c r="D7904" t="n">
        <v>1</v>
      </c>
      <c r="E7904" t="n">
        <v>7</v>
      </c>
      <c r="F7904">
        <f>HYPERLINK("https://www.reddit.com/r/GERD/comments/gxx6tu/fatigueexhaustion/")</f>
        <v/>
      </c>
      <c r="G7904" t="inlineStr">
        <is>
          <t>2020-06-06 12:19:55</t>
        </is>
      </c>
      <c r="H7904" t="inlineStr"/>
    </row>
    <row r="7905">
      <c r="A7905" t="inlineStr">
        <is>
          <t>gxx7tw</t>
        </is>
      </c>
      <c r="B7905" t="inlineStr">
        <is>
          <t>Hey guys, wanted to give an update 3 days after surgery</t>
        </is>
      </c>
      <c r="C7905" t="inlineStr">
        <is>
          <t>On Wednesday I went in for a nissen fundoplication and a hiatal hernia repair. If you have read my previous posts, I have explained I was born with a birth defect called Congenital Diaphragmatic Hernia (CDH). I was born with a hole in my diaphragm and my organs were in my chest. I had it repaired when I was born. A lifelong problem with that is GERD.
So day of surgery (June 3) I was very nervous. Lots of waiting around since they were a bit behind schedule. Right before going in the operating room I started crying because I was so scared and they kindly offered me some calming medicine and then the last thing I remember is being wheeled in. Typically this surgery lasts about 2 hours. Because of my previous surgery as a baby I was at higher risk for surgery due to scar tissue- she wasn’t sure if there would be a lot or none at all. Well I had a lot of scar tissue and my surgery took 4 hours to complete. They were able to successfully do surgery, no issues, just had to take more time. My hole in my diaphragm was the size of A PEAR. IT WAS HUGE. I can’t believe it was that big....also my spleen was not in the right spot? 
Well I woke up from surgery and my face is HUGE. All of the air they put in my body went to my face. I look like I got stung by a bee. It’s 3 days since surgery now and my face is still poofy, but not as bad as right out of surgery. I saw a lot of comments of people experiencing pain in their shoulders from the air, well I guess it just went to my face instead! 
Honestly the pain is not as bad as I expected. It is definitely painful and mostly uncomfortable but not as bad as I expected thankfully. I spent one night in the hospital and was able to go home the next afternoon. I have been taking hydrocodone and ibuprofen. I think I am allergic to the hydrocodone because it makes me itchy, but I took a Claritin as well, and I did call the nurse and they said I could just take Tylenol and ibuprofen, but it is just too painful without something extra. 
I am able to sleep on my right side, which is most comfortable for me right now. I normally sleep on my left but won’t be doing that for a while. Worst part has been that everything I am drinking seems to have so much sugar it is making me feel sick. Been drinking water of course but also got some sunny d, apple juice, cran apple juice. Before surgery I cut a loooot of sugar out of my diet so this is making me nauseous. So if anyone has any other options that aren’t so sugary I’d love to hear. I have been eating Jello, which I don’t really like but it’s one of the only options I’ve got right now. I have been able to get down some tomato soup and cream of wheat. Eating yogurt right now which was too hard to swallow yesterday but today it is able to go down. I am able to walk around on my own, but hunched over. Not able to stand up very straight yet. 
Also have been taking a lot of stool softeners but haven’t been able to use the bathroom yet...I think that is making me feel very bloated as well. But I am not going to try too hard to go; you cannot strain yourself right now. I really just need it to happen on its own. I’m hoping after that I will feel better. 
I just wanted to give a quick update on my own experience since a lot of people asked for an update. I can make another post once I am further into healing to see how things are going. 
If you have any questions I’m here to answer them! 
I’d like to thank you all for your support. My whole life I have been silenced by doctors until I found a new one this year. Without him I would still be miserable.</t>
        </is>
      </c>
      <c r="D7905" t="n">
        <v>1</v>
      </c>
      <c r="E7905" t="n">
        <v>12</v>
      </c>
      <c r="F7905">
        <f>HYPERLINK("https://www.reddit.com/r/GERD/comments/gxx7tw/hey_guys_wanted_to_give_an_update_3_days_after/")</f>
        <v/>
      </c>
      <c r="G7905" t="inlineStr">
        <is>
          <t>2020-06-06 12:21:28</t>
        </is>
      </c>
      <c r="H7905" t="inlineStr"/>
    </row>
    <row r="7906">
      <c r="A7906" t="inlineStr">
        <is>
          <t>gxy0s7</t>
        </is>
      </c>
      <c r="B7906" t="inlineStr">
        <is>
          <t>Anyone have advice on the shortness of breath. It's so awful</t>
        </is>
      </c>
      <c r="C7906" t="inlineStr">
        <is>
          <t>Daily and constantly belching. Sometimes tums or beano or gas-x works and sometimes it goes away. I take Prilosec everyday. Shortness of breath is awful</t>
        </is>
      </c>
      <c r="D7906" t="n">
        <v>1</v>
      </c>
      <c r="E7906" t="n">
        <v>7</v>
      </c>
      <c r="F7906">
        <f>HYPERLINK("https://www.reddit.com/r/GERD/comments/gxy0s7/anyone_have_advice_on_the_shortness_of_breath_its/")</f>
        <v/>
      </c>
      <c r="G7906" t="inlineStr">
        <is>
          <t>2020-06-06 13:04:36</t>
        </is>
      </c>
      <c r="H7906" t="inlineStr"/>
    </row>
    <row r="7907">
      <c r="A7907" t="inlineStr">
        <is>
          <t>gxy4k5</t>
        </is>
      </c>
      <c r="B7907" t="inlineStr">
        <is>
          <t>Question about Mastic Gum and Slippery Elm..</t>
        </is>
      </c>
      <c r="C7907" t="inlineStr">
        <is>
          <t>I'm currently using Mastic Gum and its definitely helping. I have Slippery Elm and tried it before but it was cramping me up a little but I want to give it another shot. When is the best time to take Slippery Elm? I take Mastic Gum when i wake up on an empty stomach and before I go to sleep. I take DGL before meals and probiotics in between. I read that Slippery Elm stops the absorption of meds/supplements so when is the best time to take Slippery Elm?</t>
        </is>
      </c>
      <c r="D7907" t="n">
        <v>1</v>
      </c>
      <c r="E7907" t="n">
        <v>8</v>
      </c>
      <c r="F7907">
        <f>HYPERLINK("https://www.reddit.com/r/GERD/comments/gxy4k5/question_about_mastic_gum_and_slippery_elm/")</f>
        <v/>
      </c>
      <c r="G7907" t="inlineStr">
        <is>
          <t>2020-06-06 13:10:40</t>
        </is>
      </c>
      <c r="H7907" t="inlineStr"/>
    </row>
    <row r="7908">
      <c r="A7908" t="inlineStr">
        <is>
          <t>gxyreq</t>
        </is>
      </c>
      <c r="B7908" t="inlineStr">
        <is>
          <t>Caffeine alternatives?</t>
        </is>
      </c>
      <c r="C7908" t="inlineStr">
        <is>
          <t>Has anyone found alternatives/supplements to caffeine? I used to need coffee or caffeine everyday but because of  gerd am trying to eliminate it from my diet. I'm doing ok but really miss that energy when I'm trying to get things done and at work.</t>
        </is>
      </c>
      <c r="D7908" t="n">
        <v>1</v>
      </c>
      <c r="E7908" t="n">
        <v>11</v>
      </c>
      <c r="F7908">
        <f>HYPERLINK("https://www.reddit.com/r/GERD/comments/gxyreq/caffeine_alternatives/")</f>
        <v/>
      </c>
      <c r="G7908" t="inlineStr">
        <is>
          <t>2020-06-06 13:48:14</t>
        </is>
      </c>
      <c r="H7908" t="inlineStr"/>
    </row>
    <row r="7909">
      <c r="A7909" t="inlineStr">
        <is>
          <t>gxz9a0</t>
        </is>
      </c>
      <c r="B7909" t="inlineStr">
        <is>
          <t>Ran out of Zantac... so trying Pepcid- no good!</t>
        </is>
      </c>
      <c r="C7909" t="inlineStr">
        <is>
          <t>Hey guys
I was able to taper off nexium and control most of my heartburn symptoms with some Zantac I had (along with some Gaviscon advance and DGL). I ran out of Zantac and because of the recall had to switch to Famotidine. Usually would take Zantac in the AM before 1st meal so taking 20mg of famotidine then but don’t feel like it’s working anywhere near as good. I’m about to buy ranitidine off eBay if I have to because this sucks, and I don’t want to go back on a PPI! 
Should I try taking the famotidine at night instead? Or 20mg am, 20mg pm?
Thanks!</t>
        </is>
      </c>
      <c r="D7909" t="n">
        <v>1</v>
      </c>
      <c r="E7909" t="n">
        <v>13</v>
      </c>
      <c r="F7909">
        <f>HYPERLINK("https://www.reddit.com/r/GERD/comments/gxz9a0/ran_out_of_zantac_so_trying_pepcid_no_good/")</f>
        <v/>
      </c>
      <c r="G7909" t="inlineStr">
        <is>
          <t>2020-06-06 14:18:49</t>
        </is>
      </c>
      <c r="H7909" t="inlineStr"/>
    </row>
    <row r="7910">
      <c r="A7910" t="inlineStr">
        <is>
          <t>gy0dg0</t>
        </is>
      </c>
      <c r="B7910" t="inlineStr">
        <is>
          <t>How long does it take Pepcid to work?</t>
        </is>
      </c>
      <c r="C7910" t="inlineStr">
        <is>
          <t>Hello all, I went to the ER two days ago because of extreme pain in my chest, throat and arms. They diagnosed me with GERD and sent me home with Pepcid to take two times daily. I know it’s only been two days but I still feel miserable. Does it usually take a couple days to work completely?
Also, does anyone else get discomfort in their arms? Everywhere I look just says heart attack, which is part of the reason I went to the ER. I have really bad anxiety so this is just stressing me out a lot.</t>
        </is>
      </c>
      <c r="D7910" t="n">
        <v>1</v>
      </c>
      <c r="E7910" t="n">
        <v>9</v>
      </c>
      <c r="F7910">
        <f>HYPERLINK("https://www.reddit.com/r/GERD/comments/gy0dg0/how_long_does_it_take_pepcid_to_work/")</f>
        <v/>
      </c>
      <c r="G7910" t="inlineStr">
        <is>
          <t>2020-06-06 15:28:09</t>
        </is>
      </c>
      <c r="H7910" t="inlineStr"/>
    </row>
    <row r="7911">
      <c r="A7911" t="inlineStr">
        <is>
          <t>gy0qk5</t>
        </is>
      </c>
      <c r="B7911" t="inlineStr">
        <is>
          <t>GERD Advice Plz</t>
        </is>
      </c>
      <c r="C7911" t="inlineStr">
        <is>
          <t>I recently quit smoking and since the I have been diagnosed with GERD. The shitty part is I don’t have health insurance and I’m been waiting for approval for months now. In that time it’s gotten worse and worse. I frequently wake up with a super sore almost swollen throat. Every time I eat I have a foul acidic cough and my PPIs aren’t working to well. I do a two week course and a day or two after I’m finish it come back. Has anyone had success with PPIs and H-2 blockers combined or should I wait until I can see a primary care doctor? I’m asking out of desperation. Every day is a bad and it’s to the point that I’m afraid to eat cuz I know what coming afterwards.
Any advice is helpful. 
Thanks, I really appreciate it.</t>
        </is>
      </c>
      <c r="D7911" t="n">
        <v>1</v>
      </c>
      <c r="E7911" t="n">
        <v>6</v>
      </c>
      <c r="F7911">
        <f>HYPERLINK("https://www.reddit.com/r/GERD/comments/gy0qk5/gerd_advice_plz/")</f>
        <v/>
      </c>
      <c r="G7911" t="inlineStr">
        <is>
          <t>2020-06-06 15:51:12</t>
        </is>
      </c>
      <c r="H7911" t="inlineStr"/>
    </row>
    <row r="7912">
      <c r="A7912" t="inlineStr">
        <is>
          <t>gy0xeb</t>
        </is>
      </c>
      <c r="B7912" t="inlineStr">
        <is>
          <t>Daily shortness of breath, chest pain, and throat tightness. Prescribed Pantoprazole 20mg, not officially diagnosed with GERD</t>
        </is>
      </c>
      <c r="C7912" t="inlineStr">
        <is>
          <t>Pretty much all day every day since March I’ve been dealing with shortness of breath, chest pain and tightness, throat pain and tightness, constant burping, and some regurgitation in throat (no burning though). Regurgitation tends to feel cold rather than hot and acidic, along with a feeling of tightness/fullness in my throat. These symptoms are very anxiety provoking, sometimes causing full blown panic attacks. 
I don’t drink caffeine or alcohol. I’ve considered omeprazole, but never ended up taking it for more than a few days. 
I’m willing to try the Pantoprazole that my doctor prescribed, but I get worried about taking new meds, especially with my antidepressant medication/dosage changing so often. I want to be able to attribute any side effects to one medication or another, but that will be difficult now since I’ll be taking multiple new meds. 
These ongoing symptoms had me worried that something was up with my lungs, but my blood oxygen level is always normal and my PCP listened to my lungs yesterday and said they sound good. 
I’m wondering anyone has had success using this medication for similar symptoms? 
What potential side effects should I look out for? 
Also, is there a certain time of day that’s better to take these types of medications?
Thanks</t>
        </is>
      </c>
      <c r="D7912" t="n">
        <v>1</v>
      </c>
      <c r="E7912" t="n">
        <v>10</v>
      </c>
      <c r="F7912">
        <f>HYPERLINK("https://www.reddit.com/r/GERD/comments/gy0xeb/daily_shortness_of_breath_chest_pain_and_throat/")</f>
        <v/>
      </c>
      <c r="G7912" t="inlineStr">
        <is>
          <t>2020-06-06 16:02:20</t>
        </is>
      </c>
      <c r="H7912" t="inlineStr"/>
    </row>
    <row r="7913">
      <c r="A7913" t="inlineStr">
        <is>
          <t>gy2eoe</t>
        </is>
      </c>
      <c r="B7913" t="inlineStr">
        <is>
          <t>Need help</t>
        </is>
      </c>
      <c r="C7913" t="inlineStr">
        <is>
          <t>I think I may have GERD.  My chief complaints are an upper abdomen that is always bloated accompanied with shortness of breath.  I also burp a lot too,  even on an empty stomach.
My diet has primarily been failed Keto meaning that I’m good on it for 3 weeks and than completely fall off the rails.  
Last night we went to a steakhouse and I overdid.  Steak, lobster, potatoes, and soda.  Woke up this morning bloated, more than usual and just nausea all day.  
I’d say I have low energy pretty much all the time, on Keto and off Keto
Did a quick google search and it seems like for as many people say that one way of eating helps, there are people that find the exact opposite helps them.  
At this point I just want a way of eating that is healthy and that will help my stomach.  Don’t want to feel bloated all the time and tired.  
Any help would be appreciated.  I’ll check often so be prepared for f/u questions.  Thanks!</t>
        </is>
      </c>
      <c r="D7913" t="n">
        <v>1</v>
      </c>
      <c r="E7913" t="n">
        <v>1</v>
      </c>
      <c r="F7913">
        <f>HYPERLINK("https://www.reddit.com/r/GERD/comments/gy2eoe/need_help/")</f>
        <v/>
      </c>
      <c r="G7913" t="inlineStr">
        <is>
          <t>2020-06-06 17:30:28</t>
        </is>
      </c>
      <c r="H7913" t="inlineStr"/>
    </row>
    <row r="7914">
      <c r="A7914" t="inlineStr">
        <is>
          <t>gy2g1j</t>
        </is>
      </c>
      <c r="B7914" t="inlineStr">
        <is>
          <t>HELP!</t>
        </is>
      </c>
      <c r="C7914" t="inlineStr">
        <is>
          <t>I was just diagnosed with GERD and had my endoscopy and all was well no scarring but as all of us know my diet has been limited. Any food ideas that are good and easy on the stomach?</t>
        </is>
      </c>
      <c r="D7914" t="n">
        <v>1</v>
      </c>
      <c r="E7914" t="n">
        <v>4</v>
      </c>
      <c r="F7914">
        <f>HYPERLINK("https://www.reddit.com/r/GERD/comments/gy2g1j/help/")</f>
        <v/>
      </c>
      <c r="G7914" t="inlineStr">
        <is>
          <t>2020-06-06 17:32:48</t>
        </is>
      </c>
      <c r="H7914" t="inlineStr"/>
    </row>
    <row r="7915">
      <c r="A7915" t="inlineStr">
        <is>
          <t>gy2jdb</t>
        </is>
      </c>
      <c r="B7915" t="inlineStr">
        <is>
          <t>I've been dealing with Gerd for awhile now.</t>
        </is>
      </c>
      <c r="C7915" t="inlineStr">
        <is>
          <t>Ive had stomach problems all my life. When i was like 5 years old i had, pyloric stenosis (which isn't fun either). After some time had pasted, probs 13-14 years later. I was starting to experience crippling stomach pains once again. So i went to my local doctor. I was told, i have Gerd. At first i was started out on Zantac. It helped relatively well, then slowly stopped, even after increased miligrams. My next move for medication, was Prilosec. It was working well, also have had a dose increase. That has now began to stop working now. Does anyone have any ideas to help ease the crippling issues that it brings. (Also i have a Drs app this coming Friday)</t>
        </is>
      </c>
      <c r="D7915" t="n">
        <v>1</v>
      </c>
      <c r="E7915" t="n">
        <v>1</v>
      </c>
      <c r="F7915">
        <f>HYPERLINK("https://www.reddit.com/r/GERD/comments/gy2jdb/ive_been_dealing_with_gerd_for_awhile_now/")</f>
        <v/>
      </c>
      <c r="G7915" t="inlineStr">
        <is>
          <t>2020-06-06 17:38:39</t>
        </is>
      </c>
      <c r="H7915" t="inlineStr"/>
    </row>
    <row r="7916">
      <c r="A7916" t="inlineStr">
        <is>
          <t>gy3lgc</t>
        </is>
      </c>
      <c r="B7916" t="inlineStr">
        <is>
          <t>Not being able to swallow has become my biggest symptom, anyone else?</t>
        </is>
      </c>
      <c r="C7916" t="inlineStr">
        <is>
          <t>I originally had the symptom of something stuck in my throat and acid travelling up my windpipe, now my biggest issue is having huge trouble swallowing
Even liquids, it's a horrible feeling, I can't trigger the swallow reflex and as a result often choke on my food or even my own saliva 
Anyone else experience this as their main symptom? What should i do to combat it?
TLDR
- unable to swallow is main symptom
- Want to hear other experiences like this and potential remedies</t>
        </is>
      </c>
      <c r="D7916" t="n">
        <v>1</v>
      </c>
      <c r="E7916" t="n">
        <v>9</v>
      </c>
      <c r="F7916">
        <f>HYPERLINK("https://www.reddit.com/r/GERD/comments/gy3lgc/not_being_able_to_swallow_has_become_my_biggest/")</f>
        <v/>
      </c>
      <c r="G7916" t="inlineStr">
        <is>
          <t>2020-06-06 18:44:50</t>
        </is>
      </c>
      <c r="H7916" t="inlineStr"/>
    </row>
    <row r="7917">
      <c r="A7917" t="inlineStr">
        <is>
          <t>gy4ltn</t>
        </is>
      </c>
      <c r="B7917" t="inlineStr">
        <is>
          <t>(23)M Living on my own and I don’t know what to cook for myself</t>
        </is>
      </c>
      <c r="C7917" t="inlineStr">
        <is>
          <t>I’ve had GERD for years now but now I’m taking it seriously. I’m trying to self treat with a change of diet. But the problem is I don’t know what to make. Any recipes will be greatly appreciated thank you.</t>
        </is>
      </c>
      <c r="D7917" t="n">
        <v>1</v>
      </c>
      <c r="E7917" t="n">
        <v>3</v>
      </c>
      <c r="F7917">
        <f>HYPERLINK("https://www.reddit.com/r/GERD/comments/gy4ltn/23m_living_on_my_own_and_i_dont_know_what_to_cook/")</f>
        <v/>
      </c>
      <c r="G7917" t="inlineStr">
        <is>
          <t>2020-06-06 19:53:54</t>
        </is>
      </c>
      <c r="H7917" t="inlineStr"/>
    </row>
    <row r="7918">
      <c r="A7918" t="inlineStr">
        <is>
          <t>gy70gm</t>
        </is>
      </c>
      <c r="B7918" t="inlineStr">
        <is>
          <t>So I was diagnosed with GERD and Hiatal hernia</t>
        </is>
      </c>
      <c r="C7918" t="inlineStr">
        <is>
          <t>It was a wake up call for me i went from feeling like I'm a 26 year old superman invincible in every way, being able to eat what I wanted when I wanted with very little exercise to being paranoid to even sleep. Little did I know I was destroying myself from the inside, needless to say this hasn't been a pleasant experience. I don't know if it is normal but I had some kind of episode where my heart was racing and felt like passing out or like I was very light headed, this happened at work and although I shouldve gone to the hospital I didn't. The next day stretching out throughout the week I couldn't sleep because everytime I laid down to sleep my heart rate would flare up and I'd be scared to go to sleep but I'd manage to sleep somehow. Fast forward to last tuesday I can't take it anymore one day and I go to the hospital (w/no insurance) and get diagnosed with GERD and Hiatal hernia but said my heart was good. They give me a list of what i can and can't eat, sure, easy enough right? Wrong! Its a complete 180 of my meals finding things to eat wasn't fun for me at all but had to be done. Now here I am struggling to find energy but doing better over time. Oh, and to top it all off my gf of 4 and a half years and I are having a rough patch might break up...maybe its anxiety that causes my heart to flare up at night? (Its an assumption not seeking medical advice) 
This is my first ever post on reddit and i'm wondering if anyone has had the same or similar symptoms. I'd like to know others personal experiences more than what I've read so far.</t>
        </is>
      </c>
      <c r="D7918" t="n">
        <v>1</v>
      </c>
      <c r="E7918" t="n">
        <v>19</v>
      </c>
      <c r="F7918">
        <f>HYPERLINK("https://www.reddit.com/r/GERD/comments/gy70gm/so_i_was_diagnosed_with_gerd_and_hiatal_hernia/")</f>
        <v/>
      </c>
      <c r="G7918" t="inlineStr">
        <is>
          <t>2020-06-06 23:03:18</t>
        </is>
      </c>
      <c r="H7918" t="inlineStr"/>
    </row>
    <row r="7919">
      <c r="A7919" t="inlineStr">
        <is>
          <t>gy76di</t>
        </is>
      </c>
      <c r="B7919" t="inlineStr">
        <is>
          <t>Does anyone have increased hunger?</t>
        </is>
      </c>
      <c r="C7919" t="inlineStr">
        <is>
          <t>Lately, I have been wanting to eat a lot, does anyone else experience this? Why do I feel this? My stomach kind of churns and its like I havent eaten</t>
        </is>
      </c>
      <c r="D7919" t="n">
        <v>1</v>
      </c>
      <c r="E7919" t="n">
        <v>8</v>
      </c>
      <c r="F7919">
        <f>HYPERLINK("https://www.reddit.com/r/GERD/comments/gy76di/does_anyone_have_increased_hunger/")</f>
        <v/>
      </c>
      <c r="G7919" t="inlineStr">
        <is>
          <t>2020-06-06 23:17:25</t>
        </is>
      </c>
      <c r="H7919" t="inlineStr"/>
    </row>
    <row r="7920">
      <c r="A7920" t="inlineStr">
        <is>
          <t>gy7c0m</t>
        </is>
      </c>
      <c r="B7920" t="inlineStr">
        <is>
          <t>Differentiate between GERD and Heart attack</t>
        </is>
      </c>
      <c r="C7920" t="inlineStr">
        <is>
          <t>I know there are tons of google information about this but I just want to seek opinions from you guys who suffer from GERD.
I am female and 20 this year, living an active lifestyle before lockdown, but currently on a lockdown so I haven’t been very active. 
My chest has been quite tight for the past few days and I felt like there is something stuck in my throat and in the middle of my chest. It gets worse especially after a meal or having a slouchy back (my back hurts too). I don’t have any difficulty breathing and the symptoms kinda goes away if I am walking. 
I was wondering what are the symptoms you guys have when you get GERD?</t>
        </is>
      </c>
      <c r="D7920" t="n">
        <v>1</v>
      </c>
      <c r="E7920" t="n">
        <v>9</v>
      </c>
      <c r="F7920">
        <f>HYPERLINK("https://www.reddit.com/r/GERD/comments/gy7c0m/differentiate_between_gerd_and_heart_attack/")</f>
        <v/>
      </c>
      <c r="G7920" t="inlineStr">
        <is>
          <t>2020-06-06 23:31:20</t>
        </is>
      </c>
      <c r="H7920" t="inlineStr"/>
    </row>
    <row r="7921">
      <c r="A7921" t="inlineStr">
        <is>
          <t>gy94od</t>
        </is>
      </c>
      <c r="B7921" t="inlineStr">
        <is>
          <t>I am 20 years old and I am on Omeprazole</t>
        </is>
      </c>
      <c r="C7921" t="inlineStr">
        <is>
          <t>Hi guys, I’m from the UK.
I have had heartburn most of my life at this point. Most of my teenage years I spent having heartburn, I got so used to it I didn’t even take anti acids because it wouldn’t get too bad and I’d often sleep it off. 
Recently though I had a bad one. It was awful, I was constantly dribbling and crying and I’m surprised I wasn’t sick but boy it was bad. Afterwards my throat was too irritated to eat solid food. For days after I ate soups and soft foods. But soon that became too much for stomach and stopped eating out of fear of being sick. 2 days go past and my parents force me to eat food. It was alright, but filled me up quick. Then the next morning I woke up, had soup thinking I should at least try it, instant heartburn that sent me crying, I am on omeprazole twice a day.
My mouth and throat wasn’t creating saliva, so it was hard to swallow. I kept burping, I had pain under my ribs on both sides of my body and I feel really really sick. 
Side note: if this all sounds silly, I’m a hypochondriac. I am so scared of being sick that I often panic too much and it’s become a real problem. So don’t be too harsh on me.</t>
        </is>
      </c>
      <c r="D7921" t="n">
        <v>1</v>
      </c>
      <c r="E7921" t="n">
        <v>25</v>
      </c>
      <c r="F7921">
        <f>HYPERLINK("https://www.reddit.com/r/GERD/comments/gy94od/i_am_20_years_old_and_i_am_on_omeprazole/")</f>
        <v/>
      </c>
      <c r="G7921" t="inlineStr">
        <is>
          <t>2020-06-07 02:24:39</t>
        </is>
      </c>
      <c r="H7921" t="inlineStr"/>
    </row>
    <row r="7922">
      <c r="A7922" t="inlineStr">
        <is>
          <t>gy9wz6</t>
        </is>
      </c>
      <c r="B7922" t="inlineStr">
        <is>
          <t>Alternative ppi or meds ?</t>
        </is>
      </c>
      <c r="C7922" t="inlineStr">
        <is>
          <t>I’ll just keep it super short &amp;amp; sweet. I feel as if Nexium just doesn’t work or doesn’t do the job well enough. I have actually ZERO heartburn, I honestly question if I actually have ever had heartburn before. I was diagnosed with silent reflux, but the nexiums Dont help. 
My symptoms are irritated throat or sometimes (rarely) burning sensation, mucus , and swallowing difficulties, regurgitation. Originally when I had my endoscopy about 10 months ago, I had a clean stomach &amp;amp; esophagus aside from minor irritation, and no diagnosis of gerd or LPR, I had to see a second gastro which also didn’t help for jack sh** , and the next test I’ll be doing is a barium study. I feel like I might have some sort of esophageal dysmotility issue because I just feel like these symptoms aren’t normal whatsoever , if anyone can share their experience &amp;amp; maybe she’d some light that would be great
Also, any alternative PPI or meds that might help other than bogus Nexium , please let me know because life is literally hell rn for me</t>
        </is>
      </c>
      <c r="D7922" t="n">
        <v>1</v>
      </c>
      <c r="E7922" t="n">
        <v>9</v>
      </c>
      <c r="F7922">
        <f>HYPERLINK("https://www.reddit.com/r/GERD/comments/gy9wz6/alternative_ppi_or_meds/")</f>
        <v/>
      </c>
      <c r="G7922" t="inlineStr">
        <is>
          <t>2020-06-07 03:31:41</t>
        </is>
      </c>
      <c r="H7922" t="inlineStr"/>
    </row>
    <row r="7923">
      <c r="A7923" t="inlineStr">
        <is>
          <t>gycpip</t>
        </is>
      </c>
      <c r="B7923" t="inlineStr">
        <is>
          <t>Gotta add cereal to the list of foods I can't eat now!</t>
        </is>
      </c>
      <c r="C7923" t="inlineStr">
        <is>
          <t>its f'n BS, it seems every week im able to eat less and less food. I was down to litterally plain rice krispies and almond milk with a banana, now thats giving me horrible stomach pain and reflux!!! 
soon ill just be living on water until i die!</t>
        </is>
      </c>
      <c r="D7923" t="n">
        <v>1</v>
      </c>
      <c r="E7923" t="n">
        <v>19</v>
      </c>
      <c r="F7923">
        <f>HYPERLINK("https://www.reddit.com/r/GERD/comments/gycpip/gotta_add_cereal_to_the_list_of_foods_i_cant_eat/")</f>
        <v/>
      </c>
      <c r="G7923" t="inlineStr">
        <is>
          <t>2020-06-07 06:49:25</t>
        </is>
      </c>
      <c r="H7923" t="inlineStr"/>
    </row>
    <row r="7924">
      <c r="A7924" t="inlineStr">
        <is>
          <t>gydkri</t>
        </is>
      </c>
      <c r="B7924" t="inlineStr">
        <is>
          <t>Undigested food in stools?</t>
        </is>
      </c>
      <c r="C7924" t="inlineStr">
        <is>
          <t>Anyone take PPIs and notice they have some undigested food in their stools?</t>
        </is>
      </c>
      <c r="D7924" t="n">
        <v>1</v>
      </c>
      <c r="E7924" t="n">
        <v>3</v>
      </c>
      <c r="F7924">
        <f>HYPERLINK("https://www.reddit.com/r/GERD/comments/gydkri/undigested_food_in_stools/")</f>
        <v/>
      </c>
      <c r="G7924" t="inlineStr">
        <is>
          <t>2020-06-07 07:39:59</t>
        </is>
      </c>
      <c r="H7924" t="inlineStr"/>
    </row>
    <row r="7925">
      <c r="A7925" t="inlineStr">
        <is>
          <t>gydqyu</t>
        </is>
      </c>
      <c r="B7925" t="inlineStr">
        <is>
          <t>Does anyone else feel really sickly in the morning</t>
        </is>
      </c>
      <c r="C7925" t="inlineStr">
        <is>
          <t>I’ve noticed this past week just every day I’ve woke up and felt really nauseas and sick like ive had some acid coming up in my sleep maybe? I usually have got a bad taste in my mouth and it eases within a couple of hours. However when I get this I can’t eat when I wake up or it upsets my stomach even more.
Can anyone else relate or give any tips for combatting this?</t>
        </is>
      </c>
      <c r="D7925" t="n">
        <v>1</v>
      </c>
      <c r="E7925" t="n">
        <v>0</v>
      </c>
      <c r="F7925">
        <f>HYPERLINK("https://www.reddit.com/r/GERD/comments/gydqyu/does_anyone_else_feel_really_sickly_in_the_morning/")</f>
        <v/>
      </c>
      <c r="G7925" t="inlineStr">
        <is>
          <t>2020-06-07 07:49:56</t>
        </is>
      </c>
      <c r="H7925" t="inlineStr"/>
    </row>
    <row r="7926">
      <c r="A7926" t="inlineStr">
        <is>
          <t>gyel2i</t>
        </is>
      </c>
      <c r="B7926" t="inlineStr">
        <is>
          <t>Wanting to go to the doctor</t>
        </is>
      </c>
      <c r="C7926" t="inlineStr">
        <is>
          <t>I'm unsure how to bring this up or what to do especially with the COVID situation. I recently stopped going to my pediatrician (they took patients up until 21). I recently got health insurance but I have no practice I am a patient of, so that's a whole issue that makes me reluctant. I'll give some background. 
Hey everyone. I'm 22 and I've been having on and off issues with reflux for about 10 years now. Since it comes and goes I wasnt too concerned with it. While it can affect me any time it would usually only hit at night or when I was having panic attacks (have had anxiety for about 8 years and have been diagnosed with anxiety disorder for 5). I've seen a trend with anxiety being closely related with reflux issues, so that's why I brought it up. I usually could take TUMs and suck it up. 
This flare up has been especially bad. TUMS aren't helping at all. It's been every night for the past week or so and it hurts worse than usual. The reflux has been lingering throughout the day as well. I bit the bullet and bought a 2 week course of Prevacid and I'm going to see how/ if this helps. I read that it can help and the issues will just go away for a good bit of time but I've also read that it will come back worse. 
Tldr; I've had these issues on and off for many years. I usually can suck it up but it's been bad recently. I'm wondering when I should actually seek a doctor out right now with everything going on, and I'm unsure how to go about it. I'm worried it will be harder because I don't have a doctor.</t>
        </is>
      </c>
      <c r="D7926" t="n">
        <v>1</v>
      </c>
      <c r="E7926" t="n">
        <v>4</v>
      </c>
      <c r="F7926">
        <f>HYPERLINK("https://www.reddit.com/r/GERD/comments/gyel2i/wanting_to_go_to_the_doctor/")</f>
        <v/>
      </c>
      <c r="G7926" t="inlineStr">
        <is>
          <t>2020-06-07 08:39:52</t>
        </is>
      </c>
      <c r="H7926" t="inlineStr"/>
    </row>
    <row r="7927">
      <c r="A7927" t="inlineStr">
        <is>
          <t>gyewr6</t>
        </is>
      </c>
      <c r="B7927" t="inlineStr">
        <is>
          <t>My LPR Story</t>
        </is>
      </c>
      <c r="C7927" t="inlineStr">
        <is>
          <t>Alright, I guess it's not really much of a story, but I wanted to share with others to see if anyone had common ground with my symptoms.  
I have had it for years, and I'm pretty sure it's LPR, it very rarely includes heartburn, or regurgitation.  My symptoms are mostly an acid taste in the mouth, all day, and the feeling of a burning throat.  I can eat what I want only because nothing seems to change the outcome.  PPIs were a total waste of time.  I have been to three specialists, scope was normal.  Hiatal hernia is present.  And oddly, I can have good days, or longer, followed by bad ones.  In other words, it seems to be somewhat cyclic, although highly irregular.  I eat very well, I'm not overweight, and I exercise a moderate amount.  It does not get worse at night.
Does anyone out there have a similar manifestation?  How do you deal, has anything helped?  I am very curious to know, and maybe learn something helpful!  Oh, and I recently upped my vitamin D intake, after reading it could be beneficial.</t>
        </is>
      </c>
      <c r="D7927" t="n">
        <v>1</v>
      </c>
      <c r="E7927" t="n">
        <v>29</v>
      </c>
      <c r="F7927">
        <f>HYPERLINK("https://www.reddit.com/r/GERD/comments/gyewr6/my_lpr_story/")</f>
        <v/>
      </c>
      <c r="G7927" t="inlineStr">
        <is>
          <t>2020-06-07 08:59:19</t>
        </is>
      </c>
      <c r="H7927" t="inlineStr"/>
    </row>
    <row r="7928">
      <c r="A7928" t="inlineStr">
        <is>
          <t>gyfeps</t>
        </is>
      </c>
      <c r="B7928" t="inlineStr">
        <is>
          <t>Baking Soda and Apple Cider</t>
        </is>
      </c>
      <c r="C7928" t="inlineStr">
        <is>
          <t>Hello Gerdmates HEHEHE. 23y/o
I'm constantly burping and some chest/stomach pressure. I feel like I need to relieve the pressure so I burp. I'm not burping while I lying down, sleeping, and sometimes when I'm distracted.
I don't have acid reflux, no heartburn, and no regurgitation. 
My question is, have anyone tried baking soda or apple cider vinegar to stop/reduce their burping? I've been burping for a month now. And I found it bothersome. 
Thank you please respond.</t>
        </is>
      </c>
      <c r="D7928" t="n">
        <v>1</v>
      </c>
      <c r="E7928" t="n">
        <v>1</v>
      </c>
      <c r="F7928">
        <f>HYPERLINK("https://www.reddit.com/r/GERD/comments/gyfeps/baking_soda_and_apple_cider/")</f>
        <v/>
      </c>
      <c r="G7928" t="inlineStr">
        <is>
          <t>2020-06-07 09:28:08</t>
        </is>
      </c>
      <c r="H7928" t="inlineStr"/>
    </row>
    <row r="7929">
      <c r="A7929" t="inlineStr">
        <is>
          <t>gyfpwe</t>
        </is>
      </c>
      <c r="B7929" t="inlineStr">
        <is>
          <t>Right side sensation</t>
        </is>
      </c>
      <c r="C7929" t="inlineStr">
        <is>
          <t>Hello,
A few months ago I started to develop a pressure/burning sensation on the top right of my abdomen. 
I was prescribed Dexilant and the sensation went away.
I’m now off Dexilant and am taking Zantac 150mg, and yesterday I had a few drinks and am now having this weird sensation again.
Has anyone dealt with this before and what did they do? 
Thanks!</t>
        </is>
      </c>
      <c r="D7929" t="n">
        <v>1</v>
      </c>
      <c r="E7929" t="n">
        <v>6</v>
      </c>
      <c r="F7929">
        <f>HYPERLINK("https://www.reddit.com/r/GERD/comments/gyfpwe/right_side_sensation/")</f>
        <v/>
      </c>
      <c r="G7929" t="inlineStr">
        <is>
          <t>2020-06-07 09:45:51</t>
        </is>
      </c>
      <c r="H7929" t="inlineStr"/>
    </row>
    <row r="7930">
      <c r="A7930" t="inlineStr">
        <is>
          <t>gygosz</t>
        </is>
      </c>
      <c r="B7930" t="inlineStr">
        <is>
          <t>Tried fish, guess not heartburn.</t>
        </is>
      </c>
      <c r="C7930" t="inlineStr">
        <is>
          <t>I’m having a hard time eating at the moment. If you saw my previous post, you’ll know that I’m anxious about eating at the moment and that it’s bad to the point where I had to go an entire 2 days without eating. Now everything is giving me heartburn, including soups that I could eat before and fish, which I could also eat before. 
I got like 7-8 mouthfuls before I started to feel queasy and instant heartburn.</t>
        </is>
      </c>
      <c r="D7930" t="n">
        <v>1</v>
      </c>
      <c r="E7930" t="n">
        <v>9</v>
      </c>
      <c r="F7930">
        <f>HYPERLINK("https://www.reddit.com/r/GERD/comments/gygosz/tried_fish_guess_not_heartburn/")</f>
        <v/>
      </c>
      <c r="G7930" t="inlineStr">
        <is>
          <t>2020-06-07 10:40:20</t>
        </is>
      </c>
      <c r="H7930" t="inlineStr"/>
    </row>
    <row r="7931">
      <c r="A7931" t="inlineStr">
        <is>
          <t>gyh81a</t>
        </is>
      </c>
      <c r="B7931" t="inlineStr">
        <is>
          <t>Have you had a sweet taste in your mouth?</t>
        </is>
      </c>
      <c r="C7931" t="inlineStr">
        <is>
          <t>For the last 6 days I’ve been dealing with a sweet taste in my mouth. I’m checking my blood sugar and it’s within the limits. I’ve been under a lot if stress. I burp a lot at any time. Today I put on a mask to clean up the cabin and it smelled so bad I thought the mask was dirty even though it was from a new package. 
It’s driving me crazy. I wonder if any of you have had something similar?  
Thank you!</t>
        </is>
      </c>
      <c r="D7931" t="n">
        <v>1</v>
      </c>
      <c r="E7931" t="n">
        <v>3</v>
      </c>
      <c r="F7931">
        <f>HYPERLINK("https://www.reddit.com/r/GERD/comments/gyh81a/have_you_had_a_sweet_taste_in_your_mouth/")</f>
        <v/>
      </c>
      <c r="G7931" t="inlineStr">
        <is>
          <t>2020-06-07 11:10:09</t>
        </is>
      </c>
      <c r="H7931" t="inlineStr"/>
    </row>
    <row r="7932">
      <c r="A7932" t="inlineStr">
        <is>
          <t>gyhpmx</t>
        </is>
      </c>
      <c r="B7932" t="inlineStr">
        <is>
          <t>Hello There I wanted to make a quick post and get some thoughts on my situation.</t>
        </is>
      </c>
      <c r="C7932" t="inlineStr">
        <is>
          <t>When I was a teenager I would have this habit of drinking directly from a 2 liter of sprite. One night I’m doing it and I basically would chug it right when it opened and I got this massive pain around my chest. Was so bad I stopped drinking soda, and ended up going to some specialists after a few months. 
I was never diagnosed with GERD or anything but I carried on my life eating whatever I want. Now the last few years or so I wake up with the nastiest taste in my throat were I have mints and water near by. More recently the last year or so I started getting bad anxiety and chest pains. Have been checked out by a few doctors, ekg, etc and everything checked our fine. 
But I have these other symptoms as well like I eat food and it feels like it’s hardly going down my throat, long and loud burps or welping really, regurgitation, and basically whenever I eat certain things my throat has this burning 🥵 sensation. 
The last few weeks it’s been pretty bad I’ve switched up my diet a lot and try to eat only bananas in the morning and limit myself to a turkey sandwich in the evening or something like this. It’s been very horrible I suffer from panic disorder and I get so worked up I feel like I’m going to have a heart attack or something. It’s also to the point where I drink water and I’m like belching, and I try to drink a lot of cold water to combat my anxiety symptoms. 
Also with everything going on I’m hesitant to go to the hospital or doctor. I’ve seen them multiple times for anxiety, and I wouldn’t want to subject me or my family to covid-19. Does anyone have any advice to handling this or something I can take?</t>
        </is>
      </c>
      <c r="D7932" t="n">
        <v>1</v>
      </c>
      <c r="E7932" t="n">
        <v>3</v>
      </c>
      <c r="F7932">
        <f>HYPERLINK("https://www.reddit.com/r/GERD/comments/gyhpmx/hello_there_i_wanted_to_make_a_quick_post_and_get/")</f>
        <v/>
      </c>
      <c r="G7932" t="inlineStr">
        <is>
          <t>2020-06-07 11:37:15</t>
        </is>
      </c>
      <c r="H7932" t="inlineStr"/>
    </row>
    <row r="7933">
      <c r="A7933" t="inlineStr">
        <is>
          <t>gyitbq</t>
        </is>
      </c>
      <c r="B7933" t="inlineStr">
        <is>
          <t>Not diagnosed, but I think I have gerd . Can someone tell me if they also have these symptoms?</t>
        </is>
      </c>
      <c r="C7933" t="inlineStr">
        <is>
          <t>I've had bad dry mouth since last august and my breath and tongue smells fecal like.  Does anyone else have this and can it be reversed?</t>
        </is>
      </c>
      <c r="D7933" t="n">
        <v>1</v>
      </c>
      <c r="E7933" t="n">
        <v>6</v>
      </c>
      <c r="F7933">
        <f>HYPERLINK("https://www.reddit.com/r/GERD/comments/gyitbq/not_diagnosed_but_i_think_i_have_gerd_can_someone/")</f>
        <v/>
      </c>
      <c r="G7933" t="inlineStr">
        <is>
          <t>2020-06-07 12:37:37</t>
        </is>
      </c>
      <c r="H7933" t="inlineStr"/>
    </row>
    <row r="7934">
      <c r="A7934" t="inlineStr">
        <is>
          <t>gyj259</t>
        </is>
      </c>
      <c r="B7934" t="inlineStr">
        <is>
          <t>What is that one food that you just can't go without?</t>
        </is>
      </c>
      <c r="C7934" t="inlineStr">
        <is>
          <t>Mine is coffee. I was 5 a day but the best I can do now is cut it down to 2.</t>
        </is>
      </c>
      <c r="D7934" t="n">
        <v>1</v>
      </c>
      <c r="E7934" t="n">
        <v>13</v>
      </c>
      <c r="F7934">
        <f>HYPERLINK("https://www.reddit.com/r/GERD/comments/gyj259/what_is_that_one_food_that_you_just_cant_go/")</f>
        <v/>
      </c>
      <c r="G7934" t="inlineStr">
        <is>
          <t>2020-06-07 12:50:56</t>
        </is>
      </c>
      <c r="H7934" t="inlineStr"/>
    </row>
    <row r="7935">
      <c r="A7935" t="inlineStr">
        <is>
          <t>gyjh00</t>
        </is>
      </c>
      <c r="B7935" t="inlineStr">
        <is>
          <t>nothing im doing is getting better, i can tell ill get cancer but i refuse to suffer like that. I will live stream my suicide and hopefully raise awareness for GERD</t>
        </is>
      </c>
      <c r="C7935" t="inlineStr">
        <is>
          <t>I did everything I could and i know its going to turn into cancer, I hope you guys can find a way out of this hell and i hope my death raises awareness for how miserable GERD can make life.</t>
        </is>
      </c>
      <c r="D7935" t="n">
        <v>1</v>
      </c>
      <c r="E7935" t="n">
        <v>6</v>
      </c>
      <c r="F7935">
        <f>HYPERLINK("https://www.reddit.com/r/GERD/comments/gyjh00/nothing_im_doing_is_getting_better_i_can_tell_ill/")</f>
        <v/>
      </c>
      <c r="G7935" t="inlineStr">
        <is>
          <t>2020-06-07 13:11:52</t>
        </is>
      </c>
      <c r="H7935" t="inlineStr"/>
    </row>
    <row r="7936">
      <c r="A7936" t="inlineStr">
        <is>
          <t>gykbpk</t>
        </is>
      </c>
      <c r="B7936" t="inlineStr">
        <is>
          <t>Bad Bad Esophagitis Right Now</t>
        </is>
      </c>
      <c r="C7936" t="inlineStr">
        <is>
          <t>I dont know what I was thinking.....I know coffee is and has been a big trigger for me and others. But i missed it so much. For a week straight i drank a whole pot of Espresso every morning. Yes, espresso, not even regular coffee. For the first bunch of days i didn't really feel much, but after a week I'm suffering so bad right now that i don't even know what to do with myself. So much pain from the upper abodmen, where my stomach starts, all the way up to my upper chest. Non stop pain. I attribute it to the weeks worth of espresso because nothing else has changed in my routine. I will remember this and never succumb to the desire of coffee/espresso again !</t>
        </is>
      </c>
      <c r="D7936" t="n">
        <v>1</v>
      </c>
      <c r="E7936" t="n">
        <v>36</v>
      </c>
      <c r="F7936">
        <f>HYPERLINK("https://www.reddit.com/r/GERD/comments/gykbpk/bad_bad_esophagitis_right_now/")</f>
        <v/>
      </c>
      <c r="G7936" t="inlineStr">
        <is>
          <t>2020-06-07 13:54:37</t>
        </is>
      </c>
      <c r="H7936" t="inlineStr"/>
    </row>
    <row r="7937">
      <c r="A7937" t="inlineStr">
        <is>
          <t>gyl2tj</t>
        </is>
      </c>
      <c r="B7937" t="inlineStr">
        <is>
          <t>B12 deficiency associated with GERD?</t>
        </is>
      </c>
      <c r="C7937" t="inlineStr">
        <is>
          <t>All my blood tests are completely health.Expect b12 i have very low b12 despite my meat consumption.I eat so much meat its honestly impossible to have b12 deficiency.I havent gotten tested for gerd but i have gotten tested for everything else.If its linked i will know for sure i have it.</t>
        </is>
      </c>
      <c r="D7937" t="n">
        <v>1</v>
      </c>
      <c r="E7937" t="n">
        <v>8</v>
      </c>
      <c r="F7937">
        <f>HYPERLINK("https://www.reddit.com/r/GERD/comments/gyl2tj/b12_deficiency_associated_with_gerd/")</f>
        <v/>
      </c>
      <c r="G7937" t="inlineStr">
        <is>
          <t>2020-06-07 14:32:49</t>
        </is>
      </c>
      <c r="H7937" t="inlineStr"/>
    </row>
    <row r="7938">
      <c r="A7938" t="inlineStr">
        <is>
          <t>gylcvx</t>
        </is>
      </c>
      <c r="B7938" t="inlineStr">
        <is>
          <t>Does shortness of breath come suddenly for you all or is it pretty much consistent?</t>
        </is>
      </c>
      <c r="C7938" t="inlineStr">
        <is>
          <t xml:space="preserve"> I (21M) have been diagnosed with GERD since early high school. I’ve never had shortness of breath (only had issues burping and throating clearing) before but all of a sudden, I experienced it back in April for the first time. It would happen randomly throughout the day for probably three days straight, and of course I freaked out bc I thought it might be the virus causing it. I figured that likely wasn’t the case considering that I had no other covid-like symptoms, and found out that it can be caused by GERD.
Anyway, after that it went away pretty quickly and hasn’t happened again until today. So I’m wondering for you all that also experience shortness of breath from GERD, is it something that you’ve always had? Or just a new symptom that came with age? Or maybe it only happens when you do something to trigger it?? Thanks in advance!</t>
        </is>
      </c>
      <c r="D7938" t="n">
        <v>1</v>
      </c>
      <c r="E7938" t="n">
        <v>6</v>
      </c>
      <c r="F7938">
        <f>HYPERLINK("https://www.reddit.com/r/GERD/comments/gylcvx/does_shortness_of_breath_come_suddenly_for_you/")</f>
        <v/>
      </c>
      <c r="G7938" t="inlineStr">
        <is>
          <t>2020-06-07 14:47:27</t>
        </is>
      </c>
      <c r="H7938" t="inlineStr"/>
    </row>
    <row r="7939">
      <c r="A7939" t="inlineStr">
        <is>
          <t>gylnxk</t>
        </is>
      </c>
      <c r="B7939" t="inlineStr">
        <is>
          <t>I want hummus</t>
        </is>
      </c>
      <c r="C7939" t="inlineStr">
        <is>
          <t>Anyone have a lemon free hummus recipe?</t>
        </is>
      </c>
      <c r="D7939" t="n">
        <v>1</v>
      </c>
      <c r="E7939" t="n">
        <v>3</v>
      </c>
      <c r="F7939">
        <f>HYPERLINK("https://www.reddit.com/r/GERD/comments/gylnxk/i_want_hummus/")</f>
        <v/>
      </c>
      <c r="G7939" t="inlineStr">
        <is>
          <t>2020-06-07 15:03:00</t>
        </is>
      </c>
      <c r="H7939" t="inlineStr"/>
    </row>
    <row r="7940">
      <c r="A7940" t="inlineStr">
        <is>
          <t>gyokm8</t>
        </is>
      </c>
      <c r="B7940" t="inlineStr">
        <is>
          <t>Linx experience after 1 year, AMA</t>
        </is>
      </c>
      <c r="C7940" t="inlineStr">
        <is>
          <t>Hi folks, 
I'm not a regular poster here but this sub gave me a lot of good information when I was struggling with symptoms, so I wanted to share my own experience in return as I'm now just over a year post-Linx implantation.  
Background - never had any issues historically, I'm fairly active and in good shape, but in my late 30s I started to get more and more frequent heartburn.  Manageable enough by moderating my diet and using Tums.  But it got progressively worse until a GI did an endscopy and said I had a small hiatal hernia and that my esophagus was horrendous and a real risk for Barrett's esophagus.  He put me on 20mg/day Omeprazole (Prilosec) and I was mostly ok.  Eventually it started worsening again, but the real dealbreaker was when I started getting nighttme regurgitation.  If I ate ANYWHERE near bedtime, or something that disagreed with me, or too big a meal, or sometimes for no obvious reason at all, I'd start choking and coughing whenever I tried to sleep.  Unless I sat sitting up straight, I would get almost zero sleep and be in serious pain the next day.  Even upping to 40mg/day Omeprazole helped the heartburn but had no effect on the regurgitation.  I was referred to a bariatric surgeon who suggested I'd be a good candidate for Linx.  After about 18 months of many increasingly unpleasant tests and battles with the insurance company (those are other stories if you're interested, the saving grace was really my surgeon who went to bat for me), I was approved for hernia repair and Linx implantation.
The surgery itself is very standard.  Both were done laproscopically, so there are just half a dozen tiny scars.  You wake up sore but that's to be expected.  They want you to eat something small every 20-30 minutes so you don't form scar tissue around your LES and have trouble swallowing altogether.  For me it was mostly apple slices since I didn't want to trade off reflux for being 800 lbs.  The reflux itself stopped almost immediately, like flipping a switch.  That said, there are a couple drawbacks that warrant mention.
First is the dysphagia everybody warns you about, and it's not trivial.  It is frequent, it happens unexpectedly, and it is debilitatingly painful.  When you're trying to swallow, your LES just says "nope" and food starts to build up without you realizing.  Then you get these cripping distension pains, you start bringing up copious mucus, might vomit a little.  Eventually you feel a little "whoosh" and everything empties out.  You can eat again, but you probably wont' want to for some time.  The key is to eat VERY slowly, making sure each bite is completely gone before you take the next.  Eventually you learn to recognize the feeling of both food building up and of the LES letting everything through.  This happened with nearly every meal at first, then less and less often for... maybe 6-9 months.  The real bad cases were probably only for the first 3 months or so.
The second one... frankly we still don't know what it was.  Maybe 9 months post.  I was away visiting family of course, eating a big Homer Simpson style giant sandwich, and felt something off in my chest like I was sitting in the wrong position.  I couldn't get it right, and the pain kept getting worse and worse.  Before long I was in agony, this sharp tearing pain right along my diaphragm that I couldn't get rid of.  I basically spent 3 days in bed, unable to move or sleep or eat.  Hot tea helped a little, as well as every painkiller I could get my hands on (and I don't like taking an aspiring if I can avoid it).  Got home after a few days while the pain got less and less; we did tests but couldn't diagnose exactly what happened.  Our best guess is that I tore a stitch from the hernia repair, just one of those random unpredictable things that can happen.  
&amp;amp;nbsp;
So now I'm 14 months post, and essentially asymptomatic.  After Linx implantation, the reflux and regurgitation were gone like flipping a switch.  Haven't taken Omeprazole or anything else since the day of surgery.  I can eat whatever I want, I can eat big meals, I can eat before bed.  I will occasionally get a little "normal" style heartburn and pop a single Tums... maybe once or twice a month?  I will occasionally (again maybe once a month at most) get just the slightest sense of dysphagia, but a brief pause or sip of water and it resolves quickly.  No real incidents for at least 6 months.  A couple little fingernail-sized scars and if I ever have an MRI my chest will explode like the Alien, but otherwise you'd never know there was a problem.  
Overally I would rate Linx 10/10 and recommend it without hesitation.  The side effects are very real and not to be taken lightly, but they also go away and are manageable if you know what to expect.  Sorry if this was a bit long, but that's about the extent of my experience.   I hope this adds a little perspective for anybody in the same situation I was.  Good luck to everyone, I'm happy to answer any questions.</t>
        </is>
      </c>
      <c r="D7940" t="n">
        <v>1</v>
      </c>
      <c r="E7940" t="n">
        <v>44</v>
      </c>
      <c r="F7940">
        <f>HYPERLINK("https://www.reddit.com/r/GERD/comments/gyokm8/linx_experience_after_1_year_ama/")</f>
        <v/>
      </c>
      <c r="G7940" t="inlineStr">
        <is>
          <t>2020-06-07 17:43:17</t>
        </is>
      </c>
      <c r="H7940" t="inlineStr"/>
    </row>
    <row r="7941">
      <c r="A7941" t="inlineStr">
        <is>
          <t>gypgr9</t>
        </is>
      </c>
      <c r="B7941" t="inlineStr">
        <is>
          <t>Occasional Stiff Neck and trouble swallowing while eating</t>
        </is>
      </c>
      <c r="C7941" t="inlineStr">
        <is>
          <t>Every sincere October I’ve been having on and off issues with my neck and swallowing. During random points of the day I’ll have trouble swallowing and sometimes will get a random stiff neck. The swallowing issues usually happen at night, but they only last about 5-10 minutes then disappear for a while. During those periods it feels like there’s a lump or something in my neck, it usually causes me to burp a swallow more. It’s weird, one day I’ll go through it 2 or 3 times then the next there’s no issues? Do you guys suspect I have GERD or that it’s a result of stress/anxiety? Most of the time it only happens at night during idle times or dinner, which is why I think it’s a mental thing.</t>
        </is>
      </c>
      <c r="D7941" t="n">
        <v>1</v>
      </c>
      <c r="E7941" t="n">
        <v>4</v>
      </c>
      <c r="F7941">
        <f>HYPERLINK("https://www.reddit.com/r/GERD/comments/gypgr9/occasional_stiff_neck_and_trouble_swallowing/")</f>
        <v/>
      </c>
      <c r="G7941" t="inlineStr">
        <is>
          <t>2020-06-07 18:42:28</t>
        </is>
      </c>
      <c r="H7941" t="inlineStr"/>
    </row>
    <row r="7942">
      <c r="A7942" t="inlineStr">
        <is>
          <t>gypl08</t>
        </is>
      </c>
      <c r="B7942" t="inlineStr">
        <is>
          <t>In how many years do you think gerd could be cured ?</t>
        </is>
      </c>
      <c r="C7942" t="inlineStr">
        <is>
          <t>Yes I know  is  a stupid question, but did actually can be cured one day? 🤔</t>
        </is>
      </c>
      <c r="D7942" t="n">
        <v>1</v>
      </c>
      <c r="E7942" t="n">
        <v>14</v>
      </c>
      <c r="F7942">
        <f>HYPERLINK("https://www.reddit.com/r/GERD/comments/gypl08/in_how_many_years_do_you_think_gerd_could_be_cured/")</f>
        <v/>
      </c>
      <c r="G7942" t="inlineStr">
        <is>
          <t>2020-06-07 18:50:20</t>
        </is>
      </c>
      <c r="H7942" t="inlineStr"/>
    </row>
    <row r="7943">
      <c r="A7943" t="inlineStr">
        <is>
          <t>gyrwk1</t>
        </is>
      </c>
      <c r="B7943" t="inlineStr">
        <is>
          <t>Can anybody relate to having really bad globus sensation? The hell seems to be over. It's been almost two weeks now since I was smoking a bowl and a peace of tobaco hit the back of my throat. Got an endoscopy and apparently nothing.</t>
        </is>
      </c>
      <c r="C7943" t="inlineStr">
        <is>
          <t>I know it can be my nerves firing but im asking if anybody else has experienced very very distressing globus sensation and how they delt with it or got relief? I know nothing is stuck but if there is do you think my throat would have dissolved it already? its ether a its stick stuck which I doubt, b it's the aftermath, or c its something else completely. Ether way I'm just wondering what medicine or food/treatment/anything people used?</t>
        </is>
      </c>
      <c r="D7943" t="n">
        <v>1</v>
      </c>
      <c r="E7943" t="n">
        <v>1</v>
      </c>
      <c r="F7943">
        <f>HYPERLINK("https://www.reddit.com/r/GERD/comments/gyrwk1/can_anybody_relate_to_having_really_bad_globus/")</f>
        <v/>
      </c>
      <c r="G7943" t="inlineStr">
        <is>
          <t>2020-06-07 21:28:50</t>
        </is>
      </c>
      <c r="H7943" t="inlineStr"/>
    </row>
    <row r="7944">
      <c r="A7944" t="inlineStr">
        <is>
          <t>gyspz0</t>
        </is>
      </c>
      <c r="B7944" t="inlineStr">
        <is>
          <t>I don't get the regurgitation symptom...</t>
        </is>
      </c>
      <c r="C7944" t="inlineStr">
        <is>
          <t>But I have been suffering from terrible acid reflux since I was about 17. The pain sits right at my esophageal valve. It stays there like a hot coal, it lasts at least 8 hours. 
I don't cough up acid, don't cough at all. Nothing comes up my throat. I've not yet been scoped but I need to do it soon. 
Do you guys still think it's GERD?</t>
        </is>
      </c>
      <c r="D7944" t="n">
        <v>1</v>
      </c>
      <c r="E7944" t="n">
        <v>7</v>
      </c>
      <c r="F7944">
        <f>HYPERLINK("https://www.reddit.com/r/GERD/comments/gyspz0/i_dont_get_the_regurgitation_symptom/")</f>
        <v/>
      </c>
      <c r="G7944" t="inlineStr">
        <is>
          <t>2020-06-07 22:22:49</t>
        </is>
      </c>
      <c r="H7944" t="inlineStr"/>
    </row>
    <row r="7945">
      <c r="A7945" t="inlineStr">
        <is>
          <t>gyt3cv</t>
        </is>
      </c>
      <c r="B7945" t="inlineStr">
        <is>
          <t>Back pain</t>
        </is>
      </c>
      <c r="C7945" t="inlineStr">
        <is>
          <t>Does anyone else get pain radiating into their back from stomach and also might not always get reflux/burning pain right after eating but may even be 5-6hours later after eating (a rather bland meal too!). Thought I was largely on top of my troubles the last year or two but they have come back in full blast the last few months ☹ Went through the whole doctor, specialist, endoscopy route 3 years ago with little flare ups here and there over the last few years and thought I was doing great at managing it but the last 3 months have really been something!</t>
        </is>
      </c>
      <c r="D7945" t="n">
        <v>1</v>
      </c>
      <c r="E7945" t="n">
        <v>5</v>
      </c>
      <c r="F7945">
        <f>HYPERLINK("https://www.reddit.com/r/GERD/comments/gyt3cv/back_pain/")</f>
        <v/>
      </c>
      <c r="G7945" t="inlineStr">
        <is>
          <t>2020-06-07 22:46:51</t>
        </is>
      </c>
      <c r="H7945" t="inlineStr"/>
    </row>
    <row r="7946">
      <c r="A7946" t="inlineStr">
        <is>
          <t>gytgbh</t>
        </is>
      </c>
      <c r="B7946" t="inlineStr">
        <is>
          <t>Poll : Anxiety / depression , and GERD/LPR.</t>
        </is>
      </c>
      <c r="C7946" t="inlineStr">
        <is>
          <t>I wanted to get some feedback on this, the link between anxiety disorder or depression, and gerd/lpr.
How many of you suffered right before developing any form of GERD, from anxiety or depression? Personally speaking, right before this horrible journey of LPR/GERD for two years, I have to admit to being a hypochondriac &amp;amp; definitely though I had cancer which ultimately lead to a very stressful 3-4 months of very bad headaches, tension &amp;amp; stress which lead to a brain MRI, which was clean &amp;amp; nothing was wrong. Ever since that day I left the hospital , I’ve had LPR (mostly) that started with a lingering cough, and the hell continued on.... 
So... what about you ? Did anyone else’s story sound familiar leading up to gerd ? Would love to hear it.</t>
        </is>
      </c>
      <c r="D7946" t="n">
        <v>1</v>
      </c>
      <c r="E7946" t="n">
        <v>4</v>
      </c>
      <c r="F7946">
        <f>HYPERLINK("https://www.reddit.com/r/GERD/comments/gytgbh/poll_anxiety_depression_and_gerdlpr/")</f>
        <v/>
      </c>
      <c r="G7946" t="inlineStr">
        <is>
          <t>2020-06-07 23:10:56</t>
        </is>
      </c>
      <c r="H7946" t="inlineStr"/>
    </row>
    <row r="7947">
      <c r="A7947" t="inlineStr">
        <is>
          <t>gytvon</t>
        </is>
      </c>
      <c r="B7947" t="inlineStr">
        <is>
          <t>Reflux at night</t>
        </is>
      </c>
      <c r="C7947" t="inlineStr">
        <is>
          <t>This is the 4th time I've woken up from this tonight. Has anyone had issues with reflux during sleep that causes you to asphyxiate stomach fluid, which causes you to wake up coughing and choking? Waiting a few hours after eating before laying down doesn't seem to help nor does propping my head up.</t>
        </is>
      </c>
      <c r="D7947" t="n">
        <v>1</v>
      </c>
      <c r="E7947" t="n">
        <v>9</v>
      </c>
      <c r="F7947">
        <f>HYPERLINK("https://www.reddit.com/r/GERD/comments/gytvon/reflux_at_night/")</f>
        <v/>
      </c>
      <c r="G7947" t="inlineStr">
        <is>
          <t>2020-06-07 23:39:53</t>
        </is>
      </c>
      <c r="H7947" t="inlineStr"/>
    </row>
    <row r="7948">
      <c r="A7948" t="inlineStr">
        <is>
          <t>gyw2h7</t>
        </is>
      </c>
      <c r="B7948" t="inlineStr">
        <is>
          <t>Acid reflux in the morning when I do exercise before I go to bed?</t>
        </is>
      </c>
      <c r="C7948" t="inlineStr">
        <is>
          <t>So nexium is helping. Haven’t had any heartburn since but when I exercise before I sleep I wake up with a heartburn?</t>
        </is>
      </c>
      <c r="D7948" t="n">
        <v>1</v>
      </c>
      <c r="E7948" t="n">
        <v>1</v>
      </c>
      <c r="F7948">
        <f>HYPERLINK("https://www.reddit.com/r/GERD/comments/gyw2h7/acid_reflux_in_the_morning_when_i_do_exercise/")</f>
        <v/>
      </c>
      <c r="G7948" t="inlineStr">
        <is>
          <t>2020-06-08 02:20:55</t>
        </is>
      </c>
      <c r="H7948" t="inlineStr"/>
    </row>
    <row r="7949">
      <c r="A7949" t="inlineStr">
        <is>
          <t>gyxxob</t>
        </is>
      </c>
      <c r="B7949" t="inlineStr">
        <is>
          <t>Anyone else notice that drinking a lot of water gives them acid reflux especially around meal times?</t>
        </is>
      </c>
      <c r="C7949" t="inlineStr">
        <is>
          <t>I normally drink a lot of water on a daily basis but I notice drinking a lot of water at meal times gives me reflux afterwards. I've been trying to not drink much water while eating now and instead drinking in between meals and it seems to make a difference</t>
        </is>
      </c>
      <c r="D7949" t="n">
        <v>63</v>
      </c>
      <c r="E7949" t="n">
        <v>28</v>
      </c>
      <c r="F7949">
        <f>HYPERLINK("https://www.reddit.com/r/GERD/comments/gyxxob/anyone_else_notice_that_drinking_a_lot_of_water/")</f>
        <v/>
      </c>
      <c r="G7949" t="inlineStr">
        <is>
          <t>2020-06-08 04:55:15</t>
        </is>
      </c>
      <c r="H7949" t="inlineStr"/>
    </row>
    <row r="7950">
      <c r="A7950" t="inlineStr">
        <is>
          <t>gyyvrw</t>
        </is>
      </c>
      <c r="B7950" t="inlineStr">
        <is>
          <t>Terrible indigestion</t>
        </is>
      </c>
      <c r="C7950" t="inlineStr">
        <is>
          <t>GERD sufferer for 8 years. Very rarely I get indigestion, normally my stomach is empty about 2-3 hours after meal. 
But yesterday I slept only three hours and then at night I had a strange fungi, which didn't cause problems some days before, and now the food is stuck in my stomach. Nausea and lots of burps.
Any suggestions to relieve this other than vomiting?</t>
        </is>
      </c>
      <c r="D7950" t="n">
        <v>1</v>
      </c>
      <c r="E7950" t="n">
        <v>4</v>
      </c>
      <c r="F7950">
        <f>HYPERLINK("https://www.reddit.com/r/GERD/comments/gyyvrw/terrible_indigestion/")</f>
        <v/>
      </c>
      <c r="G7950" t="inlineStr">
        <is>
          <t>2020-06-08 06:00:52</t>
        </is>
      </c>
      <c r="H7950" t="inlineStr"/>
    </row>
    <row r="7951">
      <c r="A7951" t="inlineStr">
        <is>
          <t>gyzd82</t>
        </is>
      </c>
      <c r="B7951" t="inlineStr">
        <is>
          <t>Wedge pillows</t>
        </is>
      </c>
      <c r="C7951" t="inlineStr">
        <is>
          <t>I've had reflux for around a year and up until now I thought it wasn't postural. I tend to mainly experience reflux a few hours after eating a fatty meal.
Thankfully I've never really experienced reflux when laying down or sleeping, at least not to my knowledge... It has never stopped me from sleeping, which I know is a blessing. However some days I notice that my throat is a bit more sore than usual, even befor eating my first meal of the day. Is it possible that I am experiencing reflux during my sleep without even knowing it? Is it possible to just sleep through it damaging your throat? 
If so, what's the best way to prop up your bed? I have a bed that doesn't have legs, so it's quite difficult to prop up and I've heard bad things about wedge pillows. Can you get something to put between the slats and the mattress? 
Many thanks</t>
        </is>
      </c>
      <c r="D7951" t="n">
        <v>2</v>
      </c>
      <c r="E7951" t="n">
        <v>12</v>
      </c>
      <c r="F7951">
        <f>HYPERLINK("https://www.reddit.com/r/GERD/comments/gyzd82/wedge_pillows/")</f>
        <v/>
      </c>
      <c r="G7951" t="inlineStr">
        <is>
          <t>2020-06-08 06:30:54</t>
        </is>
      </c>
      <c r="H7951" t="inlineStr"/>
    </row>
    <row r="7952">
      <c r="A7952" t="inlineStr">
        <is>
          <t>gz06uy</t>
        </is>
      </c>
      <c r="B7952" t="inlineStr">
        <is>
          <t>Finally got an endoscopy</t>
        </is>
      </c>
      <c r="C7952" t="inlineStr">
        <is>
          <t>After waiting months for NYC to finally reopen, I was able to get an endoscopy and GI says all good. No acid reflux, no ulcers. 
Interesting, so why the weight  lost and other symptoms doctor? "Most likely stress". Why can I no longer eat certain foods that gave no issues like pizza? "It takes longer for the body to process certain foods...."
Also he said I can eat WHATEVER I WANT. Um, what, excuse me sir?
Yeah I'll be going for a second opinion from another doctor. My father was diagnosed with pancreatitis 4, 5 years ago. Doc said endoscopy can't check for that and pancreatitis is unlucky because its something that affects heavy drinkers over years. Which i don't recall my father every being,  I'm 32 btw. I mean whether something is unlikely or rare shouldn't you make effort to check patient for any and everything to be on safe side?</t>
        </is>
      </c>
      <c r="D7952" t="n">
        <v>12</v>
      </c>
      <c r="E7952" t="n">
        <v>30</v>
      </c>
      <c r="F7952">
        <f>HYPERLINK("https://www.reddit.com/r/GERD/comments/gz06uy/finally_got_an_endoscopy/")</f>
        <v/>
      </c>
      <c r="G7952" t="inlineStr">
        <is>
          <t>2020-06-08 07:19:36</t>
        </is>
      </c>
      <c r="H7952" t="inlineStr"/>
    </row>
    <row r="7953">
      <c r="A7953" t="inlineStr">
        <is>
          <t>gz1pn6</t>
        </is>
      </c>
      <c r="B7953" t="inlineStr">
        <is>
          <t>GERD induced solely from anxiety/stress</t>
        </is>
      </c>
      <c r="C7953" t="inlineStr">
        <is>
          <t>Father of 3 little boisterous boys here. So up until last month, I never experienced heart burn.  Last month it suddenly hit after drinking a super acidic fresh orange.  Saw a gastro, got on Nexium, and it still hasn’t really gone away while on med.  Over the last week, it started getting worse - anything I ate caused heat in my throat. And I started getting it in middle of night which is weird.  Got on a diet of oatmeal, rice, and veggie soup - still getting a bit of heartburn.  Today I finally did an endoscopy:  all is fine except from 1cm small hernia and inflammation traces of acid reflux. All else fine.  Doc says it’s anxiety/stress related.  The thing is when my boys are misbehaving, or not doing their homework, or are about to kill each other - anyone’s heartbeats will rise up.  I try to take deep breaths etc, but the heat stays there in my throat.  Maybe there are some anti stress meds?   I’m at loss at what to do - it’s quite debilitating.   I’m healthy, not overweight, but don’t exercise much (I will start for sure now)....</t>
        </is>
      </c>
      <c r="D7953" t="n">
        <v>2</v>
      </c>
      <c r="E7953" t="n">
        <v>4</v>
      </c>
      <c r="F7953">
        <f>HYPERLINK("https://www.reddit.com/r/GERD/comments/gz1pn6/gerd_induced_solely_from_anxietystress/")</f>
        <v/>
      </c>
      <c r="G7953" t="inlineStr">
        <is>
          <t>2020-06-08 08:43:33</t>
        </is>
      </c>
      <c r="H7953" t="inlineStr"/>
    </row>
    <row r="7954">
      <c r="A7954" t="inlineStr">
        <is>
          <t>gz1x3e</t>
        </is>
      </c>
      <c r="B7954" t="inlineStr">
        <is>
          <t>Omeprazole+antibiotics=yeast infection that won't go away?</t>
        </is>
      </c>
      <c r="C7954" t="inlineStr">
        <is>
          <t>Yep, I have it. Any of you have similar problem and maybe a solution?
P.S. I've tried everything, but it keeps coming back.</t>
        </is>
      </c>
      <c r="D7954" t="n">
        <v>1</v>
      </c>
      <c r="E7954" t="n">
        <v>10</v>
      </c>
      <c r="F7954">
        <f>HYPERLINK("https://www.reddit.com/r/GERD/comments/gz1x3e/omeprazoleantibioticsyeast_infection_that_wont_go/")</f>
        <v/>
      </c>
      <c r="G7954" t="inlineStr">
        <is>
          <t>2020-06-08 08:54:41</t>
        </is>
      </c>
      <c r="H7954" t="inlineStr"/>
    </row>
    <row r="7955">
      <c r="A7955" t="inlineStr">
        <is>
          <t>gz39em</t>
        </is>
      </c>
      <c r="B7955" t="inlineStr">
        <is>
          <t>Throat Coat Eucalyptus tea almost killed me today (not literally)</t>
        </is>
      </c>
      <c r="C7955" t="inlineStr">
        <is>
          <t>I have silent relux and only feel heart burn when I've been pregnant.  Today I had a new tea and was down for 2 hours.  Sucks!  I've just borrowed Acid Watchers from the library.  Let me know if you've had a good experience with the 28 day reset.</t>
        </is>
      </c>
      <c r="D7955" t="n">
        <v>0</v>
      </c>
      <c r="E7955" t="n">
        <v>0</v>
      </c>
      <c r="F7955">
        <f>HYPERLINK("https://www.reddit.com/r/GERD/comments/gz39em/throat_coat_eucalyptus_tea_almost_killed_me_today/")</f>
        <v/>
      </c>
      <c r="G7955" t="inlineStr">
        <is>
          <t>2020-06-08 10:05:21</t>
        </is>
      </c>
      <c r="H7955" t="inlineStr"/>
    </row>
    <row r="7956">
      <c r="A7956" t="inlineStr">
        <is>
          <t>gz485b</t>
        </is>
      </c>
      <c r="B7956" t="inlineStr">
        <is>
          <t>Is it Allergies?</t>
        </is>
      </c>
      <c r="C7956" t="inlineStr">
        <is>
          <t xml:space="preserve">Hi everyone, first time here.
I stumbled across something very interesting and was just looking for some insight/experiences?
So recently, since like March 2020, I've had terrible swelling in my throat and back pain that feels like raw inflammation. I've been having regurgitation, trouble swallowing and it feels like food is stuck in my throat. I thought gosh this must be GERD/Acid reflux.
However, I've had a cough and mucus that won't quit. So I cut all things out, no difference, started PPIS no difference, Then I looked into food allergies, wheat seems to be a big trigger for me including milk. So I cut them out, improved a little bit, but then my doc said I need to be tested for CD so I had to continue eating.
One thing however Ive noticed is that my hayfever is off the chart, I'm talking watering eyes, streaming, running nose and congestion in my nose and chest that won't go away.
So I run downstairs and take some stronger antihistamine in liquid form. And surprise surprise my hayfever subsides but interestingly my acid reflux calms and I get a whole nights sleep!  I also have shortness of breath that gets so bad I'm using my inhaler!
This made me think, so I looked it up and theres a condition called EoE aka " **Eosinophilic oesophagitis** (EoE) happens when white blood cells (called **eosinophils**) deposit in the lining of the oesphagus, which is the muscular tube that connects the mouth to the stomach. This can be the result of an allergic reaction to food or the environment. "
I mean what?! So i look into this, and hello? the symptoms are as followed:
Trouble swallowing.
Food sticking on the way down the oesophagus.
Food getting stuck on the way down the oesophagus.
Choking or gagging on food.
Regurgitation of foods.
Regurgitation of foods.Severe acid reflux (heartburn) that does not respond to medications.
Abdominal (stomach) pain.
Chest pain when eating
Now I'm not a doctor or a medical professional but i'm starting to see a link, I've never had acid reflux like this in my life and the pollen levels are crazy! Not forgetting to say the shortness of breath is a main allergy symptom.  Why have the doctors just fobbed me off with acid reflux when I've clearly got way more symptoms is beyond me. I'm pretty annoyed. But what are you experiences? Oh I forgot to mention everytime i get a blood test done I have high levels of white blood cells. </t>
        </is>
      </c>
      <c r="D7956" t="n">
        <v>1</v>
      </c>
      <c r="E7956" t="n">
        <v>7</v>
      </c>
      <c r="F7956">
        <f>HYPERLINK("https://www.reddit.com/r/GERD/comments/gz485b/is_it_allergies/")</f>
        <v/>
      </c>
      <c r="G7956" t="inlineStr">
        <is>
          <t>2020-06-08 10:55:38</t>
        </is>
      </c>
      <c r="H7956" t="inlineStr"/>
    </row>
    <row r="7957">
      <c r="A7957" t="inlineStr">
        <is>
          <t>gz48bx</t>
        </is>
      </c>
      <c r="B7957" t="inlineStr">
        <is>
          <t>Can not eating at the right times cause gerd?</t>
        </is>
      </c>
      <c r="C7957" t="inlineStr">
        <is>
          <t>Got prescribed pantoprazole for stomach issues then came off of them now im experiencing chest burning with certain foods i eat which is a symtom i didnt experience before taking the medicine, could not eating at the right times cause this even if i never  experienced heartburn ever before?</t>
        </is>
      </c>
      <c r="D7957" t="n">
        <v>2</v>
      </c>
      <c r="E7957" t="n">
        <v>21</v>
      </c>
      <c r="F7957">
        <f>HYPERLINK("https://www.reddit.com/r/GERD/comments/gz48bx/can_not_eating_at_the_right_times_cause_gerd/")</f>
        <v/>
      </c>
      <c r="G7957" t="inlineStr">
        <is>
          <t>2020-06-08 10:55:54</t>
        </is>
      </c>
      <c r="H7957" t="inlineStr"/>
    </row>
    <row r="7958">
      <c r="A7958" t="inlineStr">
        <is>
          <t>gz48rs</t>
        </is>
      </c>
      <c r="B7958" t="inlineStr">
        <is>
          <t>First Bite Syndrome</t>
        </is>
      </c>
      <c r="C7958" t="inlineStr">
        <is>
          <t>Just found this subreddit today.  Found lots of good info already. 
2 years ago I  had radiation on my throat and all my saliva glands swole painfully up.  Eventually the swelling subsided.
Last summer they swole up again.  This time the swelling also went into my ears. The swelling has gone down somewhat but I'm still having some issues. 
The back right portion of my throat is swollen and my right hand side of my larynx is paralyzed. And every first bite of food leads to incredible pain.
ENT says the glands are blocked and the pain is the glands trying to do their job and failing. He states that I have First Bite Syndrome and that there is nothing he can do.
I also choke to the point of puking.  Every bit of food is scary.  Food may go down,  may not. I might puke, I might not.  I coughed so hard this weekend that I  pooped.
I now think this might be a result of gerd. 
Has anyone else heard of this?</t>
        </is>
      </c>
      <c r="D7958" t="n">
        <v>1</v>
      </c>
      <c r="E7958" t="n">
        <v>1</v>
      </c>
      <c r="F7958">
        <f>HYPERLINK("https://www.reddit.com/r/GERD/comments/gz48rs/first_bite_syndrome/")</f>
        <v/>
      </c>
      <c r="G7958" t="inlineStr">
        <is>
          <t>2020-06-08 10:56:31</t>
        </is>
      </c>
      <c r="H7958" t="inlineStr"/>
    </row>
    <row r="7959">
      <c r="A7959" t="inlineStr">
        <is>
          <t>gz54a9</t>
        </is>
      </c>
      <c r="B7959" t="inlineStr">
        <is>
          <t>Lump in throat Time Line</t>
        </is>
      </c>
      <c r="C7959" t="inlineStr">
        <is>
          <t>Hi GERD peeps,   
Three weeks ago i had my first GERD symptoms. They were extreme, and surprising. I had shortness of breath and burning sensation around my throat. I went to the Doc, and said it was GERD. He told me to take a 20 mg of omeprazole for two weeks and to make those GERD life style changes like snacking, low acid food, sleeping inclined etc. The really intense symptoms went away after the two weeks occasionally i'd feel some chest tightening but much more rarer than before. All in all manageable.   
Last week all of the respiratory stuff and throat burning has disappeared with the changes in diets ive made ( still taking the 20 mg of Omeprezole though) but now i have that lump in my throat feeling- its like something is stuck and it feels better after eating, and it comes in waves.   
I'm seeing my doc later this week but im curious - have any of you been through this similar time line? Are the symptoms getting better and now im just stuck on the throat level for a while? Any conversation would help for those who have been in this similar situation</t>
        </is>
      </c>
      <c r="D7959" t="n">
        <v>3</v>
      </c>
      <c r="E7959" t="n">
        <v>4</v>
      </c>
      <c r="F7959">
        <f>HYPERLINK("https://www.reddit.com/r/GERD/comments/gz54a9/lump_in_throat_time_line/")</f>
        <v/>
      </c>
      <c r="G7959" t="inlineStr">
        <is>
          <t>2020-06-08 11:41:00</t>
        </is>
      </c>
      <c r="H7959" t="inlineStr"/>
    </row>
    <row r="7960">
      <c r="A7960" t="inlineStr">
        <is>
          <t>gz66jm</t>
        </is>
      </c>
      <c r="B7960" t="inlineStr">
        <is>
          <t>Is rice just one of the worst foods ever?!</t>
        </is>
      </c>
      <c r="C7960" t="inlineStr">
        <is>
          <t>Does rice make your stomach gargle, boil, bubble, etc after eating!?!?! It makes my stomach do that...</t>
        </is>
      </c>
      <c r="D7960" t="n">
        <v>6</v>
      </c>
      <c r="E7960" t="n">
        <v>8</v>
      </c>
      <c r="F7960">
        <f>HYPERLINK("https://www.reddit.com/r/GERD/comments/gz66jm/is_rice_just_one_of_the_worst_foods_ever/")</f>
        <v/>
      </c>
      <c r="G7960" t="inlineStr">
        <is>
          <t>2020-06-08 12:35:14</t>
        </is>
      </c>
      <c r="H7960" t="inlineStr"/>
    </row>
    <row r="7961">
      <c r="A7961" t="inlineStr">
        <is>
          <t>gz69xm</t>
        </is>
      </c>
      <c r="B7961" t="inlineStr">
        <is>
          <t>Weird Spasms Left Bottom Side of Chest</t>
        </is>
      </c>
      <c r="C7961" t="inlineStr">
        <is>
          <t>Hello everyone,
Ive had this symptom for 3 days. Im not sure if it is because of GERD but I’ll ask it here anyway. 
I keep having random chest “spasms” if you will that happen in the bottom left area of my chest. It basically feels like a heart flutter for maybe a second or two before it stops and goes back to normal. I used to get them on occasion but now im having several a day. I have been gassy along with it.
Anyone know what this is? 
Thanks!</t>
        </is>
      </c>
      <c r="D7961" t="n">
        <v>1</v>
      </c>
      <c r="E7961" t="n">
        <v>8</v>
      </c>
      <c r="F7961">
        <f>HYPERLINK("https://www.reddit.com/r/GERD/comments/gz69xm/weird_spasms_left_bottom_side_of_chest/")</f>
        <v/>
      </c>
      <c r="G7961" t="inlineStr">
        <is>
          <t>2020-06-08 12:39:53</t>
        </is>
      </c>
      <c r="H7961" t="inlineStr"/>
    </row>
    <row r="7962">
      <c r="A7962" t="inlineStr">
        <is>
          <t>gz705x</t>
        </is>
      </c>
      <c r="B7962" t="inlineStr">
        <is>
          <t>Ent noticed white spots and inflammation in throat</t>
        </is>
      </c>
      <c r="C7962" t="inlineStr">
        <is>
          <t>Been battling GERD for months. ENT looked down my throat and noticed small white patches. He said it kinda looked like thrush but wasn’t.  He also noticed a lot of irritation from the reflux. He recommended a cbct/MRI and did a culture. 
Anyone have a similar issue?</t>
        </is>
      </c>
      <c r="D7962" t="n">
        <v>8</v>
      </c>
      <c r="E7962" t="n">
        <v>4</v>
      </c>
      <c r="F7962">
        <f>HYPERLINK("https://www.reddit.com/r/GERD/comments/gz705x/ent_noticed_white_spots_and_inflammation_in_throat/")</f>
        <v/>
      </c>
      <c r="G7962" t="inlineStr">
        <is>
          <t>2020-06-08 13:14:02</t>
        </is>
      </c>
      <c r="H7962" t="inlineStr"/>
    </row>
    <row r="7963">
      <c r="A7963" t="inlineStr">
        <is>
          <t>gz7494</t>
        </is>
      </c>
      <c r="B7963" t="inlineStr">
        <is>
          <t>Endoscopy Experiences?</t>
        </is>
      </c>
      <c r="C7963" t="inlineStr">
        <is>
          <t>I just had my first upper endoscopy. I’m already home and relaxing, but what were your experiences with food? How long should you be eating soft foods until you can eat solid foods? Any nausea experiences?</t>
        </is>
      </c>
      <c r="D7963" t="n">
        <v>3</v>
      </c>
      <c r="E7963" t="n">
        <v>26</v>
      </c>
      <c r="F7963">
        <f>HYPERLINK("https://www.reddit.com/r/GERD/comments/gz7494/endoscopy_experiences/")</f>
        <v/>
      </c>
      <c r="G7963" t="inlineStr">
        <is>
          <t>2020-06-08 13:19:34</t>
        </is>
      </c>
      <c r="H7963" t="inlineStr"/>
    </row>
    <row r="7964">
      <c r="A7964" t="inlineStr">
        <is>
          <t>gz7byj</t>
        </is>
      </c>
      <c r="B7964" t="inlineStr">
        <is>
          <t>Has anyone managed to get seen on the NHS recently?</t>
        </is>
      </c>
      <c r="C7964" t="inlineStr">
        <is>
          <t>For 4 months I’ve had breathlessness, vomiting, chest pain etc etc that came on after weightlifting. I have ehlers danlos syndrome which makes me extremely susceptible to hernias. However, the GPs just keep dismissing me. I’ve seen 7 different GPs but I can’t get my referral to go through. I have contacted PALS but they weren’t helpful, and said no one can be seen for spirometry, ENT or endoscopes atm. I feel like I’m going crazy and it’s severely affecting my mental health (as 4 months of breathlessness would). I recently had an emergency MRI as my optic nerves were swollen, and the doctors at hospital told me they’re accepting referrals, and I should be seen ASAP with my symptoms - but that was 2 weeks ago. Any advice?</t>
        </is>
      </c>
      <c r="D7964" t="n">
        <v>1</v>
      </c>
      <c r="E7964" t="n">
        <v>6</v>
      </c>
      <c r="F7964">
        <f>HYPERLINK("https://www.reddit.com/r/GERD/comments/gz7byj/has_anyone_managed_to_get_seen_on_the_nhs_recently/")</f>
        <v/>
      </c>
      <c r="G7964" t="inlineStr">
        <is>
          <t>2020-06-08 13:29:35</t>
        </is>
      </c>
      <c r="H7964" t="inlineStr"/>
    </row>
    <row r="7965">
      <c r="A7965" t="inlineStr">
        <is>
          <t>gz85ik</t>
        </is>
      </c>
      <c r="B7965" t="inlineStr">
        <is>
          <t>Can you die from GERD? I feel like am going to.</t>
        </is>
      </c>
      <c r="C7965" t="inlineStr">
        <is>
          <t>Without even eating anything I get acid reflux and shortness of breath. It's been daily since the beginning of March. I went to a GI DR and he put me on Prilosec. Off and on I have been taking it for a month. Even went after Manuka honey16+. Things I have haved used for several days with out results, tums, gas-x, beano, prune juice. I've pulled things that flare up my AR, like pepper and anything fried and some dairy. The past few days my AR has been overwhelming and I have a hard time breathing. I just want to know if I can die from suffocation. I expect this to go on for the rest of my life.</t>
        </is>
      </c>
      <c r="D7965" t="n">
        <v>2</v>
      </c>
      <c r="E7965" t="n">
        <v>12</v>
      </c>
      <c r="F7965">
        <f>HYPERLINK("https://www.reddit.com/r/GERD/comments/gz85ik/can_you_die_from_gerd_i_feel_like_am_going_to/")</f>
        <v/>
      </c>
      <c r="G7965" t="inlineStr">
        <is>
          <t>2020-06-08 14:06:18</t>
        </is>
      </c>
      <c r="H7965" t="inlineStr"/>
    </row>
    <row r="7966">
      <c r="A7966" t="inlineStr">
        <is>
          <t>gz85xn</t>
        </is>
      </c>
      <c r="B7966" t="inlineStr">
        <is>
          <t>Has anyone ever had tenderness in their ribs?</t>
        </is>
      </c>
      <c r="C7966" t="inlineStr">
        <is>
          <t>For the past few days I’ve been having some tenderness in the ribs, they really don’t hurt unless I touch them, but they are a bit tender to the touch. My anxiety always goes crazy in moments like these, so I’m trying to stay calm and ask if anyone else has ever experienced anything like this.</t>
        </is>
      </c>
      <c r="D7966" t="n">
        <v>29</v>
      </c>
      <c r="E7966" t="n">
        <v>10</v>
      </c>
      <c r="F7966">
        <f>HYPERLINK("https://www.reddit.com/r/GERD/comments/gz85xn/has_anyone_ever_had_tenderness_in_their_ribs/")</f>
        <v/>
      </c>
      <c r="G7966" t="inlineStr">
        <is>
          <t>2020-06-08 14:06:48</t>
        </is>
      </c>
      <c r="H7966" t="inlineStr"/>
    </row>
    <row r="7967">
      <c r="A7967" t="inlineStr">
        <is>
          <t>gz8ehd</t>
        </is>
      </c>
      <c r="B7967" t="inlineStr">
        <is>
          <t>How does yoga affect GERD?</t>
        </is>
      </c>
      <c r="C7967" t="inlineStr">
        <is>
          <t>I've been trying to get my GERD under control for many months. For a long time i thought it was just post-nasal drip. But as my symptoms got worse and i talked to my doctor she concluded that it was most likely GERD. I'm on PPIs right now, but still experiencing a tight throat, extreme difficulty swallowing and a lump in throat feeling.
Anyways, i've been reading up on what foods i can avoid and other lifestyle changes. I've read that it is best to keep upright, and to elevate yourself because acid from your stomach can easily creep up your esophagus. I immediately thought of the many inversion yoga poses that i do on almost a daily basis. Could being in downward-dog for a minute make my symptoms worse? Or is laying flat in bed for hours more likely to do that? I really would hate to stop yoga all together because it really helps with my anxiety.
I would love to know if anyone here regularly practices yoga. Do the stress relieving benefits outweigh  the negative side affects?</t>
        </is>
      </c>
      <c r="D7967" t="n">
        <v>4</v>
      </c>
      <c r="E7967" t="n">
        <v>2</v>
      </c>
      <c r="F7967">
        <f>HYPERLINK("https://www.reddit.com/r/GERD/comments/gz8ehd/how_does_yoga_affect_gerd/")</f>
        <v/>
      </c>
      <c r="G7967" t="inlineStr">
        <is>
          <t>2020-06-08 14:17:47</t>
        </is>
      </c>
      <c r="H7967" t="inlineStr"/>
    </row>
    <row r="7968">
      <c r="A7968" t="inlineStr">
        <is>
          <t>gz8yp6</t>
        </is>
      </c>
      <c r="B7968" t="inlineStr">
        <is>
          <t>It makes me anxious to think that I'll live with GERD for the rest of my life.</t>
        </is>
      </c>
      <c r="C7968" t="inlineStr">
        <is>
          <t>I've been suffering from GERD for almost 3 years now. I would go back to the hospital everytime the symptoms worsen but the doctors would just prescribe a different kind of PPI. When they had me scheduled for an endoscopy, I hoped that they would find something that would explain the symptoms but they didn't. Worst part is the non-stop belching after eating almost anything. GERD sucks.</t>
        </is>
      </c>
      <c r="D7968" t="n">
        <v>8</v>
      </c>
      <c r="E7968" t="n">
        <v>13</v>
      </c>
      <c r="F7968">
        <f>HYPERLINK("https://www.reddit.com/r/GERD/comments/gz8yp6/it_makes_me_anxious_to_think_that_ill_live_with/")</f>
        <v/>
      </c>
      <c r="G7968" t="inlineStr">
        <is>
          <t>2020-06-08 14:45:03</t>
        </is>
      </c>
      <c r="H7968" t="inlineStr"/>
    </row>
    <row r="7969">
      <c r="A7969" t="inlineStr">
        <is>
          <t>gz91g7</t>
        </is>
      </c>
      <c r="B7969" t="inlineStr">
        <is>
          <t>Esophagitis losing hope...</t>
        </is>
      </c>
      <c r="C7969" t="inlineStr">
        <is>
          <t>- It’s been two solid months of debilitating pain/searing burning/aching behind my sternum. Ear pain, shaking, anxiety, headaches, burping, awful.
- I’ve been on 3 different ppi’s that started to help then stopped helping. Twice a day didn’t even work.  
- Biopsy/endoscope showed esophagitis but not EoE or abnormalities. 
- How much longer will this hell last? Does anyone have any experience and made it through this? It hurts so much every single day. I am really losing it.  
thanks</t>
        </is>
      </c>
      <c r="D7969" t="n">
        <v>1</v>
      </c>
      <c r="E7969" t="n">
        <v>16</v>
      </c>
      <c r="F7969">
        <f>HYPERLINK("https://www.reddit.com/r/GERD/comments/gz91g7/esophagitis_losing_hope/")</f>
        <v/>
      </c>
      <c r="G7969" t="inlineStr">
        <is>
          <t>2020-06-08 14:48:43</t>
        </is>
      </c>
      <c r="H7969" t="inlineStr"/>
    </row>
    <row r="7970">
      <c r="A7970" t="inlineStr">
        <is>
          <t>gzcvti</t>
        </is>
      </c>
      <c r="B7970" t="inlineStr">
        <is>
          <t>Hiatial hernia?</t>
        </is>
      </c>
      <c r="C7970" t="inlineStr">
        <is>
          <t>27 F 125lbs 5'4 
I have had diagnosed GERD for a couple years and showing signs of BE (confirmed with scope). I have felt GERD at its worst and struggled with bouts of gastritis when it's real bad but this feels different...
I went camping with my boyfriend this weekend a d wasnt doing anything particularly strenuous, we were building a campfire so I was doing a lot of bending but not really any lifting or anything. We had gone on a 7 mile hike earlier that day but it was mostly flat and not very strenuous. I also hadn't eaten anything in a few hours and lunch was very GERD friendly (boiled shredded chicken wrap with mixed salad greens in a tortilla. No cheese, no dressing or condiments) I was bent over poking the file and I got a stabbing pain in my upper stomach under my ribs. Stood up and it kinda sorta went away so I didn't pay it much mind. Later in the evening it got much worse so I took some gaviscon tablets, didnt help, took my sucrulfate, didnt help and now this has been going on for 3 days. I doubled up on my pantroprosal last night to make sure I could sleep. 
It sometimes hurts when I eat, if I eat a lot but it REALLY hurts when I crunch, lay on my left side, or lift heavy things. Could it be a hernia? Haven't experienced quite this sensation and trigger combo before...
Edit: fast deep breaths also hurt (not slow ones) maybe a different diaphragm issue?</t>
        </is>
      </c>
      <c r="D7970" t="n">
        <v>1</v>
      </c>
      <c r="E7970" t="n">
        <v>17</v>
      </c>
      <c r="F7970">
        <f>HYPERLINK("https://www.reddit.com/r/GERD/comments/gzcvti/hiatial_hernia/")</f>
        <v/>
      </c>
      <c r="G7970" t="inlineStr">
        <is>
          <t>2020-06-08 18:18:18</t>
        </is>
      </c>
      <c r="H7970" t="inlineStr"/>
    </row>
    <row r="7971">
      <c r="A7971" t="inlineStr">
        <is>
          <t>gzevv7</t>
        </is>
      </c>
      <c r="B7971" t="inlineStr">
        <is>
          <t>Hello, I ate yesterday for the first time in a bit.</t>
        </is>
      </c>
      <c r="C7971" t="inlineStr">
        <is>
          <t>I had a trouble eating because of all of this change and pain. Good news is I ate food, because my doctor hounded me until I did it. 
Now my issues have shifted slightly. For example, It feels like I have a mucus wall at the bottom of my throat and it makes me feel sick every-time I eat. I slept tonight and when I woke up nearly burp vomited. I get shaky pretty quickly, mum thinks that’s low blood sugar and she could totally be right.
I didn’t feel well not eating but I feel more unwell eating. I ate peas in the morning, felt full quick. I then had to eat because I was shaking, I had 2 glasses of milk and a rivita thin. Then for dinner I had sweet potatoes. I was full and it was horrible. 6 hours I go to sleep and it was 3 hours of hell.
I hate this and I just want it to end like right now.</t>
        </is>
      </c>
      <c r="D7971" t="n">
        <v>1</v>
      </c>
      <c r="E7971" t="n">
        <v>11</v>
      </c>
      <c r="F7971">
        <f>HYPERLINK("https://www.reddit.com/r/GERD/comments/gzevv7/hello_i_ate_yesterday_for_the_first_time_in_a_bit/")</f>
        <v/>
      </c>
      <c r="G7971" t="inlineStr">
        <is>
          <t>2020-06-08 20:21:29</t>
        </is>
      </c>
      <c r="H7971" t="inlineStr"/>
    </row>
    <row r="7972">
      <c r="A7972" t="inlineStr">
        <is>
          <t>gzfrxf</t>
        </is>
      </c>
      <c r="B7972" t="inlineStr">
        <is>
          <t>Bad breath and taste in mouth?</t>
        </is>
      </c>
      <c r="C7972" t="inlineStr">
        <is>
          <t>Does anyone else here experience this?  I used to think I have a hygiene issue with my mouth but I realize my mouth is always clean, my dentist confirms, and it must be coming from my stomach and this issue. I think the smell is coming from my stomach.  I've cut out foods that are supposedly triggering, like tomato and their products, spicy food, citrus, chocolate, caffeine.  I still dont feel that much of a difference with my breath.  Also depending on what I eat it's worse because it lingers in an odd way. For example,  when people eat onions they just brush their teeth or chew gum and eventually itll go away. But for me if I eat even a sliver of onion at 10am,  my breath smells and mouth tastes like onion the entire day until I go to sleep that night.</t>
        </is>
      </c>
      <c r="D7972" t="n">
        <v>3</v>
      </c>
      <c r="E7972" t="n">
        <v>10</v>
      </c>
      <c r="F7972">
        <f>HYPERLINK("https://www.reddit.com/r/GERD/comments/gzfrxf/bad_breath_and_taste_in_mouth/")</f>
        <v/>
      </c>
      <c r="G7972" t="inlineStr">
        <is>
          <t>2020-06-08 21:19:52</t>
        </is>
      </c>
      <c r="H7972" t="inlineStr"/>
    </row>
    <row r="7973">
      <c r="A7973" t="inlineStr">
        <is>
          <t>gzg4ce</t>
        </is>
      </c>
      <c r="B7973" t="inlineStr">
        <is>
          <t>Can not drinking enough cause really bad GERD</t>
        </is>
      </c>
      <c r="C7973" t="inlineStr">
        <is>
          <t>So I’ve been taking my tablet to prevent GERD, eating good etc, but the only think I can think off which is worse then normal is my water intake? Can this have an effect. Last night I was in so much pain I was burning at my throat and producing a lot of water brash so just want to know what to do! Also my stomach has been cramping all day</t>
        </is>
      </c>
      <c r="D7973" t="n">
        <v>5</v>
      </c>
      <c r="E7973" t="n">
        <v>5</v>
      </c>
      <c r="F7973">
        <f>HYPERLINK("https://www.reddit.com/r/GERD/comments/gzg4ce/can_not_drinking_enough_cause_really_bad_gerd/")</f>
        <v/>
      </c>
      <c r="G7973" t="inlineStr">
        <is>
          <t>2020-06-08 21:43:41</t>
        </is>
      </c>
      <c r="H7973" t="inlineStr"/>
    </row>
    <row r="7974">
      <c r="A7974" t="inlineStr">
        <is>
          <t>gzgevi</t>
        </is>
      </c>
      <c r="B7974" t="inlineStr">
        <is>
          <t>Migraines? Please read. Desperate</t>
        </is>
      </c>
      <c r="C7974" t="inlineStr">
        <is>
          <t>Just wanting to see if anyone else has anything close to this
Around may of last year started getting random sharp chest pains, then turned into pressure in chest etc. Saw cardiologist (echo and stress test negative).... And then saw GI Dr. Did an endoscopy and he said mild acid reflux, prescribed me omeprazole which I've been on and off of now since then. 
About two months later in June I develop (during a stressful period in my life... Buying a house) a weird acute head pressure and like light headedness (about 1-2 hours after I ate some sandwiches before rushing off to work).
The sensation was scary, thought I was having a stroke. Had every test under the sun and every thing has been negative. I was diagnosed with vestibular migraine (a special type of migraine... But migraines are diagnosis of exclusion basically). 
So I have my symptoms daily, but they include jaw popping, ear aching/fullness, ringing in ears, and occasionally tingles and aches in head that sometimes seem to go into my arms and legs. I've seen three neurologists.. And they all say migraine (I've had mris, CT scans of head neck etc). 
Now from what I've read on here.. Some people have jaw popping and ear symptoms. 
I also seem very prone to motion sickness now. 
I know my typical acid reflux pains (sharp jolts in my chest, usually if I am hunched over or bending over)... But do these sound acid reflux related? Anyone have similar issues? 
I see my gì đr tomorrow and im going to ask</t>
        </is>
      </c>
      <c r="D7974" t="n">
        <v>7</v>
      </c>
      <c r="E7974" t="n">
        <v>9</v>
      </c>
      <c r="F7974">
        <f>HYPERLINK("https://www.reddit.com/r/GERD/comments/gzgevi/migraines_please_read_desperate/")</f>
        <v/>
      </c>
      <c r="G7974" t="inlineStr">
        <is>
          <t>2020-06-08 22:04:35</t>
        </is>
      </c>
      <c r="H7974" t="inlineStr"/>
    </row>
    <row r="7975">
      <c r="A7975" t="inlineStr">
        <is>
          <t>gzgkhj</t>
        </is>
      </c>
      <c r="B7975" t="inlineStr">
        <is>
          <t>Possibly getting an Endoscopy - need advice</t>
        </is>
      </c>
      <c r="C7975" t="inlineStr">
        <is>
          <t>So I’ve been diagnosed with GERD for quite a few years now (since early teens) and after 2 rounds of omeprazole I’m still having problems. My PCP ordered two things for me: to have an ultrasound (checking gallbladder and liver; possible fat intolerance) and to see a GI doc to maybe get an endoscopy (tube down throat). I’ve had an ENT do a nasal endoscopy (diff issue), and that kinda sucked. 
But I’m really, really scared for them to stick a tube down my throat. For a little background I have OCD, GAD, a panic disorder, and a horrible gag reflex. I’ve been scarred in the past by strep testing and dental X-rays because people trying to stick stuff down my throat is really terrible and has become a huge trigger of mine. I won’t even let my doctor use the popsicle stick on my tongue to look into my throat. When I get sore throats I have full on panic attacks because I’m afraid they’ll strep test me again. 
Anyone else experience this? What’s the endoscopy like? Do they numb? General anesthetic? Can they put you completely under for it? Or if I tell them about my anxiety could they prescribe me a med for the procedure (docs in last have given me a dose of Valium before procedures because of anxiety)? Any advice would help, thanks.</t>
        </is>
      </c>
      <c r="D7975" t="n">
        <v>2</v>
      </c>
      <c r="E7975" t="n">
        <v>13</v>
      </c>
      <c r="F7975">
        <f>HYPERLINK("https://www.reddit.com/r/GERD/comments/gzgkhj/possibly_getting_an_endoscopy_need_advice/")</f>
        <v/>
      </c>
      <c r="G7975" t="inlineStr">
        <is>
          <t>2020-06-08 22:15:31</t>
        </is>
      </c>
      <c r="H7975" t="inlineStr"/>
    </row>
    <row r="7976">
      <c r="A7976" t="inlineStr">
        <is>
          <t>gzh6t3</t>
        </is>
      </c>
      <c r="B7976" t="inlineStr">
        <is>
          <t>Any reliable way to get rid of globus pharyngeus?</t>
        </is>
      </c>
      <c r="C7976" t="inlineStr">
        <is>
          <t>I have a really hard time sticking to the diet, since it is so incredibly restrictive. But right now, my main symptom is feeling like throat is hella tight. Is there anyway you guys have found to alleviate this?</t>
        </is>
      </c>
      <c r="D7976" t="n">
        <v>5</v>
      </c>
      <c r="E7976" t="n">
        <v>8</v>
      </c>
      <c r="F7976">
        <f>HYPERLINK("https://www.reddit.com/r/GERD/comments/gzh6t3/any_reliable_way_to_get_rid_of_globus_pharyngeus/")</f>
        <v/>
      </c>
      <c r="G7976" t="inlineStr">
        <is>
          <t>2020-06-08 23:01:28</t>
        </is>
      </c>
      <c r="H7976" t="inlineStr"/>
    </row>
    <row r="7977">
      <c r="A7977" t="inlineStr">
        <is>
          <t>gzhhhh</t>
        </is>
      </c>
      <c r="B7977" t="inlineStr">
        <is>
          <t>Is it possible to have GERD, LPR, and Gastritis all at the same time?</t>
        </is>
      </c>
      <c r="C7977" t="inlineStr">
        <is>
          <t>Hi everyone,
This post is me asking for my mother (48), who has been struggling with acid reflux symptoms since early March. She has always had some minor indigestion problems ever since a young age, but began to experience heartburn and tightness of the throat a couple months ago. According to her, it all started when she had a long lasting sore throat, that turned into post nasal drip, and eventually reflux and heartburn. 
Not long after experiencing the initial heart burn, the burning and overall tightness of her esophagus became so severe that she went to the ER in hopes of some relief. They did some blood tests, which came back pretty normal and ruled out the possibility of H.Pyloric. During this time, her family doctor had prescribed her pantoprazole 40mg( for 3 weeks which did not alleviate any symptoms at all) and then Dexilant (for 4 weeks)  afterwards. Dexilant helped relieve most of the constant throat and esophageal tightness, but still made her entire chest and throat burn. After being in contact with a GI doctor, they said she probably just has acid reflux and dysphasia, and prescribed her another PPI saying that it would be too early to perform and endoscopy as she’s only been experiencing these symptoms for 3-4 months (thought it has been pretty severe and very Constant!) 
Currently she has been put on nexium for 60 days, and is on her second week of taking it. She is still experiencing burning sensations (especially in the throat) and occasional discomfort in the abdomen after eating. Sorry for all the writing, but after doing some research on GERD and acid reflux, it occurs to me that all her symptoms combined together sounds like GERD, LPR, and Gastritis! I am by no means a medical professional, but I just wanted some input from you guys who have possibly experienced these ongoing symptoms. 
Hope you all are doing well during this time and thanks for reading!</t>
        </is>
      </c>
      <c r="D7977" t="n">
        <v>4</v>
      </c>
      <c r="E7977" t="n">
        <v>4</v>
      </c>
      <c r="F7977">
        <f>HYPERLINK("https://www.reddit.com/r/GERD/comments/gzhhhh/is_it_possible_to_have_gerd_lpr_and_gastritis_all/")</f>
        <v/>
      </c>
      <c r="G7977" t="inlineStr">
        <is>
          <t>2020-06-08 23:24:27</t>
        </is>
      </c>
      <c r="H7977" t="inlineStr"/>
    </row>
    <row r="7978">
      <c r="A7978" t="inlineStr">
        <is>
          <t>gzk9is</t>
        </is>
      </c>
      <c r="B7978" t="inlineStr">
        <is>
          <t>Does it ever feel like all the acid is rushing to the back of your head?</t>
        </is>
      </c>
      <c r="C7978" t="inlineStr">
        <is>
          <t>I've woken up several times in the last week heart-racing and felt a lot of neck pain and pressure to the back of head.  I forget I have GERD because that's mostly my issue at night time and not my stomach. Was wondering if anyone else has experienced this.</t>
        </is>
      </c>
      <c r="D7978" t="n">
        <v>7</v>
      </c>
      <c r="E7978" t="n">
        <v>4</v>
      </c>
      <c r="F7978">
        <f>HYPERLINK("https://www.reddit.com/r/GERD/comments/gzk9is/does_it_ever_feel_like_all_the_acid_is_rushing_to/")</f>
        <v/>
      </c>
      <c r="G7978" t="inlineStr">
        <is>
          <t>2020-06-09 03:10:20</t>
        </is>
      </c>
      <c r="H7978" t="inlineStr"/>
    </row>
    <row r="7979">
      <c r="A7979" t="inlineStr">
        <is>
          <t>gzlxdu</t>
        </is>
      </c>
      <c r="B7979" t="inlineStr">
        <is>
          <t>TIF verses LINX</t>
        </is>
      </c>
      <c r="C7979" t="inlineStr">
        <is>
          <t>Need advice- I was diagnosed with GERD in my 30’s. I have been on Nexium and other drugs to help for years. I am now 59 and have osteoporosis which is a side effect of PPI. I recently started having pain in my throat and went to see an ENT. I have scarring in my throat and the ENT put me on two pills of Nexium each day for 2 months and watching my diet ever so closely. I have seen several of your posts and wonder about other options. Could someone explain TIF and I have recently read about the LINX surgery and thought that was interesting. Do you have to ever replace the LINX? I’m upset that my GERD caused my osteoporosis. There was to be other ways besides taking these pills we can help ourselves. Thanks for your advice!</t>
        </is>
      </c>
      <c r="D7979" t="n">
        <v>3</v>
      </c>
      <c r="E7979" t="n">
        <v>13</v>
      </c>
      <c r="F7979">
        <f>HYPERLINK("https://www.reddit.com/r/GERD/comments/gzlxdu/tif_verses_linx/")</f>
        <v/>
      </c>
      <c r="G7979" t="inlineStr">
        <is>
          <t>2020-06-09 05:11:53</t>
        </is>
      </c>
      <c r="H7979" t="inlineStr"/>
    </row>
    <row r="7980">
      <c r="A7980" t="inlineStr">
        <is>
          <t>gzmeb9</t>
        </is>
      </c>
      <c r="B7980" t="inlineStr">
        <is>
          <t>Post Nasal drip &amp;amp; GERD - please give your advice</t>
        </is>
      </c>
      <c r="C7980" t="inlineStr">
        <is>
          <t>Dear all,
After about 2,5 years of suffering I have finally eradicated H.Pylori (tested negative twice after eradication) and went down from 80 mg Pantoprozole per day to none at all. I have been taking no PPI's or equivalents (although I do take those calcium tabs) since 6 weeks.
Since one week I've got horrible Post Nasal Drip. I have had this year, about a year ago, but I remember that the nasal spray my Dr. gave me only seemed to make the heartburn worse. What is your experience regarding this matter? Could saline sprays and neti pots help, or would they only make things worse?</t>
        </is>
      </c>
      <c r="D7980" t="n">
        <v>2</v>
      </c>
      <c r="E7980" t="n">
        <v>2</v>
      </c>
      <c r="F7980">
        <f>HYPERLINK("https://www.reddit.com/r/GERD/comments/gzmeb9/post_nasal_drip_gerd_please_give_your_advice/")</f>
        <v/>
      </c>
      <c r="G7980" t="inlineStr">
        <is>
          <t>2020-06-09 05:42:58</t>
        </is>
      </c>
      <c r="H7980" t="inlineStr"/>
    </row>
    <row r="7981">
      <c r="A7981" t="inlineStr">
        <is>
          <t>gzmebl</t>
        </is>
      </c>
      <c r="B7981" t="inlineStr">
        <is>
          <t>Everything I eat gives me GERD?</t>
        </is>
      </c>
      <c r="C7981" t="inlineStr">
        <is>
          <t>I’m just frustrated with this constant burning feeling in my chest area after I eat. It seems no matter what I eat whether it be super healthy foods or fatty foods I get the burning. 
Does anyone else have this problem and what helped them fix this?</t>
        </is>
      </c>
      <c r="D7981" t="n">
        <v>3</v>
      </c>
      <c r="E7981" t="n">
        <v>8</v>
      </c>
      <c r="F7981">
        <f>HYPERLINK("https://www.reddit.com/r/GERD/comments/gzmebl/everything_i_eat_gives_me_gerd/")</f>
        <v/>
      </c>
      <c r="G7981" t="inlineStr">
        <is>
          <t>2020-06-09 05:42:59</t>
        </is>
      </c>
      <c r="H7981" t="inlineStr"/>
    </row>
    <row r="7982">
      <c r="A7982" t="inlineStr">
        <is>
          <t>gzmgri</t>
        </is>
      </c>
      <c r="B7982" t="inlineStr">
        <is>
          <t>PPI stopped working and Im scared!</t>
        </is>
      </c>
      <c r="C7982" t="inlineStr">
        <is>
          <t>(been having extreme GERD for 8 months) I started taking PPI over a month ago. Many times it felt like it wasnt enough, but increasing the dosage from daily one 20mgs would make me extremely sick. So I couldnt do that. I tried to stay patient and for a while it really started to make me feel almost normal. But then, from day to the other I felt really sick again. This started almost a week ago, and since that, I feel really bad again. Before I started PPI I was at my lowest, extreme nausea, unable to sleep more than an hour because the acid came back. I was also unable to eat. I felt horrible and scared. But the ppi immediately solved the nightly acid problem, and in general I could feel the improvement. But now, since the last week, I feel it all coming back. When I swallow, I can feel it getting stuck in the top of my throat again, I feel nauseaus, and for the first time, acid started to hurt my throat as well. Tonight was the scariest. I woke up, and felt like I was about to vomit, and everytime I took a breath, I felt this huge strong urge again. I feel like the PPI is not really working anymore, or not as much. But I cant increase it. And my appointment to the doctor is going to be a week later, so meanwhile Im stuck like this and I have no idea what to do. . Should I take h2 blockers too? Or instead of the PPI. I feel like I have already tried eveything, and there is nothing else to do, and it's just gonna get worse.. I will ask my doc about surgery, but I dont think docs really do it in my country. Im so scared that nothing is gonna help me and im out of options :(( im so scared of waking up like this again..</t>
        </is>
      </c>
      <c r="D7982" t="n">
        <v>3</v>
      </c>
      <c r="E7982" t="n">
        <v>8</v>
      </c>
      <c r="F7982">
        <f>HYPERLINK("https://www.reddit.com/r/GERD/comments/gzmgri/ppi_stopped_working_and_im_scared/")</f>
        <v/>
      </c>
      <c r="G7982" t="inlineStr">
        <is>
          <t>2020-06-09 05:47:18</t>
        </is>
      </c>
      <c r="H7982" t="inlineStr"/>
    </row>
    <row r="7983">
      <c r="A7983" t="inlineStr">
        <is>
          <t>gzn0z6</t>
        </is>
      </c>
      <c r="B7983" t="inlineStr">
        <is>
          <t>Confessions of poop...</t>
        </is>
      </c>
      <c r="C7983" t="inlineStr">
        <is>
          <t>How long after stopping the use of PPI’s did your poop go back to normal? 
What was your poop like while using PPI’s?
This is a total TMI post lol
Thanks guys just trying to See when I might see a normal pop again 😂</t>
        </is>
      </c>
      <c r="D7983" t="n">
        <v>2</v>
      </c>
      <c r="E7983" t="n">
        <v>14</v>
      </c>
      <c r="F7983">
        <f>HYPERLINK("https://www.reddit.com/r/GERD/comments/gzn0z6/confessions_of_poop/")</f>
        <v/>
      </c>
      <c r="G7983" t="inlineStr">
        <is>
          <t>2020-06-09 06:21:32</t>
        </is>
      </c>
      <c r="H7983" t="inlineStr"/>
    </row>
    <row r="7984">
      <c r="A7984" t="inlineStr">
        <is>
          <t>gzq12k</t>
        </is>
      </c>
      <c r="B7984" t="inlineStr">
        <is>
          <t>New to all this</t>
        </is>
      </c>
      <c r="C7984" t="inlineStr">
        <is>
          <t>After some support from this community to put my mind at rest.
I’m a 37 year old Male, For the past week I’ve had a very strange pain that flashes across my shoulder blades when eating food or drinking fluids, I just put this down to an injury I got from work and carried on. Is this kind of pain normal with GERD?
This situation changed over the weekend I was having difficulties swallowing food. Due to covid I had a telephone conversation with my GP yesterday and I’ve been subscribed Omeprazole 20mg. I have also decided to undertake a strict lifestyle change (no alcohol, clean eating) I have put on nearly 3 stone since UK lockdown, this is due to drinking beer and wine every night, high fat foods etc.
The reason I’m concerned is 7 years ago I lost my father to oesophagus cancer after his symptoms we’re diagnosed incorrectly.
So what I’m asking is that are my current symptoms are 1) pain accorss shoulder blade (seems worse after eating) 2)the slight feeling of food getting stuck on the way down.
Does this sound like GERD?
Any advice would be greatly appreciated, thank you.</t>
        </is>
      </c>
      <c r="D7984" t="n">
        <v>3</v>
      </c>
      <c r="E7984" t="n">
        <v>2</v>
      </c>
      <c r="F7984">
        <f>HYPERLINK("https://www.reddit.com/r/GERD/comments/gzq12k/new_to_all_this/")</f>
        <v/>
      </c>
      <c r="G7984" t="inlineStr">
        <is>
          <t>2020-06-09 09:05:18</t>
        </is>
      </c>
      <c r="H7984" t="inlineStr"/>
    </row>
    <row r="7985">
      <c r="A7985" t="inlineStr">
        <is>
          <t>gzqjp9</t>
        </is>
      </c>
      <c r="B7985" t="inlineStr">
        <is>
          <t>Manometry Question</t>
        </is>
      </c>
      <c r="C7985" t="inlineStr">
        <is>
          <t>So I had my manometry scheduled for today... and I couldn't do it. The doctor tried to get the catheter down three times, and each time my entire body was shaking, I was uncontrollably gagging, and the catheter barely made it down my esophagus. It was actually more so the doctor's suggestion that we stop, because she could see how anxious and uncomfortable I was.
My question is... is there any anti-anxiety or pain relievers your doctors gave you before the exam? My doctor just gave me some kind of nasal spray and a numbing gel that she applied to the catheter. 
Also, is there another test that gives you similar results to a manometry?
If getting a manometry is absolutely what I must get, I will try to get the test done again, but it was seriously one of the most painful things I've ever had to endure, and the catheter didn't even go down far.</t>
        </is>
      </c>
      <c r="D7985" t="n">
        <v>3</v>
      </c>
      <c r="E7985" t="n">
        <v>4</v>
      </c>
      <c r="F7985">
        <f>HYPERLINK("https://www.reddit.com/r/GERD/comments/gzqjp9/manometry_question/")</f>
        <v/>
      </c>
      <c r="G7985" t="inlineStr">
        <is>
          <t>2020-06-09 09:31:05</t>
        </is>
      </c>
      <c r="H7985" t="inlineStr"/>
    </row>
    <row r="7986">
      <c r="A7986" t="inlineStr">
        <is>
          <t>gzr8tv</t>
        </is>
      </c>
      <c r="B7986" t="inlineStr">
        <is>
          <t>Bad GERD? Try Gaviscon Advance.</t>
        </is>
      </c>
      <c r="C7986" t="inlineStr">
        <is>
          <t>This helps me so much when I have bad GERD symptoms, including heartburn, upset stomach, trouble breathing, constant throat clearing, etc. I live in the USA and buy it from Amazon.
Alginate-based reflux suppressants can prevent the regurgitation of gastric contents. Gaviscon Advance is a product available in Europe only (www.gaviscon.co.uk). It contains 1000mg of sodium alginate/10ml. Alginate is a natural product deived from seaweed. The alginate reacts with the acid in the stomach to produce a “raft” on the stomach that acts as a physical barrier to reflux. It is the only non-surgical treatment that can physically prevent reflux disease. Alginates work rapidly, are long lasting, inexpensive, and have no known side-effects. Gaviscon in the USA is made by a different company. Although all gaviscon products in the US have alginate in them, it is in a much lower dose and is considered an inactive ingredient. It does not appear to be as effective as the UK product.
https://pubmed.ncbi.nlm.nih.gov/15644042/</t>
        </is>
      </c>
      <c r="D7986" t="n">
        <v>9</v>
      </c>
      <c r="E7986" t="n">
        <v>25</v>
      </c>
      <c r="F7986">
        <f>HYPERLINK("https://www.reddit.com/r/GERD/comments/gzr8tv/bad_gerd_try_gaviscon_advance/")</f>
        <v/>
      </c>
      <c r="G7986" t="inlineStr">
        <is>
          <t>2020-06-09 10:06:05</t>
        </is>
      </c>
      <c r="H7986" t="inlineStr"/>
    </row>
    <row r="7987">
      <c r="A7987" t="inlineStr">
        <is>
          <t>gzso8b</t>
        </is>
      </c>
      <c r="B7987" t="inlineStr">
        <is>
          <t>Shoulder blade pain?</t>
        </is>
      </c>
      <c r="C7987" t="inlineStr">
        <is>
          <t>Just switched from Pepcid to pantoprazole, and have been experiencing some shoulder blade pain. Yesterday it was in the right blade today the left. Anyone ever felt this before?</t>
        </is>
      </c>
      <c r="D7987" t="n">
        <v>6</v>
      </c>
      <c r="E7987" t="n">
        <v>2</v>
      </c>
      <c r="F7987">
        <f>HYPERLINK("https://www.reddit.com/r/GERD/comments/gzso8b/shoulder_blade_pain/")</f>
        <v/>
      </c>
      <c r="G7987" t="inlineStr">
        <is>
          <t>2020-06-09 11:16:43</t>
        </is>
      </c>
      <c r="H7987" t="inlineStr"/>
    </row>
    <row r="7988">
      <c r="A7988" t="inlineStr">
        <is>
          <t>gzt3lw</t>
        </is>
      </c>
      <c r="B7988" t="inlineStr">
        <is>
          <t>Can anyone tell me if it's gerd or not?</t>
        </is>
      </c>
      <c r="C7988" t="inlineStr">
        <is>
          <t>So previously I used to feel like something was stuck in my throat just for a while... like around few minutes and it would be gone... I also had heart burn. But from the last 2 months this feeling of something being stuck in my throat has not gone away even for a single second. I get burps as well and acid reflux too. I also had tonsils and took antibiotics for it and thought the lump feeling would go away but it  has not and I'm getting super anxious about it since because of lockdown I've not been able to think about anything else but this. Please help.</t>
        </is>
      </c>
      <c r="D7988" t="n">
        <v>3</v>
      </c>
      <c r="E7988" t="n">
        <v>6</v>
      </c>
      <c r="F7988">
        <f>HYPERLINK("https://www.reddit.com/r/GERD/comments/gzt3lw/can_anyone_tell_me_if_its_gerd_or_not/")</f>
        <v/>
      </c>
      <c r="G7988" t="inlineStr">
        <is>
          <t>2020-06-09 11:37:45</t>
        </is>
      </c>
      <c r="H7988" t="inlineStr"/>
    </row>
    <row r="7989">
      <c r="A7989" t="inlineStr">
        <is>
          <t>gzt5vi</t>
        </is>
      </c>
      <c r="B7989" t="inlineStr">
        <is>
          <t>Major issues</t>
        </is>
      </c>
      <c r="C7989" t="inlineStr">
        <is>
          <t>Major stomach issues the last couple months
Hi everyone. 
Ever since getting a flu like sickness a few months ago, I’ve been having some odd symptoms.  
After getting sick with a flu like illness back in January, I had a few weeks of vertigo.  Like the room felt like it was spinning.  (Eventually that feeling went away).  
Now I have thick white mucus whenever I blow my nose after a shower, and only after the shower.  It’s rubbery and dries really quick.  No mucus at any other point.  
I’ve also been getting some bad head pressure, like squeezing sensation and it’s at random times.  Feels like my head is a balloon.  Or like an orange being squeezed to the fullest.  
My ears crack constantly, and my face tightens up at random parts of the day (no hearing loss)
I also have internal dizziness if I move too fast and feel like I’m on a rocking boat.
This has led to some nerve issues, burning sensations especially out of my hands.
And currently, it has led to some major GI issues (bloating, indigestion).  Which is the worst feeling.  Some days I can eat whatever I want.  But then, out of nowhere I’m unable to eat or digest the smallest bites of food.  Like yesterday, I took 2-3 bites out of some chicken and rice and instantly my stomach felt bloated.  Drinking water didn’t help either.  If anything, it left me more nauseous.  
All these symptoms came on so suddenly.  I’m sure some of it is amplified by stress and anxiety.
Can it be psychosomatic? 
I have no cough nor any type of fever.
This is really messing with my psyche cause I look fine from the outside but inside I’m suffering...
The stomach issues I developed last but it’s the one that’s bothering me the most as of now.  
Any thoughts? 
5’7 
Male
28 yrs old</t>
        </is>
      </c>
      <c r="D7989" t="n">
        <v>6</v>
      </c>
      <c r="E7989" t="n">
        <v>11</v>
      </c>
      <c r="F7989">
        <f>HYPERLINK("https://www.reddit.com/r/GERD/comments/gzt5vi/major_issues/")</f>
        <v/>
      </c>
      <c r="G7989" t="inlineStr">
        <is>
          <t>2020-06-09 11:40:56</t>
        </is>
      </c>
      <c r="H7989" t="inlineStr"/>
    </row>
    <row r="7990">
      <c r="A7990" t="inlineStr">
        <is>
          <t>gzulgy</t>
        </is>
      </c>
      <c r="B7990" t="inlineStr">
        <is>
          <t>Does this surgeon make sense?</t>
        </is>
      </c>
      <c r="C7990" t="inlineStr">
        <is>
          <t>Finally saw a surgeon today hoping to talk about surgical options like LINX, TIF, Nissen, etc, but after giving them a detailed rundown of my history, his first move was to prescribe alongside my current PPI, Metoclopramide &amp;amp; Cholestyramine. This was his rationale: on the last endoscopy (done by my normal GI doc) he found the notes indicated inflammation in the lower stomach. He explained that this is most likely caused by bile being backed up &amp;amp; not emptying normally, which is causing my bloating, nausea, regurgitation, etc. 
He said he chooses to try this “cocktail” first so that if in fact it is not the primary issue, when he does his own endoscopy later, he knows that gastroparesis &amp;amp; bile backup cannot be the cause of any inflammation &amp;amp; that then we know the LES is most likely the issue. Basically trying to eliminate gastroparesis as a possible culprit, so that if I do have LES issues, we know its the main cause. 
I was a little worried about A) taking the Metoclopramide because I know they can cause the serious side effect of a movement disorder (which scary enough, can be permanent) &amp;amp; B) why he wasnt doing a barium swallow, EGD + Bravo study, manometry, etc. 
He instructed me to get a few Benadryl tablets while at the drug store just in case I have any side effects from the Metoclopramide, but assured me that the chances of serious side effects are very very low like &amp;lt;1%. 
Idk. I was so hopeful about a surgery to fix my issues once &amp;amp; for all, but now Im left fearing I could have gastroparesis, which I know is not very treatable, and with the paranoia of taking Metoclopramide causing serious problems. 
Feeling down.</t>
        </is>
      </c>
      <c r="D7990" t="n">
        <v>3</v>
      </c>
      <c r="E7990" t="n">
        <v>11</v>
      </c>
      <c r="F7990">
        <f>HYPERLINK("https://www.reddit.com/r/GERD/comments/gzulgy/does_this_surgeon_make_sense/")</f>
        <v/>
      </c>
      <c r="G7990" t="inlineStr">
        <is>
          <t>2020-06-09 12:51:08</t>
        </is>
      </c>
      <c r="H7990" t="inlineStr"/>
    </row>
    <row r="7991">
      <c r="A7991" t="inlineStr">
        <is>
          <t>gzvist</t>
        </is>
      </c>
      <c r="B7991" t="inlineStr">
        <is>
          <t>Shortness of breath and excessive gas?</t>
        </is>
      </c>
      <c r="C7991" t="inlineStr">
        <is>
          <t>So I have had GERD like symptoms for a while now. I have always had the lump in my throat feeling and heartburn/acid reflux but only recently has my symptoms really became un bearable. I started Pepcid and that helped with the heart burn but now I have bad gas that I need to relieve with belching. And it’s very unusual and excessive not normal. I just started Prilosec in the am and Pepcid in the afternoon to see if that cures it. Anyone else that can relate to something like that?</t>
        </is>
      </c>
      <c r="D7991" t="n">
        <v>23</v>
      </c>
      <c r="E7991" t="n">
        <v>6</v>
      </c>
      <c r="F7991">
        <f>HYPERLINK("https://www.reddit.com/r/GERD/comments/gzvist/shortness_of_breath_and_excessive_gas/")</f>
        <v/>
      </c>
      <c r="G7991" t="inlineStr">
        <is>
          <t>2020-06-09 13:33:50</t>
        </is>
      </c>
      <c r="H7991" t="inlineStr"/>
    </row>
    <row r="7992">
      <c r="A7992" t="inlineStr">
        <is>
          <t>gzvmgd</t>
        </is>
      </c>
      <c r="B7992" t="inlineStr">
        <is>
          <t>Gerd under ear</t>
        </is>
      </c>
      <c r="C7992" t="inlineStr">
        <is>
          <t>I have Gerd under my ear.  It happens right after I eat.  Very painful.  Anybody else have this?</t>
        </is>
      </c>
      <c r="D7992" t="n">
        <v>2</v>
      </c>
      <c r="E7992" t="n">
        <v>7</v>
      </c>
      <c r="F7992">
        <f>HYPERLINK("https://www.reddit.com/r/GERD/comments/gzvmgd/gerd_under_ear/")</f>
        <v/>
      </c>
      <c r="G7992" t="inlineStr">
        <is>
          <t>2020-06-09 13:38:36</t>
        </is>
      </c>
      <c r="H7992" t="inlineStr"/>
    </row>
    <row r="7993">
      <c r="A7993" t="inlineStr">
        <is>
          <t>gzwhet</t>
        </is>
      </c>
      <c r="B7993" t="inlineStr">
        <is>
          <t>Only one side of throat?</t>
        </is>
      </c>
      <c r="C7993" t="inlineStr">
        <is>
          <t>This might sound really stupid but is it possible to have only side of the throat be dry? My left side feels dry. When I burp or drink or have that cooling sensation, I can only feel it on my right side of the throat. For a bit I had a sensation of something being stuck in my throat. I was also having anxiety and panic attack throughout the day so that might be a factor too</t>
        </is>
      </c>
      <c r="D7993" t="n">
        <v>2</v>
      </c>
      <c r="E7993" t="n">
        <v>1</v>
      </c>
      <c r="F7993">
        <f>HYPERLINK("https://www.reddit.com/r/GERD/comments/gzwhet/only_one_side_of_throat/")</f>
        <v/>
      </c>
      <c r="G7993" t="inlineStr">
        <is>
          <t>2020-06-09 14:19:33</t>
        </is>
      </c>
      <c r="H7993" t="inlineStr"/>
    </row>
    <row r="7994">
      <c r="A7994" t="inlineStr">
        <is>
          <t>gzx1x6</t>
        </is>
      </c>
      <c r="B7994" t="inlineStr">
        <is>
          <t>First time dealing with Acid Reflux</t>
        </is>
      </c>
      <c r="C7994" t="inlineStr">
        <is>
          <t>Hi everyone, so about 8 days ago I got really drunk and was super stressed out and anxious. The next day and up until now, I've had a terrible burning in my throat as well as no appetite, stomach gurgling, and diarrhea. Is this something that will eventually go away on its own? I didn't expect it to last this long. It's my first real experience with this stuff. Thanks</t>
        </is>
      </c>
      <c r="D7994" t="n">
        <v>1</v>
      </c>
      <c r="E7994" t="n">
        <v>1</v>
      </c>
      <c r="F7994">
        <f>HYPERLINK("https://www.reddit.com/r/GERD/comments/gzx1x6/first_time_dealing_with_acid_reflux/")</f>
        <v/>
      </c>
      <c r="G7994" t="inlineStr">
        <is>
          <t>2020-06-09 14:47:18</t>
        </is>
      </c>
      <c r="H7994" t="inlineStr"/>
    </row>
    <row r="7995">
      <c r="A7995" t="inlineStr">
        <is>
          <t>gzxb9p</t>
        </is>
      </c>
      <c r="B7995" t="inlineStr">
        <is>
          <t>Wondering about timings for taking Gaviscon for bedtime</t>
        </is>
      </c>
      <c r="C7995" t="inlineStr">
        <is>
          <t>Hi there!  
I am just starting to take Gaviscon at bedtime because an ENT consultant says I may be having silent reflux or something like that, contributing to some ear issues. I'm not sure I have any symptoms really, but figure it won't hurt to try it for a while and see if it helps.   
My issue is that I have some other medications I need to take in the evening, and they make me very sleepy. But then the Gaviscon says to not take it within 2 hours of other medication, so I have to stay up for 2 hours so that I can take the Gaviscon. It is really really hard to stay up 2 hours after taking my medications though (I have to take them in the evening, non optional).  
Any suggestions of what to do? Can I take Gaviscon 2 hours before the other pills and it will still work overnight?   
I can go to bed straight after taking the other pills, I'm just not sure how long the Gaviscon will last.   
I cannot take any of the minty Gaviscon due to allergy, only berries stuff. Got a lot of chewable ones now.</t>
        </is>
      </c>
      <c r="D7995" t="n">
        <v>3</v>
      </c>
      <c r="E7995" t="n">
        <v>2</v>
      </c>
      <c r="F7995">
        <f>HYPERLINK("https://www.reddit.com/r/GERD/comments/gzxb9p/wondering_about_timings_for_taking_gaviscon_for/")</f>
        <v/>
      </c>
      <c r="G7995" t="inlineStr">
        <is>
          <t>2020-06-09 15:00:07</t>
        </is>
      </c>
      <c r="H7995" t="inlineStr"/>
    </row>
    <row r="7996">
      <c r="A7996" t="inlineStr">
        <is>
          <t>gzxzle</t>
        </is>
      </c>
      <c r="B7996" t="inlineStr">
        <is>
          <t>Arizona Green Tea w/Ginseng &amp;amp; Honey</t>
        </is>
      </c>
      <c r="C7996" t="inlineStr">
        <is>
          <t>I'm new to the gerd thing, and can't find any information on what kind of drinks are ok and not ok. Would the Arizona tea be a no go or will I be ok to drink it?</t>
        </is>
      </c>
      <c r="D7996" t="n">
        <v>2</v>
      </c>
      <c r="E7996" t="n">
        <v>9</v>
      </c>
      <c r="F7996">
        <f>HYPERLINK("https://www.reddit.com/r/GERD/comments/gzxzle/arizona_green_tea_wginseng_honey/")</f>
        <v/>
      </c>
      <c r="G7996" t="inlineStr">
        <is>
          <t>2020-06-09 15:33:39</t>
        </is>
      </c>
      <c r="H7996" t="inlineStr"/>
    </row>
    <row r="7997">
      <c r="A7997" t="inlineStr">
        <is>
          <t>gzy2ch</t>
        </is>
      </c>
      <c r="B7997" t="inlineStr">
        <is>
          <t>Possible cure for my acid reflux?</t>
        </is>
      </c>
      <c r="C7997" t="inlineStr">
        <is>
          <t>A few months ago I started taking a supplement called Inositol (or myo-inositol). I was prescribed the supplement by an acupuncturist to help me with trying to get pregnant. After taking it twice a day for a few months I have noticed that the acid reflux issues that I had been dealing with for years have drastically improved. 
And, since I felt like it's been helping me so much, I told my husband to start taking it as well. He also has been suffering from bad acid reflux. I asked him today if he's been having reflux issues and he said no! Previosuly we would have reflux every day. So it might be worth looking into this supplement. From what I have read there are little to no side effects, and it's a naturally occurring carbohydrate in some vegetables and legumes.</t>
        </is>
      </c>
      <c r="D7997" t="n">
        <v>12</v>
      </c>
      <c r="E7997" t="n">
        <v>7</v>
      </c>
      <c r="F7997">
        <f>HYPERLINK("https://www.reddit.com/r/GERD/comments/gzy2ch/possible_cure_for_my_acid_reflux/")</f>
        <v/>
      </c>
      <c r="G7997" t="inlineStr">
        <is>
          <t>2020-06-09 15:37:29</t>
        </is>
      </c>
      <c r="H7997" t="inlineStr"/>
    </row>
    <row r="7998">
      <c r="A7998" t="inlineStr">
        <is>
          <t>gzynou</t>
        </is>
      </c>
      <c r="B7998" t="inlineStr">
        <is>
          <t>Has Anyone Experienced Anxiety on PPI's?</t>
        </is>
      </c>
      <c r="C7998" t="inlineStr">
        <is>
          <t>Has anyone noticed a side effect of anxiety/panic attacks from taking PPI's? I do not see this type of side effect listed for PPI's from reputable websites talking about this type of medication. I came across a forum where multiple people seem to have experienced unexplained anxiety from taking PPI's and experiencing anxiety coming off the medicine as well for a short period of time.
I was wondering if others have experienced this as well since I have been on PPI's for years and have problems with anxiety. I'm curious if these PPI's may have something to do with it now since it does seem like the anxiety picked up once I started this journey with PPI's.</t>
        </is>
      </c>
      <c r="D7998" t="n">
        <v>7</v>
      </c>
      <c r="E7998" t="n">
        <v>11</v>
      </c>
      <c r="F7998">
        <f>HYPERLINK("https://www.reddit.com/r/GERD/comments/gzynou/has_anyone_experienced_anxiety_on_ppis/")</f>
        <v/>
      </c>
      <c r="G7998" t="inlineStr">
        <is>
          <t>2020-06-09 16:08:14</t>
        </is>
      </c>
      <c r="H7998" t="inlineStr"/>
    </row>
    <row r="7999">
      <c r="A7999" t="inlineStr">
        <is>
          <t>gzzqwj</t>
        </is>
      </c>
      <c r="B7999" t="inlineStr">
        <is>
          <t>Probiotics</t>
        </is>
      </c>
      <c r="C7999" t="inlineStr">
        <is>
          <t>Has anyone had good results from taking Probiotics for GERD?</t>
        </is>
      </c>
      <c r="D7999" t="n">
        <v>6</v>
      </c>
      <c r="E7999" t="n">
        <v>2</v>
      </c>
      <c r="F7999">
        <f>HYPERLINK("https://www.reddit.com/r/GERD/comments/gzzqwj/probiotics/")</f>
        <v/>
      </c>
      <c r="G7999" t="inlineStr">
        <is>
          <t>2020-06-09 17:10:17</t>
        </is>
      </c>
      <c r="H7999" t="inlineStr"/>
    </row>
    <row r="8000">
      <c r="A8000" t="inlineStr">
        <is>
          <t>h00j0u</t>
        </is>
      </c>
      <c r="B8000" t="inlineStr">
        <is>
          <t>I'm struggling and could use some insight</t>
        </is>
      </c>
      <c r="C8000" t="inlineStr">
        <is>
          <t>Hey all, I'm a 20 yo male that's been dealing with GERD for the better part of 3 years.
This is gonna be a bit long but bare with me on this:  
Usually, My symptoms are just your standard heartburn and stomach aches that can be fixed with some Tums.
However, Around 3 weeks ago i was out shopping (Due to lockdown easing in my area) and randomly felt this extreme nausea from my upper stomach (I guess the diaphragm region) up to my throat. 
It was a hard eating after that point but i could manage and still continue to do so. 
Next morning i wake up, Felt fine, But felt my Bacon from my Bacon &amp;amp; Eggs stick to my throat and i gagged as a result. 
I have a hard time with emetophobia so you can imagine gagging really isn't my favorite thing to do. 
The rest of the day i felt decent, Talked and played some games with my friend but food was still a struggle going down. 
Next morning i wake up after starting to see improvements in my condition the night prior and felt this urge to just blow chunks when getting dressed. 
Once again, The day was hard to get through but i was feeling consistently decent at night. 
Eventually, I started to see natural improvements but was still dealing with these waves of nausea and a weird slime like feeling in my throat when i would try to swallow in the mornings making me want to gag. 
My mother made an appointment with a doctor over the phone and i talked with him and told him my issues and he said my problem was i caught a minor stomach flu that triggered my reflux issues. 
He prescribed me Pantoprazole (My very 1st PPI) to take for a month and said if i felt worse to call back. 
A week passes and i notice some improvements, I wasn't as nauseous, And food was starting to go down better. 
However, I did have issues with anxiety (Never have before all of this) and suffered a small panic attack because of it. 
Eventually, I felt myself last week and felt i was truly recovering. 
But as quickly as i was getting better it all just came crashing down to a standstill.  
Once again, I was out shopping doing some groceries and just randomly in line i felt a massive wave of nausea in my throat, And just before that i had gagged on a Pudding due to that slime like feeling in my throat coming back. 
Ever since, I've been dealing with these waves of nausea throughout the day mainly in my throat region but every so often in my diaphragm.
Called the doctor and he put me on another PPI called Dexlansoprazole.
Over the weekend i started taking a medicine for my throat called "esoPH" a syrup that tastes like rotten chinese food but feels great going down. 
And, I started taking Gravol for the nausea and it seemed to be working well. 
Felt great the past two days and woke up feeling alright today following this new routine. 
However, While eating breakfast i got that weird slime sensation in my throat and a MASSIVE wave of nausea to follow. 
Throughout the day i took Tums, Gravol, Pepcid, Nothing seemed to give me any relief from these nausea episodes. 
Once again, Like every night for the past 3 weeks i feel just fine, But for whatever reason the days are just cursed and it really makes me dread getting out of bed in the morning. 
Do any of you think I'm being treated for the right things? 
Is the nausea a side effect of the PPI?
I'm really not sure of anything anymore, It just seems like my body randomly decides to feel good sometimes and crap other times. 
And sadly, My family doctor isn't taking any in-person appointments until the end of the month so I'm kinda stuck with the info I've been told. 
Can any of you relate to these symptoms and if so is there anyway to treat them so i can live at least a somewhat normal life again? 
I'm just sick and tired of these episodes of nausea and everything i do seems to work a few times then never again...</t>
        </is>
      </c>
      <c r="D8000" t="n">
        <v>2</v>
      </c>
      <c r="E8000" t="n">
        <v>6</v>
      </c>
      <c r="F8000">
        <f>HYPERLINK("https://www.reddit.com/r/GERD/comments/h00j0u/im_struggling_and_could_use_some_insight/")</f>
        <v/>
      </c>
      <c r="G8000" t="inlineStr">
        <is>
          <t>2020-06-09 17:57:22</t>
        </is>
      </c>
      <c r="H8000" t="inlineStr"/>
    </row>
    <row r="8001">
      <c r="A8001" t="inlineStr">
        <is>
          <t>h00tzh</t>
        </is>
      </c>
      <c r="B8001" t="inlineStr">
        <is>
          <t>Alternatives to pop?</t>
        </is>
      </c>
      <c r="C8001" t="inlineStr">
        <is>
          <t>I usually drink a lot of diet pop and really helps me with dieting but I had to give up diet pop with caffeine due to anxiety and now I've had to give up diet pop without caffeine because it would make my heart burn really bad.
So what else can I drink that is zero calories and won't give me heart burn?</t>
        </is>
      </c>
      <c r="D8001" t="n">
        <v>5</v>
      </c>
      <c r="E8001" t="n">
        <v>17</v>
      </c>
      <c r="F8001">
        <f>HYPERLINK("https://www.reddit.com/r/GERD/comments/h00tzh/alternatives_to_pop/")</f>
        <v/>
      </c>
      <c r="G8001" t="inlineStr">
        <is>
          <t>2020-06-09 18:16:01</t>
        </is>
      </c>
      <c r="H8001" t="inlineStr"/>
    </row>
    <row r="8002">
      <c r="A8002" t="inlineStr">
        <is>
          <t>h01x7o</t>
        </is>
      </c>
      <c r="B8002" t="inlineStr">
        <is>
          <t>Beanaid for bloating/shortness of breath</t>
        </is>
      </c>
      <c r="C8002" t="inlineStr">
        <is>
          <t>Been suffering from bloating and shortness of breath due to gerd/stomach issues for quite some time now. Went to CVS a few days ago and picked Up bean aid just to see if it helps with my symtoms. I’m taking it before each meal and It’s been working surprisingly well to the point I don’t feel bloated and shortness of breath anymore. Has anyone else tried this?</t>
        </is>
      </c>
      <c r="D8002" t="n">
        <v>1</v>
      </c>
      <c r="E8002" t="n">
        <v>0</v>
      </c>
      <c r="F8002">
        <f>HYPERLINK("https://www.reddit.com/r/GERD/comments/h01x7o/beanaid_for_bloatingshortness_of_breath/")</f>
        <v/>
      </c>
      <c r="G8002" t="inlineStr">
        <is>
          <t>2020-06-09 19:24:40</t>
        </is>
      </c>
      <c r="H8002" t="inlineStr"/>
    </row>
    <row r="8003">
      <c r="A8003" t="inlineStr">
        <is>
          <t>h03bhh</t>
        </is>
      </c>
      <c r="B8003" t="inlineStr">
        <is>
          <t>Gargling TUMS water worked extremely well for managing LPR.</t>
        </is>
      </c>
      <c r="C8003" t="inlineStr">
        <is>
          <t>I know some of you may already know the whole gargling baking soda water thing, but I recently have had a very very bad LPR episode. Couldn’t sleep, felt like my throat was closing up, lump in throat, just constant tightness and discomfort. 
I do have stomach ulcers in addition to LPR, and I am aware that PPIs alone do not seem to work for LPR, however I am taking omeprazole to manage my ulcers. Very short term though, will not be taking for more than 2 weeks. 
However, the omeprazole in addition to chewing up a TUMS and then taking a swig of water and gargling a few times helped *immensely* with LPR. Of course also staying away from trigger foods and propping head up while sleeping. But I do highly recommend trying to gargle a TUMS like I did or some baking soda, it really does help. Just putting this out there for anyone who has been feeling helpless like I was.
Edit: 
Also I forgot to add but, I found that having a regular eating schedule helps with acid reflux problems in general. *Do not eat randomly*. Have a set schedule about eating, I even set alarms for myself. Force yourself to eat a bit at each of those times and your stomach will adjust. I have an alarm for breakfast, lunch, dinner, and also snacks in between each meal. So it is a total of 5 alarms. It does really help.</t>
        </is>
      </c>
      <c r="D8003" t="n">
        <v>36</v>
      </c>
      <c r="E8003" t="n">
        <v>30</v>
      </c>
      <c r="F8003">
        <f>HYPERLINK("https://www.reddit.com/r/GERD/comments/h03bhh/gargling_tums_water_worked_extremely_well_for/")</f>
        <v/>
      </c>
      <c r="G8003" t="inlineStr">
        <is>
          <t>2020-06-09 20:59:54</t>
        </is>
      </c>
      <c r="H8003" t="inlineStr"/>
    </row>
    <row r="8004">
      <c r="A8004" t="inlineStr">
        <is>
          <t>h05089</t>
        </is>
      </c>
      <c r="B8004" t="inlineStr">
        <is>
          <t>Can gas or stomach problems cause chills?</t>
        </is>
      </c>
      <c r="C8004" t="inlineStr">
        <is>
          <t>I started getting them two nights ago and I’m honestly getting scared that I could have covid, I have not been around any people that have had it that I know of and I have been socially isolating for months. Can stomach problems cause this? Excess gas? Etc? Looking for last string of hope for my sanity please.. every time I get the chills I have to fart or feel like my bowels are removing, that’s why I think they are related</t>
        </is>
      </c>
      <c r="D8004" t="n">
        <v>2</v>
      </c>
      <c r="E8004" t="n">
        <v>9</v>
      </c>
      <c r="F8004">
        <f>HYPERLINK("https://www.reddit.com/r/GERD/comments/h05089/can_gas_or_stomach_problems_cause_chills/")</f>
        <v/>
      </c>
      <c r="G8004" t="inlineStr">
        <is>
          <t>2020-06-09 23:07:46</t>
        </is>
      </c>
      <c r="H8004" t="inlineStr"/>
    </row>
    <row r="8005">
      <c r="A8005" t="inlineStr">
        <is>
          <t>h05sg7</t>
        </is>
      </c>
      <c r="B8005" t="inlineStr">
        <is>
          <t>So what heart related symptoms can GERD/LPR cause?</t>
        </is>
      </c>
      <c r="C8005" t="inlineStr">
        <is>
          <t>Just curious, what symptoms, if any, have you all gotten related to your heart from GERD/LPR?</t>
        </is>
      </c>
      <c r="D8005" t="n">
        <v>2</v>
      </c>
      <c r="E8005" t="n">
        <v>13</v>
      </c>
      <c r="F8005">
        <f>HYPERLINK("https://www.reddit.com/r/GERD/comments/h05sg7/so_what_heart_related_symptoms_can_gerdlpr_cause/")</f>
        <v/>
      </c>
      <c r="G8005" t="inlineStr">
        <is>
          <t>2020-06-10 00:11:14</t>
        </is>
      </c>
      <c r="H8005" t="inlineStr"/>
    </row>
    <row r="8006">
      <c r="A8006" t="inlineStr">
        <is>
          <t>h06h54</t>
        </is>
      </c>
      <c r="B8006" t="inlineStr">
        <is>
          <t>I managed to make my lpr went away with reza band, but im with gerd now.</t>
        </is>
      </c>
      <c r="C8006" t="inlineStr">
        <is>
          <t>My lpr were life altering tbh, however I managed it with a good diet and a reflux band for months, however I'm having now heartburn,(almost in my upper chest, I Can eat mostly whatever I want now, I rather deal x100 with gerd than lpr, now lpr is gone and not using the band anymore my life is back, I'm afraid to use ppi because worsened up my digestion last time , but I'm trying to maye make the seldom heartburn go away with and h2, any recomendation? I dont want to stay on ppis or h2 forever, Obviously im not eating like a pig or over indulging im following a good diet but I must admit I like to eat bad food too ( we are humans we need to enjoy life oncr in a while ) im not lying up inmediately after I eat and following the basic rules like 0 smoking etc, the question here is, any safe dose to "heal" the heartburn, just to be on and off dont want to rely on on this medication forever since im too young, (my endoscopy was perfect) dont know where this heartburn is coming  🤷‍♂️) please any advice are truly appreciested it .</t>
        </is>
      </c>
      <c r="D8006" t="n">
        <v>3</v>
      </c>
      <c r="E8006" t="n">
        <v>13</v>
      </c>
      <c r="F8006">
        <f>HYPERLINK("https://www.reddit.com/r/GERD/comments/h06h54/i_managed_to_make_my_lpr_went_away_with_reza_band/")</f>
        <v/>
      </c>
      <c r="G8006" t="inlineStr">
        <is>
          <t>2020-06-10 01:07:17</t>
        </is>
      </c>
      <c r="H8006" t="inlineStr"/>
    </row>
    <row r="8007">
      <c r="A8007" t="inlineStr">
        <is>
          <t>h076l7</t>
        </is>
      </c>
      <c r="B8007" t="inlineStr">
        <is>
          <t>GERD/Heartburn tips</t>
        </is>
      </c>
      <c r="C8007" t="inlineStr">
        <is>
          <t>Hi! I just wanna ask if is there any natural remedies for GERD/Heartburn? It really sucks since I'm taking Omeprazole and Gaviscon for exactly 1 week. As much as possible, I don't want to rely too much on meds in the long run so I really need your help on this one. What are the fruits and vegetables that I can eat in order to stop GERD/heartburn? Thanks!</t>
        </is>
      </c>
      <c r="D8007" t="n">
        <v>2</v>
      </c>
      <c r="E8007" t="n">
        <v>3</v>
      </c>
      <c r="F8007">
        <f>HYPERLINK("https://www.reddit.com/r/GERD/comments/h076l7/gerdheartburn_tips/")</f>
        <v/>
      </c>
      <c r="G8007" t="inlineStr">
        <is>
          <t>2020-06-10 02:05:58</t>
        </is>
      </c>
      <c r="H8007" t="inlineStr"/>
    </row>
    <row r="8008">
      <c r="A8008" t="inlineStr">
        <is>
          <t>h0a3y7</t>
        </is>
      </c>
      <c r="B8008" t="inlineStr">
        <is>
          <t>Scratchy feeling on the back of my throat (mostly right side)</t>
        </is>
      </c>
      <c r="C8008" t="inlineStr">
        <is>
          <t>Whenever I open my mouth wide or swallow or put my tongue on the back of the roof of my mouth, it feels like a popcorn kernel is stuck in my throat (it mostly feels like on the right side of my throat as opposed to the middle) is this normal? I keep getting anxious about it. Is there anyway to fix this?
I also noticed most of the throat burning sensation is on the right side of my throat as well</t>
        </is>
      </c>
      <c r="D8008" t="n">
        <v>3</v>
      </c>
      <c r="E8008" t="n">
        <v>3</v>
      </c>
      <c r="F8008">
        <f>HYPERLINK("https://www.reddit.com/r/GERD/comments/h0a3y7/scratchy_feeling_on_the_back_of_my_throat_mostly/")</f>
        <v/>
      </c>
      <c r="G8008" t="inlineStr">
        <is>
          <t>2020-06-10 05:42:31</t>
        </is>
      </c>
      <c r="H8008" t="inlineStr"/>
    </row>
    <row r="8009">
      <c r="A8009" t="inlineStr">
        <is>
          <t>h0a98y</t>
        </is>
      </c>
      <c r="B8009" t="inlineStr">
        <is>
          <t>New morning symptoms. Spicy food</t>
        </is>
      </c>
      <c r="C8009" t="inlineStr">
        <is>
          <t>I woke up with mild indigestion,  with no pain and no other symptoms of GERD. I just started back on prilosec and woke up with the skin on my abdomin had hot tingling sensation. No swelling, no redness, no pain. Can acid make the area feel hot and tingly? I've had this sensation but it was more on internal. Both instances are followed by loose bowels. I also should not eat apples but did anyhow. I also eat curry which has been mild on my system thus far</t>
        </is>
      </c>
      <c r="D8009" t="n">
        <v>2</v>
      </c>
      <c r="E8009" t="n">
        <v>2</v>
      </c>
      <c r="F8009">
        <f>HYPERLINK("https://www.reddit.com/r/GERD/comments/h0a98y/new_morning_symptoms_spicy_food/")</f>
        <v/>
      </c>
      <c r="G8009" t="inlineStr">
        <is>
          <t>2020-06-10 05:50:54</t>
        </is>
      </c>
      <c r="H8009" t="inlineStr"/>
    </row>
    <row r="8010">
      <c r="A8010" t="inlineStr">
        <is>
          <t>h0ay66</t>
        </is>
      </c>
      <c r="B8010" t="inlineStr">
        <is>
          <t>anyone else notice when you cross or fold your legs you get reflux?</t>
        </is>
      </c>
      <c r="C8010" t="inlineStr">
        <is>
          <t>lot of times when i sit at the computer i cross or fold my legs or I rest my knees on the edge of the desk and i find myself refluxing....anyone else experience this? does that mean i prolly got a hiatal? my CT scan will be next week, hoping it doesnt get canceled or something!</t>
        </is>
      </c>
      <c r="D8010" t="n">
        <v>5</v>
      </c>
      <c r="E8010" t="n">
        <v>5</v>
      </c>
      <c r="F8010">
        <f>HYPERLINK("https://www.reddit.com/r/GERD/comments/h0ay66/anyone_else_notice_when_you_cross_or_fold_your/")</f>
        <v/>
      </c>
      <c r="G8010" t="inlineStr">
        <is>
          <t>2020-06-10 06:27:49</t>
        </is>
      </c>
      <c r="H8010" t="inlineStr"/>
    </row>
    <row r="8011">
      <c r="A8011" t="inlineStr">
        <is>
          <t>h0f1ob</t>
        </is>
      </c>
      <c r="B8011" t="inlineStr">
        <is>
          <t>If we avoid positions that cause reflux, like crossing our legs and etc, will it strengthen the LES?</t>
        </is>
      </c>
      <c r="C8011" t="inlineStr">
        <is>
          <t>Since its like a valve im wondering if it gets weak from poor posture, but if we practice good posture and etc to keep it closed, will it strengthen it?</t>
        </is>
      </c>
      <c r="D8011" t="n">
        <v>1</v>
      </c>
      <c r="E8011" t="n">
        <v>2</v>
      </c>
      <c r="F8011">
        <f>HYPERLINK("https://www.reddit.com/r/GERD/comments/h0f1ob/if_we_avoid_positions_that_cause_reflux_like/")</f>
        <v/>
      </c>
      <c r="G8011" t="inlineStr">
        <is>
          <t>2020-06-10 10:04:03</t>
        </is>
      </c>
      <c r="H8011" t="inlineStr"/>
    </row>
    <row r="8012">
      <c r="A8012" t="inlineStr">
        <is>
          <t>h0fge1</t>
        </is>
      </c>
      <c r="B8012" t="inlineStr">
        <is>
          <t>Fake Heart Attack</t>
        </is>
      </c>
      <c r="C8012" t="inlineStr">
        <is>
          <t>I was 18 when this happened.. my left arm suddenly got numb my heart rate got fast I panicked so much that I ran myself to the ER. Upon arriving my bp was 180/100 heartbeat was so fast that I had trouble breathing.. they put me up on an ECG and blood chem.. ECG was normal but I was diagnosed with metabolic syndrome. 
I was very sure that it was not just metabolic syndrome because of the lingering stinging feeling on my left chest that whenever I tried to walk my heartbeat spikes. So I got myself to go to a cardiologist and she said it was just an episode of acid reflux and prescribed me some antacids for a month and carvedilol for my spiked bp for one week.
I am not convinced that what I had experienced was just an acid reflux to the extent that I opted for a 2D echo test which turned out to be okay.. today Im turning 20 I dont know if I have an acid reflux or GERD. I always have this weird sensation on my stomach always which ramps up my anxiety, but I just got used to it. I got phlegm almost everyday tho but the doc said it was just post nasal drip.</t>
        </is>
      </c>
      <c r="D8012" t="n">
        <v>1</v>
      </c>
      <c r="E8012" t="n">
        <v>15</v>
      </c>
      <c r="F8012">
        <f>HYPERLINK("https://www.reddit.com/r/GERD/comments/h0fge1/fake_heart_attack/")</f>
        <v/>
      </c>
      <c r="G8012" t="inlineStr">
        <is>
          <t>2020-06-10 10:22:39</t>
        </is>
      </c>
      <c r="H8012" t="inlineStr"/>
    </row>
    <row r="8013">
      <c r="A8013" t="inlineStr">
        <is>
          <t>h0gmtx</t>
        </is>
      </c>
      <c r="B8013" t="inlineStr">
        <is>
          <t>Anyone healed from LPR? updates?</t>
        </is>
      </c>
      <c r="C8013" t="inlineStr">
        <is>
          <t>Hi guys, me again lol. 
&amp;amp;#x200B;
So basically I have no idea what is going on with me, ever since march i've had an awful back in my back between my shoulders, shortness of breath when I lay down, uncomfortable feeling and post nasal drip, dry/wet cough and excess mucus (sorry tmi buuuuuut)  it's been going on for months now and it's not a cold. It's just not going away. I don't have any burning feeling..It could be LPR. But from what I've researched theres not much they can do? I also have spasms like feelings in my sternum?
So I looked up the diet (low acid) and taking gaviscon advance UK? Im from the UK so getting an appointment with the NHS is like winning the lottery. Especially in these circumstances. Interestingly I thought it was allergies as the pollen count is insane. They've given me PPIs and an asthma pump? 
I'm a bit of a mess, just want some help or guidance from you lovely people. Does this work? Has anyone healed LPR? 
Thank you &amp;lt;3</t>
        </is>
      </c>
      <c r="D8013" t="n">
        <v>5</v>
      </c>
      <c r="E8013" t="n">
        <v>16</v>
      </c>
      <c r="F8013">
        <f>HYPERLINK("https://www.reddit.com/r/GERD/comments/h0gmtx/anyone_healed_from_lpr_updates/")</f>
        <v/>
      </c>
      <c r="G8013" t="inlineStr">
        <is>
          <t>2020-06-10 11:17:15</t>
        </is>
      </c>
      <c r="H8013" t="inlineStr"/>
    </row>
    <row r="8014">
      <c r="A8014" t="inlineStr">
        <is>
          <t>h0groa</t>
        </is>
      </c>
      <c r="B8014" t="inlineStr">
        <is>
          <t>What foods can i eat to give my esophagus a break?</t>
        </is>
      </c>
      <c r="C8014" t="inlineStr">
        <is>
          <t>Certain foods cause burning as soon as they are going down due to probably irritation from acid rebound after coming off ppis</t>
        </is>
      </c>
      <c r="D8014" t="n">
        <v>7</v>
      </c>
      <c r="E8014" t="n">
        <v>20</v>
      </c>
      <c r="F8014">
        <f>HYPERLINK("https://www.reddit.com/r/GERD/comments/h0groa/what_foods_can_i_eat_to_give_my_esophagus_a_break/")</f>
        <v/>
      </c>
      <c r="G8014" t="inlineStr">
        <is>
          <t>2020-06-10 11:23:21</t>
        </is>
      </c>
      <c r="H8014" t="inlineStr"/>
    </row>
    <row r="8015">
      <c r="A8015" t="inlineStr">
        <is>
          <t>h0halv</t>
        </is>
      </c>
      <c r="B8015" t="inlineStr">
        <is>
          <t>Breathing properly seems to help me a LOT!</t>
        </is>
      </c>
      <c r="C8015" t="inlineStr">
        <is>
          <t>Am, M27, been having GERD symptoms for 4 to 5 years now. My main problem is acidic burps. I was recently scoped: My LES is fine, there is some inflammation in the esophagus and they saw something that looked like Barrett's 😬However the biopsies were all clear so it SEEMS I'm all good.
Anyway. I recently noticed that I've picked some bad habits: I'm putting a lot of pressure on my stomach by "sucking it in" a lot and I'm breathing quite superficially most of the time. It seems that my burping is reduced a lot when I remind myself to breath with my diaphragm and to loosen up my belly. Probably picked up these habits younger when trying to look fit for the girls, lol.
Too early to say if this actually solves my issues, but it does seem to help dramatically. Googled it a bit and breathing as a GERD remedy seems to actually be a legit thing! It's easy to imagine that this is also one mechanism how stress increases GERD.
Give it a try! Hope this helps somebody else too!</t>
        </is>
      </c>
      <c r="D8015" t="n">
        <v>41</v>
      </c>
      <c r="E8015" t="n">
        <v>18</v>
      </c>
      <c r="F8015">
        <f>HYPERLINK("https://www.reddit.com/r/GERD/comments/h0halv/breathing_properly_seems_to_help_me_a_lot/")</f>
        <v/>
      </c>
      <c r="G8015" t="inlineStr">
        <is>
          <t>2020-06-10 11:47:19</t>
        </is>
      </c>
      <c r="H8015" t="inlineStr"/>
    </row>
    <row r="8016">
      <c r="A8016" t="inlineStr">
        <is>
          <t>h0htr0</t>
        </is>
      </c>
      <c r="B8016" t="inlineStr">
        <is>
          <t>Reason for concern?</t>
        </is>
      </c>
      <c r="C8016" t="inlineStr">
        <is>
          <t>I just underwent an EGD this morning and received my initial findings from the doctor. I was wondering if someone could PM me who has some experience with GERD. I can sometimes get wrapped up in google searches and of course, "cancer" or "precancerous" always pops up.
Thank you for your time!</t>
        </is>
      </c>
      <c r="D8016" t="n">
        <v>1</v>
      </c>
      <c r="E8016" t="n">
        <v>0</v>
      </c>
      <c r="F8016">
        <f>HYPERLINK("https://www.reddit.com/r/GERD/comments/h0htr0/reason_for_concern/")</f>
        <v/>
      </c>
      <c r="G8016" t="inlineStr">
        <is>
          <t>2020-06-10 12:12:13</t>
        </is>
      </c>
      <c r="H8016" t="inlineStr"/>
    </row>
    <row r="8017">
      <c r="A8017" t="inlineStr">
        <is>
          <t>h0i79u</t>
        </is>
      </c>
      <c r="B8017" t="inlineStr">
        <is>
          <t>Symptoms during digestion: Sort of queasy and weak, some little spasms in thighs, flushed in face, tingling pain in hands and tongue and a bit of pain in both my ears. Also only rock hard once a day bowel movements. Any of that sound familiar?</t>
        </is>
      </c>
      <c r="C8017" t="inlineStr">
        <is>
          <t xml:space="preserve"> Firstly I'll state that I haven't been diagnosed with anything. I have had some vitamin deficiencies and stomach pain in the past which I got over with time (and vitamin supplements).
Been going on for a good while now, maybe six weeks or so. Gets better and worse at times. At least the intestinal pain I was getting has gone away. Felt the tingling/burning pain in my hands and tongue more so today, perhaps because I was a bad boy and drank a bunch of beers on an empty stomach last night as my digestion had been feeling progressively better. Pretty rough today though.
Have you all had any of these symptoms before? I'm going to my GP tomorrow for an ultrasound on my gut, so lets see. Any tips on how to avoid/improve things would be good, if you have any suggestions. The only thing I'm on now is prescription probiotics and trying to eat well, which helped things get better but still some symptoms there.</t>
        </is>
      </c>
      <c r="D8017" t="n">
        <v>2</v>
      </c>
      <c r="E8017" t="n">
        <v>0</v>
      </c>
      <c r="F8017">
        <f>HYPERLINK("https://www.reddit.com/r/GERD/comments/h0i79u/symptoms_during_digestion_sort_of_queasy_and_weak/")</f>
        <v/>
      </c>
      <c r="G8017" t="inlineStr">
        <is>
          <t>2020-06-10 12:30:06</t>
        </is>
      </c>
      <c r="H8017" t="inlineStr"/>
    </row>
    <row r="8018">
      <c r="A8018" t="inlineStr">
        <is>
          <t>h0ifru</t>
        </is>
      </c>
      <c r="B8018" t="inlineStr">
        <is>
          <t>Those who suffer from constant nausea: What healed you? Is there hope?</t>
        </is>
      </c>
      <c r="C8018" t="inlineStr">
        <is>
          <t>I have been having constant strong nausea, and so so so much acid for 8 months, and nothing seem to work. Blood test came back good. H2 blockers only worked for a week. PPI works (1 month on it), but I still suffer a lot, and now it seems like its working even less. I rarely have actual stomach pain tho. I got an appointment with my doctor and i want to ask to her for an endoscopy appointment. But I have no idea what to expect. Maybe it won't show anything, maybe an ulcer, or damage by GERD.
 I just don't know what else could be done, since I tried natural remedies for many months, lifestyle changes, some of which are impossible to keep up because it makes me feel even sicker. Tired H2, tried PPI. What is there left? Doctors dont really do GERD surgeries in my country. I just don't know if is should have hope at all, or just get used to fact, that 90% of time i wont be able to leave my house because I feel so sick.</t>
        </is>
      </c>
      <c r="D8018" t="n">
        <v>2</v>
      </c>
      <c r="E8018" t="n">
        <v>25</v>
      </c>
      <c r="F8018">
        <f>HYPERLINK("https://www.reddit.com/r/GERD/comments/h0ifru/those_who_suffer_from_constant_nausea_what_healed/")</f>
        <v/>
      </c>
      <c r="G8018" t="inlineStr">
        <is>
          <t>2020-06-10 12:41:14</t>
        </is>
      </c>
      <c r="H8018" t="inlineStr"/>
    </row>
    <row r="8019">
      <c r="A8019" t="inlineStr">
        <is>
          <t>h0kl2p</t>
        </is>
      </c>
      <c r="B8019" t="inlineStr">
        <is>
          <t>Help plan an attack against silent reflux</t>
        </is>
      </c>
      <c r="C8019" t="inlineStr">
        <is>
          <t xml:space="preserve">
I’ve been dealing with silent reflux off and on for probably close to 5 years now.  
In the fall of 2015 I started on a strict low carb / Atkins diet and I was able to lose about 70 lbs in 1.5-2 years.  I’ve kept the weight off, and even in the pandemic, I was able to lose another 15 pounds by following some different Intermittent fasting programs - 20:4, 18:6, 16:8 and occasional 36 hours.
During my original weight loss process, sometime around 2016 or so, I started experiencing a lump in my throat feeling.  I sort of attributed it to the weight loss or maybe stress.  It eventually morphed into a full on choking/gagging feeling which led me to see my dr which led to a diagnosis of LPR.
I was still kind of in denial thinking it was something else, maybe it was stress that was causing it, any other number of things I could think of.  I tried a 2 week course of PPIs on the recommendation of an ENT.  I took 1 in the morning and 1 in the evening along with 1 Zyrtec in the evening.  I stopped taking them after two weeks and the feeling was a little better but not totally gone.
Back then, I didn’t want to take PPIs long term so I tried taking: D-Limonene, DGL, Melatonin, Magnesium, L-glutamine.  None though seemed to be a cure though, maybe it helped a little. 
After none of that worked and after reading the Stanford Medicine LPR Protocol published by C. Kwang Sung, MD, MS.  Where it recommends taking PPIs for a prolonged period of time at least 6 months, at twice-a-day dosage, I started taking my PPIs, hoping that a long term regimen will help.  I think I have only been taking them for about 4 weeks.
I’ve seen some recommended food lists on the USC Voice Center acid-reflux pdf, has anyone followed the guidelines here?  Are there any studies that say whether or not sugars, carbs and breads should be avoided?  I’ve seen some criticism of the acid reflux books is that they will say this but then the recipes will include these things.
I guess one big question I have is should I not do any more intermittent fasting while having silent reflux?  Maybe the fasting is more of a contributing factor to the acid and maybe I need to eat more regularly to help reduce the amount of acid.  This is something I have not yet tried and also its nothing I have seen pointed out to eat regular meals and whether or not to skip meals.
Thanks for any help.
TL;DR
Do people take 6 month or longer rounds of PPIs which I see is the recommendation from Stanford Medicine LPR protocol?
Is intermittent fasting a bad idea if suffering from LPR?
Are there good sites that have an allowed food lists that is recommended?  
Is it good to avoid sugar, carbs and breads when having GERD/LPR?  (I read some complaints of the GERD books where they say avoid bread, sugar and vinegar but then some recipes in the same book calls for using things the book says to avoid).</t>
        </is>
      </c>
      <c r="D8019" t="n">
        <v>1</v>
      </c>
      <c r="E8019" t="n">
        <v>6</v>
      </c>
      <c r="F8019">
        <f>HYPERLINK("https://www.reddit.com/r/GERD/comments/h0kl2p/help_plan_an_attack_against_silent_reflux/")</f>
        <v/>
      </c>
      <c r="G8019" t="inlineStr">
        <is>
          <t>2020-06-10 14:22:56</t>
        </is>
      </c>
      <c r="H8019" t="inlineStr"/>
    </row>
    <row r="8020">
      <c r="A8020" t="inlineStr">
        <is>
          <t>h0mv41</t>
        </is>
      </c>
      <c r="B8020" t="inlineStr">
        <is>
          <t>LPR symptoms (clearing throat, lump in throat) come and go?</t>
        </is>
      </c>
      <c r="C8020" t="inlineStr">
        <is>
          <t>I'm not sure why but these symptoms are on and off. I've tried just not eating the entire day and they still appear and disappear randomly. Has anyone else experienced this or know why this might be?</t>
        </is>
      </c>
      <c r="D8020" t="n">
        <v>3</v>
      </c>
      <c r="E8020" t="n">
        <v>3</v>
      </c>
      <c r="F8020">
        <f>HYPERLINK("https://www.reddit.com/r/GERD/comments/h0mv41/lpr_symptoms_clearing_throat_lump_in_throat_come/")</f>
        <v/>
      </c>
      <c r="G8020" t="inlineStr">
        <is>
          <t>2020-06-10 16:16:48</t>
        </is>
      </c>
      <c r="H8020" t="inlineStr"/>
    </row>
    <row r="8021">
      <c r="A8021" t="inlineStr">
        <is>
          <t>h0n8lr</t>
        </is>
      </c>
      <c r="B8021" t="inlineStr">
        <is>
          <t>Is it possible for acid rebound to cause esophagitis?</t>
        </is>
      </c>
      <c r="C8021" t="inlineStr">
        <is>
          <t>took pantoprazole for a month and a half 20 mg in the morning and 20 mg in the evening which were prescribed for stomach issues after my endoscopy came back fine i decided to come off of them since i my stomach and everything else was fine and got acid rebound and ever since then my chest burns with certain foods as soon as they are going down before even hitting my stomach even though im not experiencing the acid rebound anymore. Does that sound like esophagitis?</t>
        </is>
      </c>
      <c r="D8021" t="n">
        <v>2</v>
      </c>
      <c r="E8021" t="n">
        <v>8</v>
      </c>
      <c r="F8021">
        <f>HYPERLINK("https://www.reddit.com/r/GERD/comments/h0n8lr/is_it_possible_for_acid_rebound_to_cause/")</f>
        <v/>
      </c>
      <c r="G8021" t="inlineStr">
        <is>
          <t>2020-06-10 16:35:53</t>
        </is>
      </c>
      <c r="H8021" t="inlineStr"/>
    </row>
    <row r="8022">
      <c r="A8022" t="inlineStr">
        <is>
          <t>h0nra2</t>
        </is>
      </c>
      <c r="B8022" t="inlineStr">
        <is>
          <t>Anyone not get heartburn but this instead?</t>
        </is>
      </c>
      <c r="C8022" t="inlineStr">
        <is>
          <t>Anyone not get typical heartburn but sharp chest pains/ back and side pains instead? Either in one specific area or moving across the chest (changes all the time)? I’ve been told it’s GERD by my doctor but my anxiety is through the roof about it potentially being a heart/lung issue instead. Anyone?</t>
        </is>
      </c>
      <c r="D8022" t="n">
        <v>4</v>
      </c>
      <c r="E8022" t="n">
        <v>12</v>
      </c>
      <c r="F8022">
        <f>HYPERLINK("https://www.reddit.com/r/GERD/comments/h0nra2/anyone_not_get_heartburn_but_this_instead/")</f>
        <v/>
      </c>
      <c r="G8022" t="inlineStr">
        <is>
          <t>2020-06-10 17:03:15</t>
        </is>
      </c>
      <c r="H8022" t="inlineStr"/>
    </row>
    <row r="8023">
      <c r="A8023" t="inlineStr">
        <is>
          <t>h0oojp</t>
        </is>
      </c>
      <c r="B8023" t="inlineStr">
        <is>
          <t>Endoscopy of just the upper throat?</t>
        </is>
      </c>
      <c r="C8023" t="inlineStr">
        <is>
          <t>Went to an ENT office about a "lump in throat" sensation.  
The person suggested a nasal endoscopy.
Sounded like she just wanted to check "the back of throat" and "voice box", and said it would be under a minute. Therefore, going to sleep never got brought up. She just mentioned a spray and it going through the nose.
Has anyone had an endoscopy like this, where apparently it doesn't go all the way into the esophagus? What does it feel like? I have sensitive gag reflex so will here be any of that?
Thanks.</t>
        </is>
      </c>
      <c r="D8023" t="n">
        <v>0</v>
      </c>
      <c r="E8023" t="n">
        <v>3</v>
      </c>
      <c r="F8023">
        <f>HYPERLINK("https://www.reddit.com/r/GERD/comments/h0oojp/endoscopy_of_just_the_upper_throat/")</f>
        <v/>
      </c>
      <c r="G8023" t="inlineStr">
        <is>
          <t>2020-06-10 17:54:00</t>
        </is>
      </c>
      <c r="H8023" t="inlineStr"/>
    </row>
    <row r="8024">
      <c r="A8024" t="inlineStr">
        <is>
          <t>h0ow7x</t>
        </is>
      </c>
      <c r="B8024" t="inlineStr">
        <is>
          <t>LPR and antihistamines?</t>
        </is>
      </c>
      <c r="C8024" t="inlineStr">
        <is>
          <t>Just this week I’ve have GERD symptoms and what I believe is LPR. Last week I had one evening where I feel my throat closing. The next two days in the evening I felt shortness of breath. I went to the doctor and was told to take Zyrtec and benedryl. I did those and it relieved the symptoms. Over the weekend I had abdominal bloating on one side and lots of belching, no burning heartburn. This afternoon the stomach fullness went away but again I feel like I have a lump in my throat and phlegm in my airway.
Does this sound like LPR? Is it safe to take benedryl, or does that make acid reflux worse?</t>
        </is>
      </c>
      <c r="D8024" t="n">
        <v>2</v>
      </c>
      <c r="E8024" t="n">
        <v>9</v>
      </c>
      <c r="F8024">
        <f>HYPERLINK("https://www.reddit.com/r/GERD/comments/h0ow7x/lpr_and_antihistamines/")</f>
        <v/>
      </c>
      <c r="G8024" t="inlineStr">
        <is>
          <t>2020-06-10 18:05:57</t>
        </is>
      </c>
      <c r="H8024" t="inlineStr"/>
    </row>
    <row r="8025">
      <c r="A8025" t="inlineStr">
        <is>
          <t>h0p9k8</t>
        </is>
      </c>
      <c r="B8025" t="inlineStr">
        <is>
          <t>Joint aches and stiffness: Nexium side effect?</t>
        </is>
      </c>
      <c r="C8025" t="inlineStr">
        <is>
          <t>Anyone experiences joint aches and stiffness as a side effect of Nexium? Particularly knees, neck, shoulders? 
Otherwise feeling fine and not taking any other medication, but I’m struggling to stay on my feet without having pain and stiffness in both knees.</t>
        </is>
      </c>
      <c r="D8025" t="n">
        <v>1</v>
      </c>
      <c r="E8025" t="n">
        <v>2</v>
      </c>
      <c r="F8025">
        <f>HYPERLINK("https://www.reddit.com/r/GERD/comments/h0p9k8/joint_aches_and_stiffness_nexium_side_effect/")</f>
        <v/>
      </c>
      <c r="G8025" t="inlineStr">
        <is>
          <t>2020-06-10 18:28:02</t>
        </is>
      </c>
      <c r="H8025" t="inlineStr"/>
    </row>
    <row r="8026">
      <c r="A8026" t="inlineStr">
        <is>
          <t>h0pqgx</t>
        </is>
      </c>
      <c r="B8026" t="inlineStr">
        <is>
          <t>Severe GERD/Esophagitis</t>
        </is>
      </c>
      <c r="C8026" t="inlineStr">
        <is>
          <t>For the past two months I’ve been experiencing severe burning in my chest/throat. When it first started I was also having an intense metallic taste in my mouth. I have been on 40mg of pantaprazole for 5 weeks without relief. Metallic taste not as bad, but I have burning sensation in my mouth and tongue, and the back of my tongue hurts too.  I recently saw an ENT who deceased PPI to 20mg and added Pepcid at night. I have to do this for 2 weeks and then stop the pantaprazole and take Pepcid morning and evening, also add gaviscon advance after dinner and before bed. My symptoms are terrible and I have no relief. I have also had a sore throat since my symptoms started. Now My throat feels swollen and I have a lot of mucous in throat I can’t get up, feels like it’s stuck and super thick. ENT said I was inflamed and had Mucous. (He looked down throat with camera) I will add that I have been watching my diet very carefully . I do not eat or drink anything acidic,  no coffee, only drink water. Currently on acid watchers diet. I eat dinner very early, and sleep on an incline. I’m really suffering with these constant symptoms. I’m scheduled for an endoscopy in a month. Anyone have any advice or experience anything like this?</t>
        </is>
      </c>
      <c r="D8026" t="n">
        <v>12</v>
      </c>
      <c r="E8026" t="n">
        <v>13</v>
      </c>
      <c r="F8026">
        <f>HYPERLINK("https://www.reddit.com/r/GERD/comments/h0pqgx/severe_gerdesophagitis/")</f>
        <v/>
      </c>
      <c r="G8026" t="inlineStr">
        <is>
          <t>2020-06-10 18:57:54</t>
        </is>
      </c>
      <c r="H8026" t="inlineStr"/>
    </row>
    <row r="8027">
      <c r="A8027" t="inlineStr">
        <is>
          <t>h0qm1p</t>
        </is>
      </c>
      <c r="B8027" t="inlineStr">
        <is>
          <t>How do you guys deal with post nasal drip?</t>
        </is>
      </c>
      <c r="C8027" t="inlineStr">
        <is>
          <t>So I’ve been having lpr/gerd for about a year now and I want to know how to deal with post nasal drip.</t>
        </is>
      </c>
      <c r="D8027" t="n">
        <v>3</v>
      </c>
      <c r="E8027" t="n">
        <v>10</v>
      </c>
      <c r="F8027">
        <f>HYPERLINK("https://www.reddit.com/r/GERD/comments/h0qm1p/how_do_you_guys_deal_with_post_nasal_drip/")</f>
        <v/>
      </c>
      <c r="G8027" t="inlineStr">
        <is>
          <t>2020-06-10 19:53:41</t>
        </is>
      </c>
      <c r="H8027" t="inlineStr"/>
    </row>
    <row r="8028">
      <c r="A8028" t="inlineStr">
        <is>
          <t>h0rfa7</t>
        </is>
      </c>
      <c r="B8028" t="inlineStr">
        <is>
          <t>Which doctor is better for this problem?</t>
        </is>
      </c>
      <c r="C8028" t="inlineStr">
        <is>
          <t>A gastroenterologist  or ENT??</t>
        </is>
      </c>
      <c r="D8028" t="n">
        <v>0</v>
      </c>
      <c r="E8028" t="n">
        <v>2</v>
      </c>
      <c r="F8028">
        <f>HYPERLINK("https://www.reddit.com/r/GERD/comments/h0rfa7/which_doctor_is_better_for_this_problem/")</f>
        <v/>
      </c>
      <c r="G8028" t="inlineStr">
        <is>
          <t>2020-06-10 20:46:21</t>
        </is>
      </c>
      <c r="H8028" t="inlineStr"/>
    </row>
    <row r="8029">
      <c r="A8029" t="inlineStr">
        <is>
          <t>h0rurr</t>
        </is>
      </c>
      <c r="B8029" t="inlineStr">
        <is>
          <t>Is Omeprazole dangerous?</t>
        </is>
      </c>
      <c r="C8029" t="inlineStr">
        <is>
          <t>I was prescribed it a few days ago for acid reflux and gastritis.  Doc says to take it for 30 days. (40mg). I am 23 year old female, 110lbs. I’ve done some research on this medication and it’s beginning to scare me because I’m reading it can cause cancer or other problems.  If anyone reading this has experienced Omeprazole please share your story. I’m also a hypochondriac so I’m legitimately worried the medicine might be worse for me than better, although I have been feeling better over all.......  I just hope the doc only wants this 30 day treatment rather than putting me on this medication for the rest of my life.</t>
        </is>
      </c>
      <c r="D8029" t="n">
        <v>2</v>
      </c>
      <c r="E8029" t="n">
        <v>4</v>
      </c>
      <c r="F8029">
        <f>HYPERLINK("https://www.reddit.com/r/GERD/comments/h0rurr/is_omeprazole_dangerous/")</f>
        <v/>
      </c>
      <c r="G8029" t="inlineStr">
        <is>
          <t>2020-06-10 21:16:12</t>
        </is>
      </c>
      <c r="H8029" t="inlineStr"/>
    </row>
    <row r="8030">
      <c r="A8030" t="inlineStr">
        <is>
          <t>h0s8ux</t>
        </is>
      </c>
      <c r="B8030" t="inlineStr">
        <is>
          <t>Is it just me or cheese makes my GERD act up?</t>
        </is>
      </c>
      <c r="C8030" t="inlineStr">
        <is>
          <t>I absolutely love string cheese but, it always scares me when I eat it. I don’t know about y’all but, when I eat it, my throat starts producing a TON of mucus to the point I think I’m having a allergic reaction. I start getting chest pains and gassy. Then, it cools down within a 20 minute time span.</t>
        </is>
      </c>
      <c r="D8030" t="n">
        <v>1</v>
      </c>
      <c r="E8030" t="n">
        <v>2</v>
      </c>
      <c r="F8030">
        <f>HYPERLINK("https://www.reddit.com/r/GERD/comments/h0s8ux/is_it_just_me_or_cheese_makes_my_gerd_act_up/")</f>
        <v/>
      </c>
      <c r="G8030" t="inlineStr">
        <is>
          <t>2020-06-10 21:43:56</t>
        </is>
      </c>
      <c r="H8030" t="inlineStr"/>
    </row>
    <row r="8031">
      <c r="A8031" t="inlineStr">
        <is>
          <t>h0sanf</t>
        </is>
      </c>
      <c r="B8031" t="inlineStr">
        <is>
          <t>How long is too long for taking Omeprazole?</t>
        </is>
      </c>
      <c r="C8031" t="inlineStr">
        <is>
          <t>I know there are health risk if taking long term, but what is long term?</t>
        </is>
      </c>
      <c r="D8031" t="n">
        <v>3</v>
      </c>
      <c r="E8031" t="n">
        <v>4</v>
      </c>
      <c r="F8031">
        <f>HYPERLINK("https://www.reddit.com/r/GERD/comments/h0sanf/how_long_is_too_long_for_taking_omeprazole/")</f>
        <v/>
      </c>
      <c r="G8031" t="inlineStr">
        <is>
          <t>2020-06-10 21:47:23</t>
        </is>
      </c>
      <c r="H8031" t="inlineStr"/>
    </row>
    <row r="8032">
      <c r="A8032" t="inlineStr">
        <is>
          <t>h0t269</t>
        </is>
      </c>
      <c r="B8032" t="inlineStr">
        <is>
          <t>Anyone have wet coughs after eating?</t>
        </is>
      </c>
      <c r="C8032" t="inlineStr">
        <is>
          <t>After taking my medication, I no longer have wet coughs but did anyone else suffer from this? Is there a reason why? Online it says “aspiration pneumonia,” but I’m not sure if that’s what I had because my only symptom was wet coughing each time after eating and no fever or anything else.</t>
        </is>
      </c>
      <c r="D8032" t="n">
        <v>2</v>
      </c>
      <c r="E8032" t="n">
        <v>10</v>
      </c>
      <c r="F8032">
        <f>HYPERLINK("https://www.reddit.com/r/GERD/comments/h0t269/anyone_have_wet_coughs_after_eating/")</f>
        <v/>
      </c>
      <c r="G8032" t="inlineStr">
        <is>
          <t>2020-06-10 22:41:46</t>
        </is>
      </c>
      <c r="H8032" t="inlineStr"/>
    </row>
    <row r="8033">
      <c r="A8033" t="inlineStr">
        <is>
          <t>h0tf6c</t>
        </is>
      </c>
      <c r="B8033" t="inlineStr">
        <is>
          <t>Choking all night long</t>
        </is>
      </c>
      <c r="C8033" t="inlineStr">
        <is>
          <t>Anyone know how to help the choking sensation from acid going into your throat? It gives me so much anxiety and I can never sleep on the days it happens. I'm on pepcid twice a day and have cut out all spicy and acidic foods as recommended by a doctor. What do I do next?</t>
        </is>
      </c>
      <c r="D8033" t="n">
        <v>10</v>
      </c>
      <c r="E8033" t="n">
        <v>13</v>
      </c>
      <c r="F8033">
        <f>HYPERLINK("https://www.reddit.com/r/GERD/comments/h0tf6c/choking_all_night_long/")</f>
        <v/>
      </c>
      <c r="G8033" t="inlineStr">
        <is>
          <t>2020-06-10 23:08:46</t>
        </is>
      </c>
      <c r="H8033" t="inlineStr"/>
    </row>
    <row r="8034">
      <c r="A8034" t="inlineStr">
        <is>
          <t>h0uwsz</t>
        </is>
      </c>
      <c r="B8034" t="inlineStr">
        <is>
          <t>Waking up choking and coughing?</t>
        </is>
      </c>
      <c r="C8034" t="inlineStr">
        <is>
          <t>I had quite the worrisome event last night. I was waking up from sleeping to go to the bathroom as I often do and all of the sudden I started coughing and had a choking sensation. I could tell it was probably acid backing up but I’m worried that I’ll choke to death or something when I’m sleeping.
I’m gonna schedule an appointment but wanted to see if this is something that occurs with GERD and what I can do to minimize the occurrences? This is also giving me anxiety about going to sleep now unfortunately.</t>
        </is>
      </c>
      <c r="D8034" t="n">
        <v>2</v>
      </c>
      <c r="E8034" t="n">
        <v>5</v>
      </c>
      <c r="F8034">
        <f>HYPERLINK("https://www.reddit.com/r/GERD/comments/h0uwsz/waking_up_choking_and_coughing/")</f>
        <v/>
      </c>
      <c r="G8034" t="inlineStr">
        <is>
          <t>2020-06-11 01:03:46</t>
        </is>
      </c>
      <c r="H8034" t="inlineStr"/>
    </row>
    <row r="8035">
      <c r="A8035" t="inlineStr">
        <is>
          <t>h0vfbv</t>
        </is>
      </c>
      <c r="B8035" t="inlineStr">
        <is>
          <t>Trapped air in upper stomach/esophagus</t>
        </is>
      </c>
      <c r="C8035" t="inlineStr">
        <is>
          <t>Do you ever get a feeling theres shitloads of trapped air in ur esophagus or upper stomach? I feel icky when this feeling comes, its like I need to burp really bad but sometimes it wont go out and if I open my mouth and breathe deep I hear intense gurgling in my esophagus and throat? Just cycled home and my throat was full of sticky phlegm so I felt like I couldnt swallow and now this feeling again.</t>
        </is>
      </c>
      <c r="D8035" t="n">
        <v>3</v>
      </c>
      <c r="E8035" t="n">
        <v>1</v>
      </c>
      <c r="F8035">
        <f>HYPERLINK("https://www.reddit.com/r/GERD/comments/h0vfbv/trapped_air_in_upper_stomachesophagus/")</f>
        <v/>
      </c>
      <c r="G8035" t="inlineStr">
        <is>
          <t>2020-06-11 01:46:20</t>
        </is>
      </c>
      <c r="H8035" t="inlineStr"/>
    </row>
    <row r="8036">
      <c r="A8036" t="inlineStr">
        <is>
          <t>h0y7cz</t>
        </is>
      </c>
      <c r="B8036" t="inlineStr">
        <is>
          <t>I want to help my boyfriend :(</t>
        </is>
      </c>
      <c r="C8036" t="inlineStr">
        <is>
          <t>So my boyfriend has GERD. He was diagnosed at 18. Now he’s 22 and usually a very active and fit person. Gyms 5x a week and plays sports. All that’s stopped due to quarantine though and he’s been having weekly flare up’s and it’s started to hinder his life. 
This pervious week he’s been having bad breathing difficulties and he’s not eaten all day because he feels the acid come up his throat whenever he eats. 
It’s really difficult watching him suffer this way. I want to be able to help him but I don’t know how. I’m trying to read up on it but it seems like it’s different for everyone
EDIT : I’ve been asking him to go to a doctor but he’s not listening. I can’t drive so I can’t take him there myself. I’m gonna try and convince him for telemedicine, but any recommendations other than that is appreciated</t>
        </is>
      </c>
      <c r="D8036" t="n">
        <v>19</v>
      </c>
      <c r="E8036" t="n">
        <v>43</v>
      </c>
      <c r="F8036">
        <f>HYPERLINK("https://www.reddit.com/r/GERD/comments/h0y7cz/i_want_to_help_my_boyfriend/")</f>
        <v/>
      </c>
      <c r="G8036" t="inlineStr">
        <is>
          <t>2020-06-11 05:16:47</t>
        </is>
      </c>
      <c r="H8036" t="inlineStr"/>
    </row>
    <row r="8037">
      <c r="A8037" t="inlineStr">
        <is>
          <t>h0z5g1</t>
        </is>
      </c>
      <c r="B8037" t="inlineStr">
        <is>
          <t>Is Prevacid (and other ppis) worth it despite all the side effects?</t>
        </is>
      </c>
      <c r="C8037" t="inlineStr">
        <is>
          <t>I took prevacid for some time several years ago to treat esophagitis and GERD. I started experiencing pain in my hip bone which went away the moment I stopped taking it. I also became severely anemic, had heightened anxiety and irregular bowel movements. After further research, it turns out that prevacid reduces the body's ability to absorb calcium, iron, vitamin b12, and magnesium. I already have an anxiety disorder, so having even more anxiety made things unbearable. Then having to experience a week or two of rebound heartburn after weaning myself off the prevacid made it almost seem not worth it. I'm supposed to pick up a prescription of prevacid from the drugstore due to more frequent episodes of dysphagia (which might be EoE related instead), but I'm having a hard time deciding whether it'd be worth it. I've been on the waiting list for an endoscopy for 1.5 years now and things have been even more delayed with the pandemic still going on. I'm not sure what to do</t>
        </is>
      </c>
      <c r="D8037" t="n">
        <v>5</v>
      </c>
      <c r="E8037" t="n">
        <v>5</v>
      </c>
      <c r="F8037">
        <f>HYPERLINK("https://www.reddit.com/r/GERD/comments/h0z5g1/is_prevacid_and_other_ppis_worth_it_despite_all/")</f>
        <v/>
      </c>
      <c r="G8037" t="inlineStr">
        <is>
          <t>2020-06-11 06:18:26</t>
        </is>
      </c>
      <c r="H8037" t="inlineStr"/>
    </row>
    <row r="8038">
      <c r="A8038" t="inlineStr">
        <is>
          <t>h0z5wx</t>
        </is>
      </c>
      <c r="B8038" t="inlineStr">
        <is>
          <t>Open heart surgery today. Woooo</t>
        </is>
      </c>
      <c r="C8038" t="inlineStr">
        <is>
          <t>WHat pain meds are safe to take. Weird question but I’m about to have open heart surgery. Woo. They mentioned dilaudod and high strength Tylenol.</t>
        </is>
      </c>
      <c r="D8038" t="n">
        <v>0</v>
      </c>
      <c r="E8038" t="n">
        <v>3</v>
      </c>
      <c r="F8038">
        <f>HYPERLINK("https://www.reddit.com/r/GERD/comments/h0z5wx/open_heart_surgery_today_woooo/")</f>
        <v/>
      </c>
      <c r="G8038" t="inlineStr">
        <is>
          <t>2020-06-11 06:19:20</t>
        </is>
      </c>
      <c r="H8038" t="inlineStr"/>
    </row>
    <row r="8039">
      <c r="A8039" t="inlineStr">
        <is>
          <t>h0zhl1</t>
        </is>
      </c>
      <c r="B8039" t="inlineStr">
        <is>
          <t>I literally feel like my stomach acid completely dissolved my LES and now it's just a straight pipe from my mouth to my stomach</t>
        </is>
      </c>
      <c r="C8039" t="inlineStr">
        <is>
          <t>anyone else in this boat? I've tried everything and it seems I am 100% F'd for this life. My gerd has gotten progressively worse and I haven't had a good night sleep in forever 😭 I just want to be able to sleep at night 😭</t>
        </is>
      </c>
      <c r="D8039" t="n">
        <v>1</v>
      </c>
      <c r="E8039" t="n">
        <v>5</v>
      </c>
      <c r="F8039">
        <f>HYPERLINK("https://www.reddit.com/r/GERD/comments/h0zhl1/i_literally_feel_like_my_stomach_acid_completely/")</f>
        <v/>
      </c>
      <c r="G8039" t="inlineStr">
        <is>
          <t>2020-06-11 06:39:30</t>
        </is>
      </c>
      <c r="H8039" t="inlineStr"/>
    </row>
    <row r="8040">
      <c r="A8040" t="inlineStr">
        <is>
          <t>h0ztf9</t>
        </is>
      </c>
      <c r="B8040" t="inlineStr">
        <is>
          <t>Acid reflux?</t>
        </is>
      </c>
      <c r="C8040" t="inlineStr">
        <is>
          <t>I 19f am i good health generally, not under/overweight, a balanced diet and overall healthy.
I have started to notice that sometimes when i eat meals i start having reactions that are more annoying than anything, no pain just uncomfortable.
I havent pinpointed what meals trigger it off but as of yesterday im keeping a log for a week and then will be in touch with my dr to ask his opinion.
After eating i will start to become extremely gassy from both ends. Burping almost non stop accompanied by a feeling of vomit in my throat or something there. My stomach bubbles due to gas passing so much, i dont pass stool in this time, i cant but i dont feel constipated. 
When passing gas it doesnt smell bad from either end.
Im still a little gassy today after waking up, i have spoke with my dr in the past about upset stomach and we’ve ruled out IBS as we did blood tests that werent showing anything abnormal.
The food im eating is common in my diet. Nothing out of the ordinary for me, if it was i would put it down to delicate tummy.
I ate tortellini (ham+sausage) with red bell pepper, onions, leeks and a tomato sauce with it yesterday (Quick meal as we needed to shop). i eat these things very often so they dont normally upset my stomach as far as ive noticed. 
Im logging what foods im eating to see if i can find a pattern or something.
I live in the UK so i can probably get some anti-acids over the counter, should i try that? Are there any recommended brands to go with or does it not matter?</t>
        </is>
      </c>
      <c r="D8040" t="n">
        <v>1</v>
      </c>
      <c r="E8040" t="n">
        <v>10</v>
      </c>
      <c r="F8040">
        <f>HYPERLINK("https://www.reddit.com/r/GERD/comments/h0ztf9/acid_reflux/")</f>
        <v/>
      </c>
      <c r="G8040" t="inlineStr">
        <is>
          <t>2020-06-11 06:59:24</t>
        </is>
      </c>
      <c r="H8040" t="inlineStr"/>
    </row>
    <row r="8041">
      <c r="A8041" t="inlineStr">
        <is>
          <t>h103nj</t>
        </is>
      </c>
      <c r="B8041" t="inlineStr">
        <is>
          <t>I MISS STARBUCKS</t>
        </is>
      </c>
      <c r="C8041" t="inlineStr">
        <is>
          <t>What do you guys get? In the winter I can get a steamed almond milk with some flavor syrup but for summer I’m dying to get something good. I’ve seen the ginger drink but unsure if it causes symptoms? Any suggestions for summertime Starbucks drinks? Thanks!</t>
        </is>
      </c>
      <c r="D8041" t="n">
        <v>3</v>
      </c>
      <c r="E8041" t="n">
        <v>3</v>
      </c>
      <c r="F8041">
        <f>HYPERLINK("https://www.reddit.com/r/GERD/comments/h103nj/i_miss_starbucks/")</f>
        <v/>
      </c>
      <c r="G8041" t="inlineStr">
        <is>
          <t>2020-06-11 07:14:51</t>
        </is>
      </c>
      <c r="H8041" t="inlineStr"/>
    </row>
    <row r="8042">
      <c r="A8042" t="inlineStr">
        <is>
          <t>h1058j</t>
        </is>
      </c>
      <c r="B8042" t="inlineStr">
        <is>
          <t>Gerd, LPR, Stress and Anxiety - Shitty Cycle</t>
        </is>
      </c>
      <c r="C8042" t="inlineStr">
        <is>
          <t>Hoping to get some validation that I'm not the only one suffering with these symptoms and also to understand whether anyone sees an escalation in symptoms due to anxiety.
I was diagnosed with a sliding hiatus hernia about 5 years ago, I have been off and on PPI's, I've tried regulating my diet, not eating after 7 pm, elevating my bed. 
My symptoms come and go but they seem to worsen following a period of stress.
What fustrates me is that my symptoms completely subside when I get clarification that what I'm suffering from is not something more serious. So I've had 2 endoscopies, MRI's and Cats and as soon as I get confirmation of nothing serious, my symptoms subside. 
Does anyone else recognise this pattern, 
1 No Symptoms
2 Stressful Period
3 Some symptoms emerge
4 Anxiety over symptoms
5 Symptoms escalate
6 See consultant, get all clear
7 Symptoms disappear
As much as I try I cannot break this cycle and I worry that my Gerd and LPR are going to cause more damage which then feeds into my anxiety.
I've tried CBT and some other counselling but I'm now either thinking hypnotherapy or pushing for an op.
I'm currently suffering with a tight throat, post nasal drip and sore throat but I have new symptoms, ear pain, ear popping, sore glands and water Brash.
Sorry for the long post but I want to find a way of coping with this and alleviating it. Does this ring true for anyone else and how did you or are you dealing with it.
Also has anyone suffered any of those new symptoms, I had an endoscopy in February but I'm on a waiting list for a camera in my nose.
Thank you</t>
        </is>
      </c>
      <c r="D8042" t="n">
        <v>4</v>
      </c>
      <c r="E8042" t="n">
        <v>3</v>
      </c>
      <c r="F8042">
        <f>HYPERLINK("https://www.reddit.com/r/GERD/comments/h1058j/gerd_lpr_stress_and_anxiety_shitty_cycle/")</f>
        <v/>
      </c>
      <c r="G8042" t="inlineStr">
        <is>
          <t>2020-06-11 07:17:22</t>
        </is>
      </c>
      <c r="H8042" t="inlineStr"/>
    </row>
    <row r="8043">
      <c r="A8043" t="inlineStr">
        <is>
          <t>h12wq7</t>
        </is>
      </c>
      <c r="B8043" t="inlineStr">
        <is>
          <t>Long Term Nexium Use and Dizziness a Thing?</t>
        </is>
      </c>
      <c r="C8043" t="inlineStr">
        <is>
          <t>Hey Everyone,
I've had bad heart burn for a few years now (probably 4) and I've been taking nexium pretty much every single day for 2-3 of those years. I've developed really bad dizziness and wondering if anyone whose been taking nexium or other PPIs has had the same effect? Also I've noticed an increase in anxiety as well, not sure if it's related (possibly magnesium). What bothers me most is the dizziness though.
Thanks for your time. 
Tldr: taking nexium daily for a few years..been dizzy as heck for the past year... Connected?</t>
        </is>
      </c>
      <c r="D8043" t="n">
        <v>3</v>
      </c>
      <c r="E8043" t="n">
        <v>6</v>
      </c>
      <c r="F8043">
        <f>HYPERLINK("https://www.reddit.com/r/GERD/comments/h12wq7/long_term_nexium_use_and_dizziness_a_thing/")</f>
        <v/>
      </c>
      <c r="G8043" t="inlineStr">
        <is>
          <t>2020-06-11 09:44:43</t>
        </is>
      </c>
      <c r="H8043" t="inlineStr"/>
    </row>
    <row r="8044">
      <c r="A8044" t="inlineStr">
        <is>
          <t>h142jq</t>
        </is>
      </c>
      <c r="B8044" t="inlineStr">
        <is>
          <t>Barretts question</t>
        </is>
      </c>
      <c r="C8044" t="inlineStr">
        <is>
          <t>Have a question for those who have Barrett’s or have researched it. I know that the current guideline is it must be seen on endoscopy and then confirmed with a biopsy/pathology report. 
But I guess my question is, if there is a visual that looks like Barrett’s but then the report says no pathological changes does that just mean it’s stomach cells in the esophageal junction?
I had an endoscopy 7 years ago that was suspect for short segment barrets but pathology came back clear. Just had another one this year and again visually it looks different from esophagus tissue extending from stomach and then a small “island” next to that. Awaiting pathology again but just curious what this finding means.</t>
        </is>
      </c>
      <c r="D8044" t="n">
        <v>2</v>
      </c>
      <c r="E8044" t="n">
        <v>4</v>
      </c>
      <c r="F8044">
        <f>HYPERLINK("https://www.reddit.com/r/GERD/comments/h142jq/barretts_question/")</f>
        <v/>
      </c>
      <c r="G8044" t="inlineStr">
        <is>
          <t>2020-06-11 10:44:16</t>
        </is>
      </c>
      <c r="H8044" t="inlineStr"/>
    </row>
    <row r="8045">
      <c r="A8045" t="inlineStr">
        <is>
          <t>h14pst</t>
        </is>
      </c>
      <c r="B8045" t="inlineStr">
        <is>
          <t>For all the people who have had surgery</t>
        </is>
      </c>
      <c r="C8045" t="inlineStr">
        <is>
          <t>Hi
Does the surgery also help with bloating nausea or just heartburn?</t>
        </is>
      </c>
      <c r="D8045" t="n">
        <v>3</v>
      </c>
      <c r="E8045" t="n">
        <v>14</v>
      </c>
      <c r="F8045">
        <f>HYPERLINK("https://www.reddit.com/r/GERD/comments/h14pst/for_all_the_people_who_have_had_surgery/")</f>
        <v/>
      </c>
      <c r="G8045" t="inlineStr">
        <is>
          <t>2020-06-11 11:17:19</t>
        </is>
      </c>
      <c r="H8045" t="inlineStr"/>
    </row>
    <row r="8046">
      <c r="A8046" t="inlineStr">
        <is>
          <t>h15gln</t>
        </is>
      </c>
      <c r="B8046" t="inlineStr">
        <is>
          <t>Is life with this my new normal? Does it go away?</t>
        </is>
      </c>
      <c r="C8046" t="inlineStr">
        <is>
          <t>I’m not nearly as far into the battle with GERD as most of you. So this will probably come across as complaining to a lot of you.
I’m a weak and a half into this. I’ve been laid off for three months and I was hearing about a job I virtually interviewed for 5 times. On Monday I felt like something was in the back of my throat and panicked when my uvula kept hitting my tongue. After a few hours of panic it subsided and I slept. The following days after walking my dog I felt shortness of breath, and a cold week feeling in my legs. Familiar sign of anxiety with fast pulse accompanied. Since then I have felt bloating beneath my right rib, nausea when lying down, a cool stomach bubbling feeling. I’ve had pale yellow or green stools for 6 days that ride the line between solid and dust. 
With no health insurance because of Covid the best I could do was visit the walk in clinic, and get told I had GERD along with instructions for 14 days on omeprazole 20mg. I’m on day three of taking it and feel hungry half an hour after eating, I get nauseous when I lay down. I sleep at night but I have tired spells during the day with occasional chills. I’m not sure if this is GERD or my anxiety is just messing my system up. 
Does GERD go away after 14 days? Are there attacks like this? Do you return to a normal diet or life where you can socialize over drinks? Will I be obsessed with my bowel movements forever now?</t>
        </is>
      </c>
      <c r="D8046" t="n">
        <v>2</v>
      </c>
      <c r="E8046" t="n">
        <v>17</v>
      </c>
      <c r="F8046">
        <f>HYPERLINK("https://www.reddit.com/r/GERD/comments/h15gln/is_life_with_this_my_new_normal_does_it_go_away/")</f>
        <v/>
      </c>
      <c r="G8046" t="inlineStr">
        <is>
          <t>2020-06-11 11:54:15</t>
        </is>
      </c>
      <c r="H8046" t="inlineStr"/>
    </row>
    <row r="8047">
      <c r="A8047" t="inlineStr">
        <is>
          <t>h15qcl</t>
        </is>
      </c>
      <c r="B8047" t="inlineStr">
        <is>
          <t>Drinking water during and after meals is good</t>
        </is>
      </c>
      <c r="C8047" t="inlineStr">
        <is>
          <t>Wow. For the longest time I've avoided drinking water 30 min. before and after meals. I thought it diluted stomach acid and caused food to sit in the stomach longer leading to reflux.  
I just read this on the Mayo Clinic site, this doctor has a gastroenterology background:
Does drinking water during or after a meal disturb digestion?
Answer From Michael F. Picco, M.D.
There's no concern that water will dilute the digestive juices or interfere with digestion. In fact, drinking water during or after a meal actually aids digestion.
Water is essential for good health. Water and other liquids help break down food so that your body can absorb the nutrients. Water also softens stool, which helps prevent constipation.</t>
        </is>
      </c>
      <c r="D8047" t="n">
        <v>25</v>
      </c>
      <c r="E8047" t="n">
        <v>13</v>
      </c>
      <c r="F8047">
        <f>HYPERLINK("https://www.reddit.com/r/GERD/comments/h15qcl/drinking_water_during_and_after_meals_is_good/")</f>
        <v/>
      </c>
      <c r="G8047" t="inlineStr">
        <is>
          <t>2020-06-11 12:07:31</t>
        </is>
      </c>
      <c r="H8047" t="inlineStr"/>
    </row>
    <row r="8048">
      <c r="A8048" t="inlineStr">
        <is>
          <t>h1748k</t>
        </is>
      </c>
      <c r="B8048" t="inlineStr">
        <is>
          <t>Will surgery help LPR</t>
        </is>
      </c>
      <c r="C8048" t="inlineStr">
        <is>
          <t>I think I have really bad silent reflux/LPR, as my symptoms match. I’m going to go see a GI and get scoped and hopefully a barium swallow test too soon. Meds haven’t been helping.
If it comes to it, will any kind of surgery help me? Or does surgery only help GERD?</t>
        </is>
      </c>
      <c r="D8048" t="n">
        <v>4</v>
      </c>
      <c r="E8048" t="n">
        <v>5</v>
      </c>
      <c r="F8048">
        <f>HYPERLINK("https://www.reddit.com/r/GERD/comments/h1748k/will_surgery_help_lpr/")</f>
        <v/>
      </c>
      <c r="G8048" t="inlineStr">
        <is>
          <t>2020-06-11 13:18:47</t>
        </is>
      </c>
      <c r="H8048" t="inlineStr"/>
    </row>
    <row r="8049">
      <c r="A8049" t="inlineStr">
        <is>
          <t>h77em8</t>
        </is>
      </c>
      <c r="B8049" t="inlineStr">
        <is>
          <t>Ok play doctor for me for a second</t>
        </is>
      </c>
      <c r="C8049" t="inlineStr">
        <is>
          <t>Do you guys think I have GERD/LPR? I have had shortness of breath basically all day, tasting food/acid in my mouth for a while after eating, slight heart palpitations, tight feeling in my throat/feeling like my tongue is too big for my throat, full feeling in chest, chronic sinusitis, phelgm after eating, and occasional diarrhea. All of these symptoms for around 6 months, its been horrible. I take omeprazole 40mg everyday, and it barely helps, although I'm scared if I go off of it, things will get worse.
I have seen heart doctors and lung doctors, and they're pretty sure it has nothing to do with my heart or lungs themselves. Now I am seeing a GI to get scoped/barium swallow test later this month. Based off what I said, am I stupid for thinking it could be GERD/LPR?</t>
        </is>
      </c>
      <c r="D8049" t="n">
        <v>3</v>
      </c>
      <c r="E8049" t="n">
        <v>4</v>
      </c>
      <c r="F8049">
        <f>HYPERLINK("https://www.reddit.com/r/GERD/comments/h77em8/ok_play_doctor_for_me_for_a_second/")</f>
        <v/>
      </c>
      <c r="G8049" t="inlineStr">
        <is>
          <t>2020-06-11 14:52:03</t>
        </is>
      </c>
      <c r="H8049" t="inlineStr"/>
    </row>
    <row r="8050">
      <c r="A8050" t="inlineStr">
        <is>
          <t>h77gld</t>
        </is>
      </c>
      <c r="B8050" t="inlineStr">
        <is>
          <t>Anyone else triggered by an empty stomach?</t>
        </is>
      </c>
      <c r="C8050" t="inlineStr">
        <is>
          <t>It took me a while to realize it, but when my stomach is empty I have the worst of my Gerd symptoms- Breastbone pain! Once I eat a small amount, I feel fine. I’m not currently on any PPI’s, as they made my symptoms much worse. Anyone else experiencing this scenario?</t>
        </is>
      </c>
      <c r="D8050" t="n">
        <v>6</v>
      </c>
      <c r="E8050" t="n">
        <v>7</v>
      </c>
      <c r="F8050">
        <f>HYPERLINK("https://www.reddit.com/r/GERD/comments/h77gld/anyone_else_triggered_by_an_empty_stomach/")</f>
        <v/>
      </c>
      <c r="G8050" t="inlineStr">
        <is>
          <t>2020-06-11 14:54:42</t>
        </is>
      </c>
      <c r="H8050" t="inlineStr"/>
    </row>
    <row r="8051">
      <c r="A8051" t="inlineStr">
        <is>
          <t>h78m44</t>
        </is>
      </c>
      <c r="B8051" t="inlineStr">
        <is>
          <t>Burping up spectacles of blood. Emergency or no?</t>
        </is>
      </c>
      <c r="C8051" t="inlineStr">
        <is>
          <t>I've suffered for a while with GERD, but today i was forcing the burps out of the right side of my chest and noticed a bit of blood mixed with the saliva mix. I do not have insurance and am wondering if this is cause for an ER visit.</t>
        </is>
      </c>
      <c r="D8051" t="n">
        <v>2</v>
      </c>
      <c r="E8051" t="n">
        <v>4</v>
      </c>
      <c r="F8051">
        <f>HYPERLINK("https://www.reddit.com/r/GERD/comments/h78m44/burping_up_spectacles_of_blood_emergency_or_no/")</f>
        <v/>
      </c>
      <c r="G8051" t="inlineStr">
        <is>
          <t>2020-06-11 15:55:31</t>
        </is>
      </c>
      <c r="H8051" t="inlineStr"/>
    </row>
    <row r="8052">
      <c r="A8052" t="inlineStr">
        <is>
          <t>h78q2s</t>
        </is>
      </c>
      <c r="B8052" t="inlineStr">
        <is>
          <t>GERD or anxiety?</t>
        </is>
      </c>
      <c r="C8052" t="inlineStr">
        <is>
          <t>Every time I go to bed at night, my heart will start racing and I have palpitations. I also feel breathless during the day (as well as when I lay down to sleep) and I can’t tell if it’s my acid reflux causing these issues or it’s anxiety. I already spoke to a doctor on the phone who is convinced it’s anxiety and said shortness of breath isn’t a symptom of GERD. He has given me some propranolol to help with my chest pain and anxiety however I’m scared to take this as I heard a side effect is breathlessness, I don’t want to make it worse than what it already is. 
I do suffer from both extreme anxiety and had a panic attack in the past month but during this time I was told I may have GERD. 
I had a blood test and was told I have low folate levels if that plays a part in this. I feel at a loss and am now beginning to dread going to bed at night because I know what’s going to happen.</t>
        </is>
      </c>
      <c r="D8052" t="n">
        <v>6</v>
      </c>
      <c r="E8052" t="n">
        <v>4</v>
      </c>
      <c r="F8052">
        <f>HYPERLINK("https://www.reddit.com/r/GERD/comments/h78q2s/gerd_or_anxiety/")</f>
        <v/>
      </c>
      <c r="G8052" t="inlineStr">
        <is>
          <t>2020-06-11 16:01:42</t>
        </is>
      </c>
      <c r="H8052" t="inlineStr"/>
    </row>
    <row r="8053">
      <c r="A8053" t="inlineStr">
        <is>
          <t>h7am2r</t>
        </is>
      </c>
      <c r="B8053" t="inlineStr">
        <is>
          <t>Does anyone else get this?</t>
        </is>
      </c>
      <c r="C8053" t="inlineStr">
        <is>
          <t>I was diagnosed with LPR after a sinus infection and being referred to the ENT. 
Ever since then my life has been a nightmare, all the usual issues, shortness of breath, stomach issues, sinus issues, sore throat etc. 
But what I get a lot is Burning Mouth Syndrome and in my nose, which I’ve read is common with LPR - but I also feel a burning sensation in my face and arms sometimes, like a wave of intense warmness over my skin and it goes away within 10 seconds or so and can happen in waves. 
Does anyone else experience this or know what’s causing it?</t>
        </is>
      </c>
      <c r="D8053" t="n">
        <v>8</v>
      </c>
      <c r="E8053" t="n">
        <v>26</v>
      </c>
      <c r="F8053">
        <f>HYPERLINK("https://www.reddit.com/r/GERD/comments/h7am2r/does_anyone_else_get_this/")</f>
        <v/>
      </c>
      <c r="G8053" t="inlineStr">
        <is>
          <t>2020-06-11 17:50:05</t>
        </is>
      </c>
      <c r="H8053" t="inlineStr"/>
    </row>
    <row r="8054">
      <c r="A8054" t="inlineStr">
        <is>
          <t>h7atez</t>
        </is>
      </c>
      <c r="B8054" t="inlineStr">
        <is>
          <t>Acid-free recipes?</t>
        </is>
      </c>
      <c r="C8054" t="inlineStr">
        <is>
          <t>On an acid free diet- oats with fruit and almond milk for breakfast, veggie and fruit smoothie for lunch, and veggies for dinner. I’ve only been using salt and evoo for flavor. It’s incredibly bland. I’ve searched for acid-free recipes but they often are not acid-free. Does anyone have suggestions for good recipes?</t>
        </is>
      </c>
      <c r="D8054" t="n">
        <v>2</v>
      </c>
      <c r="E8054" t="n">
        <v>2</v>
      </c>
      <c r="F8054">
        <f>HYPERLINK("https://www.reddit.com/r/GERD/comments/h7atez/acidfree_recipes/")</f>
        <v/>
      </c>
      <c r="G8054" t="inlineStr">
        <is>
          <t>2020-06-11 18:01:59</t>
        </is>
      </c>
      <c r="H8054" t="inlineStr"/>
    </row>
    <row r="8055">
      <c r="A8055" t="inlineStr">
        <is>
          <t>h7b085</t>
        </is>
      </c>
      <c r="B8055" t="inlineStr">
        <is>
          <t>I haven't been eating well</t>
        </is>
      </c>
      <c r="C8055" t="inlineStr">
        <is>
          <t>I barely eat because I'm scared of a flare up and it's really causing me to feel like shit 24/7 but I'm also scared to eat too much and still feel like shit because of a flare up.</t>
        </is>
      </c>
      <c r="D8055" t="n">
        <v>5</v>
      </c>
      <c r="E8055" t="n">
        <v>1</v>
      </c>
      <c r="F8055">
        <f>HYPERLINK("https://www.reddit.com/r/GERD/comments/h7b085/i_havent_been_eating_well/")</f>
        <v/>
      </c>
      <c r="G8055" t="inlineStr">
        <is>
          <t>2020-06-11 18:12:56</t>
        </is>
      </c>
      <c r="H8055" t="inlineStr"/>
    </row>
    <row r="8056">
      <c r="A8056" t="inlineStr">
        <is>
          <t>h7b81t</t>
        </is>
      </c>
      <c r="B8056" t="inlineStr">
        <is>
          <t>When can I start doing stomach exercises?</t>
        </is>
      </c>
      <c r="C8056" t="inlineStr">
        <is>
          <t>So I've been dealing with my first flare up since the last week of March and a lot has improved. I have no stomach pains. The only issue I have is still some heaviness on my chest, and sensations in my throat and esophagus. I have a lot of food allergies as well. I am bloating a good bit even if I eat a small meals and I'm trying to figure out how to reduce the bloating. I exercise daily now (finally), and just started to build myself up. I haven't done any stomach exercises cause I didn't want to over exert myself but do you think starting stomach exercises will help the bloat?</t>
        </is>
      </c>
      <c r="D8056" t="n">
        <v>3</v>
      </c>
      <c r="E8056" t="n">
        <v>4</v>
      </c>
      <c r="F8056">
        <f>HYPERLINK("https://www.reddit.com/r/GERD/comments/h7b81t/when_can_i_start_doing_stomach_exercises/")</f>
        <v/>
      </c>
      <c r="G8056" t="inlineStr">
        <is>
          <t>2020-06-11 18:25:55</t>
        </is>
      </c>
      <c r="H8056" t="inlineStr"/>
    </row>
    <row r="8057">
      <c r="A8057" t="inlineStr">
        <is>
          <t>h7bfep</t>
        </is>
      </c>
      <c r="B8057" t="inlineStr">
        <is>
          <t>Can gas get trapped in the back/shoulders?</t>
        </is>
      </c>
      <c r="C8057" t="inlineStr">
        <is>
          <t>I’m trying to find an explanation for some recent back and shoulder/shoulder blade pain I’ve been having. Anyone know if gas can be trapped in either of those areas?</t>
        </is>
      </c>
      <c r="D8057" t="n">
        <v>13</v>
      </c>
      <c r="E8057" t="n">
        <v>12</v>
      </c>
      <c r="F8057">
        <f>HYPERLINK("https://www.reddit.com/r/GERD/comments/h7bfep/can_gas_get_trapped_in_the_backshoulders/")</f>
        <v/>
      </c>
      <c r="G8057" t="inlineStr">
        <is>
          <t>2020-06-11 18:38:14</t>
        </is>
      </c>
      <c r="H8057" t="inlineStr"/>
    </row>
    <row r="8058">
      <c r="A8058" t="inlineStr">
        <is>
          <t>h7bh8r</t>
        </is>
      </c>
      <c r="B8058" t="inlineStr">
        <is>
          <t>Is this gerd</t>
        </is>
      </c>
      <c r="C8058" t="inlineStr">
        <is>
          <t>I drank coca cola then I have been burping alot and my throat feels werid never had this before. I can eat and swallow fine</t>
        </is>
      </c>
      <c r="D8058" t="n">
        <v>2</v>
      </c>
      <c r="E8058" t="n">
        <v>3</v>
      </c>
      <c r="F8058">
        <f>HYPERLINK("https://www.reddit.com/r/GERD/comments/h7bh8r/is_this_gerd/")</f>
        <v/>
      </c>
      <c r="G8058" t="inlineStr">
        <is>
          <t>2020-06-11 18:41:16</t>
        </is>
      </c>
      <c r="H8058" t="inlineStr"/>
    </row>
    <row r="8059">
      <c r="A8059" t="inlineStr">
        <is>
          <t>h7dju8</t>
        </is>
      </c>
      <c r="B8059" t="inlineStr">
        <is>
          <t>severe panic attac</t>
        </is>
      </c>
      <c r="C8059" t="inlineStr">
        <is>
          <t>So as I am typing this I'm sitting on my bathtub floor having a huge anxiety / panic attack because of how my throat is feeling right now. Extremely tight on the outside like somebody's choking me, I started a PPI today, cant remember the name but I took it at about 530 pm, and now freaking out! Tips please!!
EDIT: I totally blanked and ate about a handful of ketchup doritos, and this reaction happened within 5 minutes.(no I'm not allergic, I've had them befor)</t>
        </is>
      </c>
      <c r="D8059" t="n">
        <v>2</v>
      </c>
      <c r="E8059" t="n">
        <v>8</v>
      </c>
      <c r="F8059">
        <f>HYPERLINK("https://www.reddit.com/r/GERD/comments/h7dju8/severe_panic_attac/")</f>
        <v/>
      </c>
      <c r="G8059" t="inlineStr">
        <is>
          <t>2020-06-11 20:58:53</t>
        </is>
      </c>
      <c r="H8059" t="inlineStr"/>
    </row>
    <row r="8060">
      <c r="A8060" t="inlineStr">
        <is>
          <t>h7e35q</t>
        </is>
      </c>
      <c r="B8060" t="inlineStr">
        <is>
          <t>waking up with a pounding heart?</t>
        </is>
      </c>
      <c r="C8060" t="inlineStr">
        <is>
          <t>Almost every night I wake up with my heart pounding. Sometimes it is accompanied by acidy burps and/or the feeling of needing to swallow post nasal drip. My heart calms down almost immediately after me waking, but its very hard for me to fall back asleep and I'm getting frustrated. Does anyone else experience this?</t>
        </is>
      </c>
      <c r="D8060" t="n">
        <v>2</v>
      </c>
      <c r="E8060" t="n">
        <v>4</v>
      </c>
      <c r="F8060">
        <f>HYPERLINK("https://www.reddit.com/r/GERD/comments/h7e35q/waking_up_with_a_pounding_heart/")</f>
        <v/>
      </c>
      <c r="G8060" t="inlineStr">
        <is>
          <t>2020-06-11 21:38:12</t>
        </is>
      </c>
      <c r="H8060" t="inlineStr"/>
    </row>
    <row r="8061">
      <c r="A8061" t="inlineStr">
        <is>
          <t>h7fn19</t>
        </is>
      </c>
      <c r="B8061" t="inlineStr">
        <is>
          <t>Really scared, need some answers maybe?</t>
        </is>
      </c>
      <c r="C8061" t="inlineStr">
        <is>
          <t>So... Ill start off with this. I quit drinking alcohol about 3 months ago. And thats when a lot of my issues started. In the last 2 months ive been rushed to hospital, absolitely sure i was having a heart attack (never had one but the symptoms add up). All 3 times theyve said im fine after a full blood workup and ECG/EKG. I get an overall unwell feeling, dizzy, lightheaded, anxiety feeling with sharp pains in the stomach, chest pain, hard time breathing, most times i get a pain in my left arm and/or neck... I was released from the ER 3 days ago and its still happening, i was given pantoprazole as they said it MUST be GERD as this point (i think the ER is fed up with me being "okay", but as ive said, i do not feel okay. It happens when i wake up, when i walk around a lot (shopping) after i eat and sometimes just driving in my car! I get the occasional sweats and very warm feeling in my face as well.
I literally think im having angina or heart attack symptoms but the hospital said its either GERD or I'm pretty much insane 😒
ANY insight would be great (im not asking to be diagnosed, but rather, can all these be a GERD thing or do i need to smack some heads for more tests to be done?) as im afraid i wont make it another day to see my husband and family 😭 My doctor also said he has no idea where to begin (in case it gets asked).</t>
        </is>
      </c>
      <c r="D8061" t="n">
        <v>4</v>
      </c>
      <c r="E8061" t="n">
        <v>11</v>
      </c>
      <c r="F8061">
        <f>HYPERLINK("https://www.reddit.com/r/GERD/comments/h7fn19/really_scared_need_some_answers_maybe/")</f>
        <v/>
      </c>
      <c r="G8061" t="inlineStr">
        <is>
          <t>2020-06-11 23:42:07</t>
        </is>
      </c>
      <c r="H8061" t="inlineStr"/>
    </row>
    <row r="8062">
      <c r="A8062" t="inlineStr">
        <is>
          <t>h7fxm4</t>
        </is>
      </c>
      <c r="B8062" t="inlineStr">
        <is>
          <t>H Pylori, can anyone help?</t>
        </is>
      </c>
      <c r="C8062" t="inlineStr">
        <is>
          <t>It’s 1:39 am, I can’t sleep. I have been sick since Friday 6/5. I had a sinus infection. It was really bad. I was diagnosed with H Pylori yesterday morning at 8am. I was given 3 medications doxycycline, metronidazole, and omeprazole. I am scared I am hurting my body with the Metronidazole. It is the only medication this is giving me side effects. I am supposed to take it 4 times a day. But because I got it so late, I was only able to take 3. After the first dosage my right calf got a little tight and my right foot got cold. I called my dr and told him about it. I did take all 3 medications at the same time when I got home. I was just in a hurry to get over this horrible virus. So my dr said it was probably a shock to my system and told me to continue but space them an hour apart. 2nd dosage, I felt a cool rush in my left hamstring. I was also able to feel it with my hand. Also my left food got cold. I figured i need to get used to it. I just really had getting over this virus on my mind. 3rd dosage that I took 2-3 hours ago is still affecting me. Not to long after i took it, my neck started getting stiff and swollen. I looked at my tonsils and they are a darker red. Maybe it’s just me, but the angle of the back of my throat seems to have slanted (I’ll get back to why). My femurs on both legs are hurting me on the outside close to my hips. They are tender to the touch. I have tried sleeping because I do feel a slight less of my H Pylori symptoms. But because of the different angle that the entrance to the back of my throat looks. I breath and something gets closed off and It blocks my breathing for half a second. I have a bad back and  Nerve damage. But after all of this and never been comfortable, I now have severe back pain. To the point that it gets worse than the H pylori. Also, I have not been eating as much as I should, my stomach is upset that all I could it is a small salsa bowl of apple sauce. I have slept about 10 hours since Monday. I have 2 kids and a wife. I am losing it, I’ve been quarantined in hour guest room. I have been going threw moments of frustration, anger towards my self and illness, and slightly depressed. Randomly crying because I just want to be with my family and get over this. I am still running a fever, it fluctuates all day everyday. From 99.1-102. I just need some help, possibly words of encouragement. I am emotionally loosing this fight. If someone can help me, please do. I will update after I see my doctor again tomorrow about these side effects.</t>
        </is>
      </c>
      <c r="D8062" t="n">
        <v>3</v>
      </c>
      <c r="E8062" t="n">
        <v>17</v>
      </c>
      <c r="F8062">
        <f>HYPERLINK("https://www.reddit.com/r/GERD/comments/h7fxm4/h_pylori_can_anyone_help/")</f>
        <v/>
      </c>
      <c r="G8062" t="inlineStr">
        <is>
          <t>2020-06-12 00:07:05</t>
        </is>
      </c>
      <c r="H8062" t="inlineStr"/>
    </row>
    <row r="8063">
      <c r="A8063" t="inlineStr">
        <is>
          <t>h7h7z3</t>
        </is>
      </c>
      <c r="B8063" t="inlineStr">
        <is>
          <t>Cannabis is the only thing that can give me relief</t>
        </is>
      </c>
      <c r="C8063" t="inlineStr">
        <is>
          <t>When I wake up in the middle of the night from the feeling of burning stomach acid and gas, I simply throw some weed into my vape and minutes later I let out a few burps that give me instant relief. Its magic. I feel no discomfort at all afterwards and can go back to bed comfortably. Ah man what would I do without it?</t>
        </is>
      </c>
      <c r="D8063" t="n">
        <v>43</v>
      </c>
      <c r="E8063" t="n">
        <v>65</v>
      </c>
      <c r="F8063">
        <f>HYPERLINK("https://www.reddit.com/r/GERD/comments/h7h7z3/cannabis_is_the_only_thing_that_can_give_me_relief/")</f>
        <v/>
      </c>
      <c r="G8063" t="inlineStr">
        <is>
          <t>2020-06-12 02:01:33</t>
        </is>
      </c>
      <c r="H8063" t="inlineStr"/>
    </row>
    <row r="8064">
      <c r="A8064" t="inlineStr">
        <is>
          <t>h7hs13</t>
        </is>
      </c>
      <c r="B8064" t="inlineStr">
        <is>
          <t>Is it normal? Or is it a sign that my gerd is healing</t>
        </is>
      </c>
      <c r="C8064" t="inlineStr">
        <is>
          <t>I don’t experience heartburn and nausea anymore for months but I’m still suffering from chronic belching especially after meals and before sleeping everyday. And i always have that mucus on my throat everytime i wake up every morning</t>
        </is>
      </c>
      <c r="D8064" t="n">
        <v>1</v>
      </c>
      <c r="E8064" t="n">
        <v>4</v>
      </c>
      <c r="F8064">
        <f>HYPERLINK("https://www.reddit.com/r/GERD/comments/h7hs13/is_it_normal_or_is_it_a_sign_that_my_gerd_is/")</f>
        <v/>
      </c>
      <c r="G8064" t="inlineStr">
        <is>
          <t>2020-06-12 02:50:55</t>
        </is>
      </c>
      <c r="H8064" t="inlineStr"/>
    </row>
    <row r="8065">
      <c r="A8065" t="inlineStr">
        <is>
          <t>h7kh6n</t>
        </is>
      </c>
      <c r="B8065" t="inlineStr">
        <is>
          <t>Delayed Symptoms (24-48 hours)</t>
        </is>
      </c>
      <c r="C8065" t="inlineStr">
        <is>
          <t>I've been on Protonix (Pantaprozole) for over year now for to treat my diagnosed LPR.  I have cut out all trigger foods at this point from my diet but will have a single alcoholic drink 1-2 times a week max.  
The weird thing is when I drink I never feel symptoms right away.  Sometimes the following morning, but usually I will wake up with symptoms (sore chest feeling, cough, back pain) 24-48 hours later.  I've definitely heard of it getting worse the following morning (as it gets worse when you sleep), but 2 days later seems odd to me.
Has anyone experienced similar effects?  It seems weird to me that it takes nearly 2 days for my symptoms to appear.  I have an appointment with my doc (via video) next week but was curious if others dealt with the same and what they did to cope.</t>
        </is>
      </c>
      <c r="D8065" t="n">
        <v>1</v>
      </c>
      <c r="E8065" t="n">
        <v>10</v>
      </c>
      <c r="F8065">
        <f>HYPERLINK("https://www.reddit.com/r/GERD/comments/h7kh6n/delayed_symptoms_2448_hours/")</f>
        <v/>
      </c>
      <c r="G8065" t="inlineStr">
        <is>
          <t>2020-06-12 06:14:43</t>
        </is>
      </c>
      <c r="H8065" t="inlineStr"/>
    </row>
    <row r="8066">
      <c r="A8066" t="inlineStr">
        <is>
          <t>h7kh8u</t>
        </is>
      </c>
      <c r="B8066" t="inlineStr">
        <is>
          <t>Stomach discomfort</t>
        </is>
      </c>
      <c r="C8066" t="inlineStr">
        <is>
          <t>I’ve started weaning off my Pantoprazole, the schedule I got from my doc is a very slow wean. I’m on 80 mg Pantoprazole, so the frequency for this first week was to do 60mg one day and as the weeks go by to increase the frequency until I’m able to stay on 60 and then do the same to go down 20mg at a time slowly for a few weeks. So as this weeks being the first week, I took 60mg on Wednesday and then Thursday morning started having stomach discomfort. It doesn’t hurt, just like a feeling of a sensitive stomach. I’ve been trying to eat lighter meals , and trying to eat clean as I come down off this medication. I wanted to know if anyone had any issues with stomach discomfort coming down off this medication. As I was scared of the acid rebound, and why I’m going so slow is because of that reason. But not sure why I’m experiencing such a symptom. Anyone care to share if they had the same thing happen?!? Thanks</t>
        </is>
      </c>
      <c r="D8066" t="n">
        <v>1</v>
      </c>
      <c r="E8066" t="n">
        <v>1</v>
      </c>
      <c r="F8066">
        <f>HYPERLINK("https://www.reddit.com/r/GERD/comments/h7kh8u/stomach_discomfort/")</f>
        <v/>
      </c>
      <c r="G8066" t="inlineStr">
        <is>
          <t>2020-06-12 06:14:51</t>
        </is>
      </c>
      <c r="H8066" t="inlineStr"/>
    </row>
    <row r="8067">
      <c r="A8067" t="inlineStr">
        <is>
          <t>h7l02r</t>
        </is>
      </c>
      <c r="B8067" t="inlineStr">
        <is>
          <t>PLEASE Help</t>
        </is>
      </c>
      <c r="C8067" t="inlineStr">
        <is>
          <t>Hi friends. I recently started taking Pantoprazole and complete changed my diet/lifestyle. I quit the dab pen at the beginning of this month, increased my water intake exponentially, started taking a fiber supplement, I’m sleeping elevated; and, I’m not eating after 7 PM. I am still waking up dry heaving every day and absolutely nothing has helped. I’ve lost like 25lbs (which I needed to) and I just want to feel better. I HATE being nauseated all day. 
At first I thought it was from the carts I was smoking as the dispensary closed so I turned to the street for a month or two. Then I figured it was withdrawals. If anybody has any recommendations please let me know. I’m going to head to the dispensary next week to pic up a cart that’s 100% legit as my doctor recommended it. 
I’m just so stressed and don’t feel like starting my day over the sink booting.</t>
        </is>
      </c>
      <c r="D8067" t="n">
        <v>5</v>
      </c>
      <c r="E8067" t="n">
        <v>9</v>
      </c>
      <c r="F8067">
        <f>HYPERLINK("https://www.reddit.com/r/GERD/comments/h7l02r/please_help/")</f>
        <v/>
      </c>
      <c r="G8067" t="inlineStr">
        <is>
          <t>2020-06-12 06:48:21</t>
        </is>
      </c>
      <c r="H8067" t="inlineStr"/>
    </row>
    <row r="8068">
      <c r="A8068" t="inlineStr">
        <is>
          <t>h7lkv1</t>
        </is>
      </c>
      <c r="B8068" t="inlineStr">
        <is>
          <t>Do most fat people get reflux and gerd?</t>
        </is>
      </c>
      <c r="C8068" t="inlineStr">
        <is>
          <t>(I've lost 30kgs (66lbs) in past year, from eating healthy foods and small frequent meals,  I'm thinnish now, energetic, feeling good, and symptom free for past few weeks.)
I'm curious, do most overweight/obese/fat people have reflux or gerd issues? It's hard to imagine them not having issues, since I've only had issues while fat.
But if not, how do they avoid it getting it? Isn't the bigger meals and such likely to give reflux? Or is it just that they avoid trigger foods? (eg. maybe they don't have too much soda or chocolate, which seem to be my bane).</t>
        </is>
      </c>
      <c r="D8068" t="n">
        <v>4</v>
      </c>
      <c r="E8068" t="n">
        <v>6</v>
      </c>
      <c r="F8068">
        <f>HYPERLINK("https://www.reddit.com/r/GERD/comments/h7lkv1/do_most_fat_people_get_reflux_and_gerd/")</f>
        <v/>
      </c>
      <c r="G8068" t="inlineStr">
        <is>
          <t>2020-06-12 07:22:31</t>
        </is>
      </c>
      <c r="H8068" t="inlineStr"/>
    </row>
    <row r="8069">
      <c r="A8069" t="inlineStr">
        <is>
          <t>h7m28u</t>
        </is>
      </c>
      <c r="B8069" t="inlineStr">
        <is>
          <t>Food getting stuck</t>
        </is>
      </c>
      <c r="C8069" t="inlineStr">
        <is>
          <t>Does anyone else feel like no matter what you eat it gets stuck or feels as if it’s stuck?</t>
        </is>
      </c>
      <c r="D8069" t="n">
        <v>1</v>
      </c>
      <c r="E8069" t="n">
        <v>1</v>
      </c>
      <c r="F8069">
        <f>HYPERLINK("https://www.reddit.com/r/GERD/comments/h7m28u/food_getting_stuck/")</f>
        <v/>
      </c>
      <c r="G8069" t="inlineStr">
        <is>
          <t>2020-06-12 07:50:13</t>
        </is>
      </c>
      <c r="H8069" t="inlineStr"/>
    </row>
    <row r="8070">
      <c r="A8070" t="inlineStr">
        <is>
          <t>h7mp7h</t>
        </is>
      </c>
      <c r="B8070" t="inlineStr">
        <is>
          <t>Endoscopy</t>
        </is>
      </c>
      <c r="C8070" t="inlineStr">
        <is>
          <t>I just had my endoscopy but they haven't found anything. What could be the reason of my excessive burping guys. I have used pantaprazol and omeprazol didn't really help and now the endoscopy came positive thank god. Any tips or advice would be greatly appreciated.</t>
        </is>
      </c>
      <c r="D8070" t="n">
        <v>2</v>
      </c>
      <c r="E8070" t="n">
        <v>6</v>
      </c>
      <c r="F8070">
        <f>HYPERLINK("https://www.reddit.com/r/GERD/comments/h7mp7h/endoscopy/")</f>
        <v/>
      </c>
      <c r="G8070" t="inlineStr">
        <is>
          <t>2020-06-12 08:24:13</t>
        </is>
      </c>
      <c r="H8070" t="inlineStr"/>
    </row>
    <row r="8071">
      <c r="A8071" t="inlineStr">
        <is>
          <t>h7nhzq</t>
        </is>
      </c>
      <c r="B8071" t="inlineStr">
        <is>
          <t>How I cured my LPR</t>
        </is>
      </c>
      <c r="C8071" t="inlineStr">
        <is>
          <t>Hello All,
I just wanted to come on here and say there's hope. I always got symptoms of LPR after the flu (I'm assuming my vocal cords were irritated and the pepsin just made it worse). Well this time it was really bad, I had it for about 3 months before I started reading the Cutting Acid book. 
After 2 weeks of strict diet and alkaline water pH of 9+ (gargle and drink 1L a day). I feel so much better. 
I can proudly say that if I don't eat anything before 3 hours of laying in bed I can drink beer, eat whatever I want. 
It is possible. Stay strong. 
LPR is not life long, regardless of what people say. It kinda pops up back in your life and you need to be strict with your diet. 
I enjoy what I eat now and will probably never go back to eating unhealthy. 
According to Dr. Koufman even the most severe reflux can be healed. 
http://www.voiceinstituteofnewyork.com/principles-of-dietary-lifestyle-modification-in-the-management-of-airway-reflux-lpr/
Here's a quick link for y'all. 
Cheer up be happy.
Edit: when I get sick now I go on a strict diet. It really helps if you have flare ups when your vocal cords are worked up.</t>
        </is>
      </c>
      <c r="D8071" t="n">
        <v>6</v>
      </c>
      <c r="E8071" t="n">
        <v>9</v>
      </c>
      <c r="F8071">
        <f>HYPERLINK("https://www.reddit.com/r/GERD/comments/h7nhzq/how_i_cured_my_lpr/")</f>
        <v/>
      </c>
      <c r="G8071" t="inlineStr">
        <is>
          <t>2020-06-12 09:05:00</t>
        </is>
      </c>
      <c r="H8071" t="inlineStr"/>
    </row>
    <row r="8072">
      <c r="A8072" t="inlineStr">
        <is>
          <t>h7nvir</t>
        </is>
      </c>
      <c r="B8072" t="inlineStr">
        <is>
          <t>Anyone diagnosed with fatty liver? Study says it's linked with PPI use...</t>
        </is>
      </c>
      <c r="C8072" t="inlineStr">
        <is>
          <t>Got diagnosed with fatty liver this week and found this yesterday:
https://health.ucsd.edu/news/releases/pages/2017-10-10-common-acid-reflux-medications-promote-chronic-liver-disease.aspx
Don't know what to do, i'm doing everything to reverse this condition (diet and exercise) but don't know how i will be able to stop taking medication for GERD...</t>
        </is>
      </c>
      <c r="D8072" t="n">
        <v>7</v>
      </c>
      <c r="E8072" t="n">
        <v>18</v>
      </c>
      <c r="F8072">
        <f>HYPERLINK("https://www.reddit.com/r/GERD/comments/h7nvir/anyone_diagnosed_with_fatty_liver_study_says_its/")</f>
        <v/>
      </c>
      <c r="G8072" t="inlineStr">
        <is>
          <t>2020-06-12 09:24:36</t>
        </is>
      </c>
      <c r="H8072" t="inlineStr"/>
    </row>
    <row r="8073">
      <c r="A8073" t="inlineStr">
        <is>
          <t>h7qa80</t>
        </is>
      </c>
      <c r="B8073" t="inlineStr">
        <is>
          <t>I've had gerd for about 5 years</t>
        </is>
      </c>
      <c r="C8073" t="inlineStr">
        <is>
          <t>Hello, I am a 14 year old from Ireland and everyday I feel the symptoms of gerd. It's mostly a kind of scratchy feeling in the throat but I do sometimes get the sharp burning feeling in my chest. I remember my first memory of having a symptom I was at a friends birthday party and after jumping on the bouncy castle for a while I felt like there was a fly in the back of my throat. I was really scared and thought I was going to choke. 
Every memory I have of the last few years is always if my throat felt bad that day. Sometimes it's really bad and sometimes it's just a bit scratchy.
I went to the doctor and was diagnosed with gerd and was on medication. The doctor said to also avoid trigger foods but for some reason I didn't take the diet that seriously. I think I thought that if I was having the medication it wouldn't matter if I had a bit of pizza or chocolate.
It definitely improved but I still had symptoms. When I finished the medication it was still happening. I wasn't really avoiding trigger foods but tried my best. I didn't do anything for a few months an just tried to live with it. 
Now, I really want to get 100% symptom free because I think it's making me anxious and not confident. I am more strict on avoiding trigger foods and trying aloe vera juice but if I accidentally have a trigger food it causes the annoying symptoms and sometimes it can last a whole day. I'm going to keep up the diet for a month and then go back to the doctor and see what I should do. 
Is there something else I should be doing so I can increase the chances of becoming 100% symptom free?
Thanks :)
(Ps I'm not overweight but don't do a lot of exercise but I do walk and sometimes cycle a few times a week. When I'm doing sports my symptoms can sometimes decrease or increase depending on what I ate before)</t>
        </is>
      </c>
      <c r="D8073" t="n">
        <v>13</v>
      </c>
      <c r="E8073" t="n">
        <v>7</v>
      </c>
      <c r="F8073">
        <f>HYPERLINK("https://www.reddit.com/r/GERD/comments/h7qa80/ive_had_gerd_for_about_5_years/")</f>
        <v/>
      </c>
      <c r="G8073" t="inlineStr">
        <is>
          <t>2020-06-12 11:30:37</t>
        </is>
      </c>
      <c r="H8073" t="inlineStr"/>
    </row>
    <row r="8074">
      <c r="A8074" t="inlineStr">
        <is>
          <t>h7qj64</t>
        </is>
      </c>
      <c r="B8074" t="inlineStr">
        <is>
          <t>Can you get hiatal hernia repair without fundoplication?</t>
        </is>
      </c>
      <c r="C8074" t="inlineStr">
        <is>
          <t>from what ive been reading it seems everyone getting surgery gets the hital hernia repair + nissen or Tif or linx. Is it possible to just do the hernia repair? Wouldn't repairing the hernia alone fix the GERD?</t>
        </is>
      </c>
      <c r="D8074" t="n">
        <v>2</v>
      </c>
      <c r="E8074" t="n">
        <v>3</v>
      </c>
      <c r="F8074">
        <f>HYPERLINK("https://www.reddit.com/r/GERD/comments/h7qj64/can_you_get_hiatal_hernia_repair_without/")</f>
        <v/>
      </c>
      <c r="G8074" t="inlineStr">
        <is>
          <t>2020-06-12 11:43:41</t>
        </is>
      </c>
      <c r="H8074" t="inlineStr"/>
    </row>
    <row r="8075">
      <c r="A8075" t="inlineStr">
        <is>
          <t>h7qo74</t>
        </is>
      </c>
      <c r="B8075" t="inlineStr">
        <is>
          <t>Exercising with GERD</t>
        </is>
      </c>
      <c r="C8075" t="inlineStr">
        <is>
          <t>Hi All,
I was wondering if anyone had any tips for exercising with Gerd. Most of the time when I start exercising I end up getting that deep cough and I have to stop. Any tips or advice would help greatly. Thank you so much!</t>
        </is>
      </c>
      <c r="D8075" t="n">
        <v>13</v>
      </c>
      <c r="E8075" t="n">
        <v>8</v>
      </c>
      <c r="F8075">
        <f>HYPERLINK("https://www.reddit.com/r/GERD/comments/h7qo74/exercising_with_gerd/")</f>
        <v/>
      </c>
      <c r="G8075" t="inlineStr">
        <is>
          <t>2020-06-12 11:51:20</t>
        </is>
      </c>
      <c r="H8075" t="inlineStr"/>
    </row>
    <row r="8076">
      <c r="A8076" t="inlineStr">
        <is>
          <t>h7v2ac</t>
        </is>
      </c>
      <c r="B8076" t="inlineStr">
        <is>
          <t>Protonix (Pantoprazole 40mg) Question</t>
        </is>
      </c>
      <c r="C8076" t="inlineStr">
        <is>
          <t>I have been taking generic 2, 20mg tablets making it 40mg in total every morning. I took that does for about 2 months. Yesterday when I went to get my prescription filled the pill looks different this time since I’m taking just 1 whole pill. It is a white pill with the number 17 inscribed on the tablet. I woke up this morning with a little bit of chest burning, after taking the new medicine brand it doesn’t seem to be helping with the burning. My question is, when you switch brands could it be less effective? Or have I built a tolerance for the medicine in general and it’s not as effective anymore?</t>
        </is>
      </c>
      <c r="D8076" t="n">
        <v>2</v>
      </c>
      <c r="E8076" t="n">
        <v>5</v>
      </c>
      <c r="F8076">
        <f>HYPERLINK("https://www.reddit.com/r/GERD/comments/h7v2ac/protonix_pantoprazole_40mg_question/")</f>
        <v/>
      </c>
      <c r="G8076" t="inlineStr">
        <is>
          <t>2020-06-12 15:52:30</t>
        </is>
      </c>
      <c r="H8076" t="inlineStr"/>
    </row>
    <row r="8077">
      <c r="A8077" t="inlineStr">
        <is>
          <t>h7vvx0</t>
        </is>
      </c>
      <c r="B8077" t="inlineStr">
        <is>
          <t>how do you deal with insomnia from pepcid?</t>
        </is>
      </c>
      <c r="C8077" t="inlineStr">
        <is>
          <t>Pepcid works well for me but it gives me horrible insomnia - to where I cant even fall asleep and end up having to take a benadryl to knock me out. So i basically i take benadryl + pepcid every night.
Sadly I cant get zantac anymore it seems and I guesss Nizatidine isn't sold in the US cos I cant find it anywhere. Only other option is to take Tagamet, which I read has a side effect of "swelling of the breast" which is gyno I think? 
Do any of you guys experience insomnia from pepcid? What do you do? Should I just keep doing benny + peppy? I got my Ct scan next week, man I hope they can figure out something and put an end to this hell!</t>
        </is>
      </c>
      <c r="D8077" t="n">
        <v>4</v>
      </c>
      <c r="E8077" t="n">
        <v>11</v>
      </c>
      <c r="F8077">
        <f>HYPERLINK("https://www.reddit.com/r/GERD/comments/h7vvx0/how_do_you_deal_with_insomnia_from_pepcid/")</f>
        <v/>
      </c>
      <c r="G8077" t="inlineStr">
        <is>
          <t>2020-06-12 16:37:22</t>
        </is>
      </c>
      <c r="H8077" t="inlineStr"/>
    </row>
    <row r="8078">
      <c r="A8078" t="inlineStr">
        <is>
          <t>h7wmfv</t>
        </is>
      </c>
      <c r="B8078" t="inlineStr">
        <is>
          <t>Finally got the ball rolling on an endoscopy</t>
        </is>
      </c>
      <c r="C8078" t="inlineStr">
        <is>
          <t>I’ve been anxious about the pandemic and wanting to go out very little but I figured putting it off indefinitely could have serious consequences. Thanks for the advice from people on this sub.</t>
        </is>
      </c>
      <c r="D8078" t="n">
        <v>12</v>
      </c>
      <c r="E8078" t="n">
        <v>16</v>
      </c>
      <c r="F8078">
        <f>HYPERLINK("https://www.reddit.com/r/GERD/comments/h7wmfv/finally_got_the_ball_rolling_on_an_endoscopy/")</f>
        <v/>
      </c>
      <c r="G8078" t="inlineStr">
        <is>
          <t>2020-06-12 17:18:52</t>
        </is>
      </c>
      <c r="H8078" t="inlineStr"/>
    </row>
    <row r="8079">
      <c r="A8079" t="inlineStr">
        <is>
          <t>h7wozc</t>
        </is>
      </c>
      <c r="B8079" t="inlineStr">
        <is>
          <t>Sometime I Clear My Throat, Is it Silent Reflux</t>
        </is>
      </c>
      <c r="C8079" t="inlineStr">
        <is>
          <t>Sometimes after I eat I clear my throat. I've went to my doctor about it but he isn't even sure. I have looked up silent reflux, but I am not sure if its that or not. The other other symptom I have on the list of LPR symptoms is sometimes I cough, but again its not an everyday thing. For clearing my throat, I have noticed I usually only do it after I eat greasy or really processed foods. If I eat something like chicken and veggies, I don't get it. Could it be silent reflux?</t>
        </is>
      </c>
      <c r="D8079" t="n">
        <v>2</v>
      </c>
      <c r="E8079" t="n">
        <v>1</v>
      </c>
      <c r="F8079">
        <f>HYPERLINK("https://www.reddit.com/r/GERD/comments/h7wozc/sometime_i_clear_my_throat_is_it_silent_reflux/")</f>
        <v/>
      </c>
      <c r="G8079" t="inlineStr">
        <is>
          <t>2020-06-12 17:23:00</t>
        </is>
      </c>
      <c r="H8079" t="inlineStr"/>
    </row>
    <row r="8080">
      <c r="A8080" t="inlineStr">
        <is>
          <t>h7xjmd</t>
        </is>
      </c>
      <c r="B8080" t="inlineStr">
        <is>
          <t>What typically qualifies you as a “good candidate” to surgery.</t>
        </is>
      </c>
      <c r="C8080" t="inlineStr">
        <is>
          <t>I often see people say their doctor thinks they are a good candidate for various GERD centric surgery. What qualifications are you typically “meeting” if you are aware of them?</t>
        </is>
      </c>
      <c r="D8080" t="n">
        <v>8</v>
      </c>
      <c r="E8080" t="n">
        <v>23</v>
      </c>
      <c r="F8080">
        <f>HYPERLINK("https://www.reddit.com/r/GERD/comments/h7xjmd/what_typically_qualifies_you_as_a_good_candidate/")</f>
        <v/>
      </c>
      <c r="G8080" t="inlineStr">
        <is>
          <t>2020-06-12 18:13:54</t>
        </is>
      </c>
      <c r="H8080" t="inlineStr"/>
    </row>
    <row r="8081">
      <c r="A8081" t="inlineStr">
        <is>
          <t>h7zgga</t>
        </is>
      </c>
      <c r="B8081" t="inlineStr">
        <is>
          <t>Very very new to this fun Journey</t>
        </is>
      </c>
      <c r="C8081" t="inlineStr">
        <is>
          <t>Does anyone get thick white phlegm stuck at the back of their throat that burns a little bit?</t>
        </is>
      </c>
      <c r="D8081" t="n">
        <v>2</v>
      </c>
      <c r="E8081" t="n">
        <v>8</v>
      </c>
      <c r="F8081">
        <f>HYPERLINK("https://www.reddit.com/r/GERD/comments/h7zgga/very_very_new_to_this_fun_journey/")</f>
        <v/>
      </c>
      <c r="G8081" t="inlineStr">
        <is>
          <t>2020-06-12 20:14:46</t>
        </is>
      </c>
      <c r="H8081" t="inlineStr"/>
    </row>
    <row r="8082">
      <c r="A8082" t="inlineStr">
        <is>
          <t>h8080c</t>
        </is>
      </c>
      <c r="B8082" t="inlineStr">
        <is>
          <t>Why do Opioids stop my GERD?</t>
        </is>
      </c>
      <c r="C8082" t="inlineStr">
        <is>
          <t>Can someone explain the process ?</t>
        </is>
      </c>
      <c r="D8082" t="n">
        <v>3</v>
      </c>
      <c r="E8082" t="n">
        <v>4</v>
      </c>
      <c r="F8082">
        <f>HYPERLINK("https://www.reddit.com/r/GERD/comments/h8080c/why_do_opioids_stop_my_gerd/")</f>
        <v/>
      </c>
      <c r="G8082" t="inlineStr">
        <is>
          <t>2020-06-12 21:06:43</t>
        </is>
      </c>
      <c r="H8082" t="inlineStr"/>
    </row>
    <row r="8083">
      <c r="A8083" t="inlineStr">
        <is>
          <t>h80vdq</t>
        </is>
      </c>
      <c r="B8083" t="inlineStr">
        <is>
          <t>So I overate</t>
        </is>
      </c>
      <c r="C8083" t="inlineStr">
        <is>
          <t>I overate my dinner. It is my favorite food. Now I am paying for it. I feel the food like waves hitting the top of my stomach. I feel pressure in my chest and a little nauseous. I keep burping and it lowers the pressure. It keeps repeating. I hate it but I have to get to through it. I have been here before. My anxiety would make me believe it was my heart acting up. I ended up 3 times in the ER. All three times it was GERD related. Here comes another wave. Burp. It leaves. It comes back. Another burp. It leaves again. Random pain shows up in my legs or arms, my anxiety tries to tell me it is my heart or I am getting a stroke. Nope, just my health anxiety going wild. Here it comes again big wave. Burp. Gone. By now back in the start of this, I would be having a full blown panic attack.perhaps it is time for an antacid. My irrational side plays Spongebob when he looks at water and he says, "IIIIIIIIII dooooooooonnnnnnnnt neeeeeeeed ittttttttttt!!!!". Take a deep breath u/lafc88, it is just your anxiety. You have GERD. You will make it through. Now take the damn antacid. Or risk another strong flare up that will send you back to taking omeprazole. Ohhhhh one more thing! Eat better. You know pupusas are not good for you. Just eat one next time. Let it be a lesson. Don't overdo it and eat healthy foods. Now take the damn antacid and go through the storm.</t>
        </is>
      </c>
      <c r="D8083" t="n">
        <v>22</v>
      </c>
      <c r="E8083" t="n">
        <v>18</v>
      </c>
      <c r="F8083">
        <f>HYPERLINK("https://www.reddit.com/r/GERD/comments/h80vdq/so_i_overate/")</f>
        <v/>
      </c>
      <c r="G8083" t="inlineStr">
        <is>
          <t>2020-06-12 21:53:14</t>
        </is>
      </c>
      <c r="H8083" t="inlineStr"/>
    </row>
    <row r="8084">
      <c r="A8084" t="inlineStr">
        <is>
          <t>h80xej</t>
        </is>
      </c>
      <c r="B8084" t="inlineStr">
        <is>
          <t>breathing problems from gerd?</t>
        </is>
      </c>
      <c r="C8084" t="inlineStr">
        <is>
          <t>yeh im being told all my issues are caused by gerd. shortness of breath. dried out nose. vocal chord dysfunction</t>
        </is>
      </c>
      <c r="D8084" t="n">
        <v>1</v>
      </c>
      <c r="E8084" t="n">
        <v>1</v>
      </c>
      <c r="F8084">
        <f>HYPERLINK("https://www.reddit.com/r/GERD/comments/h80xej/breathing_problems_from_gerd/")</f>
        <v/>
      </c>
      <c r="G8084" t="inlineStr">
        <is>
          <t>2020-06-12 21:57:30</t>
        </is>
      </c>
      <c r="H8084" t="inlineStr"/>
    </row>
    <row r="8085">
      <c r="A8085" t="inlineStr">
        <is>
          <t>h812xl</t>
        </is>
      </c>
      <c r="B8085" t="inlineStr">
        <is>
          <t>Best chips for GERD diet?</t>
        </is>
      </c>
      <c r="C8085" t="inlineStr">
        <is>
          <t>Thoughts on what the best chips are?
Has anyone tried baked cheese Cheetos?</t>
        </is>
      </c>
      <c r="D8085" t="n">
        <v>1</v>
      </c>
      <c r="E8085" t="n">
        <v>3</v>
      </c>
      <c r="F8085">
        <f>HYPERLINK("https://www.reddit.com/r/GERD/comments/h812xl/best_chips_for_gerd_diet/")</f>
        <v/>
      </c>
      <c r="G8085" t="inlineStr">
        <is>
          <t>2020-06-12 22:08:20</t>
        </is>
      </c>
      <c r="H8085" t="inlineStr"/>
    </row>
    <row r="8086">
      <c r="A8086" t="inlineStr">
        <is>
          <t>h814r7</t>
        </is>
      </c>
      <c r="B8086" t="inlineStr">
        <is>
          <t>Extreme swallowing difficulty and G.E.R.D</t>
        </is>
      </c>
      <c r="C8086" t="inlineStr">
        <is>
          <t>My story:
I already did bunch of exams, blood work, upper gi endoscopy, swallowing study, ENT checks. Find that I got no obstruction on either my throat, my esophagus, and stomach, no heart problem. However, they do find me have g.e.r.d, but the swallowing problems and the chest trapped with gas sensation are always there. I can now only be able to drink liquid (with difficulty, feel like my throat got some issue to let it down, the epiglottis area but ENT doctors said they are normal) and some sherrdred food.
Every time I swallow even a bit of water, I just feel some gas coming up to my throat. And I have to let it out. It already becomes a daily basis, and I think my throat and its muscle memory is already damaged because of these 2 months of horrible burping. When I don't let it out, it make my swallowing even more difficult. Sometimes, I have shortness of breath feeling. Later on, it goes frequently that I needed to clear my throat, associated with my front neck pain, and the super-tight neck muscle on the back. My spine is somewhat not straight now. It getting intense.
What can it be? I about to do a couple of spine exams and GI motility tests in the upcoming week. A complete MRI on the spine. My lower back spine suddenly causing much more pain to me. Constipation comes afterward. I don't know is that related to my sleeping posture. I trends to sleep with my legs crossed to relieve the pain in the chest and abdominal area.
Losing 20 pounds in 3 months is no joke.</t>
        </is>
      </c>
      <c r="D8086" t="n">
        <v>2</v>
      </c>
      <c r="E8086" t="n">
        <v>0</v>
      </c>
      <c r="F8086">
        <f>HYPERLINK("https://www.reddit.com/r/GERD/comments/h814r7/extreme_swallowing_difficulty_and_gerd/")</f>
        <v/>
      </c>
      <c r="G8086" t="inlineStr">
        <is>
          <t>2020-06-12 22:12:06</t>
        </is>
      </c>
      <c r="H8086" t="inlineStr"/>
    </row>
    <row r="8087">
      <c r="A8087" t="inlineStr">
        <is>
          <t>h81r9h</t>
        </is>
      </c>
      <c r="B8087" t="inlineStr">
        <is>
          <t>So how exactly is GERD distinguished from LPR in a diagnosis?</t>
        </is>
      </c>
      <c r="C8087" t="inlineStr">
        <is>
          <t>Do you get a specific LPR diagnosis, and how do doctors tell the two apart?</t>
        </is>
      </c>
      <c r="D8087" t="n">
        <v>1</v>
      </c>
      <c r="E8087" t="n">
        <v>3</v>
      </c>
      <c r="F8087">
        <f>HYPERLINK("https://www.reddit.com/r/GERD/comments/h81r9h/so_how_exactly_is_gerd_distinguished_from_lpr_in/")</f>
        <v/>
      </c>
      <c r="G8087" t="inlineStr">
        <is>
          <t>2020-06-12 22:59:12</t>
        </is>
      </c>
      <c r="H8087" t="inlineStr"/>
    </row>
    <row r="8088">
      <c r="A8088" t="inlineStr">
        <is>
          <t>h821ge</t>
        </is>
      </c>
      <c r="B8088" t="inlineStr">
        <is>
          <t>Hiatal hernia suspicions</t>
        </is>
      </c>
      <c r="C8088" t="inlineStr">
        <is>
          <t>Hey, to anyone who is actually diagnosed with a HH, do you get mostly LPR symptoms ? 
I’ve had LPR for like 2.5 years now with no addressing to why I have it, except for an endoscopy that didn’t show anything. I get back pain sometimes chest pain, and difficulty swallowing , especially with stuff like rice 🍚, and ‘short breath’ , not necessarily actually having shortness of breath but more like I have to take satisfying deep breaths because I feel so bloated and feel like I can’t breath correctly because of food in my upper esophagus , I’ve been on 2 Nexium a day for a while but it’s not much of a help</t>
        </is>
      </c>
      <c r="D8088" t="n">
        <v>2</v>
      </c>
      <c r="E8088" t="n">
        <v>3</v>
      </c>
      <c r="F8088">
        <f>HYPERLINK("https://www.reddit.com/r/GERD/comments/h821ge/hiatal_hernia_suspicions/")</f>
        <v/>
      </c>
      <c r="G8088" t="inlineStr">
        <is>
          <t>2020-06-12 23:20:43</t>
        </is>
      </c>
      <c r="H8088" t="inlineStr"/>
    </row>
    <row r="8089">
      <c r="A8089" t="inlineStr">
        <is>
          <t>h82f4i</t>
        </is>
      </c>
      <c r="B8089" t="inlineStr">
        <is>
          <t>GAVISCON out again?!!!</t>
        </is>
      </c>
      <c r="C8089" t="inlineStr">
        <is>
          <t>Can’t find it anywhere. The liquid one.</t>
        </is>
      </c>
      <c r="D8089" t="n">
        <v>1</v>
      </c>
      <c r="E8089" t="n">
        <v>4</v>
      </c>
      <c r="F8089">
        <f>HYPERLINK("https://www.reddit.com/r/GERD/comments/h82f4i/gaviscon_out_again/")</f>
        <v/>
      </c>
      <c r="G8089" t="inlineStr">
        <is>
          <t>2020-06-12 23:50:16</t>
        </is>
      </c>
      <c r="H8089" t="inlineStr"/>
    </row>
    <row r="8090">
      <c r="A8090" t="inlineStr">
        <is>
          <t>h83pql</t>
        </is>
      </c>
      <c r="B8090" t="inlineStr">
        <is>
          <t>Has PPI messed up any female's menstrual cycle?</t>
        </is>
      </c>
      <c r="C8090" t="inlineStr">
        <is>
          <t>I get mint now every two weeks, and it's very different than before.</t>
        </is>
      </c>
      <c r="D8090" t="n">
        <v>1</v>
      </c>
      <c r="E8090" t="n">
        <v>3</v>
      </c>
      <c r="F8090">
        <f>HYPERLINK("https://www.reddit.com/r/GERD/comments/h83pql/has_ppi_messed_up_any_females_menstrual_cycle/")</f>
        <v/>
      </c>
      <c r="G8090" t="inlineStr">
        <is>
          <t>2020-06-13 01:36:51</t>
        </is>
      </c>
      <c r="H8090" t="inlineStr"/>
    </row>
    <row r="8091">
      <c r="A8091" t="inlineStr">
        <is>
          <t>h83wh7</t>
        </is>
      </c>
      <c r="B8091" t="inlineStr">
        <is>
          <t>2 weeks of pantoprazole zero difference?</t>
        </is>
      </c>
      <c r="C8091" t="inlineStr">
        <is>
          <t>Hey guys I’ve been having some terrible acid reflux and my doctor prescribed pantoprazole for 30 days once every morning. I’m also taking 40 mg of Pepcid at night. She said it could take 1 week to a month before it kicks in but it’s been 2 weeks and I feel no difference. My symptoms have actually gotten much worse! Daytime and afternoon is okayish but I can’t even sleep at night anymore because my reflux is so bad. I have to standup every night or I can’t breathe. I literally have to stay standing the entire night. It feels like I’m breathing through a straw that’s being squeezed shut. I don’t know how much more of this I can take. Do you guys think I should push to see a GI immediately? My regular doc seems pretty nonchalant when I talk about my symptoms and it really frustrates me.
Also about a month ago when I was having these symptoms I was put on Naproxen and that seemed to help a lot but that doesn’t make any sense to me. A quick google search shows that NSAID’s actually make GERD worse. I’m definitely having acid reflux though! The burping, regurgitating food, gas passing, nasal drip, and chest/throat tightness. I suspect a hernia from when I binged and ate pounds of food multiple times a day for a few weeks but I’m not a doc so who knows. I was smoking kush and just kept eating and eating after. I’ve never ate that much food in my entire life.
Edit: Sleeping on an incline on my left side does NOTHING to stop the acid reflux. I can’t seem to find the slightest relief at the moment.</t>
        </is>
      </c>
      <c r="D8091" t="n">
        <v>1</v>
      </c>
      <c r="E8091" t="n">
        <v>10</v>
      </c>
      <c r="F8091">
        <f>HYPERLINK("https://www.reddit.com/r/GERD/comments/h83wh7/2_weeks_of_pantoprazole_zero_difference/")</f>
        <v/>
      </c>
      <c r="G8091" t="inlineStr">
        <is>
          <t>2020-06-13 01:52:44</t>
        </is>
      </c>
      <c r="H8091" t="inlineStr"/>
    </row>
    <row r="8092">
      <c r="A8092" t="inlineStr">
        <is>
          <t>h84orf</t>
        </is>
      </c>
      <c r="B8092" t="inlineStr">
        <is>
          <t>Chest pain when laying down</t>
        </is>
      </c>
      <c r="C8092" t="inlineStr">
        <is>
          <t>So today I woke up at around 3am and my chest started hurting. I decided to sit up and the pain gradually faded and when I lay down the pain just keeps coming back. I was google and GERD came up and I was wondering if this is how symptoms starts for GERD? Thank you! After 3 hours of sitting up I can start laying down again with very little pain now.</t>
        </is>
      </c>
      <c r="D8092" t="n">
        <v>2</v>
      </c>
      <c r="E8092" t="n">
        <v>2</v>
      </c>
      <c r="F8092">
        <f>HYPERLINK("https://www.reddit.com/r/GERD/comments/h84orf/chest_pain_when_laying_down/")</f>
        <v/>
      </c>
      <c r="G8092" t="inlineStr">
        <is>
          <t>2020-06-13 02:58:19</t>
        </is>
      </c>
      <c r="H8092" t="inlineStr"/>
    </row>
    <row r="8093">
      <c r="A8093" t="inlineStr">
        <is>
          <t>h88169</t>
        </is>
      </c>
      <c r="B8093" t="inlineStr">
        <is>
          <t>Intense throat and ear pressure</t>
        </is>
      </c>
      <c r="C8093" t="inlineStr">
        <is>
          <t>Hi everyone, I have gerd and it is so bad. I have had a chronic dry and hoarse cough that comes and goes, I burp/croak all the time, I’ve been continually throwing up in my mouth (some days worse than others), and recently I have been having intense throat and ear pain. I have had it before, but it feels like my throat and ears have the pressure of someone pushing on them (the pain is interconnected) and the pain is becoming intolerable. Just swallowing causes ear and throat pain, and it feels like someone is pushing their thumb up against it causing tremendous pressure.
Does anyone know what to do?</t>
        </is>
      </c>
      <c r="D8093" t="n">
        <v>1</v>
      </c>
      <c r="E8093" t="n">
        <v>2</v>
      </c>
      <c r="F8093">
        <f>HYPERLINK("https://www.reddit.com/r/GERD/comments/h88169/intense_throat_and_ear_pressure/")</f>
        <v/>
      </c>
      <c r="G8093" t="inlineStr">
        <is>
          <t>2020-06-13 06:58:44</t>
        </is>
      </c>
      <c r="H8093" t="inlineStr"/>
    </row>
    <row r="8094">
      <c r="A8094" t="inlineStr">
        <is>
          <t>h88cf4</t>
        </is>
      </c>
      <c r="B8094" t="inlineStr">
        <is>
          <t>Lump is killing me</t>
        </is>
      </c>
      <c r="C8094" t="inlineStr">
        <is>
          <t>Can anyone tell me how to reduce the lump in throat sensation? It has not gone away from last 2 months for even a single second. Even though I'm on meds it has not reduced.</t>
        </is>
      </c>
      <c r="D8094" t="n">
        <v>1</v>
      </c>
      <c r="E8094" t="n">
        <v>8</v>
      </c>
      <c r="F8094">
        <f>HYPERLINK("https://www.reddit.com/r/GERD/comments/h88cf4/lump_is_killing_me/")</f>
        <v/>
      </c>
      <c r="G8094" t="inlineStr">
        <is>
          <t>2020-06-13 07:16:37</t>
        </is>
      </c>
      <c r="H8094" t="inlineStr"/>
    </row>
    <row r="8095">
      <c r="A8095" t="inlineStr">
        <is>
          <t>h88j6f</t>
        </is>
      </c>
      <c r="B8095" t="inlineStr">
        <is>
          <t>Help reading pathology report from endoscopy</t>
        </is>
      </c>
      <c r="C8095" t="inlineStr">
        <is>
          <t>Thinking this basically just means “yes, you have inflammation indicative of acid reflux but no specific changes like Barrett’s”. Anyone understand this or interpret differently?
Gastroesophageal junction biopsy: esophageal mucosa with reactive change and increased eosinophils up to 7 per high reactive field
Gastric cardiac mucosa with reactive change 
Stomach, biopsy: 
Gastric antral and fundic mucosa with no pathological change.</t>
        </is>
      </c>
      <c r="D8095" t="n">
        <v>1</v>
      </c>
      <c r="E8095" t="n">
        <v>3</v>
      </c>
      <c r="F8095">
        <f>HYPERLINK("https://www.reddit.com/r/GERD/comments/h88j6f/help_reading_pathology_report_from_endoscopy/")</f>
        <v/>
      </c>
      <c r="G8095" t="inlineStr">
        <is>
          <t>2020-06-13 07:27:38</t>
        </is>
      </c>
      <c r="H8095" t="inlineStr"/>
    </row>
    <row r="8096">
      <c r="A8096" t="inlineStr">
        <is>
          <t>h89y7q</t>
        </is>
      </c>
      <c r="B8096" t="inlineStr">
        <is>
          <t>DIY Gaviscon Advance recipe from ENT doctors at a Virginia throat clinic</t>
        </is>
      </c>
      <c r="C8096" t="inlineStr">
        <is>
          <t>A few years ago I discovered this formula . GA super expensive to import. This is an easy to make ( in a blender) alternative. I get my ingredients on Amazon. https://blog.fauquierent.net/2016/11/make-your-own-gaviscon-advance-for.html</t>
        </is>
      </c>
      <c r="D8096" t="n">
        <v>12</v>
      </c>
      <c r="E8096" t="n">
        <v>6</v>
      </c>
      <c r="F8096">
        <f>HYPERLINK("https://www.reddit.com/r/GERD/comments/h89y7q/diy_gaviscon_advance_recipe_from_ent_doctors_at_a/")</f>
        <v/>
      </c>
      <c r="G8096" t="inlineStr">
        <is>
          <t>2020-06-13 08:49:33</t>
        </is>
      </c>
      <c r="H8096" t="inlineStr"/>
    </row>
    <row r="8097">
      <c r="A8097" t="inlineStr">
        <is>
          <t>h8an9b</t>
        </is>
      </c>
      <c r="B8097" t="inlineStr">
        <is>
          <t>Two different types of 'reflux'?</t>
        </is>
      </c>
      <c r="C8097" t="inlineStr">
        <is>
          <t>Hi all,
I've been suffering from GERD for a long time, I also have SIBO and probably Candida overgrowth as well. The original symptom I had was a srange kind of 'limited' reflux - It was kind of a gnawing soreness around the stomach area, just around where the esophagus meets the LES. This happens predominantly on an empty stomach, although certain foods/drinks such as coffee and tea and apples seem to make it come on quicker. It tends to improve after eating, and certainly never occurs if I am particularly full, which is kind of weird.
I believe this is quite different to the typical understanding of what 'heartburn' is - namely the kind of sickly, acidic feeling rising up higher into the upper chest that normally occurs after large meals. I actually get this occasionally as well, and it can occur completely independent of the 'gnawing' reflux. For me it will tend to last a long time, like a week or so, with diet and eating habits having almost no impact (although they may have started it, it's hard to tell). 
Just wondered whether anyone else had similar symptoms?</t>
        </is>
      </c>
      <c r="D8097" t="n">
        <v>1</v>
      </c>
      <c r="E8097" t="n">
        <v>2</v>
      </c>
      <c r="F8097">
        <f>HYPERLINK("https://www.reddit.com/r/GERD/comments/h8an9b/two_different_types_of_reflux/")</f>
        <v/>
      </c>
      <c r="G8097" t="inlineStr">
        <is>
          <t>2020-06-13 09:28:39</t>
        </is>
      </c>
      <c r="H8097" t="inlineStr"/>
    </row>
    <row r="8098">
      <c r="A8098" t="inlineStr">
        <is>
          <t>h8au3e</t>
        </is>
      </c>
      <c r="B8098" t="inlineStr">
        <is>
          <t>Can anti-anxiety medication help GERD?</t>
        </is>
      </c>
      <c r="C8098" t="inlineStr">
        <is>
          <t>Anyone have any experience with this?</t>
        </is>
      </c>
      <c r="D8098" t="n">
        <v>2</v>
      </c>
      <c r="E8098" t="n">
        <v>9</v>
      </c>
      <c r="F8098">
        <f>HYPERLINK("https://www.reddit.com/r/GERD/comments/h8au3e/can_antianxiety_medication_help_gerd/")</f>
        <v/>
      </c>
      <c r="G8098" t="inlineStr">
        <is>
          <t>2020-06-13 09:39:15</t>
        </is>
      </c>
      <c r="H8098" t="inlineStr"/>
    </row>
    <row r="8099">
      <c r="A8099" t="inlineStr">
        <is>
          <t>h8axck</t>
        </is>
      </c>
      <c r="B8099" t="inlineStr">
        <is>
          <t>Palpitations and gas after drinking Ensure</t>
        </is>
      </c>
      <c r="C8099" t="inlineStr">
        <is>
          <t>My brother has GERD and I have Gastritis. I advised my brother to try Ensure meal replacement drinks. It worked very well for the first 2 weeks. He gained about 5 pounds. Then, last week, he began having terrible palpitations caused by gas. 
Has anyone here had this same response? Were you able to reduce your Ensure intake and did that solve the problem? Or is there another similar drink that worked better for you?</t>
        </is>
      </c>
      <c r="D8099" t="n">
        <v>1</v>
      </c>
      <c r="E8099" t="n">
        <v>9</v>
      </c>
      <c r="F8099">
        <f>HYPERLINK("https://www.reddit.com/r/GERD/comments/h8axck/palpitations_and_gas_after_drinking_ensure/")</f>
        <v/>
      </c>
      <c r="G8099" t="inlineStr">
        <is>
          <t>2020-06-13 09:44:15</t>
        </is>
      </c>
      <c r="H8099" t="inlineStr"/>
    </row>
    <row r="8100">
      <c r="A8100" t="inlineStr">
        <is>
          <t>h8bd5u</t>
        </is>
      </c>
      <c r="B8100" t="inlineStr">
        <is>
          <t>strange/ fluctuating appetite?</t>
        </is>
      </c>
      <c r="C8100" t="inlineStr">
        <is>
          <t>with GERD i find that i feel full very soon into meals and feel like i am forcing myself to finish, then want to eat more afterwards? it feels like im never satisfied with food and i get urges to eat food randomly. i dont even crave specific foods and im pretty sure it isnt emotional because i dont get any emotional pleasure from eating.</t>
        </is>
      </c>
      <c r="D8100" t="n">
        <v>1</v>
      </c>
      <c r="E8100" t="n">
        <v>1</v>
      </c>
      <c r="F8100">
        <f>HYPERLINK("https://www.reddit.com/r/GERD/comments/h8bd5u/strange_fluctuating_appetite/")</f>
        <v/>
      </c>
      <c r="G8100" t="inlineStr">
        <is>
          <t>2020-06-13 10:08:26</t>
        </is>
      </c>
      <c r="H8100" t="inlineStr"/>
    </row>
    <row r="8101">
      <c r="A8101" t="inlineStr">
        <is>
          <t>h8caew</t>
        </is>
      </c>
      <c r="B8101" t="inlineStr">
        <is>
          <t>Having panic attack finding out that GI docs are just money farmers</t>
        </is>
      </c>
      <c r="C8101" t="inlineStr">
        <is>
          <t>So basically in the GERD world there are 2 avenues. GI docs who just keep you going in circles to make money even though they know it's not going to help, and Surgeons who push for surgery. The difference though is that surgeons actually help people and GI's just keep you in limbo while milking you like a cash cow. I'm in the VA health system and I see a GI doc next week and I am worried she is going to just not listen to anything I say and not let me get surgery and just keep me going in circles. I tried everything, acid watcher diet, eating smaller meals, not eating before bed, my gerd has gotten so bad if i don't get the surgery and heal this I'll have to end my life cos I can't live like this. What should I do? The healthcare system is more corrupt than I could have ever imagined!</t>
        </is>
      </c>
      <c r="D8101" t="n">
        <v>27</v>
      </c>
      <c r="E8101" t="n">
        <v>50</v>
      </c>
      <c r="F8101">
        <f>HYPERLINK("https://www.reddit.com/r/GERD/comments/h8caew/having_panic_attack_finding_out_that_gi_docs_are/")</f>
        <v/>
      </c>
      <c r="G8101" t="inlineStr">
        <is>
          <t>2020-06-13 10:59:11</t>
        </is>
      </c>
      <c r="H8101" t="inlineStr"/>
    </row>
    <row r="8102">
      <c r="A8102" t="inlineStr">
        <is>
          <t>h8dm7t</t>
        </is>
      </c>
      <c r="B8102" t="inlineStr">
        <is>
          <t>Random jump in acid reflux symptoms?</t>
        </is>
      </c>
      <c r="C8102" t="inlineStr">
        <is>
          <t>I take 15 mg of prevacid daily and most days have no issues, eating whatever i want. For the last few days though even with medication ive been having acid flashes, a lot more burps, lump on throat feeling, and what ive found out is called “water brash”. Seems like a random explosion in symptoms and I have no idea why. The only thing thats changed is we adopted a kitten in our household but i would be mind blown if someone could find a connection between that and my increased symptoms (ive lived with a cat before for a few months a year ago and noticed no allergies or increased gerd symptom). I hope this bout will subside.</t>
        </is>
      </c>
      <c r="D8102" t="n">
        <v>2</v>
      </c>
      <c r="E8102" t="n">
        <v>1</v>
      </c>
      <c r="F8102">
        <f>HYPERLINK("https://www.reddit.com/r/GERD/comments/h8dm7t/random_jump_in_acid_reflux_symptoms/")</f>
        <v/>
      </c>
      <c r="G8102" t="inlineStr">
        <is>
          <t>2020-06-13 12:10:32</t>
        </is>
      </c>
      <c r="H8102" t="inlineStr"/>
    </row>
    <row r="8103">
      <c r="A8103" t="inlineStr">
        <is>
          <t>h8e63q</t>
        </is>
      </c>
      <c r="B8103" t="inlineStr">
        <is>
          <t>do any of you lot have health anxiety with this, what do you do for coping?</t>
        </is>
      </c>
      <c r="C8103" t="inlineStr">
        <is>
          <t>so I have HA with this and it's horrible anytime I get symptoms I just fear the worst and think barretts or esophageal cancer, what do you lot do for coping with your HA whilst having gerd?</t>
        </is>
      </c>
      <c r="D8103" t="n">
        <v>4</v>
      </c>
      <c r="E8103" t="n">
        <v>4</v>
      </c>
      <c r="F8103">
        <f>HYPERLINK("https://www.reddit.com/r/GERD/comments/h8e63q/do_any_of_you_lot_have_health_anxiety_with_this/")</f>
        <v/>
      </c>
      <c r="G8103" t="inlineStr">
        <is>
          <t>2020-06-13 12:38:52</t>
        </is>
      </c>
      <c r="H8103" t="inlineStr"/>
    </row>
    <row r="8104">
      <c r="A8104" t="inlineStr">
        <is>
          <t>h8egn2</t>
        </is>
      </c>
      <c r="B8104" t="inlineStr">
        <is>
          <t>Anyone Gotten Surgery?</t>
        </is>
      </c>
      <c r="C8104" t="inlineStr">
        <is>
          <t>So I’m kind of at my wits end right now, with my GI giving me new pills that aren’t really working, and no matter how plain and anti-acidic I make my diet, I still cannot breathe right. 
The GI is pretty convinced the drugs will cure my GERD in time and I’ll be able to breathe again, but with the lack of success I am really really really considering bringing up Laparoscopic antireflux surgery, because I cannot keep doing this and living day to day with this awful anxiety. 
My issues have never really been heartburn related, and more with the acid reaching my lungs and making it hard to breathe. I’m so scared that if I do even go forward with surgery, it won’t work or I’ll still be unable to breathe because it’s not heartburn I’m dealing with. 
Anyone have any experience with the surgery and more specifically shortness of breath? Did it solve it?</t>
        </is>
      </c>
      <c r="D8104" t="n">
        <v>2</v>
      </c>
      <c r="E8104" t="n">
        <v>8</v>
      </c>
      <c r="F8104">
        <f>HYPERLINK("https://www.reddit.com/r/GERD/comments/h8egn2/anyone_gotten_surgery/")</f>
        <v/>
      </c>
      <c r="G8104" t="inlineStr">
        <is>
          <t>2020-06-13 12:54:09</t>
        </is>
      </c>
      <c r="H8104" t="inlineStr"/>
    </row>
    <row r="8105">
      <c r="A8105" t="inlineStr">
        <is>
          <t>h8epaz</t>
        </is>
      </c>
      <c r="B8105" t="inlineStr">
        <is>
          <t>Bit of ranting about LPR, journey and what I'm trying next</t>
        </is>
      </c>
      <c r="C8105" t="inlineStr">
        <is>
          <t>Hello boys and girls, it's your fellow long time LPR-dude. Thinking back I've had LPR for at least 2-3 years now. It started with infrequent symptoms like yellow tongue, coughing, frequent nose bleeding, and hoarse voice at the end of the day. I always thought it was due to me smoking, having asthma, or having allergies; and didn't act since the symptoms were mild and infrequent.
Well, time went on and my symptoms became more and more frequent and intensive. For a time, that was from like autumn 2019 to February 2020 I basically permanently had a hoarse voice and trouble speaking. I of course got anxious of talking, couldn't use my voice as I wanted and sounded weird to others. Sucked. Sucked for dating, for job, for social life. Lost a relationship due to me sounding hoarse over and over again and thus acting weirdly.
So first I thought it was my asthma, went to a doc for that, got a more powerful spray, didn't really help. Then I thought I had muscle tension dysphonia, did some straw singing and massaging, didn't really help. Then, like a month ago I went to an ears nose throat doc and he thought I could maybe have some kind of reflux problem. I was like, nah, I never feel any direct burning, liquid, or sourness in my stomach/throat. He got me some meds, primarly vitamin A to rebuild my throat skin. Could definetly feel it helping a bit. Time went on, I went on reddit and checked this sub dedicated to reflux. Read, read, read. Well, seemed like I had silent reflux!
It made sense to me, I was a pepsi max junky for at least 1 year straight, a heavy smoker and my favourite food was fatty junk food of any kind. So I cut down drinking caffeine entirely, quit smoking, tried to eat healthier, less acidid foods. Also I did cardio exercises and drink alkaline water. That was like 2 weeks ago. And I could finally feel a bit of actual relieve. Last week I was on a business trip, I did a really strict diet of really low kcal and no junk food. My throat was feeling better and my voice was better. Not as good as it once was, but I'm getting there. 
So now it's saturday, I got back from my trip yesterday. Was in the gym yesterday and today, doing 1 hour of cardio each day. So I thought to myself I might reward myself for being so disciplined the last week, with a big fat pizza. Bad idea, just ate it, and am already burping again. Well fuck. Like an hour ago I searched for LPR on youtube and found a throat massage video and another video of a doctor mixing baking soda and alkaline water to kill pepsine in your throat. They had good feedback so I just massaged my throat and mixed myself a baking soda spray. Gonna try that. Also next week I'm again on a business trip and I will again do a strict diet. Hopefully my throat will be in shape to celebrate my buddys birthday party next saturday. Wish me luck reddit and I'll wish you luck on your (LPR) journey.
Thanks for reading if you did! I'm gonna chill this evening, watch some livestreams and drink some yummy sips of alkaline baking soda water. Cheers!</t>
        </is>
      </c>
      <c r="D8105" t="n">
        <v>4</v>
      </c>
      <c r="E8105" t="n">
        <v>5</v>
      </c>
      <c r="F8105">
        <f>HYPERLINK("https://www.reddit.com/r/GERD/comments/h8epaz/bit_of_ranting_about_lpr_journey_and_what_im/")</f>
        <v/>
      </c>
      <c r="G8105" t="inlineStr">
        <is>
          <t>2020-06-13 13:06:16</t>
        </is>
      </c>
      <c r="H8105" t="inlineStr"/>
    </row>
    <row r="8106">
      <c r="A8106" t="inlineStr">
        <is>
          <t>h8hbd6</t>
        </is>
      </c>
      <c r="B8106" t="inlineStr">
        <is>
          <t>Which PPI has the least side effects/is the safest?</t>
        </is>
      </c>
      <c r="C8106" t="inlineStr">
        <is>
          <t>Before I was able to manage my gerd with h2 blockers but now I think i need to get on ppi's even though i been hesitant too. I took omeprazole before and it hurt my stomach and felt like it was overkill and dried up all my acid, but now my gerd has gotten worse and i think i need a ppi.
which ppi has the least side effects/is the safest?</t>
        </is>
      </c>
      <c r="D8106" t="n">
        <v>2</v>
      </c>
      <c r="E8106" t="n">
        <v>5</v>
      </c>
      <c r="F8106">
        <f>HYPERLINK("https://www.reddit.com/r/GERD/comments/h8hbd6/which_ppi_has_the_least_side_effectsis_the_safest/")</f>
        <v/>
      </c>
      <c r="G8106" t="inlineStr">
        <is>
          <t>2020-06-13 15:24:16</t>
        </is>
      </c>
      <c r="H8106" t="inlineStr"/>
    </row>
    <row r="8107">
      <c r="A8107" t="inlineStr">
        <is>
          <t>h8ik7y</t>
        </is>
      </c>
      <c r="B8107" t="inlineStr">
        <is>
          <t>Quick question for the veteran gerd sufferers here.</t>
        </is>
      </c>
      <c r="C8107" t="inlineStr">
        <is>
          <t>So I've been officially diagnosed with reflux after having an endoscopy this week.  I've had it for years but it's actually never been that big of a deal for me.  I'll get a little bit of heartburn occasionally but very rarely have any acid regurgitation or anything.
My doctor wants me to go on another ppi to repair the damage to my stomach lining and esophagus (gastritis and esophagitis).  I've taken nexium 20mg otc and 40mg prescription.  After this I tried protonix 40mg.  Now my GI wants me on another one.  I can't remember the name but it's the expensive one.  
Here's my question.  As I've not really given any of them a chance, I don't know how they'll work for me.  I usually give up after a week or so as I feel worse when I'm taking them than I do without any medicine.  I always have a lot of bloating and tiredness after just a few days on them.
Is this something that will go away if I give it more of a chance?  My doctor didn't seem to want to discuss other alternatives with me.  So I thought I'd get some feedback from the old salts on here.</t>
        </is>
      </c>
      <c r="D8107" t="n">
        <v>2</v>
      </c>
      <c r="E8107" t="n">
        <v>4</v>
      </c>
      <c r="F8107">
        <f>HYPERLINK("https://www.reddit.com/r/GERD/comments/h8ik7y/quick_question_for_the_veteran_gerd_sufferers_here/")</f>
        <v/>
      </c>
      <c r="G8107" t="inlineStr">
        <is>
          <t>2020-06-13 16:36:25</t>
        </is>
      </c>
      <c r="H8107" t="inlineStr"/>
    </row>
    <row r="8108">
      <c r="A8108" t="inlineStr">
        <is>
          <t>h8irng</t>
        </is>
      </c>
      <c r="B8108" t="inlineStr">
        <is>
          <t>Can a PPI Cause Throat Tightness?</t>
        </is>
      </c>
      <c r="C8108" t="inlineStr">
        <is>
          <t>Hi All,
So I’m absolutely frustrated. Can not figure this out. 
Been on Omeprazole for 8+ weeks. Initially I had chest pains and occasional wake ups at night. Both my primary and the GI doc put me on 40mg omeprazole and told me to take it until my symptoms went away. Chest pains did go away but it seems as soon as they did, my throat started becoming tight pretty much daily. I don’t know if it’s LPR as I only have the tightness in my throat. No regurgitation, no acid taste, no burning, no hoarseness. 
I do have seasonal allergies but I take Claritin, montelukast and recently nasacort. I did stop getting the allergy shots because of COVID though and my environment is pretty full of dust mites, pets, and the pollen outside. 
So my question is, while I try and figure this out, does the PPI cause the tightness? I’m considering a switch or weening off it. 
Any help is appreciated.</t>
        </is>
      </c>
      <c r="D8108" t="n">
        <v>4</v>
      </c>
      <c r="E8108" t="n">
        <v>7</v>
      </c>
      <c r="F8108">
        <f>HYPERLINK("https://www.reddit.com/r/GERD/comments/h8irng/can_a_ppi_cause_throat_tightness/")</f>
        <v/>
      </c>
      <c r="G8108" t="inlineStr">
        <is>
          <t>2020-06-13 16:48:59</t>
        </is>
      </c>
      <c r="H8108" t="inlineStr"/>
    </row>
    <row r="8109">
      <c r="A8109" t="inlineStr">
        <is>
          <t>h8ja6b</t>
        </is>
      </c>
      <c r="B8109" t="inlineStr">
        <is>
          <t>What do you guys do when you get a sore throat?</t>
        </is>
      </c>
      <c r="C8109" t="inlineStr">
        <is>
          <t>im having a flare up, sadly, and im getting a sore throat for the first time</t>
        </is>
      </c>
      <c r="D8109" t="n">
        <v>7</v>
      </c>
      <c r="E8109" t="n">
        <v>7</v>
      </c>
      <c r="F8109">
        <f>HYPERLINK("https://www.reddit.com/r/GERD/comments/h8ja6b/what_do_you_guys_do_when_you_get_a_sore_throat/")</f>
        <v/>
      </c>
      <c r="G8109" t="inlineStr">
        <is>
          <t>2020-06-13 17:19:19</t>
        </is>
      </c>
      <c r="H8109" t="inlineStr"/>
    </row>
    <row r="8110">
      <c r="A8110" t="inlineStr">
        <is>
          <t>h8jgud</t>
        </is>
      </c>
      <c r="B8110" t="inlineStr">
        <is>
          <t>GERD and shooting pains</t>
        </is>
      </c>
      <c r="C8110" t="inlineStr">
        <is>
          <t>Hey guys, not sure what this is, but I woke up and was in so much pain in my upper right part of my sternum below my rib cage basically. Googled and they said it could be from acid reflux? Has anyone experienced it before. It’s so bad I thought I was gonna puke/need to go to the hospital but it’s calmed down after a while. Not sure if it could just be gas, cause I was farting etc during the time to hopefully relieve pain..</t>
        </is>
      </c>
      <c r="D8110" t="n">
        <v>1</v>
      </c>
      <c r="E8110" t="n">
        <v>2</v>
      </c>
      <c r="F8110">
        <f>HYPERLINK("https://www.reddit.com/r/GERD/comments/h8jgud/gerd_and_shooting_pains/")</f>
        <v/>
      </c>
      <c r="G8110" t="inlineStr">
        <is>
          <t>2020-06-13 17:30:39</t>
        </is>
      </c>
      <c r="H8110" t="inlineStr"/>
    </row>
    <row r="8111">
      <c r="A8111" t="inlineStr">
        <is>
          <t>h8mp7p</t>
        </is>
      </c>
      <c r="B8111" t="inlineStr">
        <is>
          <t>Carafate</t>
        </is>
      </c>
      <c r="C8111" t="inlineStr">
        <is>
          <t>My GI prescribed me this because my stomach is sore everyday .
Has anyone tried this ?</t>
        </is>
      </c>
      <c r="D8111" t="n">
        <v>2</v>
      </c>
      <c r="E8111" t="n">
        <v>4</v>
      </c>
      <c r="F8111">
        <f>HYPERLINK("https://www.reddit.com/r/GERD/comments/h8mp7p/carafate/")</f>
        <v/>
      </c>
      <c r="G8111" t="inlineStr">
        <is>
          <t>2020-06-13 20:52:16</t>
        </is>
      </c>
      <c r="H8111" t="inlineStr"/>
    </row>
    <row r="8112">
      <c r="A8112" t="inlineStr">
        <is>
          <t>h8nlvq</t>
        </is>
      </c>
      <c r="B8112" t="inlineStr">
        <is>
          <t>Trying to find Gastritis relief</t>
        </is>
      </c>
      <c r="C8112" t="inlineStr">
        <is>
          <t>Does anyone have any suggestions for gastritis relief? My stomach sometimes gets really inflamed (usually the day after a night of having alcohol, big mistake). I’m working on avoiding alcohol, but does anyone have tips for inflammation / pain relief?
Right now I am on omeprazol 40mg (for lifelong GERD maintenance), I drink mint, chamomile or throat coat teas and chew Gaviscon tablets. and also I switched to decaf as well if I have coffee and that seems to help a bit.
Any other information would be a huge help, thanks!</t>
        </is>
      </c>
      <c r="D8112" t="n">
        <v>2</v>
      </c>
      <c r="E8112" t="n">
        <v>4</v>
      </c>
      <c r="F8112">
        <f>HYPERLINK("https://www.reddit.com/r/GERD/comments/h8nlvq/trying_to_find_gastritis_relief/")</f>
        <v/>
      </c>
      <c r="G8112" t="inlineStr">
        <is>
          <t>2020-06-13 22:00:12</t>
        </is>
      </c>
      <c r="H8112" t="inlineStr"/>
    </row>
    <row r="8113">
      <c r="A8113" t="inlineStr">
        <is>
          <t>h8qci9</t>
        </is>
      </c>
      <c r="B8113" t="inlineStr">
        <is>
          <t>my diet couldnt be any cleaner and my stomach still feels like an acid pit.</t>
        </is>
      </c>
      <c r="C8113" t="inlineStr">
        <is>
          <t>i (18F, no known preexisting medical conditions, possible GERD from severe prolonged stress) just dont understand. im almost completely plant-based. every time i eat like or as much as a normal person im nauseous and deeply uncomfortable. all ive eaten today are fruits and berries and STILL i feel like my blood could corrode through my body. it's been like this for so long, and i keep detoxing/reducing my intake to cope, but then my body adjusts and its like im being backed into a corner. how can i naturally lessen my stomach acid if my diet couldnt be more alkaline?</t>
        </is>
      </c>
      <c r="D8113" t="n">
        <v>1</v>
      </c>
      <c r="E8113" t="n">
        <v>35</v>
      </c>
      <c r="F8113">
        <f>HYPERLINK("https://www.reddit.com/r/GERD/comments/h8qci9/my_diet_couldnt_be_any_cleaner_and_my_stomach/")</f>
        <v/>
      </c>
      <c r="G8113" t="inlineStr">
        <is>
          <t>2020-06-14 02:00:33</t>
        </is>
      </c>
      <c r="H8113" t="inlineStr"/>
    </row>
    <row r="8114">
      <c r="A8114" t="inlineStr">
        <is>
          <t>h8resg</t>
        </is>
      </c>
      <c r="B8114" t="inlineStr">
        <is>
          <t>Has anyone else had similar symptoms? Intense stomach-churning, gas, and constipation?</t>
        </is>
      </c>
      <c r="C8114" t="inlineStr">
        <is>
          <t>I went to the doctor a few years ago and was told that I have an intolerance to beef and sensitivity to spicy foods. I typically develop an upset stomach which leads to diarrhea. After having a bowel movement an hour later, I'm fine. I've been able to eat normally just by eliminating beef completely and moderately eating spicy foods.
These symptoms started 5 days ago, after having this mixed drink with 2-3 tablespoons of vodka. I'm not a novice to drinking, nor have I *ever* had any unusual reactions in response to drinking. After waiting for the symptoms to go away, I was stuck with constipation. Around midnight, I ate 1/2 a portion of "spicy volcano noodles", and 5 hours later (currently 5 am)  I'm up again with this weird upper/mid stomach pain. I feel this churning sensation, with loud bubbling sounds, belching, gas, nausea, a very mild case of heartburn, and again, constipation. I can tell that my stomach is producing more gas because of the constant belching and flatulence. This pressure makes me feel like I have to throw up or poop, but I can't due to constipation.
\[Note: This is probably my 3-4th time eating those noodles, and I have always had the usual level of sensitivity. I have not changed my diet aside from the new introduction to green tea.\]
I haven't had a normal BM since the first flare-up, which isn't normal for me. I usually have complete BM's daily, sometimes twice depending on the meal. I'm concerned that this could be something much more serious than intolerance or sensitivity. I've searched through all of the possible causes and its extremely overwhelming. **If you've has these symptoms, what did you find the cause to be and how did you go about treatment?**</t>
        </is>
      </c>
      <c r="D8114" t="n">
        <v>1</v>
      </c>
      <c r="E8114" t="n">
        <v>16</v>
      </c>
      <c r="F8114">
        <f>HYPERLINK("https://www.reddit.com/r/GERD/comments/h8resg/has_anyone_else_had_similar_symptoms_intense/")</f>
        <v/>
      </c>
      <c r="G8114" t="inlineStr">
        <is>
          <t>2020-06-14 03:29:47</t>
        </is>
      </c>
      <c r="H8114" t="inlineStr"/>
    </row>
    <row r="8115">
      <c r="A8115" t="inlineStr">
        <is>
          <t>h8s71a</t>
        </is>
      </c>
      <c r="B8115" t="inlineStr">
        <is>
          <t>Iberogast vs. GERD</t>
        </is>
      </c>
      <c r="C8115" t="inlineStr">
        <is>
          <t>Hello,
Is anyone using Iberogast for Gerd? I'm kinda confused because it suppose to help with GERD but it contains peppermint which is not good. So I was wondering if someone has good results using it. Thank you</t>
        </is>
      </c>
      <c r="D8115" t="n">
        <v>1</v>
      </c>
      <c r="E8115" t="n">
        <v>4</v>
      </c>
      <c r="F8115">
        <f>HYPERLINK("https://www.reddit.com/r/GERD/comments/h8s71a/iberogast_vs_gerd/")</f>
        <v/>
      </c>
      <c r="G8115" t="inlineStr">
        <is>
          <t>2020-06-14 04:30:28</t>
        </is>
      </c>
      <c r="H8115" t="inlineStr"/>
    </row>
    <row r="8116">
      <c r="A8116" t="inlineStr">
        <is>
          <t>h8tti4</t>
        </is>
      </c>
      <c r="B8116" t="inlineStr">
        <is>
          <t>Can weed and zzzqyill kill you?</t>
        </is>
      </c>
      <c r="C8116" t="inlineStr">
        <is>
          <t>Need help</t>
        </is>
      </c>
      <c r="D8116" t="n">
        <v>1</v>
      </c>
      <c r="E8116" t="n">
        <v>9</v>
      </c>
      <c r="F8116">
        <f>HYPERLINK("https://www.reddit.com/r/GERD/comments/h8tti4/can_weed_and_zzzqyill_kill_you/")</f>
        <v/>
      </c>
      <c r="G8116" t="inlineStr">
        <is>
          <t>2020-06-14 06:27:16</t>
        </is>
      </c>
      <c r="H8116" t="inlineStr"/>
    </row>
    <row r="8117">
      <c r="A8117" t="inlineStr">
        <is>
          <t>h8wpwl</t>
        </is>
      </c>
      <c r="B8117" t="inlineStr">
        <is>
          <t>vertigo/dizziness help please</t>
        </is>
      </c>
      <c r="C8117" t="inlineStr">
        <is>
          <t>When I woke up this morning I felt fine and ate some bread but a few minutes later I started getting some dizziness, and now it has intensified. My stomach feels like it is churning and I feel really spinny, could this be a symptom of GERD? I do not have a diagnosis but I suspect this is what I have because I have many of the same symptoms, anxiety, and the GERD diet has helped me manage this and I’ve had symptoms since I had an attack a month ago. Right now I’m at my granddad’s house and really need to drive home, and he can’t drive me and my mom can’t get me, so is there any way I can relieve these symptoms?</t>
        </is>
      </c>
      <c r="D8117" t="n">
        <v>1</v>
      </c>
      <c r="E8117" t="n">
        <v>5</v>
      </c>
      <c r="F8117">
        <f>HYPERLINK("https://www.reddit.com/r/GERD/comments/h8wpwl/vertigodizziness_help_please/")</f>
        <v/>
      </c>
      <c r="G8117" t="inlineStr">
        <is>
          <t>2020-06-14 09:19:52</t>
        </is>
      </c>
      <c r="H8117" t="inlineStr"/>
    </row>
    <row r="8118">
      <c r="A8118" t="inlineStr">
        <is>
          <t>h8xcx6</t>
        </is>
      </c>
      <c r="B8118" t="inlineStr">
        <is>
          <t>CAN YOU EVER GET BACK TO NORMAL AFTER LPR?</t>
        </is>
      </c>
      <c r="C8118" t="inlineStr">
        <is>
          <t>Hey guys, I'm really suffering today. 
If you've got LPR where do you start? 
My symptoms are as follows: Pain in sternum/back, sore throat, ear pain,sinus pain, nose bleeds, globus, gas, bloating, swollen tonsils and misery. 
How do you treat this successfully? 
And also, once you've healed this can you ever get back to normal? 
Thank you I really appreciate the support on here.</t>
        </is>
      </c>
      <c r="D8118" t="n">
        <v>1</v>
      </c>
      <c r="E8118" t="n">
        <v>12</v>
      </c>
      <c r="F8118">
        <f>HYPERLINK("https://www.reddit.com/r/GERD/comments/h8xcx6/can_you_ever_get_back_to_normal_after_lpr/")</f>
        <v/>
      </c>
      <c r="G8118" t="inlineStr">
        <is>
          <t>2020-06-14 09:57:41</t>
        </is>
      </c>
      <c r="H8118" t="inlineStr"/>
    </row>
    <row r="8119">
      <c r="A8119" t="inlineStr">
        <is>
          <t>h8xjdr</t>
        </is>
      </c>
      <c r="B8119" t="inlineStr">
        <is>
          <t>Anyone get chest pain/side pain while laughing?</t>
        </is>
      </c>
      <c r="C8119" t="inlineStr">
        <is>
          <t>The pain is not anything crazy, but it’s there, not all the time but certainly sometimes. Anyone else?</t>
        </is>
      </c>
      <c r="D8119" t="n">
        <v>2</v>
      </c>
      <c r="E8119" t="n">
        <v>1</v>
      </c>
      <c r="F8119">
        <f>HYPERLINK("https://www.reddit.com/r/GERD/comments/h8xjdr/anyone_get_chest_painside_pain_while_laughing/")</f>
        <v/>
      </c>
      <c r="G8119" t="inlineStr">
        <is>
          <t>2020-06-14 10:08:09</t>
        </is>
      </c>
      <c r="H8119" t="inlineStr"/>
    </row>
    <row r="8120">
      <c r="A8120" t="inlineStr">
        <is>
          <t>h8xwnb</t>
        </is>
      </c>
      <c r="B8120" t="inlineStr">
        <is>
          <t>What causes LPR?</t>
        </is>
      </c>
      <c r="C8120" t="inlineStr">
        <is>
          <t>I feel like I'm misunderstanding everything.
All the research and information I find online keep me going round in a circle.
What are the clear causes of LPR?</t>
        </is>
      </c>
      <c r="D8120" t="n">
        <v>6</v>
      </c>
      <c r="E8120" t="n">
        <v>15</v>
      </c>
      <c r="F8120">
        <f>HYPERLINK("https://www.reddit.com/r/GERD/comments/h8xwnb/what_causes_lpr/")</f>
        <v/>
      </c>
      <c r="G8120" t="inlineStr">
        <is>
          <t>2020-06-14 10:29:20</t>
        </is>
      </c>
      <c r="H8120" t="inlineStr"/>
    </row>
    <row r="8121">
      <c r="A8121" t="inlineStr">
        <is>
          <t>h8yrad</t>
        </is>
      </c>
      <c r="B8121" t="inlineStr">
        <is>
          <t>Nausea anyone?</t>
        </is>
      </c>
      <c r="C8121" t="inlineStr">
        <is>
          <t>Been taking ppis for a few weeks (Omeprazole 40mg), then felt great a few days, then one shitty morning decided to have a coffee and since then (5 days!) non-stop nausea.  
Anyone experienced nausea as a part of their GERD?</t>
        </is>
      </c>
      <c r="D8121" t="n">
        <v>1</v>
      </c>
      <c r="E8121" t="n">
        <v>6</v>
      </c>
      <c r="F8121">
        <f>HYPERLINK("https://www.reddit.com/r/GERD/comments/h8yrad/nausea_anyone/")</f>
        <v/>
      </c>
      <c r="G8121" t="inlineStr">
        <is>
          <t>2020-06-14 11:17:30</t>
        </is>
      </c>
      <c r="H8121" t="inlineStr"/>
    </row>
    <row r="8122">
      <c r="A8122" t="inlineStr">
        <is>
          <t>h8z9e5</t>
        </is>
      </c>
      <c r="B8122" t="inlineStr">
        <is>
          <t>How do you break the vicious circle ?</t>
        </is>
      </c>
      <c r="C8122" t="inlineStr">
        <is>
          <t>I’ve been recently diagnosed with GERD via an endoscopy, I had a grade A oesophagitis. The only symptoms I had were regurgitation when doing sports. My doc told me to sleep elevated and not eat huge meals (I’m a skinny guy) , he took samples for h pylori and oesenophilic stuff (which came back negative) and prescribed me 1 month of PPI. It happened at a very bad time in my life as it’s been a year since my health anxiety is bringing me down. Now I feel a burning pain in my epigastric area after every meal even if I eat small and clean stuff. I can’t feel if it’s in my head or not, and I’m terrified of getting cancer (+ I’m losing weight due to my anxiety and to the fact that if I eat too much I feel the burning). I’ve seen a therapist who helped me but the Gerd diagnostic has really bring my anxiety through the roof...</t>
        </is>
      </c>
      <c r="D8122" t="n">
        <v>2</v>
      </c>
      <c r="E8122" t="n">
        <v>2</v>
      </c>
      <c r="F8122">
        <f>HYPERLINK("https://www.reddit.com/r/GERD/comments/h8z9e5/how_do_you_break_the_vicious_circle/")</f>
        <v/>
      </c>
      <c r="G8122" t="inlineStr">
        <is>
          <t>2020-06-14 11:46:22</t>
        </is>
      </c>
      <c r="H8122" t="inlineStr"/>
    </row>
    <row r="8123">
      <c r="A8123" t="inlineStr">
        <is>
          <t>h8zm4n</t>
        </is>
      </c>
      <c r="B8123" t="inlineStr">
        <is>
          <t>Hiatal Hernia</t>
        </is>
      </c>
      <c r="C8123" t="inlineStr">
        <is>
          <t>Hi I was diagnosed earlier this week with a “small” hiatal hernia (according to my GI), yet I’ve been through hell for the last 3 months. It all started with a cold and case of post viral bronchitis- then I started having asthma like symptoms and was put on inhalers, methyl prednisone. Probably all actually from acid reflux. And things with my stomach then got so bad. I have terrible reflux pain all day long, an uncomfortable ache under my rib cage, shortness of breath, back pain, when I eat a meal I get a full sensation quickly. I am on 40 mg of Pantoprazole 2 x a day and it’s not working. I am 44 and in good shape and health. Can a simple cold really have done this to me? My anxiety is through the roof. I feel tired all the time. I have little kids too. It’s so hard. What can I do to get my life back?
My GI wants me to consult with a thoracic surgeon because she says my issues are “mechanical in nature” due to the hernia and unlikely to be helped by meds but my pcp was horrified and told me to let me my system calm down for a few months.
Has anyone else been through this? Thanks</t>
        </is>
      </c>
      <c r="D8123" t="n">
        <v>3</v>
      </c>
      <c r="E8123" t="n">
        <v>33</v>
      </c>
      <c r="F8123">
        <f>HYPERLINK("https://www.reddit.com/r/GERD/comments/h8zm4n/hiatal_hernia/")</f>
        <v/>
      </c>
      <c r="G8123" t="inlineStr">
        <is>
          <t>2020-06-14 12:05:53</t>
        </is>
      </c>
      <c r="H8123" t="inlineStr"/>
    </row>
    <row r="8124">
      <c r="A8124" t="inlineStr">
        <is>
          <t>h913yv</t>
        </is>
      </c>
      <c r="B8124" t="inlineStr">
        <is>
          <t>LPR esophagus dilation?</t>
        </is>
      </c>
      <c r="C8124" t="inlineStr">
        <is>
          <t>Due to COVID, I have had less than thorough doctor appointments. I have been having chest pain, lump in my throat, trouble breathing, etc. I was diagnosed with asthma, started on some inhalers and was also given 40 mg of omeprazole. After being on all of the above, my breathing got better but my lump in my throat got much much worse and food got hard to swallow. I only drink water, I eat soft, bland food. I was scheduled for an upper GI with possible dilation without ever seeing a gastroenterologist. My appointment is tmrw and I'm freaking out because I have NO idea what to expect. 
What should i expect? How soon will I be able to eat after being dilated? Will there actually be a balloon in my throat forever or only during the procedure? Will this fix the lump in my throat feeling? Will I be able to eat things other than soup and mashed potatoes? I am the type of person who does NOT trust medical professionals (lived with a diseased gallbladder for a year and had 7 specialists tell me nothing was wrong with me) and I NEED to know every detail and possible outcome before making decisions.</t>
        </is>
      </c>
      <c r="D8124" t="n">
        <v>3</v>
      </c>
      <c r="E8124" t="n">
        <v>1</v>
      </c>
      <c r="F8124">
        <f>HYPERLINK("https://www.reddit.com/r/GERD/comments/h913yv/lpr_esophagus_dilation/")</f>
        <v/>
      </c>
      <c r="G8124" t="inlineStr">
        <is>
          <t>2020-06-14 13:29:28</t>
        </is>
      </c>
      <c r="H8124" t="inlineStr"/>
    </row>
    <row r="8125">
      <c r="A8125" t="inlineStr">
        <is>
          <t>h919qk</t>
        </is>
      </c>
      <c r="B8125" t="inlineStr">
        <is>
          <t>Hiatal Hernia</t>
        </is>
      </c>
      <c r="C8125" t="inlineStr">
        <is>
          <t>Hello all,
Just wanted some input on if a hiatal hernia has caused anyone problems with Heart Palpitations? I’m not diagnosed with a hiatal hernia but lately have been thinking I do in fact possibly have one. I get a lot of discomfort in my abdomen right below my breast bone as if something is stuck there. I will get palpitations from leaning, twisting, or making any sudden movement that tenses up my mid section as well as sometimes after eating certain foods. Lots of palpitations as well during exercising with a high heart rate during bike riding  or running. My heart has been checked over and is fine so I’m trying to get to the root cause and have just recently learned of the hiatal hernia. I’m not very educated on them so if someone shares the same experience or would care to share information I would appreciate it, thanks!</t>
        </is>
      </c>
      <c r="D8125" t="n">
        <v>2</v>
      </c>
      <c r="E8125" t="n">
        <v>3</v>
      </c>
      <c r="F8125">
        <f>HYPERLINK("https://www.reddit.com/r/GERD/comments/h919qk/hiatal_hernia/")</f>
        <v/>
      </c>
      <c r="G8125" t="inlineStr">
        <is>
          <t>2020-06-14 13:38:50</t>
        </is>
      </c>
      <c r="H8125" t="inlineStr"/>
    </row>
    <row r="8126">
      <c r="A8126" t="inlineStr">
        <is>
          <t>h91k3c</t>
        </is>
      </c>
      <c r="B8126" t="inlineStr">
        <is>
          <t>I need some advice regarding GERD, globus sensation, &amp;amp; anxiety. Please help me</t>
        </is>
      </c>
      <c r="C8126" t="inlineStr">
        <is>
          <t>Just discovered this community after feeling like I was alone for a while. I have debilitating anxiety (the kind where if I'm the center of attention I get red &amp;amp; sweat) and I recently found out I have GERD, not diagnosed. I used to not be able to burp (it's called noburp), but have recently taught myself how and overcame that. Now I burp a literal shitload, because of GERD. Anyways that's pretty unrelated, just thought I'd include it in case.
So, the globus sensation. I've been suffering from this for a long ass time, but only lately have I realized it's an actual issue, and one I want to fix. See I've read that this is linked to GERD and anxiety, two things I also have the unfortunate priviledge of suffering from. When I'm affected by it, I cannot seem to stop swallowing. I dwell on it. My throat feels really tight and dry when I talk and I can only talk in little bursts in fear I will have an 'automatic swallow.' My voice will just cut off because I need to swallow and its embarrassing. I cannot present in front of other people (4 or more), or even just speak/read aloud.  However, even when i am not in social situations it happens too. I feel it's worse after a big meal until I'm able to get a nice big burp out. 
I guess what I'm wondering is if any of you guys know the feeling I'm talking about? And if going on medication for anxiety is a good idea? I've been wanting to try taking medication for awhile, because I feel my anxiety really holds me back &amp;amp; I suffer from many more symptoms than I've included in this post (nausea, intense nervousness, etc). I don't know anything about this sort of thing, so I don't even know where to go to get help &amp;amp; a prescription (or even what I'd be prescribed with). Just my family doctor? Are there side effects? Even thinking about doing that and explaining to a doctor gets me anxious, but it has to be done.
I'd like to hear your stories.</t>
        </is>
      </c>
      <c r="D8126" t="n">
        <v>5</v>
      </c>
      <c r="E8126" t="n">
        <v>11</v>
      </c>
      <c r="F8126">
        <f>HYPERLINK("https://www.reddit.com/r/GERD/comments/h91k3c/i_need_some_advice_regarding_gerd_globus/")</f>
        <v/>
      </c>
      <c r="G8126" t="inlineStr">
        <is>
          <t>2020-06-14 13:55:13</t>
        </is>
      </c>
      <c r="H8126" t="inlineStr"/>
    </row>
    <row r="8127">
      <c r="A8127" t="inlineStr">
        <is>
          <t>h91zdg</t>
        </is>
      </c>
      <c r="B8127" t="inlineStr">
        <is>
          <t>Initial hypothyroidism and blood igA levels too high together with gerd</t>
        </is>
      </c>
      <c r="C8127" t="inlineStr">
        <is>
          <t>Hi guys, I have been having gerd for 6 months and recently I did some blood tests for celiac disease and thyroid and it turns out my blood igA levels come very high, 25% above threshold and hypothyroidism was detected. Does this have any correlation to Gerd/LPR? Im going to get doctors appointment in one month, just want to know if is nornal or not.</t>
        </is>
      </c>
      <c r="D8127" t="n">
        <v>3</v>
      </c>
      <c r="E8127" t="n">
        <v>2</v>
      </c>
      <c r="F8127">
        <f>HYPERLINK("https://www.reddit.com/r/GERD/comments/h91zdg/initial_hypothyroidism_and_blood_iga_levels_too/")</f>
        <v/>
      </c>
      <c r="G8127" t="inlineStr">
        <is>
          <t>2020-06-14 14:19:28</t>
        </is>
      </c>
      <c r="H8127" t="inlineStr"/>
    </row>
    <row r="8128">
      <c r="A8128" t="inlineStr">
        <is>
          <t>h92rus</t>
        </is>
      </c>
      <c r="B8128" t="inlineStr">
        <is>
          <t>Waking from sleep and feeling scared . Prolisec for past 4 days , taking two tablets.</t>
        </is>
      </c>
      <c r="C8128" t="inlineStr">
        <is>
          <t>Waking up in middle of sleep feeling scared and unable to go back to sleep after that . Checking my Fitbit heart rate is 50’s . Is it normal?  how to overcome this ? Please help
I have stomach issue for past 6 weeks , dr suggested prolisec . Taking one in the morning and one in the night .</t>
        </is>
      </c>
      <c r="D8128" t="n">
        <v>9</v>
      </c>
      <c r="E8128" t="n">
        <v>26</v>
      </c>
      <c r="F8128">
        <f>HYPERLINK("https://www.reddit.com/r/GERD/comments/h92rus/waking_from_sleep_and_feeling_scared_prolisec_for/")</f>
        <v/>
      </c>
      <c r="G8128" t="inlineStr">
        <is>
          <t>2020-06-14 15:03:04</t>
        </is>
      </c>
      <c r="H8128" t="inlineStr"/>
    </row>
    <row r="8129">
      <c r="A8129" t="inlineStr">
        <is>
          <t>h94b9a</t>
        </is>
      </c>
      <c r="B8129" t="inlineStr">
        <is>
          <t>What to call this symptom?</t>
        </is>
      </c>
      <c r="C8129" t="inlineStr">
        <is>
          <t>I am seeing a GI later this month, and want to be as accurate as possible to make it go as smoothly as possible. 
I get this sensation of like, a balloon or something expanding behind my sternum. Just deep pressure but not pain, and behind the sternum. It feels like its pressing up on my lungs, and its hard to take a full breath. Does anyone know what to call this symptom?</t>
        </is>
      </c>
      <c r="D8129" t="n">
        <v>2</v>
      </c>
      <c r="E8129" t="n">
        <v>1</v>
      </c>
      <c r="F8129">
        <f>HYPERLINK("https://www.reddit.com/r/GERD/comments/h94b9a/what_to_call_this_symptom/")</f>
        <v/>
      </c>
      <c r="G8129" t="inlineStr">
        <is>
          <t>2020-06-14 16:30:33</t>
        </is>
      </c>
      <c r="H8129" t="inlineStr"/>
    </row>
    <row r="8130">
      <c r="A8130" t="inlineStr">
        <is>
          <t>h97gl0</t>
        </is>
      </c>
      <c r="B8130" t="inlineStr">
        <is>
          <t>Vomiting up bloody mucus?</t>
        </is>
      </c>
      <c r="C8130" t="inlineStr">
        <is>
          <t>Had been vomiting a lot from gastritis (which my doctor never clarified was due to my ibs or my GERD/LPR) but has stopped a month ago after changing my diet (not much I can eat) and some medications. Ended up vomiting last night from a migraine that started from sinus pressure; though I was mostly vomiting bile and white foam, there was also large bits of mucus containing blood in them, or some foamy pink bits.
Is this normal? I have an upcoming endoscopy but it could be a long wait right now as things are backed up from the lockdown. 
I guess what I’m really asking if anyone has any experience with this happening or any advice! Thank you!</t>
        </is>
      </c>
      <c r="D8130" t="n">
        <v>2</v>
      </c>
      <c r="E8130" t="n">
        <v>2</v>
      </c>
      <c r="F8130">
        <f>HYPERLINK("https://www.reddit.com/r/GERD/comments/h97gl0/vomiting_up_bloody_mucus/")</f>
        <v/>
      </c>
      <c r="G8130" t="inlineStr">
        <is>
          <t>2020-06-14 19:44:28</t>
        </is>
      </c>
      <c r="H8130" t="inlineStr"/>
    </row>
    <row r="8131">
      <c r="A8131" t="inlineStr">
        <is>
          <t>h98zwi</t>
        </is>
      </c>
      <c r="B8131" t="inlineStr">
        <is>
          <t>Am I getting better</t>
        </is>
      </c>
      <c r="C8131" t="inlineStr">
        <is>
          <t>So basically I was dealing with a bit of acid reflux for about two weeks, and idk if it may be GERD but i don’t don’t know. Anyways I haven’t really had much acid reflux lately but I have been dealing with a sensation of something in my throat and trouble sucking in air. Is it possible that I have GERD and I’m getting better?</t>
        </is>
      </c>
      <c r="D8131" t="n">
        <v>2</v>
      </c>
      <c r="E8131" t="n">
        <v>1</v>
      </c>
      <c r="F8131">
        <f>HYPERLINK("https://www.reddit.com/r/GERD/comments/h98zwi/am_i_getting_better/")</f>
        <v/>
      </c>
      <c r="G8131" t="inlineStr">
        <is>
          <t>2020-06-14 21:33:58</t>
        </is>
      </c>
      <c r="H8131" t="inlineStr"/>
    </row>
    <row r="8132">
      <c r="A8132" t="inlineStr">
        <is>
          <t>h99o3c</t>
        </is>
      </c>
      <c r="B8132" t="inlineStr">
        <is>
          <t>Bleeding whenever you have reflux attack?</t>
        </is>
      </c>
      <c r="C8132" t="inlineStr">
        <is>
          <t>Wondering if anybody else experiences these symptoms.  I just had a cheat day and had some alcohol and burgers etc.  Reflux was pretty bad so i had some tums, but noticed that i can cough up blood.  Bright red blood at the end of the day.  This is not from my gums or my tongue.  If i had to guess it is from irritation in the esophagus?
I had this same issue last year.  I had an endoscopy done and they found some varices in my stomach that were healing but no active bleeding.  I have since had a pretty strict diet and when I hold to it, I usually don't bleed.  The issue is, if I cheat, I bleed almost every single time (If I cheat for multiple days especially). 
Does anybody else have this issue?  At this point I feel like I just need to be strict forever but it's just a bummer I can't even go to a BBQ without thinking about this for one day out of a year.</t>
        </is>
      </c>
      <c r="D8132" t="n">
        <v>1</v>
      </c>
      <c r="E8132" t="n">
        <v>3</v>
      </c>
      <c r="F8132">
        <f>HYPERLINK("https://www.reddit.com/r/GERD/comments/h99o3c/bleeding_whenever_you_have_reflux_attack/")</f>
        <v/>
      </c>
      <c r="G8132" t="inlineStr">
        <is>
          <t>2020-06-14 22:22:15</t>
        </is>
      </c>
      <c r="H8132" t="inlineStr"/>
    </row>
    <row r="8133">
      <c r="A8133" t="inlineStr">
        <is>
          <t>h99pkh</t>
        </is>
      </c>
      <c r="B8133" t="inlineStr">
        <is>
          <t>Getting intense anxiety i may have gastric cancer.</t>
        </is>
      </c>
      <c r="C8133" t="inlineStr">
        <is>
          <t>Im 22m and my stomach has been unwell since may , at first i thought it was just indigestion issues and waited for it to heal itself but it still hasn't healed, im having discomfort and slight pain in my abdomen along with burning semsations, i havent yet visited the hospital because of the current covid situation.
Side note: i have insomnia from time to time and my sleeping routines were really messed up as i would sleep during the day and wake up at night, which also completely messed with my diet.
Now im really hoping that im only being paranoid about it being cancer.
Ill be happy with any advice.</t>
        </is>
      </c>
      <c r="D8133" t="n">
        <v>1</v>
      </c>
      <c r="E8133" t="n">
        <v>1</v>
      </c>
      <c r="F8133">
        <f>HYPERLINK("https://www.reddit.com/r/GERD/comments/h99pkh/getting_intense_anxiety_i_may_have_gastric_cancer/")</f>
        <v/>
      </c>
      <c r="G8133" t="inlineStr">
        <is>
          <t>2020-06-14 22:25:07</t>
        </is>
      </c>
      <c r="H8133" t="inlineStr"/>
    </row>
    <row r="8134">
      <c r="A8134" t="inlineStr">
        <is>
          <t>h9b4cq</t>
        </is>
      </c>
      <c r="B8134" t="inlineStr">
        <is>
          <t>Wean/taper off of Nexium/PPI, without H2 blockers?</t>
        </is>
      </c>
      <c r="C8134" t="inlineStr">
        <is>
          <t>Most people seem to suggest going to H2, but those are usually not sold this year anymore, at least where I am. 
I'd like to get off nexium. Currently I'm pretty fine and taking 20mg a day.
Last year I tried cutting a pill in half, but it felt like it stayed in my throat or something, never again! 
I tried a month ago alternating days,  and using gaviscon after meals and before bed, that kind of worked, but I accidently went 2 days without nexium which I think flared it up again. I also got hemorrhoids probably from gaviscon, so I take metamucil/psyllium husk now.  I'm not sure if this method is the best, as I get symptoms with it.</t>
        </is>
      </c>
      <c r="D8134" t="n">
        <v>1</v>
      </c>
      <c r="E8134" t="n">
        <v>0</v>
      </c>
      <c r="F8134">
        <f>HYPERLINK("https://www.reddit.com/r/GERD/comments/h9b4cq/weantaper_off_of_nexiumppi_without_h2_blockers/")</f>
        <v/>
      </c>
      <c r="G8134" t="inlineStr">
        <is>
          <t>2020-06-15 00:10:37</t>
        </is>
      </c>
      <c r="H8134" t="inlineStr"/>
    </row>
    <row r="8135">
      <c r="A8135" t="inlineStr">
        <is>
          <t>h9btoc</t>
        </is>
      </c>
      <c r="B8135" t="inlineStr">
        <is>
          <t>LPR and back tingle sensation?</t>
        </is>
      </c>
      <c r="C8135" t="inlineStr">
        <is>
          <t>I just got diagnosed with LPR in May and am still trying to cope with everything. Lately I’ve noticed that after I eat, my upper back kind of goes numb? Like I’ll feel pressure everywhere when trying to swallow, and then I’ll feel a weird tingle-like feeling in my back near my shoulders. Does this happen to anyone else?</t>
        </is>
      </c>
      <c r="D8135" t="n">
        <v>1</v>
      </c>
      <c r="E8135" t="n">
        <v>2</v>
      </c>
      <c r="F8135">
        <f>HYPERLINK("https://www.reddit.com/r/GERD/comments/h9btoc/lpr_and_back_tingle_sensation/")</f>
        <v/>
      </c>
      <c r="G8135" t="inlineStr">
        <is>
          <t>2020-06-15 01:05:57</t>
        </is>
      </c>
      <c r="H8135" t="inlineStr"/>
    </row>
    <row r="8136">
      <c r="A8136" t="inlineStr">
        <is>
          <t>h9cw7p</t>
        </is>
      </c>
      <c r="B8136" t="inlineStr">
        <is>
          <t>Gerd stomach pain and burning sensation help</t>
        </is>
      </c>
      <c r="C8136" t="inlineStr">
        <is>
          <t>I need advice due to extreme summer heat my stomach is burning internally I need advice which fruits I should consume and will ors help me or shall I get an ors injection or ors drip help me give good easy to follow advice help</t>
        </is>
      </c>
      <c r="D8136" t="n">
        <v>1</v>
      </c>
      <c r="E8136" t="n">
        <v>4</v>
      </c>
      <c r="F8136">
        <f>HYPERLINK("https://www.reddit.com/r/GERD/comments/h9cw7p/gerd_stomach_pain_and_burning_sensation_help/")</f>
        <v/>
      </c>
      <c r="G8136" t="inlineStr">
        <is>
          <t>2020-06-15 02:30:30</t>
        </is>
      </c>
      <c r="H8136" t="inlineStr"/>
    </row>
    <row r="8137">
      <c r="A8137" t="inlineStr">
        <is>
          <t>h9d9wc</t>
        </is>
      </c>
      <c r="B8137" t="inlineStr">
        <is>
          <t>Quercetin</t>
        </is>
      </c>
      <c r="C8137" t="inlineStr">
        <is>
          <t>Anyone have experience taking quercetin? 
Did it help or possibly aggravate your symptoms?</t>
        </is>
      </c>
      <c r="D8137" t="n">
        <v>1</v>
      </c>
      <c r="E8137" t="n">
        <v>0</v>
      </c>
      <c r="F8137">
        <f>HYPERLINK("https://www.reddit.com/r/GERD/comments/h9d9wc/quercetin/")</f>
        <v/>
      </c>
      <c r="G8137" t="inlineStr">
        <is>
          <t>2020-06-15 02:59:30</t>
        </is>
      </c>
      <c r="H8137" t="inlineStr"/>
    </row>
    <row r="8138">
      <c r="A8138" t="inlineStr">
        <is>
          <t>h9fm3d</t>
        </is>
      </c>
      <c r="B8138" t="inlineStr">
        <is>
          <t>How I am making progress with my dogs GERD</t>
        </is>
      </c>
      <c r="C8138" t="inlineStr">
        <is>
          <t>My dog has had pretty bad acid reflux since he was about 4 months old. I didn’t know what it was at first. Doctors said it was kennel cough bc he would cough. 
I have researched online tons of natural remedies and although some worked it was only for a short period. Then the reflux would return. It is so stubborn! 
I put my dog on a veggie diet a couple weeks ago and still saw symptoms, but he got better. Then one day I gave him a giant carrot stick and told him to piss off. He ate the whole thing. For the rest of the day I noticed his reflux symptoms were greatly improved and practically gone. 
I have been giving him raw carrot and raw sweet potato in large amounts to fill up his stomach and this has been the most progress I’ve made thus far. He was always snoring loud bc he was so congested, now his sinuses are finally cleared up. I think that consuming a large amount of raw carrots might help with acid reflux. It did with my boy. His breath doesn’t smell like shit either.</t>
        </is>
      </c>
      <c r="D8138" t="n">
        <v>1</v>
      </c>
      <c r="E8138" t="n">
        <v>3</v>
      </c>
      <c r="F8138">
        <f>HYPERLINK("https://www.reddit.com/r/GERD/comments/h9fm3d/how_i_am_making_progress_with_my_dogs_gerd/")</f>
        <v/>
      </c>
      <c r="G8138" t="inlineStr">
        <is>
          <t>2020-06-15 05:44:34</t>
        </is>
      </c>
      <c r="H8138" t="inlineStr"/>
    </row>
    <row r="8139">
      <c r="A8139" t="inlineStr">
        <is>
          <t>h9gmz5</t>
        </is>
      </c>
      <c r="B8139" t="inlineStr">
        <is>
          <t>Omeprazol vs pantoprozole</t>
        </is>
      </c>
      <c r="C8139" t="inlineStr">
        <is>
          <t>Has anyone noticed any difference between these two meds? Or any of the PPIs? I’m on pantoprozole and it just doesn’t work for me. A few years ago I took something for reflux while pregnant and it worked immediately. I think it was omeprazol. Any thoughts?</t>
        </is>
      </c>
      <c r="D8139" t="n">
        <v>1</v>
      </c>
      <c r="E8139" t="n">
        <v>1</v>
      </c>
      <c r="F8139">
        <f>HYPERLINK("https://www.reddit.com/r/GERD/comments/h9gmz5/omeprazol_vs_pantoprozole/")</f>
        <v/>
      </c>
      <c r="G8139" t="inlineStr">
        <is>
          <t>2020-06-15 06:45:34</t>
        </is>
      </c>
      <c r="H8139" t="inlineStr"/>
    </row>
    <row r="8140">
      <c r="A8140" t="inlineStr">
        <is>
          <t>h9hqsc</t>
        </is>
      </c>
      <c r="B8140" t="inlineStr">
        <is>
          <t>Best way to deal with the bloating/gas?</t>
        </is>
      </c>
      <c r="C8140" t="inlineStr">
        <is>
          <t>My dyspepsia started randomly about 2 months ago near the tail end of my keto diet (otherwise generally healthy - no smoking, drinking, and I'm at a good weight). I would get nausea after some meals, but otherwise that was it. Progressed to a dull sour pain in my upper stomach and a strong sensation of being very full after some meals. I went to the doctor a couple of times and the last one wants me to do a two-week course of 40mg Prilosec before kicking me over to a GI doc for an endoscopy.
&amp;amp;#x200B;
The Prilosec 40mg has helped eliminate the dull sour pain in my upper stomach, but I still get some strong bloating/fullness after meals. I did some chew-able simethicone tablets and they seem to provide a little bit of comfort, but not much. I feel like I have a massive burp lodged that won't come free.
&amp;amp;#x200B;
I honestly thought about chugging a ginger ale/7-Up, but I don't know if this will get me to burp or cause me to keel over in pain.
&amp;amp;#x200B;
What do you do for the severe bloating/gas?</t>
        </is>
      </c>
      <c r="D8140" t="n">
        <v>2</v>
      </c>
      <c r="E8140" t="n">
        <v>3</v>
      </c>
      <c r="F8140">
        <f>HYPERLINK("https://www.reddit.com/r/GERD/comments/h9hqsc/best_way_to_deal_with_the_bloatinggas/")</f>
        <v/>
      </c>
      <c r="G8140" t="inlineStr">
        <is>
          <t>2020-06-15 07:46:01</t>
        </is>
      </c>
      <c r="H8140" t="inlineStr"/>
    </row>
    <row r="8141">
      <c r="A8141" t="inlineStr">
        <is>
          <t>h9ipjy</t>
        </is>
      </c>
      <c r="B8141" t="inlineStr">
        <is>
          <t>Is this ulcer?</t>
        </is>
      </c>
      <c r="C8141" t="inlineStr">
        <is>
          <t>I am having intense pain everyday in my upper middle abdomen just below the ribs together with a pain and tenderness in my upper left abdomen below the ribs, and the pain only subsides when I vomit. I can also feel the pain on my upper left  when I sleep on my left side, I feel a squeezing pain inside my abdomen. I can also feel the pain when I lie on my back with my legs stretched out. the only comfortable sleeping position is when I sleep on my right side with a pillow in between my legs.  The pain in the upper left abdomen also aggravates when I eat fatty foods. the pain in my upper middle abdomen only subsides when I vomit. I tried taking omeprazole and antacid but it is not effective. Is this ulcer?</t>
        </is>
      </c>
      <c r="D8141" t="n">
        <v>2</v>
      </c>
      <c r="E8141" t="n">
        <v>1</v>
      </c>
      <c r="F8141">
        <f>HYPERLINK("https://www.reddit.com/r/GERD/comments/h9ipjy/is_this_ulcer/")</f>
        <v/>
      </c>
      <c r="G8141" t="inlineStr">
        <is>
          <t>2020-06-15 08:39:44</t>
        </is>
      </c>
      <c r="H8141" t="inlineStr"/>
    </row>
    <row r="8142">
      <c r="A8142" t="inlineStr">
        <is>
          <t>h9jo1e</t>
        </is>
      </c>
      <c r="B8142" t="inlineStr">
        <is>
          <t>Has anyone traveled to Canada to buy ranitidine?</t>
        </is>
      </c>
      <c r="C8142" t="inlineStr">
        <is>
          <t>If so, how did it go?  How do they define a "90-day supply" when  some of us take 1 pill per day and some of us take 4?</t>
        </is>
      </c>
      <c r="D8142" t="n">
        <v>2</v>
      </c>
      <c r="E8142" t="n">
        <v>4</v>
      </c>
      <c r="F8142">
        <f>HYPERLINK("https://www.reddit.com/r/GERD/comments/h9jo1e/has_anyone_traveled_to_canada_to_buy_ranitidine/")</f>
        <v/>
      </c>
      <c r="G8142" t="inlineStr">
        <is>
          <t>2020-06-15 09:31:35</t>
        </is>
      </c>
      <c r="H8142" t="inlineStr"/>
    </row>
    <row r="8143">
      <c r="A8143" t="inlineStr">
        <is>
          <t>h9kmyc</t>
        </is>
      </c>
      <c r="B8143" t="inlineStr">
        <is>
          <t>Does taking too many Rolaids and Tums cause muscle twitching?</t>
        </is>
      </c>
      <c r="C8143" t="inlineStr">
        <is>
          <t>After taking Rolaids/Tums for 2 weeks, I have had the most horrible muscle twitching and it's just been constant for the past week. It's extremely uncomfortable and I'm wondering how long this is going to last and if anyone else has experienced this?</t>
        </is>
      </c>
      <c r="D8143" t="n">
        <v>1</v>
      </c>
      <c r="E8143" t="n">
        <v>6</v>
      </c>
      <c r="F8143">
        <f>HYPERLINK("https://www.reddit.com/r/GERD/comments/h9kmyc/does_taking_too_many_rolaids_and_tums_cause/")</f>
        <v/>
      </c>
      <c r="G8143" t="inlineStr">
        <is>
          <t>2020-06-15 10:23:16</t>
        </is>
      </c>
      <c r="H8143" t="inlineStr"/>
    </row>
    <row r="8144">
      <c r="A8144" t="inlineStr">
        <is>
          <t>h9l77c</t>
        </is>
      </c>
      <c r="B8144" t="inlineStr">
        <is>
          <t>Stool color</t>
        </is>
      </c>
      <c r="C8144" t="inlineStr">
        <is>
          <t>Is it only me that's having a stool with hints of black color sometimes. I've been having this since the onset of my acid reflux</t>
        </is>
      </c>
      <c r="D8144" t="n">
        <v>1</v>
      </c>
      <c r="E8144" t="n">
        <v>2</v>
      </c>
      <c r="F8144">
        <f>HYPERLINK("https://www.reddit.com/r/GERD/comments/h9l77c/stool_color/")</f>
        <v/>
      </c>
      <c r="G8144" t="inlineStr">
        <is>
          <t>2020-06-15 10:52:53</t>
        </is>
      </c>
      <c r="H8144" t="inlineStr"/>
    </row>
    <row r="8145">
      <c r="A8145" t="inlineStr">
        <is>
          <t>h9mq88</t>
        </is>
      </c>
      <c r="B8145" t="inlineStr">
        <is>
          <t>WHAT DO I HAVE, I TIRED OF MY LIFE AND WILLING TO END IT</t>
        </is>
      </c>
      <c r="C8145" t="inlineStr">
        <is>
          <t>As the title says i don't know if i have sibo, gerd, of someting else...
My symptoms are:
1: Too much burping, I have 2 kind of burps, One comes out very easy and 2nd one feels stuck and makes me feel breathless and makes me lightheaded. (THIS IS WHY I'M AFRAID TO GO OUTSIDE, I'VE BEEN HOME THE PAST 4 MONTHS AND BARELY GO OUTSIDE) because i don't want to pass out somewhere outside.
2: Fatigue, I feel tired all the time. Because of the excessive burps and acid reflux i stopped with smoking 35 days ago after smoking for 9 years half a pack but i haven't had any benefit yet...
3: Loose and mushy stool everyday unless i eat a banana or 2.
What i have done so far:
1: Stopped smoking
2: Tried pantaprazol for a week and omeprazol for a week too but both didn't really help me
3: I got myself checked for h pylori through my stool and it came out negative
4: I barely used to drink water before, I always drunk lots of juices from supermarkt (I know it's bad and full with sugar en other crap so i have stopped since a week now. I have started to drink atleast 1.5L water everyday.
5: Last week i went for endoscopy and they didn't find anything at all.
My Stats:
Male, 22 Years from Netherlands.
My height 180CM / 5ft10
MY weight 95KG / 210 Lbs
BMI: 30 Obese
I have a very bad posture too on which I'm working now.
Activity:
Nothing at all, I'm home all day because of these symptoms since 4 months now. I'm in bed on my phone or tv for atleast 12 to 14 hours everyday, I know It's very bad but i can't do anything else. Going outside it not a option for me for now... I ordered a cardio bike so i can atleast have some activity.
Hope y'all have some tips or advice for me.</t>
        </is>
      </c>
      <c r="D8145" t="n">
        <v>0</v>
      </c>
      <c r="E8145" t="n">
        <v>17</v>
      </c>
      <c r="F8145">
        <f>HYPERLINK("https://www.reddit.com/r/GERD/comments/h9mq88/what_do_i_have_i_tired_of_my_life_and_willing_to/")</f>
        <v/>
      </c>
      <c r="G8145" t="inlineStr">
        <is>
          <t>2020-06-15 12:11:56</t>
        </is>
      </c>
      <c r="H8145" t="inlineStr"/>
    </row>
    <row r="8146">
      <c r="A8146" t="inlineStr">
        <is>
          <t>h9njv7</t>
        </is>
      </c>
      <c r="B8146" t="inlineStr">
        <is>
          <t>Am I able to take Omeprazole as a suppository?</t>
        </is>
      </c>
      <c r="C8146" t="inlineStr">
        <is>
          <t>I got prescribed 20 mg capsules and im just wondering if ill be able to take them as a suppository.</t>
        </is>
      </c>
      <c r="D8146" t="n">
        <v>1</v>
      </c>
      <c r="E8146" t="n">
        <v>5</v>
      </c>
      <c r="F8146">
        <f>HYPERLINK("https://www.reddit.com/r/GERD/comments/h9njv7/am_i_able_to_take_omeprazole_as_a_suppository/")</f>
        <v/>
      </c>
      <c r="G8146" t="inlineStr">
        <is>
          <t>2020-06-15 12:54:57</t>
        </is>
      </c>
      <c r="H8146" t="inlineStr"/>
    </row>
    <row r="8147">
      <c r="A8147" t="inlineStr">
        <is>
          <t>h9nk8a</t>
        </is>
      </c>
      <c r="B8147" t="inlineStr">
        <is>
          <t>acid reflux, slient reflux and gluten/celiac</t>
        </is>
      </c>
      <c r="C8147" t="inlineStr">
        <is>
          <t>What do you guys think about this being linked? I've noticed a huge issue with reflux after gluten containing foods. Some people swear it was gluten causing all the problems, you can even find articles on LPR and the gluten Link. I have over 30+ symptoms of Gluten intolerance. Gonna cut it out. 
Anyone else had this experience?</t>
        </is>
      </c>
      <c r="D8147" t="n">
        <v>0</v>
      </c>
      <c r="E8147" t="n">
        <v>16</v>
      </c>
      <c r="F8147">
        <f>HYPERLINK("https://www.reddit.com/r/GERD/comments/h9nk8a/acid_reflux_slient_reflux_and_glutenceliac/")</f>
        <v/>
      </c>
      <c r="G8147" t="inlineStr">
        <is>
          <t>2020-06-15 12:55:28</t>
        </is>
      </c>
      <c r="H8147" t="inlineStr"/>
    </row>
    <row r="8148">
      <c r="A8148" t="inlineStr">
        <is>
          <t>h9qn1b</t>
        </is>
      </c>
      <c r="B8148" t="inlineStr">
        <is>
          <t>How did it start? When did you notice it first?</t>
        </is>
      </c>
      <c r="C8148" t="inlineStr">
        <is>
          <t>I went to a Primary Care Provider and an urgent care because I have been suffering with acid reflux( bubbling sounds in the gut), diarhea once in a while, increasing sounds when I fall asleep and wake up early morning due to the gut. It's like a burning sensation but not really a heart burn. They diagnosed me with GERD. No tests were performed, not a lot of questions were asked. Other than the acid in my stomach feeling-I mostly feel normal. The upper right quadrant of my abdomen hurts sporadically but my nurse ruled out gall bladder issue.
My PCP gave me prilosec 40mg one per day but after using four of them and reading extensively about how bad they are for you, I quit them. Now I still have mild acid reflux in my stomach when I lay down and my throat hurts. Or I think it hurts. I am unsure if this is an incoming LPR. 
1.) Does this look like classic GERD to you guys?
2.) What's your story? How did your GERD start?</t>
        </is>
      </c>
      <c r="D8148" t="n">
        <v>1</v>
      </c>
      <c r="E8148" t="n">
        <v>13</v>
      </c>
      <c r="F8148">
        <f>HYPERLINK("https://www.reddit.com/r/GERD/comments/h9qn1b/how_did_it_start_when_did_you_notice_it_first/")</f>
        <v/>
      </c>
      <c r="G8148" t="inlineStr">
        <is>
          <t>2020-06-15 15:41:30</t>
        </is>
      </c>
      <c r="H8148" t="inlineStr"/>
    </row>
    <row r="8149">
      <c r="A8149" t="inlineStr">
        <is>
          <t>h9s8lc</t>
        </is>
      </c>
      <c r="B8149" t="inlineStr">
        <is>
          <t>Possible EoE (but definite esophagitis)</t>
        </is>
      </c>
      <c r="C8149" t="inlineStr">
        <is>
          <t xml:space="preserve">
I’ve had confirmed esophagitis that is non-viral/fungal, assumed to be reflux induced.  
But, Dr. says its not, because after 5 weeks on PPI’s, it still hurts like hell (burning, aching, ect).  
He said its one of two things:  
- EoE which i might need steroids for (He said it’s common for people with pretty bad seasonal allergies like me)  
 OR,  
- functional heartburn/dyspepsia, which i don’t think so because I’ve tried FD guard, 4 different ppi’s and all antacids to no avail.  
Any tips for the pain, ear pain, back pain, throat burning/aching? I haven’t found any triggers except obvious stuff like caffeine and alcohol, and spicy food.   
Thank you for your time and thoughts. It has been a very VERY painful few months for me, not doing well at all. 7-9/10 pain all day and it’s really difficult.</t>
        </is>
      </c>
      <c r="D8149" t="n">
        <v>1</v>
      </c>
      <c r="E8149" t="n">
        <v>0</v>
      </c>
      <c r="F8149">
        <f>HYPERLINK("https://www.reddit.com/r/GERD/comments/h9s8lc/possible_eoe_but_definite_esophagitis/")</f>
        <v/>
      </c>
      <c r="G8149" t="inlineStr">
        <is>
          <t>2020-06-15 17:08:47</t>
        </is>
      </c>
      <c r="H8149" t="inlineStr"/>
    </row>
    <row r="8150">
      <c r="A8150" t="inlineStr">
        <is>
          <t>h9ss8b</t>
        </is>
      </c>
      <c r="B8150" t="inlineStr">
        <is>
          <t>new to this condition, what are your favorite foods that work for you?</t>
        </is>
      </c>
      <c r="C8150" t="inlineStr">
        <is>
          <t>I feel like every article tells me conflicting things. I came across two different sources, one telling me cinnamon is a great choice and another telling me it’s awful. I figured I would ask the real experts themselves: veterans of dealing with this. Any advice is appreciated. :) I also realize it really varies from person to person, am I going to have to experiment with this on my own?</t>
        </is>
      </c>
      <c r="D8150" t="n">
        <v>1</v>
      </c>
      <c r="E8150" t="n">
        <v>0</v>
      </c>
      <c r="F8150">
        <f>HYPERLINK("https://www.reddit.com/r/GERD/comments/h9ss8b/new_to_this_condition_what_are_your_favorite/")</f>
        <v/>
      </c>
      <c r="G8150" t="inlineStr">
        <is>
          <t>2020-06-15 17:39:45</t>
        </is>
      </c>
      <c r="H8150" t="inlineStr"/>
    </row>
    <row r="8151">
      <c r="A8151" t="inlineStr">
        <is>
          <t>h9t2wo</t>
        </is>
      </c>
      <c r="B8151" t="inlineStr">
        <is>
          <t>Loud "Croaking/Gurgling" when using Diaphragm to "belly breath"</t>
        </is>
      </c>
      <c r="C8151" t="inlineStr">
        <is>
          <t xml:space="preserve"> Hey everyone,
To start off I have not been officially diagnosed with a Hiatal Hernia by a Doctor, however I believe that it is the cause of my chest pain/gerd which has been diagnosed (although not very thoroughly in my opinion). I have an appointment with a doctor scheduled, but due to COVID its a couple weeks away and is just for the doctor to evaluate if I need a gastroenterology (which I would need to get a test for COVID prior to this). I was diagnosed with acid reflux/gerd and prescribed a PPI antacid about a year and a half ago which cured my chest pain within a couple weeks. Over a couple months I started to taper off of it and eventually just stopped taking it all together. I would be symptom free a couple months and then the chest pain would come back. I'd hop back on the PPI and just like before it went away.
Last week was probably the third or so time where I felt the chest pain come back much stronger with much more burping so of course I went back on the PPI's. This has been helping but I finally put the time in to do my own research as I had a hard time really believing I had "too much stomach acid" as I rarely ever get the typical heartburn/acid reflux. With some research I realized I think that I may have a hiatal hernia of some sort and decided to try some of the tips and tricks I found online, such as belly breathing to strengthen the Diaphragm, yoga, and manually massaging the stomach down (all of which have helped).
Which brings me to my main concern....**today when I was doing some belly breathing I heard my I started hearing a very weird "croaking" noise right under my left rib cage**. It happened every time I deeply inhaled and exhaled with my belly. Has anyone else felt this before? On one hand I feel like its a sign my stomach is adjusting but on the other it scares the hell out of me. I attached an audio clip of it so please take a listen and let me know. Its super weird and sounds like a frog or something.
Should I not push the belly breathing or should I continue doing so? there is no pain involved with the noise directly (still have the chest pain that I always have but it does not get any worse with the noise)
Thank you Thank you Thank you
\*\*\* [https://voca.ro/hN85KbkhsM2](https://voca.ro/hN85KbkhsM2) **(the recording)**
My symptoms include
* Sharp/Burning/Squeezing pain under my lower left sternum (Feels different than normal "heartburn" from acid/fatty/spicy foods
* Small to large burps that sound unlike normal burps
* Feeling like I have to manually fore myself to breath deeply
* And finally the "Croaking/Gurgling" noises that just started today (continuing off and on)
TLDR: Went on PPI's a year or two ago and have taken them off and on to manage strange sharp/burning pain under lower left sternum. The pain and other symptoms recently came back with vengeance so I went back on PPI's. The pain is starting to reduce again but I am having very very strange "croaking noises" when I breath heavy with my belly/diaphragm. No extra pain involved with these noises but I am worried about continuing the belly breathing/stomach massaging I have been doing (despite them seeming to help)</t>
        </is>
      </c>
      <c r="D8151" t="n">
        <v>1</v>
      </c>
      <c r="E8151" t="n">
        <v>13</v>
      </c>
      <c r="F8151">
        <f>HYPERLINK("https://www.reddit.com/r/GERD/comments/h9t2wo/loud_croakinggurgling_when_using_diaphragm_to/")</f>
        <v/>
      </c>
      <c r="G8151" t="inlineStr">
        <is>
          <t>2020-06-15 17:57:15</t>
        </is>
      </c>
      <c r="H8151" t="inlineStr"/>
    </row>
    <row r="8152">
      <c r="A8152" t="inlineStr">
        <is>
          <t>h9tk2a</t>
        </is>
      </c>
      <c r="B8152" t="inlineStr">
        <is>
          <t>How did you wean off your PPI safely?</t>
        </is>
      </c>
      <c r="C8152" t="inlineStr">
        <is>
          <t>Let us know!</t>
        </is>
      </c>
      <c r="D8152" t="n">
        <v>1</v>
      </c>
      <c r="E8152" t="n">
        <v>4</v>
      </c>
      <c r="F8152">
        <f>HYPERLINK("https://www.reddit.com/r/GERD/comments/h9tk2a/how_did_you_wean_off_your_ppi_safely/")</f>
        <v/>
      </c>
      <c r="G8152" t="inlineStr">
        <is>
          <t>2020-06-15 18:24:36</t>
        </is>
      </c>
      <c r="H8152" t="inlineStr"/>
    </row>
    <row r="8153">
      <c r="A8153" t="inlineStr">
        <is>
          <t>h9tkrn</t>
        </is>
      </c>
      <c r="B8153" t="inlineStr">
        <is>
          <t>What to do? I just started with the sibo diet</t>
        </is>
      </c>
      <c r="C8153" t="inlineStr">
        <is>
          <t>I don't know if i have sibo, gerd, of someting else...
My symptoms are:
1: Too much burping, I have 2 kind of burps, One comes out very easy and 2nd type feels stuck and makes me feel breathless and makes me lightheaded. (THIS IS WHY I'M AFRAID TO GO OUTSIDE, I'VE BEEN HOME THE PAST 4 MONTHS AND BARELY GO OUTSIDE) because i don't want to pass out somewhere outside.
2: Fatigue, I feel tired all the time. Because of the excessive burps and acid reflux i stopped with smoking 35 days ago after smoking for 9 years half a pack but i haven't had any benefit yet...
3: Loose and mushy stool everyday unless i eat a banana or 2.
What i have done so far:
1: Stopped smoking
2: Tried pantaprazol for a week and omeprazol for a week too but both didn't really help me
3: I got myself checked for h pylori through my stool and it came out negative
4: I barely used to drink water before, I always drunk lots of juices from supermarkt (I know it's bad and full with sugar en other crap so i have stopped since a week now. I have started to drink atleast 1.5L water everyday.
5: Last week i went for endoscopy and they didn't find anything at all.
My Stats:
Male, 22 Years from Netherlands.
My height 180CM / 5ft10
MY weight 95KG / 210 Lbs
BMI: 30 Obese
I have a very bad posture too on which I'm working now.
Activity:
Nothing at all, I'm home all day because of these symptoms since 4 months now. I'm in bed on my phone or tv for atleast 12 to 14 hours everyday, I know It's very bad but i can't do anything else. Going outside it not a option for me for now... I ordered a cardio bike so i can atleast have some activity at home.
Hope y'all have some tips or advice for me.</t>
        </is>
      </c>
      <c r="D8153" t="n">
        <v>1</v>
      </c>
      <c r="E8153" t="n">
        <v>8</v>
      </c>
      <c r="F8153">
        <f>HYPERLINK("https://www.reddit.com/r/GERD/comments/h9tkrn/what_to_do_i_just_started_with_the_sibo_diet/")</f>
        <v/>
      </c>
      <c r="G8153" t="inlineStr">
        <is>
          <t>2020-06-15 18:25:42</t>
        </is>
      </c>
      <c r="H8153" t="inlineStr"/>
    </row>
    <row r="8154">
      <c r="A8154" t="inlineStr">
        <is>
          <t>h9tqlo</t>
        </is>
      </c>
      <c r="B8154" t="inlineStr">
        <is>
          <t>Post illness LPR</t>
        </is>
      </c>
      <c r="C8154" t="inlineStr">
        <is>
          <t>Hi folks. So here’s my story:
About a year ago, I got a really awful respiratory infection of some sort (not covid but very similar symptoms). It led to double pneumonia and an awful, awful violent cough that had me throwing up 3-4 times a day for 6 months. Doctors think it was pertussis, but they can’t be 100% sure.
Fast forward to last fall, my energy levels started to come back as I got over the illness, but still had an awful cough and felt like I was constantly drowning on my own mucus—my body was just making way too much. The more active I was, the worse it would get. Had every pulmonoligical test done—everything looked good. Endoscopy and ph impedence study looked relatively normal, except for an irritated esophagus and a minor (very small—1cm) hiatal hernia and a slightly loose LES. No acid reflux, but some liquid was coming all the way up to the larynx. Took every medicine under the sun (ppis, nerve blockers, baclafan)—no progress at all. 
Fast forward to this April—I’ve finally figured out a nerve blocker that made the cough go away. Completely changed my diet (no sugar no gluten and vegan). However, 3 months later and I am still drowning in my own mucus. Constantly (every minute) having to hock up huge globs of clear, thick stuff with the consistency of snot. Been trying really hard to not clear throat etc but it’s hard—esp when doing activities (its impossible for me to workout still). Circled up with my GI and laryngologist last week and they were in agreement that it’s LPR. Based on my tests, it’s not a major amount, but their theory is that the illness I had irritated everything in my throat so much, that it’s overly sensitive and now this LPR liquid which I have had my entire life (but never bothered me before) is now driving my body and mucus glands haywire. 
1. Does this theory sound plausible? I trust my doctors but want to make sure I’m on the right track
2. How long does it take to see results? I’ve already incorporated most of the LPR practices (diet, alkaline water, raised head of bed etc) but after 8 weeks, I’m seeing very minimal progress, if any progress at all. It’s incredibly frustrating and I feel like giving up. I’m normally an incredibly active person and I feel like I’ve lost a year of my life 
3. If anyone has had LPR brought on by a major illness—once everything was “reset”, was life somewhat back to normal? Although I have to say being on this diet, there’s some foods I really don’t miss that much that I thought I would, so I’m fine eating a lot healthier going forward anyways
4. Any tips, advice, or words of encouragement would be appreciated! This has been the toughest thing I’ve ever been through and reading a lot of posts on here made my eyes well up seeing how many other people have similar issues and to know I’m not the only one who’s dealing with this. 
Thank you!!</t>
        </is>
      </c>
      <c r="D8154" t="n">
        <v>1</v>
      </c>
      <c r="E8154" t="n">
        <v>6</v>
      </c>
      <c r="F8154">
        <f>HYPERLINK("https://www.reddit.com/r/GERD/comments/h9tqlo/post_illness_lpr/")</f>
        <v/>
      </c>
      <c r="G8154" t="inlineStr">
        <is>
          <t>2020-06-15 18:35:08</t>
        </is>
      </c>
      <c r="H8154" t="inlineStr"/>
    </row>
    <row r="8155">
      <c r="A8155" t="inlineStr">
        <is>
          <t>h9u5hu</t>
        </is>
      </c>
      <c r="B8155" t="inlineStr">
        <is>
          <t>Difficulty Swallowing on First Bites</t>
        </is>
      </c>
      <c r="C8155" t="inlineStr">
        <is>
          <t>So I've been suffering on and off reflux since a cold where I coughed a lot. I thought it was getting better so I had some mild curry about a week and a half ago. Bad idea. The next day my throat was sore and a bit tight. But over the next few days it got better but I still have this lump in my throat feeling. Then today, I had breakfast but no lunch cause I was busy. Cause I was busy at work I also wasn't drinking water, and wonder if thats why when I had supper, I had to swallow hard to get the first couple bites down. The rest of my meal swallowing became easier but I could feel it slowly going down. I am calling my doctor tomorrow, but should I be worried?</t>
        </is>
      </c>
      <c r="D8155" t="n">
        <v>1</v>
      </c>
      <c r="E8155" t="n">
        <v>0</v>
      </c>
      <c r="F8155">
        <f>HYPERLINK("https://www.reddit.com/r/GERD/comments/h9u5hu/difficulty_swallowing_on_first_bites/")</f>
        <v/>
      </c>
      <c r="G8155" t="inlineStr">
        <is>
          <t>2020-06-15 18:59:21</t>
        </is>
      </c>
      <c r="H8155" t="inlineStr"/>
    </row>
    <row r="8156">
      <c r="A8156" t="inlineStr">
        <is>
          <t>h9uign</t>
        </is>
      </c>
      <c r="B8156" t="inlineStr">
        <is>
          <t>My symptoms behave strangely</t>
        </is>
      </c>
      <c r="C8156" t="inlineStr">
        <is>
          <t>Hello,
I am 33 M, suffering from what is most likely to be LPR (GERD), my only symptom is excess saliva in my mouth. It started a year ago in June. The symptoms do get better overtime, but there a lot of ups and downs. I finally noticed some pattern recently that my I usually have my symptom during the workdays and get almost no symptom over the weekend. 
I am thinking that it could be either posture related (I sit in front of laptop when I work) or is stress related. I am starting to think it is stress related, because I do sit during the weekend as well, but do not get symptoms as much.
I started to take Nexium about 2 months back that helped with symptoms but I am off for my endoscopy on Friday. 
Just wanted to share in case someone has similar patterns.</t>
        </is>
      </c>
      <c r="D8156" t="n">
        <v>1</v>
      </c>
      <c r="E8156" t="n">
        <v>2</v>
      </c>
      <c r="F8156">
        <f>HYPERLINK("https://www.reddit.com/r/GERD/comments/h9uign/my_symptoms_behave_strangely/")</f>
        <v/>
      </c>
      <c r="G8156" t="inlineStr">
        <is>
          <t>2020-06-15 19:20:52</t>
        </is>
      </c>
      <c r="H8156" t="inlineStr"/>
    </row>
    <row r="8157">
      <c r="A8157" t="inlineStr">
        <is>
          <t>h9vux7</t>
        </is>
      </c>
      <c r="B8157" t="inlineStr">
        <is>
          <t>Difficulty swallowing... anxiety or gerd?</t>
        </is>
      </c>
      <c r="C8157" t="inlineStr">
        <is>
          <t>Sometimes I find it difficult to swallow even when drinking. It feels stuck in my throat. I have to really relax for it to go down. This only happens sometimes especially when I really focus on it. Does this happen to anyone else?</t>
        </is>
      </c>
      <c r="D8157" t="n">
        <v>1</v>
      </c>
      <c r="E8157" t="n">
        <v>25</v>
      </c>
      <c r="F8157">
        <f>HYPERLINK("https://www.reddit.com/r/GERD/comments/h9vux7/difficulty_swallowing_anxiety_or_gerd/")</f>
        <v/>
      </c>
      <c r="G8157" t="inlineStr">
        <is>
          <t>2020-06-15 20:41:28</t>
        </is>
      </c>
      <c r="H8157" t="inlineStr"/>
    </row>
    <row r="8158">
      <c r="A8158" t="inlineStr">
        <is>
          <t>h9wujh</t>
        </is>
      </c>
      <c r="B8158" t="inlineStr">
        <is>
          <t>Anyone know anything about the Gerrit guys LPR methods from his site? It's behind a paywall but the initial write up has solid info.</t>
        </is>
      </c>
      <c r="C8158" t="inlineStr">
        <is>
          <t>His site which I hesitate to plug for fear of getting my post removed has lots of info on reflux and LPR. Let's just say the site has the word "gate" in it used like Watergate or Gamergate. And in typical sales fashion he has a brilliant article on LPR but then sells you the "course" at the end. 
Just wondering if anyone here has done it or what the basics of the program are. If it's just change diet and exercise, we all know we can find that info free in lots of places.</t>
        </is>
      </c>
      <c r="D8158" t="n">
        <v>1</v>
      </c>
      <c r="E8158" t="n">
        <v>4</v>
      </c>
      <c r="F8158">
        <f>HYPERLINK("https://www.reddit.com/r/GERD/comments/h9wujh/anyone_know_anything_about_the_gerrit_guys_lpr/")</f>
        <v/>
      </c>
      <c r="G8158" t="inlineStr">
        <is>
          <t>2020-06-15 21:47:11</t>
        </is>
      </c>
      <c r="H8158" t="inlineStr"/>
    </row>
    <row r="8159">
      <c r="A8159" t="inlineStr">
        <is>
          <t>h9xl6t</t>
        </is>
      </c>
      <c r="B8159" t="inlineStr">
        <is>
          <t>Carbonated beverages help?</t>
        </is>
      </c>
      <c r="C8159" t="inlineStr">
        <is>
          <t>I know that carbonated beverages are a no-no since it can make reflux worse, but does anyone else find that it sometimes helps with your symptoms?
I get nauseous sometimes or my stomach feels unsettled, so I'll sip a carbonated water (no sugar or anything)... Like right now. I feel like it helps alleviate the nausea and to keep stuff down, but is it just in my head? Is it causing more damage than good?
What do you think? Should I stay away from carbonated waters?</t>
        </is>
      </c>
      <c r="D8159" t="n">
        <v>1</v>
      </c>
      <c r="E8159" t="n">
        <v>6</v>
      </c>
      <c r="F8159">
        <f>HYPERLINK("https://www.reddit.com/r/GERD/comments/h9xl6t/carbonated_beverages_help/")</f>
        <v/>
      </c>
      <c r="G8159" t="inlineStr">
        <is>
          <t>2020-06-15 22:38:08</t>
        </is>
      </c>
      <c r="H8159" t="inlineStr"/>
    </row>
    <row r="8160">
      <c r="A8160" t="inlineStr">
        <is>
          <t>h9xzvh</t>
        </is>
      </c>
      <c r="B8160" t="inlineStr">
        <is>
          <t>Weaning off PPI?</t>
        </is>
      </c>
      <c r="C8160" t="inlineStr">
        <is>
          <t>Do you need to wean off PPI after a 40mg doss for 30 days?</t>
        </is>
      </c>
      <c r="D8160" t="n">
        <v>1</v>
      </c>
      <c r="E8160" t="n">
        <v>1</v>
      </c>
      <c r="F8160">
        <f>HYPERLINK("https://www.reddit.com/r/GERD/comments/h9xzvh/weaning_off_ppi/")</f>
        <v/>
      </c>
      <c r="G8160" t="inlineStr">
        <is>
          <t>2020-06-15 23:07:58</t>
        </is>
      </c>
      <c r="H8160" t="inlineStr"/>
    </row>
    <row r="8161">
      <c r="A8161" t="inlineStr">
        <is>
          <t>h9yhau</t>
        </is>
      </c>
      <c r="B8161" t="inlineStr">
        <is>
          <t>What to do about gnawing hunger?</t>
        </is>
      </c>
      <c r="C8161" t="inlineStr">
        <is>
          <t>Right now, this is my worst symptom. It is there when I wake up and when im going to bed. It really bothers me, but I don’t know how to fix it?</t>
        </is>
      </c>
      <c r="D8161" t="n">
        <v>1</v>
      </c>
      <c r="E8161" t="n">
        <v>11</v>
      </c>
      <c r="F8161">
        <f>HYPERLINK("https://www.reddit.com/r/GERD/comments/h9yhau/what_to_do_about_gnawing_hunger/")</f>
        <v/>
      </c>
      <c r="G8161" t="inlineStr">
        <is>
          <t>2020-06-15 23:44:22</t>
        </is>
      </c>
      <c r="H8161" t="inlineStr"/>
    </row>
    <row r="8162">
      <c r="A8162" t="inlineStr">
        <is>
          <t>ha5fdc</t>
        </is>
      </c>
      <c r="B8162" t="inlineStr">
        <is>
          <t>Blurred vision, Omeprazole?</t>
        </is>
      </c>
      <c r="C8162" t="inlineStr">
        <is>
          <t>I’ve been taking 40mg of Omeprazole for 6 weeks. A couple days ago I thought it looked a little puffy under my eye, this morning I look in the mirror and there’s a little more puffiness and my vision is a little blurred. I’m wondering if anyone else has had this happen? I’ll probably end up going to urgent care this afternoon and have it checked out.</t>
        </is>
      </c>
      <c r="D8162" t="n">
        <v>3</v>
      </c>
      <c r="E8162" t="n">
        <v>8</v>
      </c>
      <c r="F8162">
        <f>HYPERLINK("https://www.reddit.com/r/GERD/comments/ha5fdc/blurred_vision_omeprazole/")</f>
        <v/>
      </c>
      <c r="G8162" t="inlineStr">
        <is>
          <t>2020-06-16 07:49:10</t>
        </is>
      </c>
      <c r="H8162" t="inlineStr"/>
    </row>
    <row r="8163">
      <c r="A8163" t="inlineStr">
        <is>
          <t>ha5m9b</t>
        </is>
      </c>
      <c r="B8163" t="inlineStr">
        <is>
          <t>Chronic hoarseness</t>
        </is>
      </c>
      <c r="C8163" t="inlineStr">
        <is>
          <t>Anyone else here who sees chronic hoarseness as a symptom of your GERD?
Mostly the higher notes are affected, but I'll be hoarse on the entire spectrum of my voice.
It does vary tho, some days are alright, other days I sound like a old man..
My doctor said it could be either GERD or my asthma medication causing it, so I'm trying to change my asthma medication now, and if that doesn't work I'm going to jump on some omeprazole to see if that helps. What do you guys think?</t>
        </is>
      </c>
      <c r="D8163" t="n">
        <v>2</v>
      </c>
      <c r="E8163" t="n">
        <v>4</v>
      </c>
      <c r="F8163">
        <f>HYPERLINK("https://www.reddit.com/r/GERD/comments/ha5m9b/chronic_hoarseness/")</f>
        <v/>
      </c>
      <c r="G8163" t="inlineStr">
        <is>
          <t>2020-06-16 07:59:41</t>
        </is>
      </c>
      <c r="H8163" t="inlineStr"/>
    </row>
    <row r="8164">
      <c r="A8164" t="inlineStr">
        <is>
          <t>ha6ko6</t>
        </is>
      </c>
      <c r="B8164" t="inlineStr">
        <is>
          <t>Beanaid/beano/alpha galactisidase</t>
        </is>
      </c>
      <c r="C8164" t="inlineStr">
        <is>
          <t>Has anyone tried this supplement to see if it helps with your conditions? 
I felt constant bloating/pressure/shortness of breath and general discomfort in my stomach for a long time ( a couple years at least)  and decided to try it out and my symptoms have all vanquished. It worked so well to the point I have no symptoms whatsoever. 
Apparently it is some kind of plant based enzyme. Makes me wonder if I have some kind of disease that is associated with lacking this enzyme.</t>
        </is>
      </c>
      <c r="D8164" t="n">
        <v>1</v>
      </c>
      <c r="E8164" t="n">
        <v>16</v>
      </c>
      <c r="F8164">
        <f>HYPERLINK("https://www.reddit.com/r/GERD/comments/ha6ko6/beanaidbeanoalpha_galactisidase/")</f>
        <v/>
      </c>
      <c r="G8164" t="inlineStr">
        <is>
          <t>2020-06-16 08:50:05</t>
        </is>
      </c>
      <c r="H8164" t="inlineStr"/>
    </row>
    <row r="8165">
      <c r="A8165" t="inlineStr">
        <is>
          <t>ha708i</t>
        </is>
      </c>
      <c r="B8165" t="inlineStr">
        <is>
          <t>Diet?</t>
        </is>
      </c>
      <c r="C8165" t="inlineStr">
        <is>
          <t>Any recommendations for diet? Plans or good books?</t>
        </is>
      </c>
      <c r="D8165" t="n">
        <v>1</v>
      </c>
      <c r="E8165" t="n">
        <v>4</v>
      </c>
      <c r="F8165">
        <f>HYPERLINK("https://www.reddit.com/r/GERD/comments/ha708i/diet/")</f>
        <v/>
      </c>
      <c r="G8165" t="inlineStr">
        <is>
          <t>2020-06-16 09:13:18</t>
        </is>
      </c>
      <c r="H8165" t="inlineStr"/>
    </row>
    <row r="8166">
      <c r="A8166" t="inlineStr">
        <is>
          <t>ha79t0</t>
        </is>
      </c>
      <c r="B8166" t="inlineStr">
        <is>
          <t>Every time I eat, no matter what it is, I have food coming back up to my throat. I always feel super full even after eating the littlest thing. I have acid reflux, but not sure if this is a symptom of GERD?</t>
        </is>
      </c>
      <c r="C8166" t="inlineStr">
        <is>
          <t>It’s been happening lately in the past year or so. I just hit 30 so I’m not sure if it’s because of age or what. I’m average weight and eat food slowly and chew but if I have a veggieburger or piece of toast with deli meat or any kind of food healthy food I just feel it come back to my throat. It can be the most lightweight food and I still feel it.
And it’s not acid, all the Googling didn’t help me find anything about this other than acid because it even happens if I have Omeprazol or Pantaprazol. 
If I eat at 1800 and sleep at 0100 and lie down I still feel food streaming back up to my throat and it ruins my sleep and I feel disgusted.
Any one ever experienced this? It smacking me miserable.</t>
        </is>
      </c>
      <c r="D8166" t="n">
        <v>3</v>
      </c>
      <c r="E8166" t="n">
        <v>16</v>
      </c>
      <c r="F8166">
        <f>HYPERLINK("https://www.reddit.com/r/GERD/comments/ha79t0/every_time_i_eat_no_matter_what_it_is_i_have_food/")</f>
        <v/>
      </c>
      <c r="G8166" t="inlineStr">
        <is>
          <t>2020-06-16 09:26:58</t>
        </is>
      </c>
      <c r="H8166" t="inlineStr"/>
    </row>
    <row r="8167">
      <c r="A8167" t="inlineStr">
        <is>
          <t>ha7luv</t>
        </is>
      </c>
      <c r="B8167" t="inlineStr">
        <is>
          <t>I'm so sick of this</t>
        </is>
      </c>
      <c r="C8167" t="inlineStr">
        <is>
          <t>I believe I either have H Pylori or a hiatal hernia. My symptoms came on suddenly at the end of March. At that time I was taking 1000 mg of vitamin C on and off for a week or two. I also had a violent vomiting episode. Every since these events took place, I have had burning in my throat every single day. I don't know if this is GERD or LPR. I don't really feel burning in my chest. Could a hiatal hernia cause LPR?
I just don't know what to do. I cut out coffee, took prilosec and had awful palpitations, nausea, and a headache. I switched to pepcid which did nothing for me. Will this last forever? I feel like my digestion was screwed up by the vitamin C but wouldn't it go back to normal by now?
I'm just at a loss. I also live in an area where the doctors aren't the best and I don't even have health insurance. I'm only 23 and can't imagine living my whole life feeling like this.</t>
        </is>
      </c>
      <c r="D8167" t="n">
        <v>2</v>
      </c>
      <c r="E8167" t="n">
        <v>5</v>
      </c>
      <c r="F8167">
        <f>HYPERLINK("https://www.reddit.com/r/GERD/comments/ha7luv/im_so_sick_of_this/")</f>
        <v/>
      </c>
      <c r="G8167" t="inlineStr">
        <is>
          <t>2020-06-16 09:44:04</t>
        </is>
      </c>
      <c r="H8167" t="inlineStr"/>
    </row>
    <row r="8168">
      <c r="A8168" t="inlineStr">
        <is>
          <t>ha8ylv</t>
        </is>
      </c>
      <c r="B8168" t="inlineStr">
        <is>
          <t>How the hell do you manage to sleep with heartburn?</t>
        </is>
      </c>
      <c r="C8168" t="inlineStr">
        <is>
          <t>I feel like I’ve tried *everything*. Benadryl, ZZZquil, CBD, elevation, melatonin, prescribed sleeping pills, apple cider vinegar, baking soda, sleeping on my left side (this provides little to no relief for me, not sure why), exercise before bed, warm baths, meditation. Nothing stops my heartburn for more than 20-30 minutes. It’s 24/7. I’ve been averaging like 12 hours of sleep a week for close to 6 months now. It’s the absolute worst when I lie down in the evening. I barely notice it when I’m moving around. But every night, it’s:
heartburn &amp;gt; stress &amp;gt; worst sleep ever &amp;gt; restlessness &amp;gt; my brain and body not in rare form &amp;gt; repeat
Can’t see a clinician because every single person in the city has come out of hiding, due to restrictions being lifted. On a list for a family doctor for a long time now but still no news. My schedule is nonexistent, as I’ll never know when I’ll be able to get a few hours’ rest.
I can barely function on a day to day basis and I’m at my wits end. Any ideas? I just want to sleep. I know if I sleep, my body will be recharged and perhaps I’ll be able to manage my symptoms better. But I feel like I’m caught in a vicious cycle and I’m wondering if you guys had any other remedies for GERD-attributed insomnia. 
Hope everyone is doing okay. I feel your pain.</t>
        </is>
      </c>
      <c r="D8168" t="n">
        <v>2</v>
      </c>
      <c r="E8168" t="n">
        <v>24</v>
      </c>
      <c r="F8168">
        <f>HYPERLINK("https://www.reddit.com/r/GERD/comments/ha8ylv/how_the_hell_do_you_manage_to_sleep_with_heartburn/")</f>
        <v/>
      </c>
      <c r="G8168" t="inlineStr">
        <is>
          <t>2020-06-16 10:52:42</t>
        </is>
      </c>
      <c r="H8168" t="inlineStr"/>
    </row>
    <row r="8169">
      <c r="A8169" t="inlineStr">
        <is>
          <t>ha9msu</t>
        </is>
      </c>
      <c r="B8169" t="inlineStr">
        <is>
          <t>Prilosec 40mg has helped me manage LPR, silent reflux, but I didnt follow prescribed instructions</t>
        </is>
      </c>
      <c r="C8169" t="inlineStr">
        <is>
          <t>I didnt know I had acid reflux this bad because no chest pain, but trouble swallowing, sore throat, hoarseness and globus to the point where I couldn't eat and was caused by continuous bacteria in my gut along with covid lockdown stress and anxiety.  I concluded that this episode is "silent"  
I was prescribed PPI but stopped taking it midway because kept forgetting and eventually gave up. 
But I thought i should finish the rest. I'm 3 days in. Is this safe to stop and start PPI?</t>
        </is>
      </c>
      <c r="D8169" t="n">
        <v>1</v>
      </c>
      <c r="E8169" t="n">
        <v>4</v>
      </c>
      <c r="F8169">
        <f>HYPERLINK("https://www.reddit.com/r/GERD/comments/ha9msu/prilosec_40mg_has_helped_me_manage_lpr_silent/")</f>
        <v/>
      </c>
      <c r="G8169" t="inlineStr">
        <is>
          <t>2020-06-16 11:27:05</t>
        </is>
      </c>
      <c r="H8169" t="inlineStr"/>
    </row>
    <row r="8170">
      <c r="A8170" t="inlineStr">
        <is>
          <t>ha9nho</t>
        </is>
      </c>
      <c r="B8170" t="inlineStr">
        <is>
          <t>29M, GERD veteran, trouble swallowing and anxiety about esophageal cancer :(</t>
        </is>
      </c>
      <c r="C8170" t="inlineStr">
        <is>
          <t>I am a 29M, white, relatively healthy, no smoking since college (pot), nondrinker (now), I've been on PPIs for GERD for the past \~6 years. Endo was negative in 2013 and 2017. Now having trouble swallowing. Nothing gets stuck but sort of feels like things are going down slower than they should. 
Because of my extreme health anxiety about esophageal cancer, I can't truly tell if I really have trouble swallowing or if I am just hyperfocused on how my swallowing feels and that's leading me to think something is wrong. 
Anyone else have trouble swallowing and have it turn out to be nothing? I know my age is very young for esophageal cancer but I'm terrified. 
Going to a GI doc in a month. My doctor isn't super worried b/c of my recent negative endo in 2017, but I probably won't feel better until they look and tell me it's clear.</t>
        </is>
      </c>
      <c r="D8170" t="n">
        <v>2</v>
      </c>
      <c r="E8170" t="n">
        <v>12</v>
      </c>
      <c r="F8170">
        <f>HYPERLINK("https://www.reddit.com/r/GERD/comments/ha9nho/29m_gerd_veteran_trouble_swallowing_and_anxiety/")</f>
        <v/>
      </c>
      <c r="G8170" t="inlineStr">
        <is>
          <t>2020-06-16 11:28:06</t>
        </is>
      </c>
      <c r="H8170" t="inlineStr"/>
    </row>
    <row r="8171">
      <c r="A8171" t="inlineStr">
        <is>
          <t>haagju</t>
        </is>
      </c>
      <c r="B8171" t="inlineStr">
        <is>
          <t>Any good meals/diets people have followed to improve GERD/LPR?</t>
        </is>
      </c>
      <c r="C8171" t="inlineStr">
        <is>
          <t>I am an 18 year old male who has been battling lpr and acid reflux over the last 7 or so months. It’s honestly been a brutal process and I haven’t seen much improvement. I have recently been diagnosed with reflux from my ENT. He has put me on Pepcid 2 times a day for two weeks, hopefully this helps. If anyone has any diets or tips for me on managing (hopefully getting rid of) this disease please, please comment what you have done that has worked. Thank you for your help!</t>
        </is>
      </c>
      <c r="D8171" t="n">
        <v>4</v>
      </c>
      <c r="E8171" t="n">
        <v>8</v>
      </c>
      <c r="F8171">
        <f>HYPERLINK("https://www.reddit.com/r/GERD/comments/haagju/any_good_mealsdiets_people_have_followed_to/")</f>
        <v/>
      </c>
      <c r="G8171" t="inlineStr">
        <is>
          <t>2020-06-16 12:08:28</t>
        </is>
      </c>
      <c r="H8171" t="inlineStr"/>
    </row>
    <row r="8172">
      <c r="A8172" t="inlineStr">
        <is>
          <t>haanhh</t>
        </is>
      </c>
      <c r="B8172" t="inlineStr">
        <is>
          <t>Completely clueless -- Possible GERD?</t>
        </is>
      </c>
      <c r="C8172" t="inlineStr">
        <is>
          <t>I'm only now realizing how frequently I actually have acid reflux and heartburn. I actually had really bad reflux as a child and would throw up most nights, but I forgot all about it growing up. I'm 22 (F) now and I get heartburn without fail each time I eat and change positions/lie down, and I absolutely cannot eat before bed. I ate a meal too quickly last night and had (a very annoying) tightness in my throat. To add insult to injury, I then was a complete dumbass and drank quite a bit of sparkling wine close to my bed time. I woke up with an awful lump in my throat which has not yet gone away 4 hours later. Thinking back, I have this lump in my throat most mornings after a night of excessive drinking.
I have never asked a doctor about these symptoms as I always assumed everyone experienced this. Mostly, what I'd like to know is if you guys think these symptoms are in line with GERD? 
And as COVID is still a thing and I won't be able to go to the doctor, what can I do to alleviate these symptoms in the meantime? Would diet changes help? What are the negative consequences of not treating these symptoms?</t>
        </is>
      </c>
      <c r="D8172" t="n">
        <v>1</v>
      </c>
      <c r="E8172" t="n">
        <v>0</v>
      </c>
      <c r="F8172">
        <f>HYPERLINK("https://www.reddit.com/r/GERD/comments/haanhh/completely_clueless_possible_gerd/")</f>
        <v/>
      </c>
      <c r="G8172" t="inlineStr">
        <is>
          <t>2020-06-16 12:18:11</t>
        </is>
      </c>
      <c r="H8172" t="inlineStr"/>
    </row>
    <row r="8173">
      <c r="A8173" t="inlineStr">
        <is>
          <t>hab4ka</t>
        </is>
      </c>
      <c r="B8173" t="inlineStr">
        <is>
          <t>Too painful to eat</t>
        </is>
      </c>
      <c r="C8173" t="inlineStr">
        <is>
          <t>At the moment, it alls feels too painful to eat. So i've switched to a gluten free trigger free liquid/soft food diet. I don't plan doing this for long. But I'm honestly at my wits end. What do you think? it feels like stabbing in my back where my oesophagus is which I think is trapped gas. I also think that spicy foods and carbonated drinks and alcohol have burned my oesophagus. 
I feel like I need to give it a break. I'm not sure but I stumbled across as condition called EoE " **Eosinophilic oesophagitis** (EoE) happens when white blood cells (called **eosinophils**) deposit in the lining of the oesphagus, which is the muscular tube that connects the mouth to the stomach. This can be the result of an allergic reaction to food or the environment. " 
I know the LPR states that pepsin is involved and it eats away at the lining ect.. so it could be that. 
Honestly I'm exhausted of this battle, went to the doctors today she said lets do a stool sample for H.ployri and some other disease I dunno. She then suggested going on antibiotics?.. SShe felt my stomach and said it was really hard. Gave me constipation meds. I'm already on PPI's which don't seem to make a difference at all. 
I've cut out gluten this is day one. I do feel a little tiny improvement but i'm not sure yet. 
But yeah, actually eating food and swallowing is far too painful.</t>
        </is>
      </c>
      <c r="D8173" t="n">
        <v>1</v>
      </c>
      <c r="E8173" t="n">
        <v>4</v>
      </c>
      <c r="F8173">
        <f>HYPERLINK("https://www.reddit.com/r/GERD/comments/hab4ka/too_painful_to_eat/")</f>
        <v/>
      </c>
      <c r="G8173" t="inlineStr">
        <is>
          <t>2020-06-16 12:42:12</t>
        </is>
      </c>
      <c r="H8173" t="inlineStr"/>
    </row>
    <row r="8174">
      <c r="A8174" t="inlineStr">
        <is>
          <t>hac2da</t>
        </is>
      </c>
      <c r="B8174" t="inlineStr">
        <is>
          <t>Does anyone else get dizzy when standing up from omeprazole?</t>
        </is>
      </c>
      <c r="C8174" t="inlineStr">
        <is>
          <t>I've been getting some orthostatic hypotension lately, not sure why. Wondering if it has anything to do with taking omeprazole.</t>
        </is>
      </c>
      <c r="D8174" t="n">
        <v>2</v>
      </c>
      <c r="E8174" t="n">
        <v>12</v>
      </c>
      <c r="F8174">
        <f>HYPERLINK("https://www.reddit.com/r/GERD/comments/hac2da/does_anyone_else_get_dizzy_when_standing_up_from/")</f>
        <v/>
      </c>
      <c r="G8174" t="inlineStr">
        <is>
          <t>2020-06-16 13:30:35</t>
        </is>
      </c>
      <c r="H8174" t="inlineStr"/>
    </row>
    <row r="8175">
      <c r="A8175" t="inlineStr">
        <is>
          <t>hacq0b</t>
        </is>
      </c>
      <c r="B8175" t="inlineStr">
        <is>
          <t>I'm frustrated at my lack of control over this.</t>
        </is>
      </c>
      <c r="C8175" t="inlineStr">
        <is>
          <t>I have Gerd and IBS. Both have gotten dramatically worse this year and there's no coherent lifestyle or diet change to explain it. 
I've taken 4-5 different PPI's and they only work by giving me extreme diarrhea which comes with cramps and fatigue and dehydration. I seriously believe they don't help until they give me rapid stomach emptying that feels terribly nauseating.  H2 blockers don't really work for me. For a couple weeks last year taking supplemental HCL before meals actually made me feel 100% better - better than I felt in a decade - even my IBS was better, but now it hurts my stomach instead and stopped because I didn't want to risk an ulcer.Pepto sometimes helps but gives me constipation and cramps. 
Been tested twice for h-pylori and both times negative. Had an upper endoscope that found my stomach had plenty of contents from the night before. Stomach lining was irritated but no ulcers.  Did a stomach emptying test a week later that got *normal* results. So what the heck am I supposed to think? Confirmed no hiatal hernia. Had a stool parasite test that was normal. 
Foods that I used to retreat to when I felt bad are now bad for me. When I felt bad, I'd avoid carbohydrates and eat foods like meats and eggs (hard boiled or cooked on a skillet), but now eggs give me diarrhea, so that's another food I can't eat. Fish gives me diarrhea too but I can't find anyone else who gets diarrhea from fish. Had a food allergy test that came back normal for 30 or so different foods - don't remember the list but I know eggs were safe allergy-wise. 
Surgery terrifies me because IBS makes me nauseous and belch a ton and the thought of being unable to vomit or have gas bloat sounds horrifying. 
Since my upper endoscope, the back of my throat has gotten inflamed. I'm already sleeping in a recliner. How in the heck is that possible? Is my stomach pushing contents up my throat that I can't feel? Confirmed I don't have strep, and had a throat culture done which came back yesterday as normal. 
I've missed a lot of work and had to take an FMLA. I don't spend time with my wife like I used to and that upsets me too.</t>
        </is>
      </c>
      <c r="D8175" t="n">
        <v>1</v>
      </c>
      <c r="E8175" t="n">
        <v>3</v>
      </c>
      <c r="F8175">
        <f>HYPERLINK("https://www.reddit.com/r/GERD/comments/hacq0b/im_frustrated_at_my_lack_of_control_over_this/")</f>
        <v/>
      </c>
      <c r="G8175" t="inlineStr">
        <is>
          <t>2020-06-16 14:04:28</t>
        </is>
      </c>
      <c r="H8175" t="inlineStr"/>
    </row>
    <row r="8176">
      <c r="A8176" t="inlineStr">
        <is>
          <t>hacz9i</t>
        </is>
      </c>
      <c r="B8176" t="inlineStr">
        <is>
          <t>Back to bland foods for awhile</t>
        </is>
      </c>
      <c r="C8176" t="inlineStr">
        <is>
          <t>I screwed up and went back to drinking coffee. At first, the coffee didn't bother me at all. I just had two cups every morning, and I was fine. But I think the damage may be progressive, because lately I've been having really bad attacks, especially the past few days, that are different then my usual little attacks. 
I've also discovered that butter now triggers it, which is horrible, because I do love my butter. It's like more and more seems to trigger attacks, including things that never have before. I'm scared to go to the Gastro doc because of the virus. He'll want me to have another endoscopy, and I'm not doing that at this time. No way. 
I was also trying to wean myself off of famotadine, but again, I can't seem to get past the 20 mg. I cut back to 15 in the morning for a week, and was fine, still taking 20 at night. Cut back to 15 at night yesterday, and suffered all night. I think I'll never get off of this stuff.
So I'm back to bland foods now to try to heal, then I'll try again to cut back on my dosage. My non-irritating food list is getting shorter and shorter. Soon I'll be living off of plain rice and potatoes.</t>
        </is>
      </c>
      <c r="D8176" t="n">
        <v>1</v>
      </c>
      <c r="E8176" t="n">
        <v>10</v>
      </c>
      <c r="F8176">
        <f>HYPERLINK("https://www.reddit.com/r/GERD/comments/hacz9i/back_to_bland_foods_for_awhile/")</f>
        <v/>
      </c>
      <c r="G8176" t="inlineStr">
        <is>
          <t>2020-06-16 14:17:11</t>
        </is>
      </c>
      <c r="H8176" t="inlineStr"/>
    </row>
    <row r="8177">
      <c r="A8177" t="inlineStr">
        <is>
          <t>had5x0</t>
        </is>
      </c>
      <c r="B8177" t="inlineStr">
        <is>
          <t>Just wondering why people arent using PPIs</t>
        </is>
      </c>
      <c r="C8177" t="inlineStr">
        <is>
          <t>I see a lot of posts on here talking about how their reflux is debilitating. Why dont you take any PPIs then that's literally what they're for. I just dont get it. I had reflux for 2 years, took omeprazole and now I havent had acid reflux for about 6 months since starting.</t>
        </is>
      </c>
      <c r="D8177" t="n">
        <v>1</v>
      </c>
      <c r="E8177" t="n">
        <v>11</v>
      </c>
      <c r="F8177">
        <f>HYPERLINK("https://www.reddit.com/r/GERD/comments/had5x0/just_wondering_why_people_arent_using_ppis/")</f>
        <v/>
      </c>
      <c r="G8177" t="inlineStr">
        <is>
          <t>2020-06-16 14:26:22</t>
        </is>
      </c>
      <c r="H8177" t="inlineStr"/>
    </row>
    <row r="8178">
      <c r="A8178" t="inlineStr">
        <is>
          <t>hadhvc</t>
        </is>
      </c>
      <c r="B8178" t="inlineStr">
        <is>
          <t>Do I need to reduce my omeprazole? symptoms recently got worse</t>
        </is>
      </c>
      <c r="C8178" t="inlineStr">
        <is>
          <t>I've been taking omeprazole for like six months plus. Currently at 40mg but for a while I did the OTC amount. Lately I've been feeling reflux, feeling liquid in the back of my throat, and my slight hoarseness isn't letting up. Sometimes not taking omeprazole for a day or two makes it better, but back when I was on none it was worse. Should I go back to the OTC amount? Do I need to call my gastroenterologist? 
It feels like I can't win with this. I'm on a high amount and I still get nauseous. it feels weird to eat. I take it and wait to eat breakfast and the texture of food in the morning just grosses me out. Then at night I get reflux badly *still*. 
I should probably reduce the amount, but is there anything else that immediately helps? Antacids aren't working
&amp;amp;#x200B;
(A bit of background on me if anyone cares: had abdominal pain mysteriously for a while. Did many tests. The only thing that came back was inflammation in my esophagus through an upper endoscopy. Was diagnosed with GERD. I'm now realizing symptoms I've had for a long while, such as throat hoarseness/voice getting hurt, nausea (which I thought was just my antidepressants), liquid coming up through my throat (you think this would have been a dead giveaway) are probably because I've had gerd for a long time. )</t>
        </is>
      </c>
      <c r="D8178" t="n">
        <v>1</v>
      </c>
      <c r="E8178" t="n">
        <v>2</v>
      </c>
      <c r="F8178">
        <f>HYPERLINK("https://www.reddit.com/r/GERD/comments/hadhvc/do_i_need_to_reduce_my_omeprazole_symptoms/")</f>
        <v/>
      </c>
      <c r="G8178" t="inlineStr">
        <is>
          <t>2020-06-16 14:43:08</t>
        </is>
      </c>
      <c r="H8178" t="inlineStr"/>
    </row>
    <row r="8179">
      <c r="A8179" t="inlineStr">
        <is>
          <t>hadio9</t>
        </is>
      </c>
      <c r="B8179" t="inlineStr">
        <is>
          <t>Best PPI for LPR?</t>
        </is>
      </c>
      <c r="C8179" t="inlineStr">
        <is>
          <t>Hi Everyone,
I've been on Nexium (Esomeprazole) for 6 weeks now (20mg 2 times a day) for LPR. I only have sore throat caused by excessive mucus. I've had some relief but the last few days it's started to get worse again.
Has anyone had a better experience with another PPI?</t>
        </is>
      </c>
      <c r="D8179" t="n">
        <v>2</v>
      </c>
      <c r="E8179" t="n">
        <v>6</v>
      </c>
      <c r="F8179">
        <f>HYPERLINK("https://www.reddit.com/r/GERD/comments/hadio9/best_ppi_for_lpr/")</f>
        <v/>
      </c>
      <c r="G8179" t="inlineStr">
        <is>
          <t>2020-06-16 14:44:24</t>
        </is>
      </c>
      <c r="H8179" t="inlineStr"/>
    </row>
    <row r="8180">
      <c r="A8180" t="inlineStr">
        <is>
          <t>hadix6</t>
        </is>
      </c>
      <c r="B8180" t="inlineStr">
        <is>
          <t>LPR or Gerd.. Pepcid Experience?</t>
        </is>
      </c>
      <c r="C8180" t="inlineStr">
        <is>
          <t>So since the beginning of the year I've been experience on and off symptoms of either silent reflux or Gerd. I typically start burping a ton after eating and definitely get that sour taste. Occasional heartburn but it's just really a discomfort of breathing and at times pain in the middle of my chest. I went on a soft diet and felt remarkably better. I started drinking coffee and drinking beer again and symptoms again. My doctor told me to take pepcid so I'm wondering what anyones experience is on it? I'm leaning on going on the soft food, alkaline diet that worked before but want to weight out my options.</t>
        </is>
      </c>
      <c r="D8180" t="n">
        <v>1</v>
      </c>
      <c r="E8180" t="n">
        <v>10</v>
      </c>
      <c r="F8180">
        <f>HYPERLINK("https://www.reddit.com/r/GERD/comments/hadix6/lpr_or_gerd_pepcid_experience/")</f>
        <v/>
      </c>
      <c r="G8180" t="inlineStr">
        <is>
          <t>2020-06-16 14:44:46</t>
        </is>
      </c>
      <c r="H8180" t="inlineStr"/>
    </row>
    <row r="8181">
      <c r="A8181" t="inlineStr">
        <is>
          <t>hae1hp</t>
        </is>
      </c>
      <c r="B8181" t="inlineStr">
        <is>
          <t>Feeling like something is stuck at the back of my throat ( very bad )</t>
        </is>
      </c>
      <c r="C8181" t="inlineStr">
        <is>
          <t xml:space="preserve">When I don't have a chance to go to the store or if its late I will undo the ends of my cigs and put them in a bowl. Around 3 weeks ago I was smoking the bowl and a peace of tobaco hit the back of my throat. I ignored it at first but then it started flaring up and hasn't stopped. You would think it would be gone by now if it was in fact the small peace of tobacco. I got a CT and 2 endoscopys. I've been taking ppis and no success. PLEASE, does anyone know of any other methods or drinks, food, medicine that I can try? I don't see how this can still be happening. I'll try following a strict diet again (less acid) and avoid clearing my throat and coughing but what on earth can I do to help it? It's not just a mouth ucler or something that can be numbed and then healed. I would rather have it be that. Anywhere else that I can post? EDIT: Should I really just follow a strict diet and only drink carrot juice and other more alkaline stuff? I don't even know if its that, any advice helps. I've been taking (drinking) pepto bismale. I feel its not pain related and no blockers can shut it down such as pain medication. Sleep has been horrible and I'm lucky I havn't gone off the deep end. No burning, No acid, and trust me I would rather have a feeling of burning then this. Firing nerve? it's a really messed up cycle which won't go away. I have windows of relief but I say this in the calmest way. It's really messing me up. When I ate cereal the other day it was the first time I realllly felt like it all backed up in my throat. Herbs for numbing or nerve healing/firing? anything? thanks I feel like it's more like that than just your regular gerd. I'm going to refrain from clearing my throat, caughing, or talking. </t>
        </is>
      </c>
      <c r="D8181" t="n">
        <v>2</v>
      </c>
      <c r="E8181" t="n">
        <v>1</v>
      </c>
      <c r="F8181">
        <f>HYPERLINK("https://www.reddit.com/r/GERD/comments/hae1hp/feeling_like_something_is_stuck_at_the_back_of_my/")</f>
        <v/>
      </c>
      <c r="G8181" t="inlineStr">
        <is>
          <t>2020-06-16 15:11:29</t>
        </is>
      </c>
      <c r="H8181" t="inlineStr"/>
    </row>
    <row r="8182">
      <c r="A8182" t="inlineStr">
        <is>
          <t>hae9ns</t>
        </is>
      </c>
      <c r="B8182" t="inlineStr">
        <is>
          <t>How to get rid of "lump in throat" sensation?</t>
        </is>
      </c>
      <c r="C8182" t="inlineStr">
        <is>
          <t>Had it since late May.  
It comes and goes in severity, but it stays there.
ENT person looked in and didn't notice any nodules or anything, but noticed area was pretty inflamed, said it appeared to be acid reflux, and prescribed protonix.
I had tried prilosec before visiting the ENT office and it did nothing. The "lump and throat" sensation just kept coming and going without being affected.
I'm still not even completely sure if it's indeed acid reflux, or if it's allergies, or anxiety (I was stressed when it first started).
Anyone have any success stories on how to get rid of it?</t>
        </is>
      </c>
      <c r="D8182" t="n">
        <v>2</v>
      </c>
      <c r="E8182" t="n">
        <v>14</v>
      </c>
      <c r="F8182">
        <f>HYPERLINK("https://www.reddit.com/r/GERD/comments/hae9ns/how_to_get_rid_of_lump_in_throat_sensation/")</f>
        <v/>
      </c>
      <c r="G8182" t="inlineStr">
        <is>
          <t>2020-06-16 15:23:21</t>
        </is>
      </c>
      <c r="H8182" t="inlineStr"/>
    </row>
    <row r="8183">
      <c r="A8183" t="inlineStr">
        <is>
          <t>haei99</t>
        </is>
      </c>
      <c r="B8183" t="inlineStr">
        <is>
          <t>Just had an endoscopy w/biopsies. Pain in chest after swallowing/eating/burping?</t>
        </is>
      </c>
      <c r="C8183" t="inlineStr">
        <is>
          <t>Is this normal? It’s making eating rather difficult, they biopsied for ensophilic esophagitis and h.pylori.
I figured a lot of people on here would’ve had scopes done, the doc didn’t mention anything about chest pain or pain with burping so I’m hoping I’m not alone. I called the nurse-on-call for my insurance and she recommended I go to the ER, but I really don’t want to do that especially if this is a pretty normal side effect.</t>
        </is>
      </c>
      <c r="D8183" t="n">
        <v>1</v>
      </c>
      <c r="E8183" t="n">
        <v>14</v>
      </c>
      <c r="F8183">
        <f>HYPERLINK("https://www.reddit.com/r/GERD/comments/haei99/just_had_an_endoscopy_wbiopsies_pain_in_chest/")</f>
        <v/>
      </c>
      <c r="G8183" t="inlineStr">
        <is>
          <t>2020-06-16 15:36:25</t>
        </is>
      </c>
      <c r="H8183" t="inlineStr"/>
    </row>
    <row r="8184">
      <c r="A8184" t="inlineStr">
        <is>
          <t>haf1vm</t>
        </is>
      </c>
      <c r="B8184" t="inlineStr">
        <is>
          <t>Favorite GERD cookbooks</t>
        </is>
      </c>
      <c r="C8184" t="inlineStr">
        <is>
          <t>I’m looking for a GERD / acid reflux diet cookbook. Any recommendations?</t>
        </is>
      </c>
      <c r="D8184" t="n">
        <v>1</v>
      </c>
      <c r="E8184" t="n">
        <v>1</v>
      </c>
      <c r="F8184">
        <f>HYPERLINK("https://www.reddit.com/r/GERD/comments/haf1vm/favorite_gerd_cookbooks/")</f>
        <v/>
      </c>
      <c r="G8184" t="inlineStr">
        <is>
          <t>2020-06-16 16:08:08</t>
        </is>
      </c>
      <c r="H8184" t="inlineStr"/>
    </row>
    <row r="8185">
      <c r="A8185" t="inlineStr">
        <is>
          <t>hag0yv</t>
        </is>
      </c>
      <c r="B8185" t="inlineStr">
        <is>
          <t>B12, calcium, magnesium shots?</t>
        </is>
      </c>
      <c r="C8185" t="inlineStr">
        <is>
          <t>Hey everyone, been on the PPI Dexilant 60mg for close to two years now. I’m able to take it every second day or so. I always see people worried about certain vitamin deficiencies while taking PPI’s and I was wondering.. Is there any other way to deliver B12, calcium, magnesium etc to your body other than orally? Couldn’t we just get injectables or something? Thanks!</t>
        </is>
      </c>
      <c r="D8185" t="n">
        <v>1</v>
      </c>
      <c r="E8185" t="n">
        <v>2</v>
      </c>
      <c r="F8185">
        <f>HYPERLINK("https://www.reddit.com/r/GERD/comments/hag0yv/b12_calcium_magnesium_shots/")</f>
        <v/>
      </c>
      <c r="G8185" t="inlineStr">
        <is>
          <t>2020-06-16 17:06:35</t>
        </is>
      </c>
      <c r="H8185" t="inlineStr"/>
    </row>
    <row r="8186">
      <c r="A8186" t="inlineStr">
        <is>
          <t>hag89i</t>
        </is>
      </c>
      <c r="B8186" t="inlineStr">
        <is>
          <t>Swallowing pills</t>
        </is>
      </c>
      <c r="C8186" t="inlineStr">
        <is>
          <t>Often since my symptoms began I have trouble swallowing pills - they seem to get “stuck” and sit deep in my esophagus and I can feel them in my back. I have a hiatal hernia (small, but haven’t been told the exact size yet), but I’m not sure what is causing this particular problem. Any ideas? Thanks</t>
        </is>
      </c>
      <c r="D8186" t="n">
        <v>1</v>
      </c>
      <c r="E8186" t="n">
        <v>4</v>
      </c>
      <c r="F8186">
        <f>HYPERLINK("https://www.reddit.com/r/GERD/comments/hag89i/swallowing_pills/")</f>
        <v/>
      </c>
      <c r="G8186" t="inlineStr">
        <is>
          <t>2020-06-16 17:19:03</t>
        </is>
      </c>
      <c r="H8186" t="inlineStr"/>
    </row>
    <row r="8187">
      <c r="A8187" t="inlineStr">
        <is>
          <t>hagwr2</t>
        </is>
      </c>
      <c r="B8187" t="inlineStr">
        <is>
          <t>H pylori</t>
        </is>
      </c>
      <c r="C8187" t="inlineStr">
        <is>
          <t>I feel like I’m going crazy and doctors aren’t giving me any answers I need help. I’m already a fairly tall skinny person and at this rate I’m going to be a skeleton I cannot put any weight back on.</t>
        </is>
      </c>
      <c r="D8187" t="n">
        <v>1</v>
      </c>
      <c r="E8187" t="n">
        <v>4</v>
      </c>
      <c r="F8187">
        <f>HYPERLINK("https://www.reddit.com/r/GERD/comments/hagwr2/h_pylori/")</f>
        <v/>
      </c>
      <c r="G8187" t="inlineStr">
        <is>
          <t>2020-06-16 18:02:07</t>
        </is>
      </c>
      <c r="H8187" t="inlineStr"/>
    </row>
    <row r="8188">
      <c r="A8188" t="inlineStr">
        <is>
          <t>hagyo1</t>
        </is>
      </c>
      <c r="B8188" t="inlineStr">
        <is>
          <t>How do you exercise with GERD?</t>
        </is>
      </c>
      <c r="C8188" t="inlineStr">
        <is>
          <t>I am 19 M and skinny. I can’t do any exercise without choking on stomach acid. The PPI works. The acid is no longer acidic... but undigested food still lingers around and comes up I guess (?) impossible to do push-ups for example.</t>
        </is>
      </c>
      <c r="D8188" t="n">
        <v>1</v>
      </c>
      <c r="E8188" t="n">
        <v>24</v>
      </c>
      <c r="F8188">
        <f>HYPERLINK("https://www.reddit.com/r/GERD/comments/hagyo1/how_do_you_exercise_with_gerd/")</f>
        <v/>
      </c>
      <c r="G8188" t="inlineStr">
        <is>
          <t>2020-06-16 18:05:38</t>
        </is>
      </c>
      <c r="H8188" t="inlineStr"/>
    </row>
    <row r="8189">
      <c r="A8189" t="inlineStr">
        <is>
          <t>hah6fm</t>
        </is>
      </c>
      <c r="B8189" t="inlineStr">
        <is>
          <t>Favorite things to eat? (Meals or just fruits, veggies, proteins, etc.)</t>
        </is>
      </c>
      <c r="C8189" t="inlineStr">
        <is>
          <t>Im just curious. I am currently obsessing over cantaloupe and bananas. just wanna hear from you guys :)</t>
        </is>
      </c>
      <c r="D8189" t="n">
        <v>1</v>
      </c>
      <c r="E8189" t="n">
        <v>6</v>
      </c>
      <c r="F8189">
        <f>HYPERLINK("https://www.reddit.com/r/GERD/comments/hah6fm/favorite_things_to_eat_meals_or_just_fruits/")</f>
        <v/>
      </c>
      <c r="G8189" t="inlineStr">
        <is>
          <t>2020-06-16 18:19:57</t>
        </is>
      </c>
      <c r="H8189" t="inlineStr"/>
    </row>
    <row r="8190">
      <c r="A8190" t="inlineStr">
        <is>
          <t>hah6hu</t>
        </is>
      </c>
      <c r="B8190" t="inlineStr">
        <is>
          <t>Propped head causing neck, back, and shoulder stiffness from uncertain Acid Reflux diagnoses</t>
        </is>
      </c>
      <c r="C8190" t="inlineStr">
        <is>
          <t>Had a ENT look into my throat that has been sore since March. My neck glands started got swollen and sometimes hurts at times after the irritated throat stuck around the 2 month mark. The ENT appointment was near 3 months into it and she said it "could" be acid reflux. Did not elaborate at all and threw PPI's at me. Further research showed I could be suffering from silent reflux. I've never had issues with acid reflux in my life besides the one every few months heart burn if I ate a huge meal obviously asking for trouble. There is always thick white mucus in the back of my throat, I wake up every 2 or so hours having to drink water because my throat is very dry, globus sensation possibly from the constant mucus, and swollen neck glands that can hurt at times. There are good and bad days.
I've got ultrasound, x ray, and blood work done since this started in March and the Doctor has told me it's not something very serious, but I've yet to read posts here mention swollen neck glands. I have a appointment with a GI Monday to get a Endoscopy done to confirm if this really is Acid Reflux or something else.
Until then I was just told this could possibly be Acid Reflux 3 weeks ago and since then I have changed my diet to less acidic based and done what I can to not trigger any episodes, if that's what this is. My big problem now is the neck, shoulder, and back pain I have developed since implementing raising my head to avoid night time reflux. I bought a wedge pillow and that started giving me pains the first week. Switched to raising the two bed posts on my head side about 8 inches up with books and weights evenly. Was fine the first two days and now that's giving me bad muscle aches. Is there a quality pillow, bed, or whatever else I should invest in? Do you guys have a better technique? I will say since changing my diet my throat hasn't felt as sore and the mucus isn't as terrible like it was the first 3 months before I got an idea what could "possibly" be going on.</t>
        </is>
      </c>
      <c r="D8190" t="n">
        <v>1</v>
      </c>
      <c r="E8190" t="n">
        <v>0</v>
      </c>
      <c r="F8190">
        <f>HYPERLINK("https://www.reddit.com/r/GERD/comments/hah6hu/propped_head_causing_neck_back_and_shoulder/")</f>
        <v/>
      </c>
      <c r="G8190" t="inlineStr">
        <is>
          <t>2020-06-16 18:20:04</t>
        </is>
      </c>
      <c r="H8190" t="inlineStr"/>
    </row>
    <row r="8191">
      <c r="A8191" t="inlineStr">
        <is>
          <t>hahevl</t>
        </is>
      </c>
      <c r="B8191" t="inlineStr">
        <is>
          <t>Asthma? GERD? Anxiety? All?</t>
        </is>
      </c>
      <c r="C8191" t="inlineStr">
        <is>
          <t>I’ve been posting a lot here lately. I’m glad to know I’m not alone. Holy crap, I just wanna say the last couple days were rough. I’ve been in a constant state of panic. I’m exhausted. I’ve felt breathless for two days. Lump in my throat. I’ve actually been scared I got the rona with how much I’ve been out in public lately. I don’t have any fever or chills or anything like that. Have social distanced and there’s not many cases in my state so I seriously doubt it, but ayy that’s my health anxiety messing with me, which I never used to have until I got gerd/hiatal hernia around the age of 21.
I’m sure it’s gerd that bothered me, but I’m not so sure how much is possibly caused from other possible things like asthma or allergies if at all? I had the most awful off the rails diet last week after following the acid watchers diet for two weeks prior. I was eating pizza, Taco Bell, Mexican, Wendy’s breakfast, processed packaged junk food. So many trigger foods, nothing following the diet anymore. Well, I take it my body finally had enough. Because man it sent me into gerd anxiety mode, lump in my throat and been keyed up panicking so much for two days straight I didn’t sleep or eat. I finally took a little gaviscon. I was scared to even take a full dose as I just got it and have never tried it. Got a few hours of sleep today finally, and was able to manage some food that was on the acid watcher diet: oatmeal, and some Amy’s tofu pad Thai. I’m feeling much better. But I still have a slight globus sensation and what feels like horrible asthma. I’m just so exhausted and keep getting short of breath. I just have to remain calm, but it’s been so unpleasant.
I’ll be honest I was having such anxiety and panic for so long I was starting to think about ending it all, cause I just some times don’t see an end to this disease. I’m not trying to sound like a drama queen but I know I really struggle mentally sometimes and that was some of the hardest stuff I’ve been through. I really want to know if anyone has these asthma symptoms. I’m so tired, maybe depression too idk, my sinuses are tight, throat tight, throat gets stabbing pains, chest feels tight, mouth dry and sour, face hurts, and globus sensation like something stuck in my throat and I need to clear it or swallow. Feel so out of breath sometimes it’s hard for me to even walk or talk. It’s insane to me. I never thought this could get so debilitating. I got so lost in my head when this started happening and couldn’t really come out of it, everything was so scary. I’m trying to keep my head up and get back on track with the diet, it definitely helps more than I thought. It was dumb of me to go off the rails, I just got so tired of eating the same foods, and it wasn’t perfect by any means but it definitely didn’t set me off like that.
I think I will start seeing a doctor and try to find a surgeon, I’ve lived with this for four years and it’s just getting worse. I’ve tried so many things and they help here and there but nothing has had long lasting effects for me. I honestly hope you guys stay positive, I don’t want this to be such a heavy post but it’s just my reality. Gonna try and take care of myself a little better this week. Get some sunshine, meditate, eat healthy! 
P.S. Chamomile tea and manuka honey was a life saver with the sinus and throat sensations. Gave me a couple hours of relief.</t>
        </is>
      </c>
      <c r="D8191" t="n">
        <v>1</v>
      </c>
      <c r="E8191" t="n">
        <v>5</v>
      </c>
      <c r="F8191">
        <f>HYPERLINK("https://www.reddit.com/r/GERD/comments/hahevl/asthma_gerd_anxiety_all/")</f>
        <v/>
      </c>
      <c r="G8191" t="inlineStr">
        <is>
          <t>2020-06-16 18:35:22</t>
        </is>
      </c>
      <c r="H8191" t="inlineStr"/>
    </row>
    <row r="8192">
      <c r="A8192" t="inlineStr">
        <is>
          <t>hahgwl</t>
        </is>
      </c>
      <c r="B8192" t="inlineStr">
        <is>
          <t>That Post Nasal Drip</t>
        </is>
      </c>
      <c r="C8192" t="inlineStr">
        <is>
          <t>One morning my husband was like what is that sound I am hearing?
I said that my post nasal drip! Damn annoying!</t>
        </is>
      </c>
      <c r="D8192" t="n">
        <v>1</v>
      </c>
      <c r="E8192" t="n">
        <v>0</v>
      </c>
      <c r="F8192">
        <f>HYPERLINK("https://www.reddit.com/r/GERD/comments/hahgwl/that_post_nasal_drip/")</f>
        <v/>
      </c>
      <c r="G8192" t="inlineStr">
        <is>
          <t>2020-06-16 18:39:02</t>
        </is>
      </c>
      <c r="H8192" t="inlineStr"/>
    </row>
    <row r="8193">
      <c r="A8193" t="inlineStr">
        <is>
          <t>hahjjn</t>
        </is>
      </c>
      <c r="B8193" t="inlineStr">
        <is>
          <t>Mucus caused by reflux</t>
        </is>
      </c>
      <c r="C8193" t="inlineStr">
        <is>
          <t>Anyone get mucus in their throat because of gerd? I mostly get it after eating. I have been having problems with this for a good while now, and it doesn't have anything to do with being sick since i haven't had a flu or anything like that for a year now, and the phlegm is clear or white. Have had horrible reflux though</t>
        </is>
      </c>
      <c r="D8193" t="n">
        <v>1</v>
      </c>
      <c r="E8193" t="n">
        <v>5</v>
      </c>
      <c r="F8193">
        <f>HYPERLINK("https://www.reddit.com/r/GERD/comments/hahjjn/mucus_caused_by_reflux/")</f>
        <v/>
      </c>
      <c r="G8193" t="inlineStr">
        <is>
          <t>2020-06-16 18:43:52</t>
        </is>
      </c>
      <c r="H8193" t="inlineStr"/>
    </row>
    <row r="8194">
      <c r="A8194" t="inlineStr">
        <is>
          <t>hahn7h</t>
        </is>
      </c>
      <c r="B8194" t="inlineStr">
        <is>
          <t>A weird sensation below the throat (or maybe on the esophagus)</t>
        </is>
      </c>
      <c r="C8194" t="inlineStr">
        <is>
          <t>So last Sunday, I got a really bad GERD attack after drinking soya infused with banana (flavouring I guess) and throughout the rest of the evening I was struggling to live. I had binge drank whiskey over the weekend so I expected to get GERD but not that bad. Anyway, come Monday, I accidentally ate more than usual and started to feel like my esophagus was a little.. Rough? And from that point on, I had a weird feeling on my neck (underneath the adams apple) is what I feel like it. Like it was being squeezed or lightly pressed. I slept the night away and woke up feeling great! However, when I ate breakfast and started drinking my tea, that weird sensation on the esophagus started again.
&amp;amp;#x200B;
I guess my question is: Is this GERD or am I dying from something else? Yes this is a panic attack.</t>
        </is>
      </c>
      <c r="D8194" t="n">
        <v>1</v>
      </c>
      <c r="E8194" t="n">
        <v>2</v>
      </c>
      <c r="F8194">
        <f>HYPERLINK("https://www.reddit.com/r/GERD/comments/hahn7h/a_weird_sensation_below_the_throat_or_maybe_on/")</f>
        <v/>
      </c>
      <c r="G8194" t="inlineStr">
        <is>
          <t>2020-06-16 18:50:48</t>
        </is>
      </c>
      <c r="H8194" t="inlineStr"/>
    </row>
    <row r="8195">
      <c r="A8195" t="inlineStr">
        <is>
          <t>hai3vu</t>
        </is>
      </c>
      <c r="B8195" t="inlineStr">
        <is>
          <t>Maybe Acid Reflux or Not. Confused and worried.</t>
        </is>
      </c>
      <c r="C8195" t="inlineStr">
        <is>
          <t>Had a ENT look into my throat that has been sore since March. My neck glands got swollen and sometimes hurts at times after the irritated throat stuck around the 2 month mark. The ENT appointment was near 3 months into it and she said it "could" be acid reflux. Did not elaborate at all and threw PPI's at me. Further research showed I could be suffering from silent reflux. I've never had issues with acid reflux in my life besides the one every few months heart burn if I ate a huge meal obviously asking for trouble. There is always thick white mucus in the back of my throat, I wake up every 2 or so hours having to drink water because my throat is very dry, globus sensation possibly from the constant mucus, and swollen neck glands that can hurt at times. There are good and bad days.
I've got ultrasound, x ray, and blood work done since this started in March and the Doctor has told me it's not something very serious, but I've yet to read posts here mention swollen neck glands that hurt at times. I have a appointment with a GI Monday to get a Endoscopy done to confirm if this really is Acid Reflux or something else.
I was just told this could possibly be Acid Reflux 3 weeks ago and since then I have changed my diet to less acidic based and done what I can to not trigger any episodes, if that's what this is. My big problem now is the neck, shoulder, and back pain I have developed since implementing raising my head to avoid night time reflux. I bought a wedge pillow and that started giving me pains the first week. Switched to raising the two bed posts on my head side about 8 inches up with books and weights evenly. Was fine the first two days and now that's giving me bad muscle aches. Is there a quality pillow, bed, or whatever else I should invest in? Do you guys have a better technique? I will say since changing my diet my throat hasn't felt as sore and the mucus isn't as terrible like it was the first 3 months before I got an idea what could "possibly" be going on. My anxiety is going wild with no real answer to this yet after near 4 months. The swollen glands is what really scares me.</t>
        </is>
      </c>
      <c r="D8195" t="n">
        <v>1</v>
      </c>
      <c r="E8195" t="n">
        <v>2</v>
      </c>
      <c r="F8195">
        <f>HYPERLINK("https://www.reddit.com/r/GERD/comments/hai3vu/maybe_acid_reflux_or_not_confused_and_worried/")</f>
        <v/>
      </c>
      <c r="G8195" t="inlineStr">
        <is>
          <t>2020-06-16 19:20:32</t>
        </is>
      </c>
      <c r="H8195" t="inlineStr"/>
    </row>
    <row r="8196">
      <c r="A8196" t="inlineStr">
        <is>
          <t>hai8vn</t>
        </is>
      </c>
      <c r="B8196" t="inlineStr">
        <is>
          <t>What's happening to me?</t>
        </is>
      </c>
      <c r="C8196" t="inlineStr">
        <is>
          <t>I have been bulimic off &amp;amp; on for 10 years. Just in the last month or so, I stopped purging. I just decided to keep all of the food I use to purge, in, because my acid reflux was getting out of control.
I was taking OTC lansoprazole for a few days every time my reflux would get bad and it seemed to work just fine.
Five days ago, I woke up with a terrible feeling in my chest - like there's a baseball at the base of my esophagus. It's causing back pain, chest pain, throat discomfort (not a sore throat), and the occasional reflux. It hurts 10x worse when I lay on my right side, just like my reflux is awful when I sleep on that side. When I bend over, it feels like something is falling into my diaphragm, but nothing comes up. If I eat a regular meal, my stomach starts to get sharp pains &amp;amp; it feels like the "baseball" is going to burst out of my esophagus. I have a headache that gets worse with movement, but not sure if that's related - I get a lot of headaches.
I have an appointment with a gastroenterologist next Wednesday, but I feel like I'm going crazy.
I can't comfortably kiss my son goodnight. Please. Does anyone have any insight?</t>
        </is>
      </c>
      <c r="D8196" t="n">
        <v>1</v>
      </c>
      <c r="E8196" t="n">
        <v>1</v>
      </c>
      <c r="F8196">
        <f>HYPERLINK("https://www.reddit.com/r/GERD/comments/hai8vn/whats_happening_to_me/")</f>
        <v/>
      </c>
      <c r="G8196" t="inlineStr">
        <is>
          <t>2020-06-16 19:29:27</t>
        </is>
      </c>
      <c r="H8196" t="inlineStr"/>
    </row>
    <row r="8197">
      <c r="A8197" t="inlineStr">
        <is>
          <t>haiehi</t>
        </is>
      </c>
      <c r="B8197" t="inlineStr">
        <is>
          <t>Alternative options for protein shakes?</t>
        </is>
      </c>
      <c r="C8197" t="inlineStr">
        <is>
          <t>I've started working out again and have remembered after a not-fun experience with a protein shake that they give me Big Problems. Anyone else have this problem/what other protein sources are easy on a GERD stomach?</t>
        </is>
      </c>
      <c r="D8197" t="n">
        <v>1</v>
      </c>
      <c r="E8197" t="n">
        <v>3</v>
      </c>
      <c r="F8197">
        <f>HYPERLINK("https://www.reddit.com/r/GERD/comments/haiehi/alternative_options_for_protein_shakes/")</f>
        <v/>
      </c>
      <c r="G8197" t="inlineStr">
        <is>
          <t>2020-06-16 19:39:36</t>
        </is>
      </c>
      <c r="H8197" t="inlineStr"/>
    </row>
    <row r="8198">
      <c r="A8198" t="inlineStr">
        <is>
          <t>haij1d</t>
        </is>
      </c>
      <c r="B8198" t="inlineStr">
        <is>
          <t>How are you feeling at this present time 10:46pm?</t>
        </is>
      </c>
      <c r="C8198" t="inlineStr">
        <is>
          <t>Me: I had dinner (fish) at 8:31 finish at 9pm then drank some water at 9:31 and I can feel the mucus in back of my throat and that post nasal drip.</t>
        </is>
      </c>
      <c r="D8198" t="n">
        <v>1</v>
      </c>
      <c r="E8198" t="n">
        <v>3</v>
      </c>
      <c r="F8198">
        <f>HYPERLINK("https://www.reddit.com/r/GERD/comments/haij1d/how_are_you_feeling_at_this_present_time_1046pm/")</f>
        <v/>
      </c>
      <c r="G8198" t="inlineStr">
        <is>
          <t>2020-06-16 19:48:13</t>
        </is>
      </c>
      <c r="H8198" t="inlineStr"/>
    </row>
    <row r="8199">
      <c r="A8199" t="inlineStr">
        <is>
          <t>hakc2i</t>
        </is>
      </c>
      <c r="B8199" t="inlineStr">
        <is>
          <t>SEVERE heartburn attack out of the blue???</t>
        </is>
      </c>
      <c r="C8199" t="inlineStr">
        <is>
          <t>For the last few weeks I've had a new phenomenon occur every once in a while. I'll be normal, and all of the sudden I'll have a MASSIVE heartburn flareup that wont go away. In the case of tonight specifically, the last thing I ate was a muffin (admittedly with a few chocolate chips) 3 hours ago, and a regular sized dinner with no trigger foods 3 hours before that. It's by far the most painful heartburn I've ever felt, and it's concentrated directly above and around (in?) my stomach (although it will sometimes creep up my throat as time goes on). It happens maybe once every four or five days and it's unbearable. I take 40mg Nexium daily and my doctor said to take Pepcid to deal with the flareups, but it barely helps. Tums also seem to make it worse.
What could be causing this? Any relief advice?</t>
        </is>
      </c>
      <c r="D8199" t="n">
        <v>1</v>
      </c>
      <c r="E8199" t="n">
        <v>1</v>
      </c>
      <c r="F8199">
        <f>HYPERLINK("https://www.reddit.com/r/GERD/comments/hakc2i/severe_heartburn_attack_out_of_the_blue/")</f>
        <v/>
      </c>
      <c r="G8199" t="inlineStr">
        <is>
          <t>2020-06-16 21:49:16</t>
        </is>
      </c>
      <c r="H8199" t="inlineStr"/>
    </row>
    <row r="8200">
      <c r="A8200" t="inlineStr">
        <is>
          <t>han5gh</t>
        </is>
      </c>
      <c r="B8200" t="inlineStr">
        <is>
          <t>Chest/heart feels weird whenever I jump</t>
        </is>
      </c>
      <c r="C8200" t="inlineStr">
        <is>
          <t>does anyone else get this from gerd? thx</t>
        </is>
      </c>
      <c r="D8200" t="n">
        <v>1</v>
      </c>
      <c r="E8200" t="n">
        <v>0</v>
      </c>
      <c r="F8200">
        <f>HYPERLINK("https://www.reddit.com/r/GERD/comments/han5gh/chestheart_feels_weird_whenever_i_jump/")</f>
        <v/>
      </c>
      <c r="G8200" t="inlineStr">
        <is>
          <t>2020-06-17 01:20:55</t>
        </is>
      </c>
      <c r="H8200" t="inlineStr"/>
    </row>
    <row r="8201">
      <c r="A8201" t="inlineStr">
        <is>
          <t>han90d</t>
        </is>
      </c>
      <c r="B8201" t="inlineStr">
        <is>
          <t>The one thing I need help with the most is sleep.</t>
        </is>
      </c>
      <c r="C8201" t="inlineStr">
        <is>
          <t>Hey, 20 yr old with small sliding hiatal hernia, and GERD. Currently on 40mg pantoprazole and 200mg dogmatil.
I try to take the PPI before I sleep so it covers me the whole night but it usually doesn’t last. I always, without exception, wake up with acid in my mouth, sometimes even as far as my nose (but that subsided with PPI’s)..
I can manage most symptoms but this one is just insane to me. I’ve yet to try to elevate my bed, I have but very little. I do exercises to pull my stomach down every night (they seem to work and I can feel a difference) what else do you suggest?</t>
        </is>
      </c>
      <c r="D8201" t="n">
        <v>1</v>
      </c>
      <c r="E8201" t="n">
        <v>12</v>
      </c>
      <c r="F8201">
        <f>HYPERLINK("https://www.reddit.com/r/GERD/comments/han90d/the_one_thing_i_need_help_with_the_most_is_sleep/")</f>
        <v/>
      </c>
      <c r="G8201" t="inlineStr">
        <is>
          <t>2020-06-17 01:29:10</t>
        </is>
      </c>
      <c r="H8201" t="inlineStr"/>
    </row>
    <row r="8202">
      <c r="A8202" t="inlineStr">
        <is>
          <t>haowuq</t>
        </is>
      </c>
      <c r="B8202" t="inlineStr">
        <is>
          <t>LPR- need tips</t>
        </is>
      </c>
      <c r="C8202" t="inlineStr">
        <is>
          <t>Hi I’ve had LPR for about a month now, and it has never gotten this bad. I am so congested to the point where nothing is helping. I can’t breathe properly through my nose or mouth and I keep wheezing when I try. Also, I have chest tightness that isn’t making this any easier. Do you guys have any tips? Thank you</t>
        </is>
      </c>
      <c r="D8202" t="n">
        <v>1</v>
      </c>
      <c r="E8202" t="n">
        <v>4</v>
      </c>
      <c r="F8202">
        <f>HYPERLINK("https://www.reddit.com/r/GERD/comments/haowuq/lpr_need_tips/")</f>
        <v/>
      </c>
      <c r="G8202" t="inlineStr">
        <is>
          <t>2020-06-17 03:53:10</t>
        </is>
      </c>
      <c r="H8202" t="inlineStr"/>
    </row>
    <row r="8203">
      <c r="A8203" t="inlineStr">
        <is>
          <t>haqjs5</t>
        </is>
      </c>
      <c r="B8203" t="inlineStr">
        <is>
          <t>Depression/anxiety meds for GERD?</t>
        </is>
      </c>
      <c r="C8203" t="inlineStr">
        <is>
          <t>I went to the doctor and they said I could be “hypersensitive” to acid reflux meaning that I could have low levels of acid but my body is overreacting because of stress/anxiety. They suggested that taking depression medication like Zoloft might be the answer. Has anyone tried this? Did it help?</t>
        </is>
      </c>
      <c r="D8203" t="n">
        <v>1</v>
      </c>
      <c r="E8203" t="n">
        <v>5</v>
      </c>
      <c r="F8203">
        <f>HYPERLINK("https://www.reddit.com/r/GERD/comments/haqjs5/depressionanxiety_meds_for_gerd/")</f>
        <v/>
      </c>
      <c r="G8203" t="inlineStr">
        <is>
          <t>2020-06-17 05:54:43</t>
        </is>
      </c>
      <c r="H8203" t="inlineStr"/>
    </row>
    <row r="8204">
      <c r="A8204" t="inlineStr">
        <is>
          <t>haqnx0</t>
        </is>
      </c>
      <c r="B8204" t="inlineStr">
        <is>
          <t>Endoscopy Anxiety</t>
        </is>
      </c>
      <c r="C8204" t="inlineStr">
        <is>
          <t>A little background... I have struggled with severe acid reflux for over a year now. I am a healthy female, so I never thought it was even possible to get something like this. At first I had no idea what I had and the anxiety was crippling. I ended up in the ER several times thinking I was barely breathing. Every doctor I saw diagnosed me with anxiety, but I knew that was not the root problem. I got a ECG thinking it was heart related, and got my blood checked for d dimers thinking I had pulmonary embolism. It was my mother who noticed my body naturally sat up in bed because it felt better and suggested I had reflux. I haven't had any test done to prove this, but I am 100% this is what I have been struggling with. I am doing a lot better now since I know what I have to work with, but I am still not better. About a year ago my gastroenterologist suggested an endoscopy. I never went through with it because I had a traumatizing experience getting my wisdom teeth out. (I don't remember a thing, but my body remembers the severe panic attacks I had while I was out.) Anyways, I have finally decided it is time to face my fears and get the endoscopy. I am suffering everyday, and I just want to live without this reflux crippling me. I read somewhere that severe acid reflux is a physical problem. Eating certain foods can certainly relieve pain but overall it's a physical problem that may need surgery. 
I would appreciate if anyone would share their honest experience.</t>
        </is>
      </c>
      <c r="D8204" t="n">
        <v>1</v>
      </c>
      <c r="E8204" t="n">
        <v>61</v>
      </c>
      <c r="F8204">
        <f>HYPERLINK("https://www.reddit.com/r/GERD/comments/haqnx0/endoscopy_anxiety/")</f>
        <v/>
      </c>
      <c r="G8204" t="inlineStr">
        <is>
          <t>2020-06-17 06:01:16</t>
        </is>
      </c>
      <c r="H8204" t="inlineStr"/>
    </row>
    <row r="8205">
      <c r="A8205" t="inlineStr">
        <is>
          <t>har8my</t>
        </is>
      </c>
      <c r="B8205" t="inlineStr">
        <is>
          <t>Sauces and seasonings...</t>
        </is>
      </c>
      <c r="C8205" t="inlineStr">
        <is>
          <t>My GERD tends to come in waves. I’ll be fine one year, then the next year every other month I’m going back and fourth between being fine and constantly having heartburn, regurgitating and burping... 
I was diagnosed when I was 5 so I know the drill. 
When my GERD is acting up I take Zantac when I take my other pills in the evening. I’ve never been a coffee drinker and really only drink socially but don’t like to all that much due to a combination of health issues (epilepsy, an electrolyte disorder and of course GERD). 
I’m not overweight.
I’m once again at a point where the antacids just aren’t cutting it and I realize I need to change my diet. I already generally avoid most “bad” foods due to growing up with GERD, but know I need to cut out more.
Last time I got to this point it basically meant I was only eating steamed vegetables, rice, bread and pasta with no oils, sauces or seasonings...
Although I know it’s literally going to be the only way I can sleep through the night I’m absolutely DREADING going back to a diet that’s boarderline flavorless...
Anyone have any sauce or seasoning ideas?
Are soy sauce or worschestershire sauces OK?
What herbs are ok to use?
Also of note—I don’t eat meat.</t>
        </is>
      </c>
      <c r="D8205" t="n">
        <v>1</v>
      </c>
      <c r="E8205" t="n">
        <v>16</v>
      </c>
      <c r="F8205">
        <f>HYPERLINK("https://www.reddit.com/r/GERD/comments/har8my/sauces_and_seasonings/")</f>
        <v/>
      </c>
      <c r="G8205" t="inlineStr">
        <is>
          <t>2020-06-17 06:35:49</t>
        </is>
      </c>
      <c r="H8205" t="inlineStr"/>
    </row>
    <row r="8206">
      <c r="A8206" t="inlineStr">
        <is>
          <t>has23h</t>
        </is>
      </c>
      <c r="B8206" t="inlineStr">
        <is>
          <t>What are the downsides/dangers to surgery?</t>
        </is>
      </c>
      <c r="C8206" t="inlineStr">
        <is>
          <t>I'm keen on getting surgery if I need it, but I want the full picture. The other day I read someone say if you get a fundoplication, you can no longer burp or vomit....which seems like a pretty big deal that nobody mentioned to me before! Is that true?
The fundoplication is usually done alongside the hernia repair, so can they just repair the hernia and not do the fundoplication?</t>
        </is>
      </c>
      <c r="D8206" t="n">
        <v>2</v>
      </c>
      <c r="E8206" t="n">
        <v>6</v>
      </c>
      <c r="F8206">
        <f>HYPERLINK("https://www.reddit.com/r/GERD/comments/has23h/what_are_the_downsidesdangers_to_surgery/")</f>
        <v/>
      </c>
      <c r="G8206" t="inlineStr">
        <is>
          <t>2020-06-17 07:21:12</t>
        </is>
      </c>
      <c r="H8206" t="inlineStr"/>
    </row>
    <row r="8207">
      <c r="A8207" t="inlineStr">
        <is>
          <t>hasjbw</t>
        </is>
      </c>
      <c r="B8207" t="inlineStr">
        <is>
          <t>Moderate to large hiatal hernia (25M)</t>
        </is>
      </c>
      <c r="C8207" t="inlineStr">
        <is>
          <t>Hi everyone, brand new to this sub as of about 10 minutes ago. I’ve been experiencing chest discomfort for a few weeks now. Initially, I thought it was heart related, but after a few trips to the doctor they determined it was just anxiety. Out of a sheer want to calm my anxiety and to prove to myself that nothing was wrong with my heart or lungs, I opted to get a CT to make sure there were no clots around, which there weren’t. I went in for a follow up this morning just to do it, and my doctor informed me that I had a “moderate to large” hiatal hernia. He did not tell me the size exactly. I had been experiencing some acid reflux, but nothing that some otc meds couldn’t handle. It was more the burning sensation in my chest that bothered me. He didn’t tell me what type it is, most likely because he’s not a specialist I assume.
That being said, I’m pretty down about this and am not sure what to do. He prescribed a PPI to me, but it’s the moderate to large thing I’m worried about. He said if it doesn’t get better in a few weeks to call and he will refer me to a specialist. This has been my experience thus far, thanks for reading. Any advice would be great!</t>
        </is>
      </c>
      <c r="D8207" t="n">
        <v>1</v>
      </c>
      <c r="E8207" t="n">
        <v>8</v>
      </c>
      <c r="F8207">
        <f>HYPERLINK("https://www.reddit.com/r/GERD/comments/hasjbw/moderate_to_large_hiatal_hernia_25m/")</f>
        <v/>
      </c>
      <c r="G8207" t="inlineStr">
        <is>
          <t>2020-06-17 07:46:08</t>
        </is>
      </c>
      <c r="H8207" t="inlineStr"/>
    </row>
    <row r="8208">
      <c r="A8208" t="inlineStr">
        <is>
          <t>hat92e</t>
        </is>
      </c>
      <c r="B8208" t="inlineStr">
        <is>
          <t>Anybody else get this?</t>
        </is>
      </c>
      <c r="C8208" t="inlineStr">
        <is>
          <t>So I've been sure that what I'm suffering from is GERD  and my GP thought the same because all the common triggers seem to set off a few hours of serious pain for me but what I'm confused by is I seem to have really concentrated pain a few inches below my sternum where the ribs open up in the centre. I don't have that regurgitation, no chest or throat pain, no burning sensation. But if I have spicy, chocolaty or tomato-y food  later at night or something high in fat then I lay down I'm literally in agony for like 3 hours or longer and can't think of anything else, can't sleep, can't be comfortable, it's hard to even watch youtube because the sensation is so overwhelming. Antacids sometimes help like if I have them straight after a meal before I get much pain but sometimes it makes no difference. Does anybody else have symptoms like this or does everybody else always have that burning pain that moves up the chest? Pls help ahhhh</t>
        </is>
      </c>
      <c r="D8208" t="n">
        <v>1</v>
      </c>
      <c r="E8208" t="n">
        <v>5</v>
      </c>
      <c r="F8208">
        <f>HYPERLINK("https://www.reddit.com/r/GERD/comments/hat92e/anybody_else_get_this/")</f>
        <v/>
      </c>
      <c r="G8208" t="inlineStr">
        <is>
          <t>2020-06-17 08:22:47</t>
        </is>
      </c>
      <c r="H8208" t="inlineStr"/>
    </row>
    <row r="8209">
      <c r="A8209" t="inlineStr">
        <is>
          <t>hatqlq</t>
        </is>
      </c>
      <c r="B8209" t="inlineStr">
        <is>
          <t>hello fellow soldiers, just dropping in to ask if anyone has any recommendations for shops that sell pre-made lpr friendly meals or snacks as capitalism has made sure cooking is out the question. extremely grateful for any help</t>
        </is>
      </c>
      <c r="C8209" t="inlineStr">
        <is>
          <t>or cookbooks even featuring quick and easy recipes. currently in the midst of a 3day long 24hr globus battle and I am climbing the walls. UGH. additionally, anyone have any insights on how propranolol may treat gerd? many thanks</t>
        </is>
      </c>
      <c r="D8209" t="n">
        <v>1</v>
      </c>
      <c r="E8209" t="n">
        <v>3</v>
      </c>
      <c r="F8209">
        <f>HYPERLINK("https://www.reddit.com/r/GERD/comments/hatqlq/hello_fellow_soldiers_just_dropping_in_to_ask_if/")</f>
        <v/>
      </c>
      <c r="G8209" t="inlineStr">
        <is>
          <t>2020-06-17 08:47:19</t>
        </is>
      </c>
      <c r="H8209" t="inlineStr"/>
    </row>
    <row r="8210">
      <c r="A8210" t="inlineStr">
        <is>
          <t>havj9p</t>
        </is>
      </c>
      <c r="B8210" t="inlineStr">
        <is>
          <t>Help in getting diagnosed for GERD?</t>
        </is>
      </c>
      <c r="C8210" t="inlineStr">
        <is>
          <t>Last year, I went to consult with an Internal Medicine doctor because of my chronic coughing. He suspected that it was asthma because he can hear a whistle when I exhale. I also had a chest x-ray and it was clear.
My coughing cleared for a while when I use an inhaler, but eventually I kept coughing every time I wake up and felt a mucus build up before sleeping. Fast forward to a year later, I can’t sleep anymore because I keep waking up to cough. I use a nebulizer before going to sleep and that helps me breathe for a short while, until I sleep and then start coughing again. Other than coughing, what I noticed that was different, I keep burping? Or releasing air at night when I’m in bed.
I don’t have heartburn, just the chronic coughing. But I researched about the GERD triggers, and I definitely eat/drink those in the list. I’m also very overweight.
Is it possible that I have GERD? Or both GERD and asthma? Since I already saw an Internal Medicine doctor who should be able to diagnose it, I wonder what key symptoms should I point out when I go back to consult?</t>
        </is>
      </c>
      <c r="D8210" t="n">
        <v>1</v>
      </c>
      <c r="E8210" t="n">
        <v>1</v>
      </c>
      <c r="F8210">
        <f>HYPERLINK("https://www.reddit.com/r/GERD/comments/havj9p/help_in_getting_diagnosed_for_gerd/")</f>
        <v/>
      </c>
      <c r="G8210" t="inlineStr">
        <is>
          <t>2020-06-17 10:14:17</t>
        </is>
      </c>
      <c r="H8210" t="inlineStr"/>
    </row>
    <row r="8211">
      <c r="A8211" t="inlineStr">
        <is>
          <t>hawdvn</t>
        </is>
      </c>
      <c r="B8211" t="inlineStr">
        <is>
          <t>Has using Prilosec caused weight gain in any of you guys?</t>
        </is>
      </c>
      <c r="C8211" t="inlineStr">
        <is>
          <t>Sorry if asked before, didn't see question.</t>
        </is>
      </c>
      <c r="D8211" t="n">
        <v>1</v>
      </c>
      <c r="E8211" t="n">
        <v>1</v>
      </c>
      <c r="F8211">
        <f>HYPERLINK("https://www.reddit.com/r/GERD/comments/hawdvn/has_using_prilosec_caused_weight_gain_in_any_of/")</f>
        <v/>
      </c>
      <c r="G8211" t="inlineStr">
        <is>
          <t>2020-06-17 10:55:21</t>
        </is>
      </c>
      <c r="H8211" t="inlineStr"/>
    </row>
    <row r="8212">
      <c r="A8212" t="inlineStr">
        <is>
          <t>haxg3q</t>
        </is>
      </c>
      <c r="B8212" t="inlineStr">
        <is>
          <t>Again sitting home at late evening being hungry</t>
        </is>
      </c>
      <c r="C8212" t="inlineStr">
        <is>
          <t>It's almost 21:00, Im hungry but can't eat because Im not allowed to eat anything that late. Maaaan I just wanna be free and eat some late night fast food :(</t>
        </is>
      </c>
      <c r="D8212" t="n">
        <v>1</v>
      </c>
      <c r="E8212" t="n">
        <v>9</v>
      </c>
      <c r="F8212">
        <f>HYPERLINK("https://www.reddit.com/r/GERD/comments/haxg3q/again_sitting_home_at_late_evening_being_hungry/")</f>
        <v/>
      </c>
      <c r="G8212" t="inlineStr">
        <is>
          <t>2020-06-17 11:46:53</t>
        </is>
      </c>
      <c r="H8212" t="inlineStr"/>
    </row>
    <row r="8213">
      <c r="A8213" t="inlineStr">
        <is>
          <t>hayclw</t>
        </is>
      </c>
      <c r="B8213" t="inlineStr">
        <is>
          <t>Nissen Fundoplication and types of weight</t>
        </is>
      </c>
      <c r="C8213" t="inlineStr">
        <is>
          <t>I know the surgery works better if you have less excess weight, but does it matter what type of weight it is? I was gonna try and get back into weightlifting now that quarantine is ending, to gain the muscle mass I lost over the past few months, and also lose some of the excess bodyfat gained during the inactivity. Is me swapping fat for muscle weight gonna be good or bad for surgery? Basically, if someone is a high BMI from bodyfat, or a high BMI from muscle mass, which ones surgery is at higher risk of failing? Or does just being heavier, regardless of what type of weight it comes from, affect the surgery in general?</t>
        </is>
      </c>
      <c r="D8213" t="n">
        <v>1</v>
      </c>
      <c r="E8213" t="n">
        <v>3</v>
      </c>
      <c r="F8213">
        <f>HYPERLINK("https://www.reddit.com/r/GERD/comments/hayclw/nissen_fundoplication_and_types_of_weight/")</f>
        <v/>
      </c>
      <c r="G8213" t="inlineStr">
        <is>
          <t>2020-06-17 12:31:29</t>
        </is>
      </c>
      <c r="H8213" t="inlineStr"/>
    </row>
    <row r="8214">
      <c r="A8214" t="inlineStr">
        <is>
          <t>hayvjb</t>
        </is>
      </c>
      <c r="B8214" t="inlineStr">
        <is>
          <t>I cant swallow pills, what to take</t>
        </is>
      </c>
      <c r="C8214" t="inlineStr">
        <is>
          <t>I've never been able to swallow pills but I need a PPI cause I am having bad reflux. I think I may have esophogitis due to my throat be sore and red but no elective procedures. So my doctor provided me a prescription for a PPI. I told him about my swallowing pills problem so he said I'd be able to split them but when I got to the pharmacist she said I cant. Ive tried to take the pills anyways but I just cant swallow them whole. My new doctor is kinda stupid to be honest and I dont trust him when he says much of anything. I cant get a new doctor until the covid situation is over either. So my question, is there any type of PPI tablet you can either split or the kind of capsule where you can take the contents out of?
Btw I have had this problem since I was a young child. I get some people might want to comment "try to swallow pills this way".... I have tried every trick but it doesnt work for me.</t>
        </is>
      </c>
      <c r="D8214" t="n">
        <v>1</v>
      </c>
      <c r="E8214" t="n">
        <v>11</v>
      </c>
      <c r="F8214">
        <f>HYPERLINK("https://www.reddit.com/r/GERD/comments/hayvjb/i_cant_swallow_pills_what_to_take/")</f>
        <v/>
      </c>
      <c r="G8214" t="inlineStr">
        <is>
          <t>2020-06-17 12:59:01</t>
        </is>
      </c>
      <c r="H8214" t="inlineStr"/>
    </row>
    <row r="8215">
      <c r="A8215" t="inlineStr">
        <is>
          <t>haz2cl</t>
        </is>
      </c>
      <c r="B8215" t="inlineStr">
        <is>
          <t>Question</t>
        </is>
      </c>
      <c r="C8215" t="inlineStr">
        <is>
          <t>Has anyone with heartburn for so long and then get a food allergy test done with lots of food allergies.  Staying away from the food allergy heal the heartburn?</t>
        </is>
      </c>
      <c r="D8215" t="n">
        <v>2</v>
      </c>
      <c r="E8215" t="n">
        <v>12</v>
      </c>
      <c r="F8215">
        <f>HYPERLINK("https://www.reddit.com/r/GERD/comments/haz2cl/question/")</f>
        <v/>
      </c>
      <c r="G8215" t="inlineStr">
        <is>
          <t>2020-06-17 13:08:54</t>
        </is>
      </c>
      <c r="H8215" t="inlineStr"/>
    </row>
    <row r="8216">
      <c r="A8216" t="inlineStr">
        <is>
          <t>hazviq</t>
        </is>
      </c>
      <c r="B8216" t="inlineStr">
        <is>
          <t>Has anyone had success with weight loss?</t>
        </is>
      </c>
      <c r="C8216" t="inlineStr">
        <is>
          <t>I'm tipping the scales at 16st 7 for a 5"4 frame. My GERD has only come on in the last few months after hitting the 16's. I'm aware I need to lose weight urgently. My stomach is really heavy. Just feel alone.</t>
        </is>
      </c>
      <c r="D8216" t="n">
        <v>4</v>
      </c>
      <c r="E8216" t="n">
        <v>28</v>
      </c>
      <c r="F8216">
        <f>HYPERLINK("https://www.reddit.com/r/GERD/comments/hazviq/has_anyone_had_success_with_weight_loss/")</f>
        <v/>
      </c>
      <c r="G8216" t="inlineStr">
        <is>
          <t>2020-06-17 13:51:43</t>
        </is>
      </c>
      <c r="H8216" t="inlineStr"/>
    </row>
    <row r="8217">
      <c r="A8217" t="inlineStr">
        <is>
          <t>hb12vr</t>
        </is>
      </c>
      <c r="B8217" t="inlineStr">
        <is>
          <t>Middle of the night esophageal spasm relief?</t>
        </is>
      </c>
      <c r="C8217" t="inlineStr">
        <is>
          <t>Does anyone else get esophageal spasms in the middle of the night that are so painful they feel like a heart attack? I had one last night, probably my fifth one in the past few years. They are so painful and take over an hour for the pain to subside enough for me to go back to bed and try to sleep. Then my chest hurts the next day.
While I was up, I tried Googling relief (not prevention) and browsed here and could not find anything.
For anyone else that gets these, what do you do when you have one? Does anything work and help relieve the pain? I take a Pepcid Complete, which helps a tiny bit. I don't know anything else that helps.</t>
        </is>
      </c>
      <c r="D8217" t="n">
        <v>1</v>
      </c>
      <c r="E8217" t="n">
        <v>3</v>
      </c>
      <c r="F8217">
        <f>HYPERLINK("https://www.reddit.com/r/GERD/comments/hb12vr/middle_of_the_night_esophageal_spasm_relief/")</f>
        <v/>
      </c>
      <c r="G8217" t="inlineStr">
        <is>
          <t>2020-06-17 14:55:16</t>
        </is>
      </c>
      <c r="H8217" t="inlineStr"/>
    </row>
    <row r="8218">
      <c r="A8218" t="inlineStr">
        <is>
          <t>hb1co7</t>
        </is>
      </c>
      <c r="B8218" t="inlineStr">
        <is>
          <t>gerd cough/clearing of throat</t>
        </is>
      </c>
      <c r="C8218" t="inlineStr">
        <is>
          <t>My ENT said i might have lately. For a long time I have had a mysterious problem where I have to clear my clear often. Lately I have been having fits of coughing. I'm not sick, it kind of happens randomly. Usually at night when i am laying in bed. 
He gave me omprazole 400mg once/day for 30 days.
Have you guys had any success getting the cough and clearing of throat issue fixed?</t>
        </is>
      </c>
      <c r="D8218" t="n">
        <v>1</v>
      </c>
      <c r="E8218" t="n">
        <v>5</v>
      </c>
      <c r="F8218">
        <f>HYPERLINK("https://www.reddit.com/r/GERD/comments/hb1co7/gerd_coughclearing_of_throat/")</f>
        <v/>
      </c>
      <c r="G8218" t="inlineStr">
        <is>
          <t>2020-06-17 15:09:18</t>
        </is>
      </c>
      <c r="H8218" t="inlineStr"/>
    </row>
    <row r="8219">
      <c r="A8219" t="inlineStr">
        <is>
          <t>hb1iji</t>
        </is>
      </c>
      <c r="B8219" t="inlineStr">
        <is>
          <t>Chiropractor</t>
        </is>
      </c>
      <c r="C8219" t="inlineStr">
        <is>
          <t>Has anyone tired visiting a chiropractor for GERD?</t>
        </is>
      </c>
      <c r="D8219" t="n">
        <v>1</v>
      </c>
      <c r="E8219" t="n">
        <v>5</v>
      </c>
      <c r="F8219">
        <f>HYPERLINK("https://www.reddit.com/r/GERD/comments/hb1iji/chiropractor/")</f>
        <v/>
      </c>
      <c r="G8219" t="inlineStr">
        <is>
          <t>2020-06-17 15:18:10</t>
        </is>
      </c>
      <c r="H8219" t="inlineStr"/>
    </row>
    <row r="8220">
      <c r="A8220" t="inlineStr">
        <is>
          <t>hb1sxt</t>
        </is>
      </c>
      <c r="B8220" t="inlineStr">
        <is>
          <t>Help! Symptoms driving me insane</t>
        </is>
      </c>
      <c r="C8220" t="inlineStr">
        <is>
          <t>Hi all, thank you in advance for your comments.
I’m 29 and have a history of healthy anxiety. I’ve dealt with minor acid reflux after certain foods on and off, never as severe as what I’m currently going through.
In March I was taking chewable vitamin c daily and realized this damaged my throat. My dr put me on omeprazole for 6 weeks. Admittedly I am used to taking Pepcid and didn’t stick with taking omeprazole like I should have. My symptoms were not severe and it did eventually heal. I also was stressed and anxious about covid during that time so I know that didn’t help.
Since March the same symptom I’ve had is the feeling of getting something stuck in my throat. It started off when I would eat something and a piece of food would get stuck. Then would have throat tightening and anxiety over feeling like I can’t breathe.
Another mistake I made was drinking hot tea consistently for 3 weeks which aggravated my throat again. All of these were annoying symptoms but manageable.
For the past week my throat symptoms have amplified where I feel like I can’t eat anything. Throat extremely tight and it feels like something is bulging down in my throat almost muscular in nature. Surprisingly feel like I can breathe fine. 
I started taking omeprazole in the morning and Pepcid at night with good and bad days. Admittedly I haven’t been the best with my diet and vowed to start eating bland today.
I went to my ENT yesterday he put the scope up my nose and down my throat he looked at my throat and vocal cords, he didn’t see anything major some slight inflammation he feels is consistent with GERD. He agreed for me to continue same medications. I scheduled with a GI doc but not until 7/31.
Help! Any suggestions are appreciated, is this just a really really bad case of GERD where I have to let it heal or something else? My throat is driving me insane.</t>
        </is>
      </c>
      <c r="D8220" t="n">
        <v>1</v>
      </c>
      <c r="E8220" t="n">
        <v>2</v>
      </c>
      <c r="F8220">
        <f>HYPERLINK("https://www.reddit.com/r/GERD/comments/hb1sxt/help_symptoms_driving_me_insane/")</f>
        <v/>
      </c>
      <c r="G8220" t="inlineStr">
        <is>
          <t>2020-06-17 15:33:22</t>
        </is>
      </c>
      <c r="H8220" t="inlineStr"/>
    </row>
    <row r="8221">
      <c r="A8221" t="inlineStr">
        <is>
          <t>hb1yps</t>
        </is>
      </c>
      <c r="B8221" t="inlineStr">
        <is>
          <t>Breathing difficulties and Omeprazole</t>
        </is>
      </c>
      <c r="C8221" t="inlineStr">
        <is>
          <t>Before lockdown I’d say I was pretty healthy. Exercised lots, ate what I want. Could even drink coffee!
Lockdown starts and now I’m working from home. All of a sudden I’ve got problems breathing and feeling of an allergic reaction. This happens every day for 10 days. 
Doctor tells me it’s most likely GERD and prescribed me omeprazole. Issues with more comprehensive testing due to covid. The stuff works fine for a week as I also go careful with diet. Out of nowhere the symptoms come back harder than ever. This time I can’t catch a full breath and when exercising it feels like my nose is permanently blocked off. My ears feel like they’re about to pop and ring sometimes. 
Has anyone had worsening symptoms on Omeprazole? I have Gaviscon advance coming tomorrow so will be using that to replace these things. 
I just want some glimmer of hope that things might go back to normal</t>
        </is>
      </c>
      <c r="D8221" t="n">
        <v>1</v>
      </c>
      <c r="E8221" t="n">
        <v>3</v>
      </c>
      <c r="F8221">
        <f>HYPERLINK("https://www.reddit.com/r/GERD/comments/hb1yps/breathing_difficulties_and_omeprazole/")</f>
        <v/>
      </c>
      <c r="G8221" t="inlineStr">
        <is>
          <t>2020-06-17 15:42:20</t>
        </is>
      </c>
      <c r="H8221" t="inlineStr"/>
    </row>
    <row r="8222">
      <c r="A8222" t="inlineStr">
        <is>
          <t>hb3p4h</t>
        </is>
      </c>
      <c r="B8222" t="inlineStr">
        <is>
          <t>Anyone have a combination of spinal problems and GERD/LPR/dysphagia?</t>
        </is>
      </c>
      <c r="C8222" t="inlineStr">
        <is>
          <t>Hey, everyone —
I know anxiety makes GERD/LPR/dysphagia worse and I’ve got that in spades, but I was wondering what role spinal issues play.
I’ve always struggled with “tech neck,” and I had it especially badly in high school. An endoscopy found no serious damage from GERD but definite “dysmotility.” 
But I started seeing a chiropractor simultaneously for tech neck and *boom*—swallowing issues gone. I never considered they might be connected back then, but now I’m wondering, given neck and throat aren’t very different regions.
Has anyone found similar connections? Most of my attempts at solving GERD so far (sleep, exercise, diet, PPIs, etc) have only gotten me so far.</t>
        </is>
      </c>
      <c r="D8222" t="n">
        <v>2</v>
      </c>
      <c r="E8222" t="n">
        <v>4</v>
      </c>
      <c r="F8222">
        <f>HYPERLINK("https://www.reddit.com/r/GERD/comments/hb3p4h/anyone_have_a_combination_of_spinal_problems_and/")</f>
        <v/>
      </c>
      <c r="G8222" t="inlineStr">
        <is>
          <t>2020-06-17 17:19:30</t>
        </is>
      </c>
      <c r="H8222" t="inlineStr"/>
    </row>
    <row r="8223">
      <c r="A8223" t="inlineStr">
        <is>
          <t>hb4044</t>
        </is>
      </c>
      <c r="B8223" t="inlineStr">
        <is>
          <t>I need help understanding what im going through!!</t>
        </is>
      </c>
      <c r="C8223" t="inlineStr">
        <is>
          <t>This is my first post here,
So this started in 2015 when i was in 9th std and suddenly i wasnt able to swallow any solids,i dont remember exact time when it happened but im sure that it was in 2015,
It's been well over 5 years at this point and im tired and frustrated cause i still dont know what's causing my inability to swallow, I've been seeing a surgeon and he did endoscopy and then it looked like i have gerd and cause of that my stomach is swollen he gave me some medications when i last consulted him he said my stomach is fine now but still my inability to swallow any solids and higher or lower temperature liquids still persist,
(I also have tinnitus for around 4 years now)
Also ive around 8 swollen lymph nodes and my right side of the throat feels like swollen when i turn my neck around i told my doctor but he says just ignore it, i mean he didnt even checked whats going on. 
Also I've sharp pain in my throat region sometimes and it goes away when i drink water but idk whats causing it tooo
My swollen lymph nodes are like this two on the opposite side of neck 4 under the jaw, one really small one under my cheek and one behind each of the tonsils,
I had medications for infection from another doctor which didnt work, im having treatment for gerd but i dont think its getting somewhere cause my problem is still there and my right side side of the neck is still swollen i can feel it when i move my neck to the right and it driving me nuts,
Idk what to do who to talk to and how to tell this to my doctor, when i tell him all of this he just tells me ignore it, i told him ive right side of my neck swollen and i can feel it and it dosent show up to the naked eye but i can feel it and it not normal, but inspite of this he's conclusion is that my esophagus is sensitive to solid food and higher and lower temperature water that why i can't drink or swallow it.
I really dont know what to do im having this problem for 5 years and I've seen well over 3 doctors for this same issue and the outcome is always gerd but i have swollen lymph nodes and some of them hurt sometime and my problem is still there idk what to do who to talk to is it normal to have swollen lymph nodes for this gerd ???
Should i consult another doctor or should i give him some time to get things right?????
Please comment your thoughts below, i need someone to talk to about this situation
Please leave your thoughts below !</t>
        </is>
      </c>
      <c r="D8223" t="n">
        <v>2</v>
      </c>
      <c r="E8223" t="n">
        <v>23</v>
      </c>
      <c r="F8223">
        <f>HYPERLINK("https://www.reddit.com/r/GERD/comments/hb4044/i_need_help_understanding_what_im_going_through/")</f>
        <v/>
      </c>
      <c r="G8223" t="inlineStr">
        <is>
          <t>2020-06-17 17:37:07</t>
        </is>
      </c>
      <c r="H8223" t="inlineStr"/>
    </row>
    <row r="8224">
      <c r="A8224" t="inlineStr">
        <is>
          <t>hb413s</t>
        </is>
      </c>
      <c r="B8224" t="inlineStr">
        <is>
          <t>desperate girl plagued by globus seeks info on whether its only reflux that's potentially dangerous and not burping?</t>
        </is>
      </c>
      <c r="C8224" t="inlineStr">
        <is>
          <t>after suffering reflux for approx 2 years, with the help of gaviscon advance and changing diet reflux has been significantly reduced as far as I'm aware although I have had a flare up recently after relapsing onto the cigs. off the cigs n looking to get back on track.</t>
        </is>
      </c>
      <c r="D8224" t="n">
        <v>1</v>
      </c>
      <c r="E8224" t="n">
        <v>0</v>
      </c>
      <c r="F8224">
        <f>HYPERLINK("https://www.reddit.com/r/GERD/comments/hb413s/desperate_girl_plagued_by_globus_seeks_info_on/")</f>
        <v/>
      </c>
      <c r="G8224" t="inlineStr">
        <is>
          <t>2020-06-17 17:38:45</t>
        </is>
      </c>
      <c r="H8224" t="inlineStr"/>
    </row>
    <row r="8225">
      <c r="A8225" t="inlineStr">
        <is>
          <t>hb4kuq</t>
        </is>
      </c>
      <c r="B8225" t="inlineStr">
        <is>
          <t>Really bad LPR flare up.. help?</t>
        </is>
      </c>
      <c r="C8225" t="inlineStr">
        <is>
          <t>I got diagnosed with LPR a month ago and I had it under control for some time.. but about a few days ago it got bad again because I messed up my diet. I am currently having really bad chest pain and major tightness, back feels tingly and hurts, I feel tired, I’m wheezing a lot, and I just feel really stuffy and gross from the mucus. Is there anything I can do to fix this fast? I have an appointment with my doctor tomorrow but I just need to get through tonight okay. Thank you!!!</t>
        </is>
      </c>
      <c r="D8225" t="n">
        <v>1</v>
      </c>
      <c r="E8225" t="n">
        <v>5</v>
      </c>
      <c r="F8225">
        <f>HYPERLINK("https://www.reddit.com/r/GERD/comments/hb4kuq/really_bad_lpr_flare_up_help/")</f>
        <v/>
      </c>
      <c r="G8225" t="inlineStr">
        <is>
          <t>2020-06-17 18:10:27</t>
        </is>
      </c>
      <c r="H8225" t="inlineStr"/>
    </row>
    <row r="8226">
      <c r="A8226" t="inlineStr">
        <is>
          <t>hb55nn</t>
        </is>
      </c>
      <c r="B8226" t="inlineStr">
        <is>
          <t>Symptoms only in the evening?</t>
        </is>
      </c>
      <c r="C8226" t="inlineStr">
        <is>
          <t>Anyone experience LPR symptoms only at night? I made it through lunch and breakfast just fine. As I'm making dinner I  get the globus feeling. Each night it seems like symptoms come after 5</t>
        </is>
      </c>
      <c r="D8226" t="n">
        <v>2</v>
      </c>
      <c r="E8226" t="n">
        <v>12</v>
      </c>
      <c r="F8226">
        <f>HYPERLINK("https://www.reddit.com/r/GERD/comments/hb55nn/symptoms_only_in_the_evening/")</f>
        <v/>
      </c>
      <c r="G8226" t="inlineStr">
        <is>
          <t>2020-06-17 18:44:47</t>
        </is>
      </c>
      <c r="H8226" t="inlineStr"/>
    </row>
    <row r="8227">
      <c r="A8227" t="inlineStr">
        <is>
          <t>hb5dsc</t>
        </is>
      </c>
      <c r="B8227" t="inlineStr">
        <is>
          <t>How to cure GERD naturally?</t>
        </is>
      </c>
      <c r="C8227" t="inlineStr">
        <is>
          <t>Almost a month of being on Famotidine, Dexilant, Pantoprazole, + other medications and I’m not seeing any changes. All they seem to do is help with the symptoms and help breathing for a few hours, and not actually curing the root cause like my GI promised. I’ve tried to lessen the acidic foods and eat really plain, but I have not gone one day without shortness of breath and I’m so tired and EXTREMELY anxious over it.
I don’t want to be on these harmful pills for the rest of my life, and after reading up on the different surgery options, I’m absolutely terrified of the effects and don’t want to go that route. 
I’m a little overweight (180 lbs/ 5’1) and could stand to lose 50 pounds to get back into a healthy range. Besides working on this, I’m not sure where to start since my GI is being no help and passing around different PPI’s and H2’s that aren’t actually curing anything. 
Suggestions on where to go from here?</t>
        </is>
      </c>
      <c r="D8227" t="n">
        <v>1</v>
      </c>
      <c r="E8227" t="n">
        <v>26</v>
      </c>
      <c r="F8227">
        <f>HYPERLINK("https://www.reddit.com/r/GERD/comments/hb5dsc/how_to_cure_gerd_naturally/")</f>
        <v/>
      </c>
      <c r="G8227" t="inlineStr">
        <is>
          <t>2020-06-17 18:58:21</t>
        </is>
      </c>
      <c r="H8227" t="inlineStr"/>
    </row>
    <row r="8228">
      <c r="A8228" t="inlineStr">
        <is>
          <t>hb6dib</t>
        </is>
      </c>
      <c r="B8228" t="inlineStr">
        <is>
          <t>Been struggling with GERD for a while now</t>
        </is>
      </c>
      <c r="C8228" t="inlineStr">
        <is>
          <t>Help looking for input on this Been struggling with GERD for a while now and been getting anxiety attack because of it I’m on 22 years old been taking Pepcid now and helps at times but when it’s time to fall asleep my chest gets tight and sometimes I could feel super nauseous to the point I wanna vomit or just vomit because my body rejects some of the foods I eat I’ve gone on a bland diet now and it’s helping out a lot wanted to see how you guys go about if your guys get anxiety</t>
        </is>
      </c>
      <c r="D8228" t="n">
        <v>1</v>
      </c>
      <c r="E8228" t="n">
        <v>0</v>
      </c>
      <c r="F8228">
        <f>HYPERLINK("https://www.reddit.com/r/GERD/comments/hb6dib/been_struggling_with_gerd_for_a_while_now/")</f>
        <v/>
      </c>
      <c r="G8228" t="inlineStr">
        <is>
          <t>2020-06-17 20:03:05</t>
        </is>
      </c>
      <c r="H8228" t="inlineStr"/>
    </row>
    <row r="8229">
      <c r="A8229" t="inlineStr">
        <is>
          <t>hb6lis</t>
        </is>
      </c>
      <c r="B8229" t="inlineStr">
        <is>
          <t>Burning and Tremers.</t>
        </is>
      </c>
      <c r="C8229" t="inlineStr">
        <is>
          <t>Please help, when I have acid coming up, I have like a numbing burning sensation in my left arm and feet. Stomach painful stomach cramps plus tremers  like if its very cold, and feeling of anxiousness in my body that cannot sleep at night. Its a suffering situation and I also suffer from anxiety and depression, it makes my anxiety very high. It's effecting my everyday life, I went to hospital four times and did a lot of testing, and found I have acid reflux but everything else is normal. What is causing these symptoms? Could it be anxiety causing the tremers and could these other symptoms be part of acid reflux? I really need someone to help me with this situation because I'm tired of suffering like this.</t>
        </is>
      </c>
      <c r="D8229" t="n">
        <v>1</v>
      </c>
      <c r="E8229" t="n">
        <v>6</v>
      </c>
      <c r="F8229">
        <f>HYPERLINK("https://www.reddit.com/r/GERD/comments/hb6lis/burning_and_tremers/")</f>
        <v/>
      </c>
      <c r="G8229" t="inlineStr">
        <is>
          <t>2020-06-17 20:18:01</t>
        </is>
      </c>
      <c r="H8229" t="inlineStr"/>
    </row>
    <row r="8230">
      <c r="A8230" t="inlineStr">
        <is>
          <t>hb6slp</t>
        </is>
      </c>
      <c r="B8230" t="inlineStr">
        <is>
          <t>Another hiatal hernia q</t>
        </is>
      </c>
      <c r="C8230" t="inlineStr">
        <is>
          <t>Ok might be dumb but forgive me - but is it ever possible to fix the hiatal hernia without Linx or wrap / TIF? Just pull the stomach down stitch the hiatal laparoscopically -</t>
        </is>
      </c>
      <c r="D8230" t="n">
        <v>1</v>
      </c>
      <c r="E8230" t="n">
        <v>19</v>
      </c>
      <c r="F8230">
        <f>HYPERLINK("https://www.reddit.com/r/GERD/comments/hb6slp/another_hiatal_hernia_q/")</f>
        <v/>
      </c>
      <c r="G8230" t="inlineStr">
        <is>
          <t>2020-06-17 20:31:40</t>
        </is>
      </c>
      <c r="H8230" t="inlineStr"/>
    </row>
    <row r="8231">
      <c r="A8231" t="inlineStr">
        <is>
          <t>hb7qf1</t>
        </is>
      </c>
      <c r="B8231" t="inlineStr">
        <is>
          <t>Who has Chronic mild Gastritis and Gerd (LPR)</t>
        </is>
      </c>
      <c r="C8231" t="inlineStr">
        <is>
          <t>How are you trying to heal?
Have you been healed?
Steps?</t>
        </is>
      </c>
      <c r="D8231" t="n">
        <v>1</v>
      </c>
      <c r="E8231" t="n">
        <v>0</v>
      </c>
      <c r="F8231">
        <f>HYPERLINK("https://www.reddit.com/r/GERD/comments/hb7qf1/who_has_chronic_mild_gastritis_and_gerd_lpr/")</f>
        <v/>
      </c>
      <c r="G8231" t="inlineStr">
        <is>
          <t>2020-06-17 21:38:55</t>
        </is>
      </c>
      <c r="H8231" t="inlineStr"/>
    </row>
    <row r="8232">
      <c r="A8232" t="inlineStr">
        <is>
          <t>hb7smn</t>
        </is>
      </c>
      <c r="B8232" t="inlineStr">
        <is>
          <t>40mg Nexium now 20mg Rebound?</t>
        </is>
      </c>
      <c r="C8232" t="inlineStr">
        <is>
          <t>I have been currently on 40mg Nexium once daily  and by tomorrow I will be on 20mg once daily. Will there be a rebound?</t>
        </is>
      </c>
      <c r="D8232" t="n">
        <v>1</v>
      </c>
      <c r="E8232" t="n">
        <v>0</v>
      </c>
      <c r="F8232">
        <f>HYPERLINK("https://www.reddit.com/r/GERD/comments/hb7smn/40mg_nexium_now_20mg_rebound/")</f>
        <v/>
      </c>
      <c r="G8232" t="inlineStr">
        <is>
          <t>2020-06-17 21:43:12</t>
        </is>
      </c>
      <c r="H8232" t="inlineStr"/>
    </row>
    <row r="8233">
      <c r="A8233" t="inlineStr">
        <is>
          <t>hb8dbe</t>
        </is>
      </c>
      <c r="B8233" t="inlineStr">
        <is>
          <t>How I cured my acid Reflux and ulcer in 7 days by dry fasting 48 hours - No Drugs</t>
        </is>
      </c>
      <c r="C8233" t="inlineStr">
        <is>
          <t>Don’t wait for too long, the damage will only worsen if it’s already on a decline. If you think it’s getting worse - stop all food immediately. Get on the Snake juice for 24 hours. Snake Juice - Water with No-Salt+Pink Salt+Baking Soda. 
Then, straight 48-72 hours dry fast. It was my first time so I couldn’t do it more than 48 hours, but if you have the capacity to do so, go ahead - dry fasting allows your body to heal. Fully focus on yourself those 2-3 days so that your mind prepares for the repair work in your gut. 
Break your fast with yoghurt or Kefir and berries. For the next 10 days your first meal should be yoghurt/Kefir and Blueberries -  any other fruit is optional. Add some raw honey for more antioxidants. 
20 minutes Before each meal dilute a table spoon of Apple cider vinegar in water or drink ginger lemon tea. Eat only high quality meat and veggies. Avoid nightshades and too much spice. Eat some yoghurt after every meal. Stop snacking in between meals - give your body enough time to digest. 
My experiences:
After 30 hours of dry fasting - your body will test you so be prepared for intense hunger. 
Yoghurt/Kefir is the key to heal the gut microbiome. 
Processed food will only harm your body. Go Whole Foods only. 
Patience is the key. 
Snake juice before fasting is essential to help your body go into ketosis. Google it. 
Meditate/Pray for positivity and happiness - since you’re a monk for 48 hours so why not. 
Comment below for any questions - I’m just a man on the Internet NOT a medical professional - For Educational purposes only.</t>
        </is>
      </c>
      <c r="D8233" t="n">
        <v>1</v>
      </c>
      <c r="E8233" t="n">
        <v>9</v>
      </c>
      <c r="F8233">
        <f>HYPERLINK("https://www.reddit.com/r/GERD/comments/hb8dbe/how_i_cured_my_acid_reflux_and_ulcer_in_7_days_by/")</f>
        <v/>
      </c>
      <c r="G8233" t="inlineStr">
        <is>
          <t>2020-06-17 22:25:41</t>
        </is>
      </c>
      <c r="H8233" t="inlineStr"/>
    </row>
    <row r="8234">
      <c r="A8234" t="inlineStr">
        <is>
          <t>hba4ga</t>
        </is>
      </c>
      <c r="B8234" t="inlineStr">
        <is>
          <t>Possibly GERD?</t>
        </is>
      </c>
      <c r="C8234" t="inlineStr">
        <is>
          <t>So my husband is having severe nausea/stomach symptoms and his doctor put him on nausea meds and Prilosec. They ran blood tests, stool sample, and did an x ray to check for an ulcer as that’s what he believed he had. All came back clear and he is currently being treated for GERD. He wakes up in the morning dry heaving and stays sick most of the day. He can’t eat, nothing sounds good to him, and when he does eat he doesn’t eat as much as he used to. He gets a full feeling VERY fast but also weirdly hunger pains (that’s how he describes the stomach pain). Does anyone else have similar symptoms? He has no heartburn or anything like that, he does feel food/acid coming up his throat sometimes.</t>
        </is>
      </c>
      <c r="D8234" t="n">
        <v>1</v>
      </c>
      <c r="E8234" t="n">
        <v>2</v>
      </c>
      <c r="F8234">
        <f>HYPERLINK("https://www.reddit.com/r/GERD/comments/hba4ga/possibly_gerd/")</f>
        <v/>
      </c>
      <c r="G8234" t="inlineStr">
        <is>
          <t>2020-06-18 00:36:31</t>
        </is>
      </c>
      <c r="H8234" t="inlineStr"/>
    </row>
    <row r="8235">
      <c r="A8235" t="inlineStr">
        <is>
          <t>hba84c</t>
        </is>
      </c>
      <c r="B8235" t="inlineStr">
        <is>
          <t>Slippery elm capsules are VERY effective compared to the powder</t>
        </is>
      </c>
      <c r="C8235" t="inlineStr">
        <is>
          <t>I've been taking the powder for years and it worked great, but over time my symptoms got worse and I was having little success with the powder. 
One day I randomly had an idea. Take the capsules periodically DURING your meals. Eg, take 3-4 capsules with each meal, spread out evenly (so one at the start of the meal, two in the middle, and then another one with your last bite). 
It's making a huge difference so far. I can feel my usual symptomatic response after eating, ie stomach gurgling, air pressure forming, and then a warm stinging sensation slowly rising up from the bottom of my gut. However, before it reaches my oesophagus and gives me the usual reflux feeling, it stops. It's like a barrier has been pushed down to stop it from rising any further. 
Thought I'd share that. Might be worth trying if the powder is giving you limited results. 
Ideally, I have a theory that you should try to avoid as much liquid before, during, or after your meals as this will wear down the slippery elm. You want the powder to be as thick and dry as possible while it's inside you as this means it can absorb more of the stomach acid.</t>
        </is>
      </c>
      <c r="D8235" t="n">
        <v>1</v>
      </c>
      <c r="E8235" t="n">
        <v>1</v>
      </c>
      <c r="F8235">
        <f>HYPERLINK("https://www.reddit.com/r/GERD/comments/hba84c/slippery_elm_capsules_are_very_effective_compared/")</f>
        <v/>
      </c>
      <c r="G8235" t="inlineStr">
        <is>
          <t>2020-06-18 00:44:57</t>
        </is>
      </c>
      <c r="H8235" t="inlineStr"/>
    </row>
    <row r="8236">
      <c r="A8236" t="inlineStr">
        <is>
          <t>hbapaz</t>
        </is>
      </c>
      <c r="B8236" t="inlineStr">
        <is>
          <t>Stomach Ulcer Nightmare</t>
        </is>
      </c>
      <c r="C8236" t="inlineStr">
        <is>
          <t>Anyone on here have or had a stomach Ulcer? What was the healing process like? I am in extreme pain, I have a dull itching pain where my stomach is and my gerd has never been worse. I have extreme hunger that can't be quenched, I'm starting to have a permanent raspy voice and my molars are starting to hurt. it has been feeling like this for a couple months now. Today was a horrible attack, I have had abdominal pain and diarrhea all day long. I decided to lay down for a bit and nap and when I woke up my throat felt like it was closing. I could tell how burnt it was from the acid and my asthma made it hard to breath. What can I do to heal this ulcer faster? It is ruining my life. I have been taking pepcid twice a day and cut back on a lot of sour, spicy, and acidic foods. That's all the doctor told me to do, which seems like nothing for the pain it's causing me.</t>
        </is>
      </c>
      <c r="D8236" t="n">
        <v>1</v>
      </c>
      <c r="E8236" t="n">
        <v>4</v>
      </c>
      <c r="F8236">
        <f>HYPERLINK("https://www.reddit.com/r/GERD/comments/hbapaz/stomach_ulcer_nightmare/")</f>
        <v/>
      </c>
      <c r="G8236" t="inlineStr">
        <is>
          <t>2020-06-18 01:27:05</t>
        </is>
      </c>
      <c r="H8236" t="inlineStr"/>
    </row>
    <row r="8237">
      <c r="A8237" t="inlineStr">
        <is>
          <t>hbchqa</t>
        </is>
      </c>
      <c r="B8237" t="inlineStr">
        <is>
          <t>GERD caused by H Pylori? Worth taking antibiotics?</t>
        </is>
      </c>
      <c r="C8237" t="inlineStr">
        <is>
          <t>Hey guys, so long story short, have been having /ACID REFLUX/GERD issue going on for about a 2 years or so now with the main symptom being feeling bloated/gasy,  heartburn and really painful chronic laryngitis that has been pretty much going on for quite some time now.. Tried to heal naturally with some diet changes with no luck and recently finally went to the doc and was tested positive for H Pylori.. and Doc said all the symptoms are really caused from the 'bug' and prescribed a quadrutherapy antibiotic treatment.. 
My main dilemma is, the gasines/bloating doesn't quite bother me as much, and overall have been feeling alright, except the chronic laryngitis thats been really affecting me pretty much in every aspect of life and is just at a point where its like I just want to get back to normal.. Doc says, H Pylori causes increased acid production and GERD symptoms.
  Quite anti-drugs and have been so for most of my life, and to be honest feel quite nervous about taking 3 antibiotics at the same time for 14 days..
Update: Just started the treatment for my first day and havent felt this type fatigued/tired and brain fog for quite some time. Almost feel like napping the whole time and it has definitely messed with the mood.. All this while taking a 10billion probiotic (14 strains) along with good fiber (vegetables) intake..Thinking maybe adding kefir might make the experience more tolerable or maybe it should get better within a few days? But then what if it doesn't?..
Really not sure if it's worth it? Would appreciate any suggestions. Thank you.</t>
        </is>
      </c>
      <c r="D8237" t="n">
        <v>1</v>
      </c>
      <c r="E8237" t="n">
        <v>10</v>
      </c>
      <c r="F8237">
        <f>HYPERLINK("https://www.reddit.com/r/GERD/comments/hbchqa/gerd_caused_by_h_pylori_worth_taking_antibiotics/")</f>
        <v/>
      </c>
      <c r="G8237" t="inlineStr">
        <is>
          <t>2020-06-18 04:01:32</t>
        </is>
      </c>
      <c r="H8237" t="inlineStr"/>
    </row>
    <row r="8238">
      <c r="A8238" t="inlineStr">
        <is>
          <t>hbciw1</t>
        </is>
      </c>
      <c r="B8238" t="inlineStr">
        <is>
          <t>Feels like there is water in my ear</t>
        </is>
      </c>
      <c r="C8238" t="inlineStr">
        <is>
          <t>Is it normal to have symptoms with ear? My left ear feels congested, in pain at times, and the hearing sounds muffled. I have anxiety attack thinking I’m losing my hearing</t>
        </is>
      </c>
      <c r="D8238" t="n">
        <v>1</v>
      </c>
      <c r="E8238" t="n">
        <v>5</v>
      </c>
      <c r="F8238">
        <f>HYPERLINK("https://www.reddit.com/r/GERD/comments/hbciw1/feels_like_there_is_water_in_my_ear/")</f>
        <v/>
      </c>
      <c r="G8238" t="inlineStr">
        <is>
          <t>2020-06-18 04:03:54</t>
        </is>
      </c>
      <c r="H8238" t="inlineStr"/>
    </row>
    <row r="8239">
      <c r="A8239" t="inlineStr">
        <is>
          <t>hbcsfa</t>
        </is>
      </c>
      <c r="B8239" t="inlineStr">
        <is>
          <t>Has anyone been diagnosed with low stomach acid?</t>
        </is>
      </c>
      <c r="C8239" t="inlineStr">
        <is>
          <t>How were you diagnosed? It's frustrating that reflux can be caused by both low and high stomach acid. If PPI's don't work, and I have nutritional deficiencies that align with low stomach acid, is it worth looking into?</t>
        </is>
      </c>
      <c r="D8239" t="n">
        <v>1</v>
      </c>
      <c r="E8239" t="n">
        <v>5</v>
      </c>
      <c r="F8239">
        <f>HYPERLINK("https://www.reddit.com/r/GERD/comments/hbcsfa/has_anyone_been_diagnosed_with_low_stomach_acid/")</f>
        <v/>
      </c>
      <c r="G8239" t="inlineStr">
        <is>
          <t>2020-06-18 04:24:40</t>
        </is>
      </c>
      <c r="H8239" t="inlineStr"/>
    </row>
    <row r="8240">
      <c r="A8240" t="inlineStr">
        <is>
          <t>hbekl2</t>
        </is>
      </c>
      <c r="B8240" t="inlineStr">
        <is>
          <t>SEVERE heartburn attack out of the blue?? (Repost)</t>
        </is>
      </c>
      <c r="C8240" t="inlineStr">
        <is>
          <t>Reposting because my last post got no replies and I desperately need advice
&amp;amp;#x200B;
For  the last few weeks I've had a new phenomenon occur every once in a  while. I'll be normal, and all of the sudden I'll have a MASSIVE  heartburn flareup that wont go away. In the case of tonight  specifically, the last thing I ate was a muffin (admittedly with a few  chocolate chips) 3 hours ago, and a regular sized dinner with no trigger  foods 3 hours before that. It's by far the most painful heartburn I've  ever felt, and it's concentrated directly above and around (in?) my  stomach (although it will sometimes creep up my throat as time goes on).  It happens maybe once every four or five days and it's unbearable. I  take 40mg Nexium daily and my doctor said to take Pepcid to deal with  the flareups, but it barely helps. Tums also seem to make it worse.
What could be causing this? Any relief advice?</t>
        </is>
      </c>
      <c r="D8240" t="n">
        <v>1</v>
      </c>
      <c r="E8240" t="n">
        <v>5</v>
      </c>
      <c r="F8240">
        <f>HYPERLINK("https://www.reddit.com/r/GERD/comments/hbekl2/severe_heartburn_attack_out_of_the_blue_repost/")</f>
        <v/>
      </c>
      <c r="G8240" t="inlineStr">
        <is>
          <t>2020-06-18 06:27:26</t>
        </is>
      </c>
      <c r="H8240" t="inlineStr"/>
    </row>
    <row r="8241">
      <c r="A8241" t="inlineStr">
        <is>
          <t>hbez5j</t>
        </is>
      </c>
      <c r="B8241" t="inlineStr">
        <is>
          <t>Grains give me GERD?</t>
        </is>
      </c>
      <c r="C8241" t="inlineStr">
        <is>
          <t>I was on Omeprazole, but decided to eliminate grains and follow a paleo-ish diet. Ever since eliminating all grains, I noticed that I don't even need the medicine anymore and don't get any GERD. 
Has anyone else had this experience?</t>
        </is>
      </c>
      <c r="D8241" t="n">
        <v>0</v>
      </c>
      <c r="E8241" t="n">
        <v>22</v>
      </c>
      <c r="F8241">
        <f>HYPERLINK("https://www.reddit.com/r/GERD/comments/hbez5j/grains_give_me_gerd/")</f>
        <v/>
      </c>
      <c r="G8241" t="inlineStr">
        <is>
          <t>2020-06-18 06:52:15</t>
        </is>
      </c>
      <c r="H8241" t="inlineStr"/>
    </row>
    <row r="8242">
      <c r="A8242" t="inlineStr">
        <is>
          <t>hbg00y</t>
        </is>
      </c>
      <c r="B8242" t="inlineStr">
        <is>
          <t>My long story involving Stress, Covid, Gerd and Gallbladder</t>
        </is>
      </c>
      <c r="C8242" t="inlineStr">
        <is>
          <t>Sorry in advance for a long dramatic post. I have had some hell of a 2020 and been struggling to understand what is going on with me. This is sort of an r/offmychest post but hoping I can post it here instead wondering if people have encountered anything similar. My actual symptoms are more towards the end of this story.  
So a lot has been going on in my life after 35 years living a simple stress free life coming into the year my girlfriend was pregnant which was a blessing but then everything started going downhill from there. In February my father went in for a massive back surgery. After the surgery he had a blood clot and had a massive stroke that almost killed hm. He was on every breathing tube etc… and visiting him was just super traumatic. I was having a difficult time dealing with it and stressing out bad. As I was going to the hospital every week covid was arising in the US and hospitals were starting to not let visitors come in any more. So going from my father right to covid lockdowns. At the same time my girlfriend was around 8 months pregnant so when I wasn’t visiting my father I was taking her to her checkups and such in-between and we had a high risk pregnancy which was stressful already. 
At the same time I started getting this sore throat in early march. I didn’t think much of it as it was pretty mild. Although with the sore throat I also had this mild irritation in my stomach sort of the right rib cage area. With Covid rising more and more I started getting worried after a few days of it even though it was mild. I called the crisis lines and they had told me at the time not to worry, I don’t travel, I wasn’t in contact with anyone with covid, I had no fever, cough, shortness of breath etc… I went to Urgent Care and they said my throat looked a little inflamed but also said it couldn’t have been covid for the same reasons as the crisis lines suggested.
We were told we had to deliver the baby early and basically they made me get tested for covid the day before delivery because I let them know about my symptoms. Turns out I did have covid. So my girlfriend had to go and deliver alone as they would not let anybody with her due to this. I was stuck at my house to fend for myself. I swear for the next 3 weeks I thought I was going to die. The throat and the stomach pain felt worse and worse every day and I didn’t know if it was all in my head or all really there. There was times I felt I couldn’t breathe but after calming down I knew my brain was tricking me. It would get worse when I would read something bad on the news and stress more. I figured these were the covid symptoms. I also lost my appetite, sense of taste and smell and my body was shaking 24/7 the whole time even when I was perfectly calm.
Anyway to fast forward 3 months later where I am now. Those same symptoms I had I still have. After the negative tests and covid was over I started trying to figure what was wrong with me. Doctors would not see me because of covid so I was trying to self-analyze myself. That is when I discovered this subreddit. A lot of you have described very similar symptoms I had. It sounded to me like Gerd acid reflux or LPR. I started changing my diet to see if it would help. So I have been on the chicken and rice diet for the last 2 months with some fruit, granola, oatmeal, and lots of water that’s it.
The virtual doctors first prescribed me antibodics (before I thought of GERD) which didn’t do anything. Then When I could finally see an Ears Nose Throat doctor about a month ago she put me on omeprazole 40mg though I haven’t really felt any different. She did an endoscopy from my nose to my throat a few weeks later but said it all looked fine she then told me I can stop taking omeprazole. Then I finally was able to get a primary Doctor. He told me to absolutely stay on omeprazole and also prescribed famotidine at least until I took the ultrasounds and met with the GI he was referring me to. I took a thyroid ultrasound of my neck and they said it came back clean. The following week they did one of my stomach and found a lot of sludge in my gallbladder.
So I met with the GI who scheduled me for a full endoscopy from my throat to check out my insides. We did this yesterday and she informed me there is a ton of sludge in my gallbladder and that I absolutely have to have it removed and gave me a surgeon to call already. She took some samples of other things she is still testing and will let me know next week.
I suppose this is fine and I am glad they found it but the scary part is she told me this should be affecting the stomach area I have been feeling discomfort but she saw no evidence that I have any acid refiux or gerd. My esophagus looks fine, no inflammation nothing. I asked her can the bile being held in the gallbladder cause my throat issues. She said no. 
So I am still at a loss of what is going on with my throat. Maybe it is stress from this series of events that went down since March? Maybe it is gerd and she missed it? Am I just going crazy? I don’t know. The throat gets worse when I hear stressful things like its ringing almost. But I felt things get worse when eating fatty foods during this time to lead me here as well. But maybe the gallbladder is the cause of that and the throat is separate?? I wonder did covid cause all of this to happen, or was this all a coincidence. Maybe stress just caused it all. My ENT doctor told me a viral infection can help spike gerd, maybe I had it all along and this made it come out. 
So I am still wondering what is going on with me. I am still wondering if I should listen to the doctor and immediately schedule surgery to remove my gallbladder like they suggest rather than try some other remedies. I am wondering if I should continue taking the meds they put me on even though she is telling me she sees no evidence of acid reflux. And if the throat is just stress I am wondering how I should beat it because it doesn’t look like the stress is going away anytime soon. 
Anyway thanks all that stuck around for the long read. If anybody has anything similar in the gallbladder portion please let me know what you think. I am really questioning if removing it is the right thing to do. There are no stones but a lot of sludge.</t>
        </is>
      </c>
      <c r="D8242" t="n">
        <v>1</v>
      </c>
      <c r="E8242" t="n">
        <v>18</v>
      </c>
      <c r="F8242">
        <f>HYPERLINK("https://www.reddit.com/r/GERD/comments/hbg00y/my_long_story_involving_stress_covid_gerd_and/")</f>
        <v/>
      </c>
      <c r="G8242" t="inlineStr">
        <is>
          <t>2020-06-18 07:48:16</t>
        </is>
      </c>
      <c r="H8242" t="inlineStr"/>
    </row>
    <row r="8243">
      <c r="A8243" t="inlineStr">
        <is>
          <t>hbgg24</t>
        </is>
      </c>
      <c r="B8243" t="inlineStr">
        <is>
          <t>Coming off Nexium</t>
        </is>
      </c>
      <c r="C8243" t="inlineStr">
        <is>
          <t>I am a 29 year old female who has been taking Nexium for GERD for about 12 years. I take one 40 mg pill a day and recently my doctor told me that she wants me off of it due to all of the negative side effects over time and the possibility for rebound (which I think is pretty silly at this point since I’ve been on it so long, but okay). She wants me to stop altogether and start taking Pepcid instead. I am obviously terrified of the rebound symptoms that await me and I’m not sure if Pepcid is going to be enough to stop it. 
Right now the 40mg of Nexium daily almost completely eliminates my symptoms. I only have acid reflux if I’ve eaten something extremely triggering or if I eat something acidic right before bed. Otherwise on a daily basis I’m pretty okay. I’m really not looking forward to struggling with this again. 
Has anyone come off of Nexium and used Pepcid? What was your experience? Any helpful tips would be greatly appreciated!</t>
        </is>
      </c>
      <c r="D8243" t="n">
        <v>2</v>
      </c>
      <c r="E8243" t="n">
        <v>21</v>
      </c>
      <c r="F8243">
        <f>HYPERLINK("https://www.reddit.com/r/GERD/comments/hbgg24/coming_off_nexium/")</f>
        <v/>
      </c>
      <c r="G8243" t="inlineStr">
        <is>
          <t>2020-06-18 08:11:34</t>
        </is>
      </c>
      <c r="H8243" t="inlineStr"/>
    </row>
    <row r="8244">
      <c r="A8244" t="inlineStr">
        <is>
          <t>hbghgz</t>
        </is>
      </c>
      <c r="B8244" t="inlineStr">
        <is>
          <t>Is this LPR?</t>
        </is>
      </c>
      <c r="C8244" t="inlineStr">
        <is>
          <t>I have spent the last 3-4 months constantly aware of my breathing and wanting to take a deep satisfying breath but can’t. Sometimes it disappears or I can for a few hours take deep “satisfying” breaths. It’s like I can’t get the peak of my breath and my throat is urging me to get that sensation. 
Other than that, I do clear my throat a lot and I have a very very slightly blocked nostril (either one of the other, never both). I also sometimes get mucus in throat a lot. I have no throat pain. 
I do vape (10mg salt nicotine in a pod device) and have done for a long while, I do wonder if this can be a sole cause of this. 
All my searching brings me to LPR mixed with anxiety. 
I did have a major mental breakdown in the winter around my stomach and depression. I got through the other side of that with therapy. I am also wondering if this breakdown put me in a perpetual anxiety state. 
I generally don’t get too anxious, but I sometimes feel a bit hopeless with this breathing thing, I just don’t want to think about it anymore! 
I hear LPR causes usually more than what I have. I typically also get nauseous, burp and indigestion a lot, but it’s random and seems to not be triggered by anything. 
Thanks!</t>
        </is>
      </c>
      <c r="D8244" t="n">
        <v>1</v>
      </c>
      <c r="E8244" t="n">
        <v>3</v>
      </c>
      <c r="F8244">
        <f>HYPERLINK("https://www.reddit.com/r/GERD/comments/hbghgz/is_this_lpr/")</f>
        <v/>
      </c>
      <c r="G8244" t="inlineStr">
        <is>
          <t>2020-06-18 08:13:37</t>
        </is>
      </c>
      <c r="H8244" t="inlineStr"/>
    </row>
    <row r="8245">
      <c r="A8245" t="inlineStr">
        <is>
          <t>hbhns4</t>
        </is>
      </c>
      <c r="B8245" t="inlineStr">
        <is>
          <t>Severe nocturnal choking several nights in a row?</t>
        </is>
      </c>
      <c r="C8245" t="inlineStr">
        <is>
          <t>I've been dealing with GERD for 20+ years. Take otc nexium 2x a day. A few nights ago, I thoughtlessly ate a large snack right before bed. Had terrible choking on food particles. 
The next two nights, I made sure to not eat within 5-6 hours of bedtime. Still getting choking, but only stomach fluids and bile. Nothing helps. As soon as I doze off, my esophagus opens up and everything spills out. I sleep on my stomach, so I'll wake up with this stuff just pouring out of my mouth. 
I've had this happen rarely before, but never several nights in a row and never with an empty stomach. 
Any tips? Gaviscon?</t>
        </is>
      </c>
      <c r="D8245" t="n">
        <v>1</v>
      </c>
      <c r="E8245" t="n">
        <v>8</v>
      </c>
      <c r="F8245">
        <f>HYPERLINK("https://www.reddit.com/r/GERD/comments/hbhns4/severe_nocturnal_choking_several_nights_in_a_row/")</f>
        <v/>
      </c>
      <c r="G8245" t="inlineStr">
        <is>
          <t>2020-06-18 09:14:08</t>
        </is>
      </c>
      <c r="H8245" t="inlineStr"/>
    </row>
    <row r="8246">
      <c r="A8246" t="inlineStr">
        <is>
          <t>hbik6w</t>
        </is>
      </c>
      <c r="B8246" t="inlineStr">
        <is>
          <t>I'm new to this and it sucks, 4 months in with this problem. I have alot of questions to the veterans who dealt with this for a long time</t>
        </is>
      </c>
      <c r="C8246" t="inlineStr">
        <is>
          <t>I have my own horror story but this page is already full of them. I just want ask the people who have had this for a long time can you live a normal life and can you get rid of gerd or lpr. Maybe we can hear some success stories and good tips, tricks or methods to get this under control and out of our lives. I'm feeling like this page is all doom and gloom, but I also want some realism aswell</t>
        </is>
      </c>
      <c r="D8246" t="n">
        <v>0</v>
      </c>
      <c r="E8246" t="n">
        <v>2</v>
      </c>
      <c r="F8246">
        <f>HYPERLINK("https://www.reddit.com/r/GERD/comments/hbik6w/im_new_to_this_and_it_sucks_4_months_in_with_this/")</f>
        <v/>
      </c>
      <c r="G8246" t="inlineStr">
        <is>
          <t>2020-06-18 10:00:29</t>
        </is>
      </c>
      <c r="H8246" t="inlineStr"/>
    </row>
    <row r="8247">
      <c r="A8247" t="inlineStr">
        <is>
          <t>hbiqnu</t>
        </is>
      </c>
      <c r="B8247" t="inlineStr">
        <is>
          <t>Anyone cough a lot when you get heartburn?</t>
        </is>
      </c>
      <c r="C8247" t="inlineStr">
        <is>
          <t>I feel like for me a sign that my heartburn is getting bad is that I cough a lot. Anyone else?</t>
        </is>
      </c>
      <c r="D8247" t="n">
        <v>1</v>
      </c>
      <c r="E8247" t="n">
        <v>10</v>
      </c>
      <c r="F8247">
        <f>HYPERLINK("https://www.reddit.com/r/GERD/comments/hbiqnu/anyone_cough_a_lot_when_you_get_heartburn/")</f>
        <v/>
      </c>
      <c r="G8247" t="inlineStr">
        <is>
          <t>2020-06-18 10:09:39</t>
        </is>
      </c>
      <c r="H8247" t="inlineStr"/>
    </row>
    <row r="8248">
      <c r="A8248" t="inlineStr">
        <is>
          <t>hbj1i8</t>
        </is>
      </c>
      <c r="B8248" t="inlineStr">
        <is>
          <t>Covid+ and Gerd much worse?</t>
        </is>
      </c>
      <c r="C8248" t="inlineStr">
        <is>
          <t>I tested + for covid a month ago and still am having symptoms and exhaustion. I’m writing here bc my reflux and heartburn have been abysmal since getting Covid. I already take 80 mg of Protonix and famotidine at night. I’m supposed to be following AWD, but am doing the best I can with my limited energy. 
Anyone else experiencing this? Any suggestions for natural supplements that could help heartburn? Idk if it’s heartburn or Covid hurting my chest, but I can differentiate when I have reflux. Thank you!</t>
        </is>
      </c>
      <c r="D8248" t="n">
        <v>1</v>
      </c>
      <c r="E8248" t="n">
        <v>2</v>
      </c>
      <c r="F8248">
        <f>HYPERLINK("https://www.reddit.com/r/GERD/comments/hbj1i8/covid_and_gerd_much_worse/")</f>
        <v/>
      </c>
      <c r="G8248" t="inlineStr">
        <is>
          <t>2020-06-18 10:25:48</t>
        </is>
      </c>
      <c r="H8248" t="inlineStr"/>
    </row>
    <row r="8249">
      <c r="A8249" t="inlineStr">
        <is>
          <t>hbjjkr</t>
        </is>
      </c>
      <c r="B8249" t="inlineStr">
        <is>
          <t>Could a Pulmonologist Help?</t>
        </is>
      </c>
      <c r="C8249" t="inlineStr">
        <is>
          <t>So my GI has kind of run out of ideas, circling me on pills like I’ve reiterated on here. My best friend’s mom is a nurse and suggested because my GERD is mainly effecting my breathing issues and making me short of breath, I might try seeing a Pulmonologist. 
Has anyone been to see on or think it may be useful to go that route? I’m a little iffy Bc I’m pretty sure my breathing is because of the GERD, and I don’t know how much a lung doctor is going to be able to help me.</t>
        </is>
      </c>
      <c r="D8249" t="n">
        <v>1</v>
      </c>
      <c r="E8249" t="n">
        <v>9</v>
      </c>
      <c r="F8249">
        <f>HYPERLINK("https://www.reddit.com/r/GERD/comments/hbjjkr/could_a_pulmonologist_help/")</f>
        <v/>
      </c>
      <c r="G8249" t="inlineStr">
        <is>
          <t>2020-06-18 10:53:14</t>
        </is>
      </c>
      <c r="H8249" t="inlineStr"/>
    </row>
    <row r="8250">
      <c r="A8250" t="inlineStr">
        <is>
          <t>hbk8jf</t>
        </is>
      </c>
      <c r="B8250" t="inlineStr">
        <is>
          <t>Have you figured out what the triggers for you are</t>
        </is>
      </c>
      <c r="C8250" t="inlineStr">
        <is>
          <t>Im dealing with a chronic clearing of throat/cough for a long time and im now realizing it could be acid reflux
So besides not eating before bed, have you figured out exactly what foods cause or drinks cause it for you?</t>
        </is>
      </c>
      <c r="D8250" t="n">
        <v>1</v>
      </c>
      <c r="E8250" t="n">
        <v>8</v>
      </c>
      <c r="F8250">
        <f>HYPERLINK("https://www.reddit.com/r/GERD/comments/hbk8jf/have_you_figured_out_what_the_triggers_for_you_are/")</f>
        <v/>
      </c>
      <c r="G8250" t="inlineStr">
        <is>
          <t>2020-06-18 11:36:30</t>
        </is>
      </c>
      <c r="H8250" t="inlineStr"/>
    </row>
    <row r="8251">
      <c r="A8251" t="inlineStr">
        <is>
          <t>hblstw</t>
        </is>
      </c>
      <c r="B8251" t="inlineStr">
        <is>
          <t>Dr Upped Dosage to twice a day</t>
        </is>
      </c>
      <c r="C8251" t="inlineStr">
        <is>
          <t>My gastro dr told me to take my medication (Prilosec 20mg) twice a day. He said that it is good that my heartburn is gone but that this will help with the regurgitation.
However, it is difficult to take the medication exactly 12 hours apart. I suffer from a psychotic disorder that requires I take a tranquilizer before bed and sometimes I don’t wake up until 3 PM. Should I just take 40 mg in the morning or is there something special about separating them by 12 hours?</t>
        </is>
      </c>
      <c r="D8251" t="n">
        <v>1</v>
      </c>
      <c r="E8251" t="n">
        <v>1</v>
      </c>
      <c r="F8251">
        <f>HYPERLINK("https://www.reddit.com/r/GERD/comments/hblstw/dr_upped_dosage_to_twice_a_day/")</f>
        <v/>
      </c>
      <c r="G8251" t="inlineStr">
        <is>
          <t>2020-06-18 13:00:38</t>
        </is>
      </c>
      <c r="H8251" t="inlineStr"/>
    </row>
    <row r="8252">
      <c r="A8252" t="inlineStr">
        <is>
          <t>hbmbek</t>
        </is>
      </c>
      <c r="B8252" t="inlineStr">
        <is>
          <t>GERD after COVID 19?</t>
        </is>
      </c>
      <c r="C8252" t="inlineStr">
        <is>
          <t>Alright so I feel like this might be the place to ask about this. I had COVID 19 from late April to mid May. I’ve tested negative now. When I had the virus, I was constantly throwing up, something the doctor attributed to GERD. This wasn’t normal throwing up, this was stuff that looked like foam and mucus. Recently, I’ve been feeling nauseous when I eat and I’ve thrown up a lot recently. Before COVID 19 my stomach could handle anything but now I get sick off one spoon of ice cream. Has anyone else had this sort of situation occur?
I should also add I’m not a heavy smoker but I did take up vaping a while ago, because nicotine made work not so bad. I decided to quit cold turkey because I can’t really trust myself any other way. Is it possible this could be causing my stomach problems and not GERD?
Edit: I’ve also had a cough since about a week before I tested positive. Could this be GERD too? It’s a wet cough with phlegm.</t>
        </is>
      </c>
      <c r="D8252" t="n">
        <v>1</v>
      </c>
      <c r="E8252" t="n">
        <v>4</v>
      </c>
      <c r="F8252">
        <f>HYPERLINK("https://www.reddit.com/r/GERD/comments/hbmbek/gerd_after_covid_19/")</f>
        <v/>
      </c>
      <c r="G8252" t="inlineStr">
        <is>
          <t>2020-06-18 13:28:15</t>
        </is>
      </c>
      <c r="H8252" t="inlineStr"/>
    </row>
    <row r="8253">
      <c r="A8253" t="inlineStr">
        <is>
          <t>hbmg57</t>
        </is>
      </c>
      <c r="B8253" t="inlineStr">
        <is>
          <t>I love butter and my husband has GERD.</t>
        </is>
      </c>
      <c r="C8253" t="inlineStr">
        <is>
          <t>Breakfast time,I have my scrabbled eggs and I have a slice or 2 of butter. I make some for my husband. He has eggs just like mine and 3 sausage links
Lunch time, I have grilled chicken with butter with 1 leaf of romaine lettuce. My husband has has same but a 1/2 leaf of romaine lettuce. 
 His stomach is churning and could feel acid reflux coming. 
Dinner is at 630pm, we have rice with grilled chicken. 
9pm snack  he has ice cream, few pieces of fried chicken leftover, or brownie. 
Next day, he could feel the acid reflux at 9am. Meanwhile at 7 am he has cereal with almond milk. 
What should I do for replacement for butter? As well anything I need to replace. Please help.</t>
        </is>
      </c>
      <c r="D8253" t="n">
        <v>1</v>
      </c>
      <c r="E8253" t="n">
        <v>7</v>
      </c>
      <c r="F8253">
        <f>HYPERLINK("https://www.reddit.com/r/GERD/comments/hbmg57/i_love_butter_and_my_husband_has_gerd/")</f>
        <v/>
      </c>
      <c r="G8253" t="inlineStr">
        <is>
          <t>2020-06-18 13:35:18</t>
        </is>
      </c>
      <c r="H8253" t="inlineStr"/>
    </row>
    <row r="8254">
      <c r="A8254" t="inlineStr">
        <is>
          <t>hbniir</t>
        </is>
      </c>
      <c r="B8254" t="inlineStr">
        <is>
          <t>Potential fix for some of you</t>
        </is>
      </c>
      <c r="C8254" t="inlineStr">
        <is>
          <t>Check how much Sodium and Potassium you are eating.
Gastric acid are composed of hydrochloric acid, POTASSIUM chloride, and SODIUM chloride. If the minerals are lacking, digestion will cause problems.
I cured myself when i found out about this and it only took 1 day because i ate like this [https://i.imgur.com/LgDKY4M.png](https://i.imgur.com/LgDKY4M.png)
But if you are already getting enough then it probably wont help. ( i was low on sodium )</t>
        </is>
      </c>
      <c r="D8254" t="n">
        <v>1</v>
      </c>
      <c r="E8254" t="n">
        <v>0</v>
      </c>
      <c r="F8254">
        <f>HYPERLINK("https://www.reddit.com/r/GERD/comments/hbniir/potential_fix_for_some_of_you/")</f>
        <v/>
      </c>
      <c r="G8254" t="inlineStr">
        <is>
          <t>2020-06-18 14:33:06</t>
        </is>
      </c>
      <c r="H8254" t="inlineStr"/>
    </row>
    <row r="8255">
      <c r="A8255" t="inlineStr">
        <is>
          <t>hbnvbf</t>
        </is>
      </c>
      <c r="B8255" t="inlineStr">
        <is>
          <t>Gerd issue</t>
        </is>
      </c>
      <c r="C8255" t="inlineStr">
        <is>
          <t>So I was diagnosed with gerd about 6 months ago. I've cut back in greasy food, I drink no sodas. I do drink about 3 glasses of tea still and I pay for it, trust. But the point of this is. I think I've had gerd so long. That when I don't hurt and I can't feel the feeling in there. I think it may cause me to have anxiety. As long as I can remember I could always feel inside there. I know that may sound weird. But does anyone else experience this?</t>
        </is>
      </c>
      <c r="D8255" t="n">
        <v>1</v>
      </c>
      <c r="E8255" t="n">
        <v>7</v>
      </c>
      <c r="F8255">
        <f>HYPERLINK("https://www.reddit.com/r/GERD/comments/hbnvbf/gerd_issue/")</f>
        <v/>
      </c>
      <c r="G8255" t="inlineStr">
        <is>
          <t>2020-06-18 14:53:10</t>
        </is>
      </c>
      <c r="H8255" t="inlineStr"/>
    </row>
    <row r="8256">
      <c r="A8256" t="inlineStr">
        <is>
          <t>hbp1ts</t>
        </is>
      </c>
      <c r="B8256" t="inlineStr">
        <is>
          <t>Sore Throat Remedies</t>
        </is>
      </c>
      <c r="C8256" t="inlineStr">
        <is>
          <t>I have a hiatal hernia and a few months ago had a bad cold that caused a lot of coughing. This coughing led to bad reflux. I thought I got it under control and about two weeks later I tried some mild pumpkin coconut curry. It had a bit of a kick but wasn't anything to bad. Well I guess it was spicy enough cause then I started to have a sore throat. The sore throat and heartburn lasted for 3 days and then it turned into a lump in the throat sensation but no hearrburn. Now it's more subtle, more like an itchy throat that comes and goes throughout the day.I also get a sour taste in my mouth every so often. There was also one day I went without eating anything until supper and my throat closed up and had a tough time swallowing, but it was only the one time. My doctor thinks I have LPR but I am think esophogitis as my father had that and said that my symptoms are kind of similar. Either way, do you guys know of anything that can help heal and soothe my throat?</t>
        </is>
      </c>
      <c r="D8256" t="n">
        <v>1</v>
      </c>
      <c r="E8256" t="n">
        <v>2</v>
      </c>
      <c r="F8256">
        <f>HYPERLINK("https://www.reddit.com/r/GERD/comments/hbp1ts/sore_throat_remedies/")</f>
        <v/>
      </c>
      <c r="G8256" t="inlineStr">
        <is>
          <t>2020-06-18 16:01:52</t>
        </is>
      </c>
      <c r="H8256" t="inlineStr"/>
    </row>
    <row r="8257">
      <c r="A8257" t="inlineStr">
        <is>
          <t>hbpaax</t>
        </is>
      </c>
      <c r="B8257" t="inlineStr">
        <is>
          <t>I cannot sleep at night, and it's killing me</t>
        </is>
      </c>
      <c r="C8257" t="inlineStr">
        <is>
          <t>It's not that I'm not sleepy -  I usually start drifting off to sleep as soon as I hit the bed.
But my stomach won't let me. I wake up sometimes gasping for breath, often times regurgitating undigested food. I have antacids by my bed which sometimes help, sometimes don't. I have a wedge pillow, which often does not help much. Often times, the only way to get sleep is to get up and stay up for a while, then fall asleep on my couch in a mostly upright position. It's hell. 
Because of this I'm afraid to even go anywhere and stay the night, because I know that a normal bed and diet won't cut it for me. I'm only 30.
I take pepcid once a day and it helps, but not every night. I try to eat hours before bed. Most nights it works, but some nights there's just no way around it.
Should I start back on a PPI? I tried OTC nexium and it really didn't help much. Maybe I need a higher dose?</t>
        </is>
      </c>
      <c r="D8257" t="n">
        <v>1</v>
      </c>
      <c r="E8257" t="n">
        <v>7</v>
      </c>
      <c r="F8257">
        <f>HYPERLINK("https://www.reddit.com/r/GERD/comments/hbpaax/i_cannot_sleep_at_night_and_its_killing_me/")</f>
        <v/>
      </c>
      <c r="G8257" t="inlineStr">
        <is>
          <t>2020-06-18 16:15:54</t>
        </is>
      </c>
      <c r="H8257" t="inlineStr"/>
    </row>
    <row r="8258">
      <c r="A8258" t="inlineStr">
        <is>
          <t>hbprpe</t>
        </is>
      </c>
      <c r="B8258" t="inlineStr">
        <is>
          <t>All of you should be proud, seriously.</t>
        </is>
      </c>
      <c r="C8258" t="inlineStr">
        <is>
          <t>Dudes/Dudettes,
I've been dealing with a very minor case of acid reflux for roughly two years now. My symptoms include back-pain, abdominal pain, intermittent vertigo, and excessive gas/burping. I'm seeing a GI for the first time to talk about getting an endoscopy done at the end of the month. During my time dealing with acid reflux I've often lurked on this subreddit for answers and to simply see that I wasn't alone. 
But, the more I browse this subreddit the more I realize how lucky I have it. My acid reflux is relatively minor and is only truly aggravated by a handful of  foods/drinks. Some of the cases I have read about on this subreddit nearly bring me to tears. To imagine someone experiencing such suffering on a consistent basis is simply un-fathomable. Moreover, to imagine someone experiencing such suffering and to go on and be a productive member of society..? 
That is an achievement worth recognizing!
Often times on this subreddit it seems all doom and gloom (maybe that's just me). I think it would be worthwhile if we all took a second to appreciate what we're dealing with and to also recognize the quality of our character that we deal with it day after day. I am proud of all of you for managing your suffering, seriously. 
And who knows...maybe one day in some of our lifetimes they will develop a cure. One can dream.</t>
        </is>
      </c>
      <c r="D8258" t="n">
        <v>1</v>
      </c>
      <c r="E8258" t="n">
        <v>37</v>
      </c>
      <c r="F8258">
        <f>HYPERLINK("https://www.reddit.com/r/GERD/comments/hbprpe/all_of_you_should_be_proud_seriously/")</f>
        <v/>
      </c>
      <c r="G8258" t="inlineStr">
        <is>
          <t>2020-06-18 16:44:37</t>
        </is>
      </c>
      <c r="H8258" t="inlineStr"/>
    </row>
    <row r="8259">
      <c r="A8259" t="inlineStr">
        <is>
          <t>hbpx3c</t>
        </is>
      </c>
      <c r="B8259" t="inlineStr">
        <is>
          <t>How soon do LPR symptoms come back?</t>
        </is>
      </c>
      <c r="C8259" t="inlineStr">
        <is>
          <t>I have pretty bad health anxiety and sent myself into a spiral thinking that I have LPR about a month ago. Mucus in throat, soreness, hoarse for a few days, globus, tightness etc. I ended up going on a somewhat low acid diet per my ENTs recommendation, however I kind of realized that I wasn't following it totally correctly and my symptoms began to improve anyways within about 2 weeks. Currently, I've been eating a regular diet along with decaf coffee, some fried foods, a few burgers, chipotle for about 2 weeks and haven't noticed a relapse of symptoms. I still have some mucus and my throat feels scratchy if I talk for a long time but no significant recurrence of symptoms like at the peak. Basically I'm just wondering how quickly the symptoms come back for those that suffer? Is it hours after a trigger meal, days, weeks? Thanks guys.</t>
        </is>
      </c>
      <c r="D8259" t="n">
        <v>1</v>
      </c>
      <c r="E8259" t="n">
        <v>0</v>
      </c>
      <c r="F8259">
        <f>HYPERLINK("https://www.reddit.com/r/GERD/comments/hbpx3c/how_soon_do_lpr_symptoms_come_back/")</f>
        <v/>
      </c>
      <c r="G8259" t="inlineStr">
        <is>
          <t>2020-06-18 16:53:57</t>
        </is>
      </c>
      <c r="H8259" t="inlineStr"/>
    </row>
    <row r="8260">
      <c r="A8260" t="inlineStr">
        <is>
          <t>hbq1bg</t>
        </is>
      </c>
      <c r="B8260" t="inlineStr">
        <is>
          <t>Nausea</t>
        </is>
      </c>
      <c r="C8260" t="inlineStr">
        <is>
          <t>Do any of you guys ever get bouts of extreme nausea that come on really fast, without any other symptoms, and then leave within 10-15 mins or so?  Sometimes this will happen several times a day and its very common in the mornings. I'm trying to figure out if this is another GERD type symptom or something else because every time I bring it up with my doctor it seems to just get brushed off.</t>
        </is>
      </c>
      <c r="D8260" t="n">
        <v>1</v>
      </c>
      <c r="E8260" t="n">
        <v>3</v>
      </c>
      <c r="F8260">
        <f>HYPERLINK("https://www.reddit.com/r/GERD/comments/hbq1bg/nausea/")</f>
        <v/>
      </c>
      <c r="G8260" t="inlineStr">
        <is>
          <t>2020-06-18 17:01:14</t>
        </is>
      </c>
      <c r="H8260" t="inlineStr"/>
    </row>
    <row r="8261">
      <c r="A8261" t="inlineStr">
        <is>
          <t>hbqi0b</t>
        </is>
      </c>
      <c r="B8261" t="inlineStr">
        <is>
          <t>When the "lump in throat" sensation is pretty much the only symptom.</t>
        </is>
      </c>
      <c r="C8261" t="inlineStr">
        <is>
          <t>In late-May the "lump in throat" sensation randomly appeared and hasn't gone away.
I had no other significant symptoms. No significant heartburn, no voice changes, no excessive mucus...none of that.
But it's still uncomfortable. So I went to the ENT office, where they put the camera up my nose and into my throat, and said it looked inflamed. So I was given a prescription for Prilosec and a printout about LPR.
I didn't have any other symptoms before, but Prilosec gave me less appetite, some constipation, and just a weird stomach feeling. The "lump and throat" sensation comes and goes, seemingly without connection to the Prilosec. The ENT office then gave me a prescription for Protonix.
Now I am reading online that Prilosec doesn't even work for a lot of people for their "lump in throat" sensation. And I am still wondering if it could be something else, such as an allergic reaction or irritation from talking to much, since it was the only symptom.
Does anyone have a similar situation? What should the next move be?   
Go back to the ENT office and get hooked up to that ph reader thing that they stick through your nose?  
Should I go see a gastroenterologist even though I had virtually no stomach symptoms and no heartburn? Again, it's pretty much just the "lump in throat" sensation all there by itself and being annoying.</t>
        </is>
      </c>
      <c r="D8261" t="n">
        <v>1</v>
      </c>
      <c r="E8261" t="n">
        <v>1</v>
      </c>
      <c r="F8261">
        <f>HYPERLINK("https://www.reddit.com/r/GERD/comments/hbqi0b/when_the_lump_in_throat_sensation_is_pretty_much/")</f>
        <v/>
      </c>
      <c r="G8261" t="inlineStr">
        <is>
          <t>2020-06-18 17:29:47</t>
        </is>
      </c>
      <c r="H8261" t="inlineStr"/>
    </row>
    <row r="8262">
      <c r="A8262" t="inlineStr">
        <is>
          <t>hbrery</t>
        </is>
      </c>
      <c r="B8262" t="inlineStr">
        <is>
          <t>Would it work if I put sodium alginate powder in a capsule instead of drinking it? Or does it have to be dissolved</t>
        </is>
      </c>
      <c r="C8262" t="inlineStr">
        <is>
          <t>Would it work if I put sodium alginate powder in a capsule instead of drinking it? Or does it have to be dissolved</t>
        </is>
      </c>
      <c r="D8262" t="n">
        <v>1</v>
      </c>
      <c r="E8262" t="n">
        <v>0</v>
      </c>
      <c r="F8262">
        <f>HYPERLINK("https://www.reddit.com/r/GERD/comments/hbrery/would_it_work_if_i_put_sodium_alginate_powder_in/")</f>
        <v/>
      </c>
      <c r="G8262" t="inlineStr">
        <is>
          <t>2020-06-18 18:28:14</t>
        </is>
      </c>
      <c r="H8262" t="inlineStr"/>
    </row>
    <row r="8263">
      <c r="A8263" t="inlineStr">
        <is>
          <t>hbrkrm</t>
        </is>
      </c>
      <c r="B8263" t="inlineStr">
        <is>
          <t>Feeling Overwhelmed</t>
        </is>
      </c>
      <c r="C8263" t="inlineStr">
        <is>
          <t>Okay....here it goes....sorry if its long. Almost two and a half months ago I was perscribed an antibiotic I didn't need for a UTI I didn't have ( I was told I was really dehydrated). Long story short I was told to take it anyway. So I did....I had a bad pretty much life threatening allergic reaction (don't want to really go into detail....its still really hard for me....even writing about it now). I was given so many different types of meds to make me better. I had to stay at the hospital for them to keep an eye on me. Next day in the afternoon I am sent home. On the second night of being home I have a panic attack. I manage to calm myself down and I was able to go to sleep. The next morning I wake up feel weird and I get up. As soon as I stand up I feel this weired burning shoot up into my chest and down in my stomach and it was so bad. I didn't know if to throw up first or use the restroom....I used the restroom....then ran to my other bathroom and threw up.  I was like that the whole day. My stomach and chest, throat mouth was on fire (Still are just the intensity varies also shortness of breath I don't know if its both acid reflux and anxiety, fatigue and other crap I'm pretty sure I'm leaving somethings out ugh). I didn't really eat and couldn't even drink water I slowly made myself start taking sips I didn't want to get severely dehydrated. The next day it was slightly better but it stayed like that. I called my dr again. I had to do a follow up after my hospital stay.....and she automatically said its gerd and perscribed me Pantoprazole 40ml. She told me she wanted to give me the strongest dose and then taper me down the month after......I was shocked....I asked if that was correct...I have never had issues with heartburn. I have experienced it a bit with my second pregnancy a couple of times at the beginning and it went away it wasn't anything extreme. That was in 2010. From then till now possibly two times and very mild. So now after the traumatic experience I had I was told I have a disease and I have to take meds this was within the first week and a half after what happened......I was terrified....I spiraled...... I was afraid of even tums but I would just tell myself its just candy and I would manage to eat at least one. Everything and anything I ate didn't matter the burning is constant. On top of that my mom told me about freaking chocking at night. I pretty much couldn't eat and now even less  sleep. My stomach hurt. I was in and out of the ER. I was having severe panic attacks my anxiety was through the roof...ugh just so much. Its hard to go into so much detail for me. The Pantoprazole made me dizzy and light headed  it felt like the food even though light and bland and very small in portion felt so heavy in my stomach it made me feel like shit. By the end of the night my stomach burned almost as bad as the first day this curse started. At the ER my liver and pancreas( sorry if tmi but my stool is yellow and I have a hard time using the restroom but at the same time there has been time where its not solid but not the runs but its still causes strain?) ect were checked (at the beginning it also felt like a gallbladder attack. I don't have my gallbladder anymore but thats another can of worms from 4 yrs ago) Even my heart (heart rate would shoot up easily)and thyroid has been checked and also h.pylori. Everything is normal.  Through out all of this I kept asking my dr if i could please see a GI. Nope more tests. Ultrasound and CT Scan.....normal. I was perscribed Famotidine didn't help and made me feel like shit. Then Omeprazole.....it was weird and then.....severe panic attack for pretty much an hour and a half. Felt like shit(more) for 3 days after that. I then was perscibed this liquid(Sucralfate) that coats my stomach and throat sense I can't take any of those damn pills. I am terrified of meds....and yay me I have been perscribed a bunch! I am finally going to have an Endoscopy done on the 30th (I finally saw the GI the day after my bday this month yay me! And to add insult to injury she 100% didn't believe me about the meds. she  said " I have NEVER \*waves arms in air\* herd of ppl feeling that way from the meds. Drs where I live are shit but my husband said all we need is for her to look in there so I am dealing with her). You guessed it I am terrified of the endoscopy ( I have had one done before like 4 years ago) But after everything that has happened I'm terrified. I am going to see a councilor on the 1st and I and slowly trying to work my way up to the full dose of that liquid stuff to coat my stomach and throat.  It kind of burns my stomach when I first take it but I just deal with it. I am so worried this shit is causing major damage to my insides....So yeah my stomach hurts/burns. My chest hurts/burns and my mouth hurts/burns. Now there are days that are more intense than others but its consistent. It gives me a rough time at night. I get up at 12 am like clock work to eat soda crackers and apple sauce and sit and fall asleep sitting....that's pretty much how I have been sleeping. My knees and elbows are suffering. I have degenerative disk disease so yay my back is going through the wringer. When this all first started I weighed 119 I'm down to 103. I am really short so I don't look too weird but i wasn't over weigh either when everything started. I have had my gallbladder removed like 4 yrs ago and I don't eat fatty,deep fried,greasy,dairy,sweets, fatty meat ect. I was very careful with what I ate. I worked out 5 days out of the week. No heavy lifting because of my back issues. I don't drink ever or smoke or eat excessive spicy food.  Now.......I can't work out I can't eat and the thought of having MORE diet restrictions is just heart wrenching.....Now I have been eating plain oat meal with plain oat milk ( I use to drink soy milk but I stopped that too in case I was allergic for whatever reason) no sugar or honey or anything, plain chicken breast  with a little bit of sale same with fish, some red leaf lettuce with cucumbers, soda crackers with egg whites, apple sauce and water ( water is pretty much all ever drank anyway). All I want to do is eat like I did 2 and a half months ago.....this is really taking a toll on me. Just like that everything is flipped upside down......I'm scared of what the endoscopy is going to show. If I have GERD wtf am I going to eat? Ice cubes and hope it doesn't  make the burning worse.....sorry if this was really long I really just needed to get this out......Thank you internet strangers for reading this.....</t>
        </is>
      </c>
      <c r="D8263" t="n">
        <v>1</v>
      </c>
      <c r="E8263" t="n">
        <v>13</v>
      </c>
      <c r="F8263">
        <f>HYPERLINK("https://www.reddit.com/r/GERD/comments/hbrkrm/feeling_overwhelmed/")</f>
        <v/>
      </c>
      <c r="G8263" t="inlineStr">
        <is>
          <t>2020-06-18 18:38:52</t>
        </is>
      </c>
      <c r="H8263" t="inlineStr"/>
    </row>
    <row r="8264">
      <c r="A8264" t="inlineStr">
        <is>
          <t>hbrr06</t>
        </is>
      </c>
      <c r="B8264" t="inlineStr">
        <is>
          <t>Does anyone else just feel generally icky/bad after eating a meal of any decent size?</t>
        </is>
      </c>
      <c r="C8264" t="inlineStr">
        <is>
          <t>After eating a meal of any decent size (meaning not a snack) I just feel generally congested and icky and lightheaded for a long time after. Anyone else?</t>
        </is>
      </c>
      <c r="D8264" t="n">
        <v>1</v>
      </c>
      <c r="E8264" t="n">
        <v>3</v>
      </c>
      <c r="F8264">
        <f>HYPERLINK("https://www.reddit.com/r/GERD/comments/hbrr06/does_anyone_else_just_feel_generally_ickybad/")</f>
        <v/>
      </c>
      <c r="G8264" t="inlineStr">
        <is>
          <t>2020-06-18 18:50:17</t>
        </is>
      </c>
      <c r="H8264" t="inlineStr"/>
    </row>
    <row r="8265">
      <c r="A8265" t="inlineStr">
        <is>
          <t>hbs696</t>
        </is>
      </c>
      <c r="B8265" t="inlineStr">
        <is>
          <t>Omeprazole stopped working !! 1 year</t>
        </is>
      </c>
      <c r="C8265" t="inlineStr">
        <is>
          <t>Should I take a second pill at dinner like my doc says or try Nexium first? Has this happened to anyone else?</t>
        </is>
      </c>
      <c r="D8265" t="n">
        <v>1</v>
      </c>
      <c r="E8265" t="n">
        <v>1</v>
      </c>
      <c r="F8265">
        <f>HYPERLINK("https://www.reddit.com/r/GERD/comments/hbs696/omeprazole_stopped_working_1_year/")</f>
        <v/>
      </c>
      <c r="G8265" t="inlineStr">
        <is>
          <t>2020-06-18 19:17:46</t>
        </is>
      </c>
      <c r="H8265" t="inlineStr"/>
    </row>
    <row r="8266">
      <c r="A8266" t="inlineStr">
        <is>
          <t>hbs6co</t>
        </is>
      </c>
      <c r="B8266" t="inlineStr">
        <is>
          <t>Heartburn constantly seemingly out of nowhere</t>
        </is>
      </c>
      <c r="C8266" t="inlineStr">
        <is>
          <t>I hope this is the right place to post this but, recently out of nowhere I have been experiencing pretty much daily heartburn. I turned 21 about 20 or so days ago and that was the first time it was really bad.  Like you might assume I wanted to drink a lot on my birthday to celebrate being of age. Halfway through the night I started experiencing really terrible heartburn to the point where I completely stopped drinking, and as someone with very severe health anxiety already it completely ruined my night. I called it a night early and went to bed. 
The next week or so I had constant heartburn worse than anything I have ever experienced before. Constant bad taste in my mouth and it seemed like anything I ate or drank made it worse. After that week and lots of pesto bismol, the heart burn has seemingly died down, but I still experience at least once everyday or so. Often very bad in the mornings and after I eat anything or even drink water. This has completely ruined my mental state which is something I've been working on, and it feels like I can't even experience being young and 21 and living it up with my friends.
I don't know what happened, and what has caused this but after doing research I've been led here. I need your help and advice. I want to fix this so I can go on and live my life without it. Does this sound like GERD? Why would it happen out of nowhere? The only times I had ever experienced heartburn before was when I was hungover after a long night, but it was always a quick fix after one day. Any help is greatly appreciated, this has already been so hard and it hasn't been that long.</t>
        </is>
      </c>
      <c r="D8266" t="n">
        <v>1</v>
      </c>
      <c r="E8266" t="n">
        <v>2</v>
      </c>
      <c r="F8266">
        <f>HYPERLINK("https://www.reddit.com/r/GERD/comments/hbs6co/heartburn_constantly_seemingly_out_of_nowhere/")</f>
        <v/>
      </c>
      <c r="G8266" t="inlineStr">
        <is>
          <t>2020-06-18 19:17:58</t>
        </is>
      </c>
      <c r="H8266" t="inlineStr"/>
    </row>
    <row r="8267">
      <c r="A8267" t="inlineStr">
        <is>
          <t>hbsgrm</t>
        </is>
      </c>
      <c r="B8267" t="inlineStr">
        <is>
          <t>Could this be LPR?</t>
        </is>
      </c>
      <c r="C8267" t="inlineStr">
        <is>
          <t>My throat has been hurting for about six weeks now, and I just feel like I'm starting to lose hope. It lowkey hurts pretty much all the time, a kind of scratchy inflamed feeling, but when I talk or swallow it hurts a lot more, kind of a sharper stabbier  pain, deeper down in my throat and there's a lot of tension there as well. When I lie down at night my throat starts making weird clicking noises (worse if I've been eating chocolate) and some of my teeth have gone a little discoloured??? which is concerning. And there's a kinda acrid taste in my mouth a lot of the time. I feel okay when I wake up, and it gets worse throughout the day, worst at night. 
I was just wondering if this could be LPR? My GP prescribed me penicillin but that did nothing for me and I'm not sure how much longer I can cope like this. It's my birthday and I just spent it hiding and not talking to anyone because it hurts too much.</t>
        </is>
      </c>
      <c r="D8267" t="n">
        <v>1</v>
      </c>
      <c r="E8267" t="n">
        <v>4</v>
      </c>
      <c r="F8267">
        <f>HYPERLINK("https://www.reddit.com/r/GERD/comments/hbsgrm/could_this_be_lpr/")</f>
        <v/>
      </c>
      <c r="G8267" t="inlineStr">
        <is>
          <t>2020-06-18 19:37:03</t>
        </is>
      </c>
      <c r="H8267" t="inlineStr"/>
    </row>
    <row r="8268">
      <c r="A8268" t="inlineStr">
        <is>
          <t>hbsrus</t>
        </is>
      </c>
      <c r="B8268" t="inlineStr">
        <is>
          <t>PPIs not helping. Did I spontaneously damage my LES?</t>
        </is>
      </c>
      <c r="C8268" t="inlineStr">
        <is>
          <t>I've had non stop, bad, acid reflux for months now which all started since jogging shortly after eating dinner (maybe an hour after(?)). About a week before that I had diarrhea for a few days, but covid antibody came back negative. So did HPV and Celiac test. 
I weigh 125 pounds. Since working from home I tended to pace around while eating, could that have contributed? 
I can't believe I may have this now.</t>
        </is>
      </c>
      <c r="D8268" t="n">
        <v>1</v>
      </c>
      <c r="E8268" t="n">
        <v>0</v>
      </c>
      <c r="F8268">
        <f>HYPERLINK("https://www.reddit.com/r/GERD/comments/hbsrus/ppis_not_helping_did_i_spontaneously_damage_my_les/")</f>
        <v/>
      </c>
      <c r="G8268" t="inlineStr">
        <is>
          <t>2020-06-18 19:57:56</t>
        </is>
      </c>
      <c r="H8268" t="inlineStr"/>
    </row>
    <row r="8269">
      <c r="A8269" t="inlineStr">
        <is>
          <t>hbxi9r</t>
        </is>
      </c>
      <c r="B8269" t="inlineStr">
        <is>
          <t>Belching after walking/climbing stairs</t>
        </is>
      </c>
      <c r="C8269" t="inlineStr">
        <is>
          <t>What could be the cause? and how to stop it? I have seen Doctor and been diagnosed as NERD however this is frustrating. Whenever I walked for a short distance and when I sit to rest, I tend to start feeling pressure going up to my chest and in turn it raises my heart rate and I feel uneasy which causes anxiety/panic attack.</t>
        </is>
      </c>
      <c r="D8269" t="n">
        <v>1</v>
      </c>
      <c r="E8269" t="n">
        <v>4</v>
      </c>
      <c r="F8269">
        <f>HYPERLINK("https://www.reddit.com/r/GERD/comments/hbxi9r/belching_after_walkingclimbing_stairs/")</f>
        <v/>
      </c>
      <c r="G8269" t="inlineStr">
        <is>
          <t>2020-06-19 02:15:58</t>
        </is>
      </c>
      <c r="H8269" t="inlineStr"/>
    </row>
    <row r="8270">
      <c r="A8270" t="inlineStr">
        <is>
          <t>hbz9ps</t>
        </is>
      </c>
      <c r="B8270" t="inlineStr">
        <is>
          <t>I have Gastritis and Gerd. Which one to heal first?</t>
        </is>
      </c>
      <c r="C8270" t="inlineStr">
        <is>
          <t>Is it complicated to have gastritis and Gerd? Which one to cure first? How are you healing?</t>
        </is>
      </c>
      <c r="D8270" t="n">
        <v>1</v>
      </c>
      <c r="E8270" t="n">
        <v>2</v>
      </c>
      <c r="F8270">
        <f>HYPERLINK("https://www.reddit.com/r/GERD/comments/hbz9ps/i_have_gastritis_and_gerd_which_one_to_heal_first/")</f>
        <v/>
      </c>
      <c r="G8270" t="inlineStr">
        <is>
          <t>2020-06-19 04:47:47</t>
        </is>
      </c>
      <c r="H8270" t="inlineStr"/>
    </row>
    <row r="8271">
      <c r="A8271" t="inlineStr">
        <is>
          <t>hc2y4f</t>
        </is>
      </c>
      <c r="B8271" t="inlineStr">
        <is>
          <t>I have a problem</t>
        </is>
      </c>
      <c r="C8271" t="inlineStr">
        <is>
          <t>So i’m 15 years old right now and I have what I think is Acid Reflux but i’m not sure yet because i’m still waiting on the test referrals. Everyday I feel like I get worse and it really scares me and it gives me had anxiety. There’s been a couple days where i’m calm but then before bed I get really anxious and I have trouble sleeping. My main problem is more my throat though and I have a hard time swallowing. I’ve had trouble swallowing and choking for years now, but it’s gotten worse these past few weeks. I’ve had an even bigger loss of appetite, sometimes I get nauseous while i’m eating, it takes me a long time to eat but I don’t even finish my whole meal, I always have to have something to drink because I feel like food is stuck when it isn’t. Sometimes I get little pains more like uncomfortable feelings in my heart area, I tend to burp a lot and sometimes it burns, I used to get bloated after every meal but not so much since I haven’t been eating as much. It’s really been messing with me to the point where I feel like I won’t make it to the next day and I just want it to stop. I’ve had trouble swallowing saliva and I used to spit it up but i’ve mostly controlled it now and sometimes I get this cool but burning feeling in my throat and my chest area feels like its filling up with warm water. I get dry mouth and throat and taste sour in my mouth. I really want to get better but it’s getting really hard to. I’ve been researching what to eat what to take what to do and i’ve been on tums for almost a week and it helps a little, I’ve gotten really bad anxiety that my mom had to give me half of her anxiety pills to calm me down and I know she shouldn’t but theres no other choice. I’ve been sleeping in my moms room but I get up often which causes her to get upset because she thinks im overreacting and wants me to take it the pill. I saw that supposedly its bad if you have reflux so i’ve gotten away from it but I have trouble sleeping now. I sometimes get uncomfortable feelings in my stomach if I sleep a certain way and I use my phone before I sleep and that helps me drift off to sleep but sometimes hours or minutes later I wake up and feel like I can’t go back to sleep. I woke up one night and felt like I couldn’t swallow but then I was overreacting and times at night I wake up really sweaty and it takes a while to go back to bed. I’ve used videogames to distract me all day from my throat which sometimes works. My anxiety and I get in my head a lot don’t help me either and make me worse. I get lightheaded often and when I take showers I get really weak and lightheaded. I had some diarrhea but it stopped. I’ve done saltwater gargle, cough drops, and now im doing tums and chewing sugar free gum after I eat. I just really want help and advice on what to do, what to eat, when to eat, how much to eat, even if it may not be acid reflux I just want all the help I can get.</t>
        </is>
      </c>
      <c r="D8271" t="n">
        <v>1</v>
      </c>
      <c r="E8271" t="n">
        <v>1</v>
      </c>
      <c r="F8271">
        <f>HYPERLINK("https://www.reddit.com/r/GERD/comments/hc2y4f/i_have_a_problem/")</f>
        <v/>
      </c>
      <c r="G8271" t="inlineStr">
        <is>
          <t>2020-06-19 08:41:57</t>
        </is>
      </c>
      <c r="H8271" t="inlineStr"/>
    </row>
    <row r="8272">
      <c r="A8272" t="inlineStr">
        <is>
          <t>hc3hqn</t>
        </is>
      </c>
      <c r="B8272" t="inlineStr">
        <is>
          <t>Anyone take PPI twice a day?</t>
        </is>
      </c>
      <c r="C8272" t="inlineStr">
        <is>
          <t>How different has it been?
I have been taking Prilosec 20 mg which has helped but is starting to work a lot less.
I was thinking of taking 10mg in the morning and 10 mg in the evening.
Does anyone have any experience?</t>
        </is>
      </c>
      <c r="D8272" t="n">
        <v>3</v>
      </c>
      <c r="E8272" t="n">
        <v>16</v>
      </c>
      <c r="F8272">
        <f>HYPERLINK("https://www.reddit.com/r/GERD/comments/hc3hqn/anyone_take_ppi_twice_a_day/")</f>
        <v/>
      </c>
      <c r="G8272" t="inlineStr">
        <is>
          <t>2020-06-19 09:12:08</t>
        </is>
      </c>
      <c r="H8272" t="inlineStr"/>
    </row>
    <row r="8273">
      <c r="A8273" t="inlineStr">
        <is>
          <t>hc3wq4</t>
        </is>
      </c>
      <c r="B8273" t="inlineStr">
        <is>
          <t>just to rant..</t>
        </is>
      </c>
      <c r="C8273" t="inlineStr">
        <is>
          <t>i had typed out a longer post but deleted it because i sounded angry which i was and still am.
so apparently if you have any GI symptoms, you will get turned away from your barium swallow exam.
end rant.
::edit:: i'm not experiencing any stomach pain or anything but i am experiencing some esophageal discomfort. i figure it's linked to the stomach so i changed my answer from no to yes and that was enough to send me back home even though i clarified with the front desk i dont have any stomach issues. just an fyi.</t>
        </is>
      </c>
      <c r="D8273" t="n">
        <v>2</v>
      </c>
      <c r="E8273" t="n">
        <v>6</v>
      </c>
      <c r="F8273">
        <f>HYPERLINK("https://www.reddit.com/r/GERD/comments/hc3wq4/just_to_rant/")</f>
        <v/>
      </c>
      <c r="G8273" t="inlineStr">
        <is>
          <t>2020-06-19 09:34:56</t>
        </is>
      </c>
      <c r="H8273" t="inlineStr"/>
    </row>
    <row r="8274">
      <c r="A8274" t="inlineStr">
        <is>
          <t>hc4zk5</t>
        </is>
      </c>
      <c r="B8274" t="inlineStr">
        <is>
          <t>Food sticking</t>
        </is>
      </c>
      <c r="C8274" t="inlineStr">
        <is>
          <t>Does anyone here with gerd or lpr get the feeling of food kind of sticking or going down sluggish in the upper throat? I’m 15 years old and It mainly happens with dry foods like pancakes and it’s been going on for 6 months and it got a little better in February but then went back to how it was.</t>
        </is>
      </c>
      <c r="D8274" t="n">
        <v>1</v>
      </c>
      <c r="E8274" t="n">
        <v>8</v>
      </c>
      <c r="F8274">
        <f>HYPERLINK("https://www.reddit.com/r/GERD/comments/hc4zk5/food_sticking/")</f>
        <v/>
      </c>
      <c r="G8274" t="inlineStr">
        <is>
          <t>2020-06-19 10:33:32</t>
        </is>
      </c>
      <c r="H8274" t="inlineStr"/>
    </row>
    <row r="8275">
      <c r="A8275" t="inlineStr">
        <is>
          <t>hc5o2a</t>
        </is>
      </c>
      <c r="B8275" t="inlineStr">
        <is>
          <t>Pork Rinds are killing me</t>
        </is>
      </c>
      <c r="C8275" t="inlineStr">
        <is>
          <t>Can hardly swallow them down, compared to any other food this is the worst.</t>
        </is>
      </c>
      <c r="D8275" t="n">
        <v>1</v>
      </c>
      <c r="E8275" t="n">
        <v>11</v>
      </c>
      <c r="F8275">
        <f>HYPERLINK("https://www.reddit.com/r/GERD/comments/hc5o2a/pork_rinds_are_killing_me/")</f>
        <v/>
      </c>
      <c r="G8275" t="inlineStr">
        <is>
          <t>2020-06-19 11:10:22</t>
        </is>
      </c>
      <c r="H8275" t="inlineStr"/>
    </row>
    <row r="8276">
      <c r="A8276" t="inlineStr">
        <is>
          <t>hc5t1q</t>
        </is>
      </c>
      <c r="B8276" t="inlineStr">
        <is>
          <t>I need help please please read</t>
        </is>
      </c>
      <c r="C8276" t="inlineStr">
        <is>
          <t>So i’m 15 years old right now and I have what I think is Acid Reflux but i’m not sure yet because i’m still waiting on the test referrals. Everyday I feel like I get worse and it really scares me and it gives me had anxiety. There’s been a couple days where i’m calm but then before bed I get really anxious and I have trouble sleeping. My main problem is more my throat though and I have a hard time swallowing. I’ve had trouble swallowing and choking for years now, but it’s gotten worse these past few weeks. I’ve had an even bigger loss of appetite, sometimes I get nauseous while i’m eating, it takes me a long time to eat but I don’t even finish my whole meal, I always have to have something to drink because I feel like food is stuck when it isn’t. Sometimes I get little pains more like uncomfortable feelings in my heart area, I tend to burp a lot and sometimes it burns, I used to get bloated after every meal but not so much since I haven’t been eating as much. Other times it feels like something is in my throat so I make myself burp to like make sure or confirm nothing isnt there. It’s really been messing with me to the point where I feel like I won’t make it to the next day and I just want it to stop. I’ve had trouble swallowing saliva and I used to spit it up but i’ve mostly controlled it now and sometimes I get this cool but burning feeling in my throat and my chest area feels like its filling up with warm water. I get dry mouth and throat and taste sour in my mouth. I really want to get better but it’s getting really hard to. I’ve been researching what to eat what to take what to do and i’ve been on tums for almost a week and it helps a little, I’ve gotten really bad anxiety that my mom had to give me half of her anxiety pills to calm me down and I know she shouldn’t but theres no other choice. I’ve been sleeping in my moms room but I get up often which causes her to get upset because she thinks im overreacting and wants me to take it the pill. I saw that supposedly its bad if you have reflux so i’ve gotten away from it but I have trouble sleeping now. I sometimes get uncomfortable feelings in my stomach if I sleep a certain way and I use my phone before I sleep and that helps me drift off to sleep but sometimes hours or minutes later I wake up and feel like I can’t go back to sleep. I woke up one night and felt like I couldn’t swallow but then I was overreacting and times at night I wake up really sweaty and it takes a while to go back to bed. I’ve used videogames to distract me all day from my throat which sometimes works. My anxiety and I get in my head a lot don’t help me either and make me worse. I get lightheaded often and when I take showers I get really weak and lightheaded. I had some diarrhea but it stopped. I also pee a lot, maybe because of anxiety and that I drink a few bottles of water a day. I’ve done saltwater gargle, cough drops, and now im doing tums and chewing sugar free gum after I eat. I just really want help and advice on what to do, what to eat, when to eat, how much to eat, even if it may not be acid reflux I just want all the help I can get. 
I have a lot of other little things that happen as well like twice during this quarantine I “choked” on a piece of watermelon and chicken. It wasn’t choking though I could still breathe and talk but it felt like it was stuck and I would drink water and I would just throw the water up. I’ve been drinking a lot more than eating like water, unsweetened herbal tea, drinkable yogurts, naked protein smoothies, and chocolate protein shakes. The protein shake fills me up but it also really fucks with my throat like it makes me produce a lot more saliva that I can’t swallow or keep down so I have to spit it up. Also I used to feel like all my saliva was like mucus when it didn’t even look like mucus. I still don’t know if it may be acid reflux or not but i’m treating it as if it is.</t>
        </is>
      </c>
      <c r="D8276" t="n">
        <v>1</v>
      </c>
      <c r="E8276" t="n">
        <v>10</v>
      </c>
      <c r="F8276">
        <f>HYPERLINK("https://www.reddit.com/r/GERD/comments/hc5t1q/i_need_help_please_please_read/")</f>
        <v/>
      </c>
      <c r="G8276" t="inlineStr">
        <is>
          <t>2020-06-19 11:18:02</t>
        </is>
      </c>
      <c r="H8276" t="inlineStr"/>
    </row>
    <row r="8277">
      <c r="A8277" t="inlineStr">
        <is>
          <t>hc6ikh</t>
        </is>
      </c>
      <c r="B8277" t="inlineStr">
        <is>
          <t>didnt eat or drink anything, having a terrible episode</t>
        </is>
      </c>
      <c r="C8277" t="inlineStr">
        <is>
          <t>am having one of the worst episodes of my life, i didnt eat or drink anything. i ate applesauce like 3 hours, my stomach has been sick, so not eating much. 
why the hell does this have to happen? fml</t>
        </is>
      </c>
      <c r="D8277" t="n">
        <v>1</v>
      </c>
      <c r="E8277" t="n">
        <v>18</v>
      </c>
      <c r="F8277">
        <f>HYPERLINK("https://www.reddit.com/r/GERD/comments/hc6ikh/didnt_eat_or_drink_anything_having_a_terrible/")</f>
        <v/>
      </c>
      <c r="G8277" t="inlineStr">
        <is>
          <t>2020-06-19 11:57:07</t>
        </is>
      </c>
      <c r="H8277" t="inlineStr"/>
    </row>
    <row r="8278">
      <c r="A8278" t="inlineStr">
        <is>
          <t>hc6mfy</t>
        </is>
      </c>
      <c r="B8278" t="inlineStr">
        <is>
          <t>Is it worth seeing a doctor for LPR? How do I find the right one?</t>
        </is>
      </c>
      <c r="C8278" t="inlineStr">
        <is>
          <t>Since April I've been suffering with what I'm now 99% sure is LPR (big thanks to a redditor for telling me about it because I was firmly in the "I don't have heartburn; it can't be acid reflux" camp before that) and I'm wondering if it's even worth it to see a doctor, or if I should try to manage my stress levels, adjust my diet, and take a PPI on my own, as it sounds like most doctors don't have any other solutions right now. I've seen an allergist and had a chest x-ray so other primary causes of my symptoms have been ruled out, and when I went to see an ENT and brought up silent reflux, he asked if I was experiencing heartburn (no), then told me to stop taking Prilosec because "someone as young as you doesn't need to be taking unnecessary meds" (I know there's debate about the effectiveness of PPIs for LPR, but my issue is more about his unwillingness to consider a reflux issue). I know some doctors aren't familiar with LPR, and honestly, I'm burnt out on doctor's appointments, on medical bills, and giving the rundown on my symptoms. I'll do it if need be, but I'm not entirely sure if I sure go to a gastroenterologist or to a different ENT, and/or how to find a doctor who's familiar with LPR. Anyone have advice or insight?</t>
        </is>
      </c>
      <c r="D8278" t="n">
        <v>1</v>
      </c>
      <c r="E8278" t="n">
        <v>13</v>
      </c>
      <c r="F8278">
        <f>HYPERLINK("https://www.reddit.com/r/GERD/comments/hc6mfy/is_it_worth_seeing_a_doctor_for_lpr_how_do_i_find/")</f>
        <v/>
      </c>
      <c r="G8278" t="inlineStr">
        <is>
          <t>2020-06-19 12:03:01</t>
        </is>
      </c>
      <c r="H8278" t="inlineStr"/>
    </row>
    <row r="8279">
      <c r="A8279" t="inlineStr">
        <is>
          <t>hc75z1</t>
        </is>
      </c>
      <c r="B8279" t="inlineStr">
        <is>
          <t>Acid Reflux Diet</t>
        </is>
      </c>
      <c r="C8279" t="inlineStr">
        <is>
          <t>My stomach gets really grumbly so I assume i’m hungry but when I do go to eat, I don’t know what to eat. So I also have a thing called dysphagia which is trouble swallowing that may have been caused by Acid Reflux, still waiting on the test. I want a strictly liquid or really soft liquidy foods, but I don’t know what to eat that is easy to consume but also will give me the nutrients I need to keep me healthy. I’ll take any recommendations from snacks to meals.</t>
        </is>
      </c>
      <c r="D8279" t="n">
        <v>1</v>
      </c>
      <c r="E8279" t="n">
        <v>12</v>
      </c>
      <c r="F8279">
        <f>HYPERLINK("https://www.reddit.com/r/GERD/comments/hc75z1/acid_reflux_diet/")</f>
        <v/>
      </c>
      <c r="G8279" t="inlineStr">
        <is>
          <t>2020-06-19 12:32:57</t>
        </is>
      </c>
      <c r="H8279" t="inlineStr"/>
    </row>
    <row r="8280">
      <c r="A8280" t="inlineStr">
        <is>
          <t>hc768o</t>
        </is>
      </c>
      <c r="B8280" t="inlineStr">
        <is>
          <t>What does your pain with GERD/LPR feel like?</t>
        </is>
      </c>
      <c r="C8280" t="inlineStr">
        <is>
          <t>So my doctor thinks I may have a stomach ulcer. My pain is severe sharp stabbing pains in-between my shoulder blades, right on and below my sternum and in my sides and a burning pain in my stomach. Ill eat and feel a bit better but then 30 mins later the pain is back. 
Not to mention my ears are hurting. I just wanted to note, that I went to Thailand 2 years ago and swam in some water, a few days afterwards I got an horrendous ear infection that is similar to this pain. Extreme stabbing and agony.</t>
        </is>
      </c>
      <c r="D8280" t="n">
        <v>1</v>
      </c>
      <c r="E8280" t="n">
        <v>3</v>
      </c>
      <c r="F8280">
        <f>HYPERLINK("https://www.reddit.com/r/GERD/comments/hc768o/what_does_your_pain_with_gerdlpr_feel_like/")</f>
        <v/>
      </c>
      <c r="G8280" t="inlineStr">
        <is>
          <t>2020-06-19 12:33:22</t>
        </is>
      </c>
      <c r="H8280" t="inlineStr"/>
    </row>
    <row r="8281">
      <c r="A8281" t="inlineStr">
        <is>
          <t>hc8fd6</t>
        </is>
      </c>
      <c r="B8281" t="inlineStr">
        <is>
          <t>OTC self treatment?</t>
        </is>
      </c>
      <c r="C8281" t="inlineStr">
        <is>
          <t>I’m pretty positive that I have LPR/GERD, and I don’t have the funds to go to the doctor right now. Nor do I want to as my city is experiencing second waves of this pandemic. 
I have many of the typical symptoms, but the main ones are belching, my throat tightening, my voice is extremely hoarse, sore throat, congestion/mucus, and abdominal pain. I get occasional stomach issues and nausea but it’s far less frequent, which makes me reluctant to self-treat. However I’m positive it’s related to food, sometimes I have no symptoms when I don’t eat. I have made diet changes, I prop myself up at night, I take antacids, I started exercise but it’s still hurting me. I’m also not overweight. My anxiety worsens my symptoms, I start getting heart palpitations when I’m stressed out about it. 
I’ve done research and I’m thinking about trying a proton pump inhibitor like Prilosec, but I’m worried about the side effects and the fact that a doctor hasn’t prescribed it to me. It is over the counter, so maybe it would be okay? Maybe something like Pepcid? 
Any help or advice is greatly appreciated.</t>
        </is>
      </c>
      <c r="D8281" t="n">
        <v>1</v>
      </c>
      <c r="E8281" t="n">
        <v>5</v>
      </c>
      <c r="F8281">
        <f>HYPERLINK("https://www.reddit.com/r/GERD/comments/hc8fd6/otc_self_treatment/")</f>
        <v/>
      </c>
      <c r="G8281" t="inlineStr">
        <is>
          <t>2020-06-19 13:45:22</t>
        </is>
      </c>
      <c r="H8281" t="inlineStr"/>
    </row>
    <row r="8282">
      <c r="A8282" t="inlineStr">
        <is>
          <t>hcaj1u</t>
        </is>
      </c>
      <c r="B8282" t="inlineStr">
        <is>
          <t>How long does it take for esophagus damage to heal?</t>
        </is>
      </c>
      <c r="C8282" t="inlineStr">
        <is>
          <t>Last week I went to the doctor because my heartburn was getting a lot worse and it felt like there was a huge lump in the back of my throat. I thought it was would go away on its own but one night I felt like I was choking until I gargled water and it was better for a minute or so. She checked for tonsil stones, there were none. I have pretty bad gerd.
She said that there is probably damage in my esophagus from acid and she put me on 40 mg of Prilosec for at most 2 months. I’ve been taking it for about 5 or 6 days and it’s beginning to feel better but not fully okay yet. I’ve also cut out fast food, tomato sauce, apple juice, soda, etc from my diet. 
I know it would be harder to tell because I don’t know the extent of the damage, but about how long do you think it would take to heal.</t>
        </is>
      </c>
      <c r="D8282" t="n">
        <v>1</v>
      </c>
      <c r="E8282" t="n">
        <v>12</v>
      </c>
      <c r="F8282">
        <f>HYPERLINK("https://www.reddit.com/r/GERD/comments/hcaj1u/how_long_does_it_take_for_esophagus_damage_to_heal/")</f>
        <v/>
      </c>
      <c r="G8282" t="inlineStr">
        <is>
          <t>2020-06-19 15:43:39</t>
        </is>
      </c>
      <c r="H8282" t="inlineStr"/>
    </row>
    <row r="8283">
      <c r="A8283" t="inlineStr">
        <is>
          <t>hcb4cg</t>
        </is>
      </c>
      <c r="B8283" t="inlineStr">
        <is>
          <t>How much coffee can you handle</t>
        </is>
      </c>
      <c r="C8283" t="inlineStr">
        <is>
          <t>did is for those who have been treating your gerd for a while. 
I am just starting out. Im planning to cut coffee/tea/soda out completely for the next 30 days to see how much better i get. but after that i want to start drinking again</t>
        </is>
      </c>
      <c r="D8283" t="n">
        <v>1</v>
      </c>
      <c r="E8283" t="n">
        <v>22</v>
      </c>
      <c r="F8283">
        <f>HYPERLINK("https://www.reddit.com/r/GERD/comments/hcb4cg/how_much_coffee_can_you_handle/")</f>
        <v/>
      </c>
      <c r="G8283" t="inlineStr">
        <is>
          <t>2020-06-19 16:18:00</t>
        </is>
      </c>
      <c r="H8283" t="inlineStr"/>
    </row>
    <row r="8284">
      <c r="A8284" t="inlineStr">
        <is>
          <t>hcc5t9</t>
        </is>
      </c>
      <c r="B8284" t="inlineStr">
        <is>
          <t>Anyone else feel this?</t>
        </is>
      </c>
      <c r="C8284" t="inlineStr">
        <is>
          <t>Does anybody else feel like no matter how much they chew their food it still sticks at the bottom of their throat around their collar bone!?</t>
        </is>
      </c>
      <c r="D8284" t="n">
        <v>1</v>
      </c>
      <c r="E8284" t="n">
        <v>5</v>
      </c>
      <c r="F8284">
        <f>HYPERLINK("https://www.reddit.com/r/GERD/comments/hcc5t9/anyone_else_feel_this/")</f>
        <v/>
      </c>
      <c r="G8284" t="inlineStr">
        <is>
          <t>2020-06-19 17:17:36</t>
        </is>
      </c>
      <c r="H8284" t="inlineStr"/>
    </row>
    <row r="8285">
      <c r="A8285" t="inlineStr">
        <is>
          <t>hcc89v</t>
        </is>
      </c>
      <c r="B8285" t="inlineStr">
        <is>
          <t>how has changing your diet helped you?</t>
        </is>
      </c>
      <c r="C8285" t="inlineStr">
        <is>
          <t>I have seen many diets for GERD but I can't figure out which ones work.</t>
        </is>
      </c>
      <c r="D8285" t="n">
        <v>1</v>
      </c>
      <c r="E8285" t="n">
        <v>1</v>
      </c>
      <c r="F8285">
        <f>HYPERLINK("https://www.reddit.com/r/GERD/comments/hcc89v/how_has_changing_your_diet_helped_you/")</f>
        <v/>
      </c>
      <c r="G8285" t="inlineStr">
        <is>
          <t>2020-06-19 17:21:42</t>
        </is>
      </c>
      <c r="H8285" t="inlineStr"/>
    </row>
    <row r="8286">
      <c r="A8286" t="inlineStr">
        <is>
          <t>hcc8rh</t>
        </is>
      </c>
      <c r="B8286" t="inlineStr">
        <is>
          <t>are your symptoms worse in the morning or night?</t>
        </is>
      </c>
      <c r="C8286" t="inlineStr">
        <is>
          <t>Mine are worse in the morning (lpr).  I feel like they get better as I eat and across the day.</t>
        </is>
      </c>
      <c r="D8286" t="n">
        <v>1</v>
      </c>
      <c r="E8286" t="n">
        <v>2</v>
      </c>
      <c r="F8286">
        <f>HYPERLINK("https://www.reddit.com/r/GERD/comments/hcc8rh/are_your_symptoms_worse_in_the_morning_or_night/")</f>
        <v/>
      </c>
      <c r="G8286" t="inlineStr">
        <is>
          <t>2020-06-19 17:22:31</t>
        </is>
      </c>
      <c r="H8286" t="inlineStr"/>
    </row>
    <row r="8287">
      <c r="A8287" t="inlineStr">
        <is>
          <t>hccimm</t>
        </is>
      </c>
      <c r="B8287" t="inlineStr">
        <is>
          <t>To those who have gotten surgery, what qualifies someone for surgery?</t>
        </is>
      </c>
      <c r="C8287" t="inlineStr">
        <is>
          <t>What do doctors see as making someone fit for surgery (NIF)? Severity of symptoms, lack of response to medicine? Something else? Thank you!</t>
        </is>
      </c>
      <c r="D8287" t="n">
        <v>1</v>
      </c>
      <c r="E8287" t="n">
        <v>8</v>
      </c>
      <c r="F8287">
        <f>HYPERLINK("https://www.reddit.com/r/GERD/comments/hccimm/to_those_who_have_gotten_surgery_what_qualifies/")</f>
        <v/>
      </c>
      <c r="G8287" t="inlineStr">
        <is>
          <t>2020-06-19 17:38:56</t>
        </is>
      </c>
      <c r="H8287" t="inlineStr"/>
    </row>
    <row r="8288">
      <c r="A8288" t="inlineStr">
        <is>
          <t>hccsnn</t>
        </is>
      </c>
      <c r="B8288" t="inlineStr">
        <is>
          <t>Rennie tablets?</t>
        </is>
      </c>
      <c r="C8288" t="inlineStr">
        <is>
          <t>Hey all, are those Rennie tablets in any way helpful with GERD? I’m waiting on a doctors appointment and I’m having a really tough time with stomach pressure and shortness of breath, wondering what I can do (if anything) in the meantime? Thank you!</t>
        </is>
      </c>
      <c r="D8288" t="n">
        <v>1</v>
      </c>
      <c r="E8288" t="n">
        <v>4</v>
      </c>
      <c r="F8288">
        <f>HYPERLINK("https://www.reddit.com/r/GERD/comments/hccsnn/rennie_tablets/")</f>
        <v/>
      </c>
      <c r="G8288" t="inlineStr">
        <is>
          <t>2020-06-19 17:55:57</t>
        </is>
      </c>
      <c r="H8288" t="inlineStr"/>
    </row>
    <row r="8289">
      <c r="A8289" t="inlineStr">
        <is>
          <t>hcct4r</t>
        </is>
      </c>
      <c r="B8289" t="inlineStr">
        <is>
          <t>Grilled Chicken + Plain Pasta = Destroyed</t>
        </is>
      </c>
      <c r="C8289" t="inlineStr">
        <is>
          <t>How? What out of these two things is causing murderous heartburn even while on a PPI? I ate slowly and had a perfect portion size.</t>
        </is>
      </c>
      <c r="D8289" t="n">
        <v>1</v>
      </c>
      <c r="E8289" t="n">
        <v>9</v>
      </c>
      <c r="F8289">
        <f>HYPERLINK("https://www.reddit.com/r/GERD/comments/hcct4r/grilled_chicken_plain_pasta_destroyed/")</f>
        <v/>
      </c>
      <c r="G8289" t="inlineStr">
        <is>
          <t>2020-06-19 17:56:46</t>
        </is>
      </c>
      <c r="H8289" t="inlineStr"/>
    </row>
    <row r="8290">
      <c r="A8290" t="inlineStr">
        <is>
          <t>hccy9o</t>
        </is>
      </c>
      <c r="B8290" t="inlineStr">
        <is>
          <t>Is this normal for GERD?</t>
        </is>
      </c>
      <c r="C8290" t="inlineStr">
        <is>
          <t>I'm fairly new to all this.  I've had a post nasal drip and a  slightly sore throat for months, but for the last two or three days, I've had a pretty consistent pain in my chest.  Not so much pain, but pressure, I guess.  It's right in the centre, by the sternum and I'm not sure what I'm supposed to do about it.  Sorry if this isn't enough info or something, I'm new to this subreddit.  Thanks in advance.</t>
        </is>
      </c>
      <c r="D8290" t="n">
        <v>1</v>
      </c>
      <c r="E8290" t="n">
        <v>7</v>
      </c>
      <c r="F8290">
        <f>HYPERLINK("https://www.reddit.com/r/GERD/comments/hccy9o/is_this_normal_for_gerd/")</f>
        <v/>
      </c>
      <c r="G8290" t="inlineStr">
        <is>
          <t>2020-06-19 18:06:39</t>
        </is>
      </c>
      <c r="H8290" t="inlineStr"/>
    </row>
    <row r="8291">
      <c r="A8291" t="inlineStr">
        <is>
          <t>hcd4xk</t>
        </is>
      </c>
      <c r="B8291" t="inlineStr">
        <is>
          <t>Are there long term side effect of prolonged Gaviscon use?</t>
        </is>
      </c>
      <c r="C8291" t="inlineStr">
        <is>
          <t>I take Gaviscon (aluminum free) very often, are there any known side effects of taking this for a long time?</t>
        </is>
      </c>
      <c r="D8291" t="n">
        <v>1</v>
      </c>
      <c r="E8291" t="n">
        <v>0</v>
      </c>
      <c r="F8291">
        <f>HYPERLINK("https://www.reddit.com/r/GERD/comments/hcd4xk/are_there_long_term_side_effect_of_prolonged/")</f>
        <v/>
      </c>
      <c r="G8291" t="inlineStr">
        <is>
          <t>2020-06-19 18:19:35</t>
        </is>
      </c>
      <c r="H8291" t="inlineStr"/>
    </row>
    <row r="8292">
      <c r="A8292" t="inlineStr">
        <is>
          <t>hcdqx7</t>
        </is>
      </c>
      <c r="B8292" t="inlineStr">
        <is>
          <t>Complicated feelings</t>
        </is>
      </c>
      <c r="C8292" t="inlineStr">
        <is>
          <t>Does anyone else get the feeling that you get very hungry and your stomach gets empty but after eating even just a little bit of food you lose your appetite. Also does anyone have a problem like the need to constantly burp and at times when I burp it feels like it’s stopped and like air is just forced out, not sure if this has to do with an empty stomach.</t>
        </is>
      </c>
      <c r="D8292" t="n">
        <v>1</v>
      </c>
      <c r="E8292" t="n">
        <v>4</v>
      </c>
      <c r="F8292">
        <f>HYPERLINK("https://www.reddit.com/r/GERD/comments/hcdqx7/complicated_feelings/")</f>
        <v/>
      </c>
      <c r="G8292" t="inlineStr">
        <is>
          <t>2020-06-19 19:03:18</t>
        </is>
      </c>
      <c r="H8292" t="inlineStr"/>
    </row>
    <row r="8293">
      <c r="A8293" t="inlineStr">
        <is>
          <t>hcdqz4</t>
        </is>
      </c>
      <c r="B8293" t="inlineStr">
        <is>
          <t>Gerd or something else?</t>
        </is>
      </c>
      <c r="C8293" t="inlineStr">
        <is>
          <t>Hello, for the past 4 years I’ve experienced stomach problems that the doctors deemed gerd so we’ve treated it accordingly. It’s never been too bad until these past couple months I’ve lost about 20 pounds. However, the more I think about it it seems less like reflux. It’s more of a constant feeling of discomfort in my stomach that is triggered by any sort of physical activity or movement and of course some types of foods. Its not a reflux or heartburn feeling but more if someone were to press on my stomach it would be very uncomfortable. It’s gotten pretty bad to now even long walks make it very uncomfortable. The doctor thinks it has something to do with long term cannabis use and recommends me to stop smoking which I did a couple days ago. So I guess my question is have any of you experienced these symptoms of discomfort when doing physical activity? And have any of you heavy smokers had luck in stopping cannabis. And input is appreciated!</t>
        </is>
      </c>
      <c r="D8293" t="n">
        <v>1</v>
      </c>
      <c r="E8293" t="n">
        <v>3</v>
      </c>
      <c r="F8293">
        <f>HYPERLINK("https://www.reddit.com/r/GERD/comments/hcdqz4/gerd_or_something_else/")</f>
        <v/>
      </c>
      <c r="G8293" t="inlineStr">
        <is>
          <t>2020-06-19 19:03:26</t>
        </is>
      </c>
      <c r="H8293" t="inlineStr"/>
    </row>
    <row r="8294">
      <c r="A8294" t="inlineStr">
        <is>
          <t>hcfhtp</t>
        </is>
      </c>
      <c r="B8294" t="inlineStr">
        <is>
          <t>My Personal Experience with GERD</t>
        </is>
      </c>
      <c r="C8294" t="inlineStr">
        <is>
          <t>Hi Everyone!
This is a long one but hear, ehr, read me out...
I wanted to take an opportunity to say a couple of things. First and foremost, GERD is absolutely one of the most painful, most inconvenient, most mind-numbing, and most stressful maladies that a person can face.
For lack (or care) of nicer or more poetic wording, it completely blows.
Secondly, you are not crazy. It does not matter what your mom, dad, siblings, grandparents, extended family, spouse or partner, or any other outside influence says...it is real.  Your great aunt twice removed who had acid reflux once? She should count herself lucky.  GERD is not that.
It is much, much more.
I am a 34-year-old, 5'11", 200lb male. I do smoke cigarettes (yeah, I know...I should quit..I probably will not).  I drink wine and beer ( yeah, I know...#poorlifechoices).  Sometime I eat fast-food (yeah, I know...gasp the audacity!). 
I have GERD, and it gets to the point where I almost cannot mentally function. It consumes my days. It takes over my nights. It is an active part of my daily living, but my struggle is real whether I eat a salad or a double quarter pounder with cheese, and I have refused to give up all of my life's pleasures. 
My story...
Three weeks leading up to April 6th, it all began. My workday was stressful, I was thinking all day about an extremely close family member whose passing was coming to a year this June (it's been difficult to process how quickly a year goes by), and another family member was sending the ugliest texts to me that night. It was a three-in-one, and I had a panic attack. From there, the entire situation progressed and escalated.
The panic did not subside. This lead to a heart rate that I felt could soar me to the moon. I grew dizzy and faint and then....there was a pain...
It was under my left side rib cage, but between  the rib and belly button and to the left a bit. I know this might sound crazy, but I can only compare it to the feeling of a popcorn kernel getting stuck between your teeth and gums...or like I had ingested the smallest piece of glass but my internal organs formed around it. It was sharp, nagging, and it hurt.
Shortly after, the belching began. When I say belching, I'm not talking about a deep, gutteral burp, but more so, a throaty, choking, expelling of air. When this starts, and I cannot mentally overcome it, it will go on for hours. One, two, three...belch. One, two, three...belch. There are not minutes...there are literal seconds between each.
Pain in my chest soon followed. It was left and center. It was deep and intense, and, classically, it felt like "an elephant standing on the left breast/pectoral area." It became a constant, dull ache that did not subside. My legs would vibrate some days, and I wasn't sure if they would hold my weight if I stood up.
The belching intensified, and when I laid down to sleep that kernel of popcorn or shard of glass throbbed endlessly.  As I would begin to fall asleep, my awareness of the need to belch would subside, and suddenly I was jolted awake by the urgent need to breathe due to air getting trapped in my throat. It felt like my heart was stopping, and I was suffocating. It was the feeling of falling in a dream where you wake up to find your feet dangling over the edge of the bed, and your heart is racing.
Ultimately, all of this led to a complete breakdown, and on April 6th, I thought I was dying.  The pain in my chest intensified, I could not sit still, I was pacing, my mind raced, I had shortness of breath, I gasped for air, I felt faint, my left arm went numb (with only a pin-prick feeling that let me know there was still some circulation), and I was overwhelmed by a feeling of impending doom.
I told my partner to get dressed and to take me to the ER.
At the ER, I was asked a million questions regarding my COVID-19 status as I sit (obviously dying from a heart attack) in a wheelchair.
However, I was not actually dying.  I was experiencing tachycardia (increased or rapid heart rate that may be regular or irregular), however, my EKG was normal.  My blood was drawn to check for heart attack enzymes (troponin), and they hooked me up to an IV drip to ensure I wasn't dehydrated.  I was given aspirin and a lovely, wet, toothpaste-tasting, GI concoction to calm my stomach down. After 3 hours, it was concluded that I was NOT having a heart attack or heart-related complications, and I was released with a diagnosis of anxiety disorder and GERD.
I was, however, referred to a cardiologist for follow-up.  On June 2nd, I went in for an echo and stress test. Despite being out of shape (remember the double quarter pounder?) and my struggling ability to to walk quickly on an incline while wearing a mask, ALL of my results came back normal this last week.
Ultimately, I may be dying a little more daily, and a heart attack could quite possibly take me (my family history is lovely in this arena), but it has not yet...and for now, it is unlikely.
I do take pantoprazole as needed (it's garbage in my opinion), and I was put on a low dose of anti-anxiety/depression medication to take the edge" off (Celexa). Mentally, I feel better...I guess. Physically, I continue to struggle.
In whole, I understand that I need an entire lifestyle change.  Fortunately, I have a partner that will go through those motions with me.  Our diet is going to have to change, and I'm going to have to exercise. Despite being flippant at the beginning of this post, I fully comprehend my next steps to (hopefully, possibly, potentially) be free of this.
I guess I felt I should write this out for anyone that may be experiencing all these symptoms that aren't always mentioned: the constant chest pain, heartburn, body numbness (notably the left arm), leg weakness, belching, and suffocating feelings that I have endured.
It completely sucks.
I have gone through a lot, and it all has felt as though it has been for nothing EXCEPT...peace of mind...and maybe that's another starting point and building block for me to get better.
If you or a loved one are experiencing anything like this, please know that you are not ridiculous. You are not foolish. It is not stupid. If you are unsure of your health, see someone now.  If you are questioning your mental state, talk to someone immediately.  Make sure you are okay...or at least as okay as you can be.
If something does not feel right, go with your gut (no pun intended). Nobody feels or experiences things the same way you do, and everyone has a different threshold and tolerance for pain. Do not let your mind wander.  Know your truth.
You are not alone in this.</t>
        </is>
      </c>
      <c r="D8294" t="n">
        <v>1</v>
      </c>
      <c r="E8294" t="n">
        <v>16</v>
      </c>
      <c r="F8294">
        <f>HYPERLINK("https://www.reddit.com/r/GERD/comments/hcfhtp/my_personal_experience_with_gerd/")</f>
        <v/>
      </c>
      <c r="G8294" t="inlineStr">
        <is>
          <t>2020-06-19 21:11:09</t>
        </is>
      </c>
      <c r="H8294" t="inlineStr"/>
    </row>
    <row r="8295">
      <c r="A8295" t="inlineStr">
        <is>
          <t>hcfpvd</t>
        </is>
      </c>
      <c r="B8295" t="inlineStr">
        <is>
          <t>Constant throat spasm</t>
        </is>
      </c>
      <c r="C8295" t="inlineStr">
        <is>
          <t>My throat is in constant spasm.  It is the lump sensation.  Certain foods and drinks and stress make it worse.  In the AM it is not as bad but then just gets worse during the day.  
Anyone have similar?  Anything help it?</t>
        </is>
      </c>
      <c r="D8295" t="n">
        <v>1</v>
      </c>
      <c r="E8295" t="n">
        <v>1</v>
      </c>
      <c r="F8295">
        <f>HYPERLINK("https://www.reddit.com/r/GERD/comments/hcfpvd/constant_throat_spasm/")</f>
        <v/>
      </c>
      <c r="G8295" t="inlineStr">
        <is>
          <t>2020-06-19 21:28:38</t>
        </is>
      </c>
      <c r="H8295" t="inlineStr"/>
    </row>
    <row r="8296">
      <c r="A8296" t="inlineStr">
        <is>
          <t>hcfy1t</t>
        </is>
      </c>
      <c r="B8296" t="inlineStr">
        <is>
          <t>Is it normal to have constant acid reflux from ages 19 to 22?</t>
        </is>
      </c>
      <c r="C8296" t="inlineStr">
        <is>
          <t>Hey there,
I am concerned about my condition of acid reflux. It was caused by antibiotics. Constant burning sensation, I can only sleep on my left hand-side otherwise acid reflux keeps me up, sometimes it is so bad that I can't sleep at all. Antacids only work for 10 minutes, omeprazole is what I am prescribed, I was getting too many side effects taking it everyday so I space it out to every 3 days. My doctor basically said I will be on them forever despite not knowing the cause other then antibiotic induced. He diagnosed me with irritable bowel syndrome despite having none of the symptoms and the only test that was conducted was whether I had H pylori, which I do not. 
I am sick of acid reflux effecting my quality of life, I have triggers but I still get acid reflux if I avoid my triggers so I just consume my triggers anyway because what's the point.
I have tried apple cider vinegar shots, the organic stuff with the mother. Didn't work actually caused heart palpitations after a while. Tried baking soda, same as antacid barely helpful and eventually irritated my stomach.
I had no signs of this growing up, soon as I hit 19 and took antibiotics for a throat infection I got symptoms. I quit smoking, changed life habits, tried vegan and vegetarian diets none of them helped. I don't drink alcohol, quit coffee for a year. 
Nurse said I maybe able to quit them and see if acid reflux is gone or I can try a different medication similar to omeprazole which I do not want to do. I hate feeling dependent on a pill to function. 
Any advice on curing this for good? Any advice is much appreciated :)</t>
        </is>
      </c>
      <c r="D8296" t="n">
        <v>1</v>
      </c>
      <c r="E8296" t="n">
        <v>0</v>
      </c>
      <c r="F8296">
        <f>HYPERLINK("https://www.reddit.com/r/GERD/comments/hcfy1t/is_it_normal_to_have_constant_acid_reflux_from/")</f>
        <v/>
      </c>
      <c r="G8296" t="inlineStr">
        <is>
          <t>2020-06-19 21:46:58</t>
        </is>
      </c>
      <c r="H8296" t="inlineStr"/>
    </row>
    <row r="8297">
      <c r="A8297" t="inlineStr">
        <is>
          <t>hcg2tz</t>
        </is>
      </c>
      <c r="B8297" t="inlineStr">
        <is>
          <t>Pain after endoscopy</t>
        </is>
      </c>
      <c r="C8297" t="inlineStr">
        <is>
          <t>I had my upper endoscopy where they took a couple of biopsy’s a couple of days ago. The same day I was fine, but starting the next morning I started having a sharp pain in one spot in my chest. It hurts whenever I swallow anything, even my own saliva. The pain is always there, but swallowing exacerbates it.
 Is this normal after an endoscopy? Maybe from having the device stuffed down my esophagus which could have irritated it?</t>
        </is>
      </c>
      <c r="D8297" t="n">
        <v>1</v>
      </c>
      <c r="E8297" t="n">
        <v>0</v>
      </c>
      <c r="F8297">
        <f>HYPERLINK("https://www.reddit.com/r/GERD/comments/hcg2tz/pain_after_endoscopy/")</f>
        <v/>
      </c>
      <c r="G8297" t="inlineStr">
        <is>
          <t>2020-06-19 21:57:33</t>
        </is>
      </c>
      <c r="H8297" t="inlineStr"/>
    </row>
    <row r="8298">
      <c r="A8298" t="inlineStr">
        <is>
          <t>hcgx2u</t>
        </is>
      </c>
      <c r="B8298" t="inlineStr">
        <is>
          <t>Has anyone found a way to have ranitidine (Zantac) shipped from Canada (or elsewhere) to the US?</t>
        </is>
      </c>
      <c r="C8298" t="inlineStr">
        <is>
          <t>Thanks!</t>
        </is>
      </c>
      <c r="D8298" t="n">
        <v>1</v>
      </c>
      <c r="E8298" t="n">
        <v>22</v>
      </c>
      <c r="F8298">
        <f>HYPERLINK("https://www.reddit.com/r/GERD/comments/hcgx2u/has_anyone_found_a_way_to_have_ranitidine_zantac/")</f>
        <v/>
      </c>
      <c r="G8298" t="inlineStr">
        <is>
          <t>2020-06-19 23:06:42</t>
        </is>
      </c>
      <c r="H8298" t="inlineStr"/>
    </row>
    <row r="8299">
      <c r="A8299" t="inlineStr">
        <is>
          <t>hch5z4</t>
        </is>
      </c>
      <c r="B8299" t="inlineStr">
        <is>
          <t>Missing too many symptoms?</t>
        </is>
      </c>
      <c r="C8299" t="inlineStr">
        <is>
          <t>Starting to wonder am I barking up the wrong tree here. I get quite bloated and fart A LOT through the day, burp quite a bit at times, I have pressure that feels like it’s pushing inwards just below my sternum which makes breathing feel constructed at times, all that is every day. Some chest pain. My diet is clean, but very simple and repetitive, all plant based.
But no sore throats, acidic burning in the throat has only happened twice when I woke up. No heartburn. No hoarseness.
Starting to think maybe I’m looking in the wrong place. It’s very frustrating being unable to see a doctor right now, so all I can do is try read up on what I can do to try help myself in the meantime. If anyone has any thoughts it’d be very welcome, starting to feel a bit lost with this.</t>
        </is>
      </c>
      <c r="D8299" t="n">
        <v>1</v>
      </c>
      <c r="E8299" t="n">
        <v>0</v>
      </c>
      <c r="F8299">
        <f>HYPERLINK("https://www.reddit.com/r/GERD/comments/hch5z4/missing_too_many_symptoms/")</f>
        <v/>
      </c>
      <c r="G8299" t="inlineStr">
        <is>
          <t>2020-06-19 23:29:02</t>
        </is>
      </c>
      <c r="H8299" t="inlineStr"/>
    </row>
    <row r="8300">
      <c r="A8300" t="inlineStr">
        <is>
          <t>hchlbl</t>
        </is>
      </c>
      <c r="B8300" t="inlineStr">
        <is>
          <t>Urge to swallow air / make myself burp?</t>
        </is>
      </c>
      <c r="C8300" t="inlineStr">
        <is>
          <t>Hi all - 35 year old lady here. I was diagnosed with GERD a few years ago, and was managing it via PPIs and diet. It randomly went away when I got pregnant and had a child and stayed away for a couple years, but since COVID, my stress levels have gone up, my sleep levels have gone down, and I’ve had some flare-ups that feel like my past ones.
Every time I have an episode, I get pressure (not pain) in my center chest and I have a globus sensation and pressure in my throat. This used to freak me out but now that I know what it is I can handle it mentally. However, when going through one of these, I find myself swallowing air in order to make myself burp. Even though I can feel some acid/food reflux into my throat when I burp, it feels good because it relieves some of the pressure. I know this habit probably isn’t a good one, but does anyone else do this? It is normal that the burping would relieve the pressure momentarily?</t>
        </is>
      </c>
      <c r="D8300" t="n">
        <v>1</v>
      </c>
      <c r="E8300" t="n">
        <v>0</v>
      </c>
      <c r="F8300">
        <f>HYPERLINK("https://www.reddit.com/r/GERD/comments/hchlbl/urge_to_swallow_air_make_myself_burp/")</f>
        <v/>
      </c>
      <c r="G8300" t="inlineStr">
        <is>
          <t>2020-06-20 00:07:55</t>
        </is>
      </c>
      <c r="H8300" t="inlineStr"/>
    </row>
    <row r="8301">
      <c r="A8301" t="inlineStr">
        <is>
          <t>hchtdi</t>
        </is>
      </c>
      <c r="B8301" t="inlineStr">
        <is>
          <t>does anyone else have this?</t>
        </is>
      </c>
      <c r="C8301" t="inlineStr">
        <is>
          <t>So I was diagnosed with GERD two years ago after a harrowing endoscopy (I gagged furiously around the damn tube, so bad, apparently my oesophagus started bleeding jfc) and ive had symptoms like acid coming up in my throat, really bad pain in my stomach, and sometimes even spasms in my throat.
Recently, I’ve started getting slight difficulty swallowing I think? Basically kinda feels like some food sticks to my throat but does go down and I don’t choke or anything just the sensation comes up now and then. I also get spasms that come and go not really while I’m eating but after eating or sometimes at night. They’re not particularly painful but kinda feel like my throat is fluttering if that makes sense? 
Combined with that my tummy has been really painful lately and as if it gets full really fast. I scared myself a little and spoke to people with achalasia about this bc I was convinced that I’m developing achalasia! But from what I’ve read here, a lot of people with GERD have very similar symptoms so I just wanted some reassurance that ppl here have gone through this haha! 
I know that I can’t really rule out achalasia or some other motility disorder and should get that tested but due to lockdown in my country, I can’t get to a doc anytime soon.</t>
        </is>
      </c>
      <c r="D8301" t="n">
        <v>1</v>
      </c>
      <c r="E8301" t="n">
        <v>0</v>
      </c>
      <c r="F8301">
        <f>HYPERLINK("https://www.reddit.com/r/GERD/comments/hchtdi/does_anyone_else_have_this/")</f>
        <v/>
      </c>
      <c r="G8301" t="inlineStr">
        <is>
          <t>2020-06-20 00:28:46</t>
        </is>
      </c>
      <c r="H8301" t="inlineStr"/>
    </row>
    <row r="8302">
      <c r="A8302" t="inlineStr">
        <is>
          <t>hcj28m</t>
        </is>
      </c>
      <c r="B8302" t="inlineStr">
        <is>
          <t>Here we go. Story time.</t>
        </is>
      </c>
      <c r="C8302" t="inlineStr">
        <is>
          <t>So I was diagnosed with GERD back in April by my MD and I gotta say, these past few months have been the most stressful I’ve had in my 22+ years of being alive. 
I developed a weird dry cough and shortly after had some serious case of the infamous shortness of breath. I couldn’t sleep for nights, starting stressing out, and begun losing a chunk of my scalp hair. 
I’ve never had anxiety issues but it began once I had these symptoms. Why? Because I thought I had Covid-19. Shit. Anxiety blew up all over the place.
I went and did the painful Covid test and thank god I came out negative. Did an X-Ray and my lungs were all clear like a healthy person. 
It was a relief but sadly I still couldn’t take a deep breath and couldn’t stop having dry coughs.
That was when my doc diagnosed me with Acid Reflux because he knows I’ve always had gastric issues since I was a young boy. But I guess it all went worse due to dinners consisting of spicy chicken curries &amp;amp; rice at 11pm every night after work, and the casual weed joint hits before eating. I would then wake up in the mornings, have only a coffee then hit the gym. 
I only have myself to blame because this was my routine for at least 5 months or so. And I guess this brought about my reflux. 
Doc gave me omeprazole &amp;amp; asthma tablets to help with my issues and that was good until the side effects came in (nerve pains, headaches, dizziness).
Stopped my meds and started eating healthier. Loved coffee but had to stop. Loved weed but had to stop. Started eating breakfasts by 7am and dinners before 7.30pm. No to fried, oily food &amp;amp; yes to steamed veggies with grilled chickens. Now I feel 30% better. Kinda miss burgers though lol.
GERD sucks, wish I could go back in time and warn myself to live healthier &amp;amp; cleaner. But eh, guess I just gotta live with it and live a healthier life from now on. I got a looooong way to go.
TLDR; thought I had Covid, turns out it was GERD after living an unhealthy lifestyle for months, now feeling better after a change in diet and life.</t>
        </is>
      </c>
      <c r="D8302" t="n">
        <v>1</v>
      </c>
      <c r="E8302" t="n">
        <v>3</v>
      </c>
      <c r="F8302">
        <f>HYPERLINK("https://www.reddit.com/r/GERD/comments/hcj28m/here_we_go_story_time/")</f>
        <v/>
      </c>
      <c r="G8302" t="inlineStr">
        <is>
          <t>2020-06-20 02:12:32</t>
        </is>
      </c>
      <c r="H8302" t="inlineStr"/>
    </row>
    <row r="8303">
      <c r="A8303" t="inlineStr">
        <is>
          <t>hcjdn4</t>
        </is>
      </c>
      <c r="B8303" t="inlineStr">
        <is>
          <t>Gerd Cough</t>
        </is>
      </c>
      <c r="C8303" t="inlineStr">
        <is>
          <t>I catch myself coughing up some phlegm in the morning after eating late the night before. I've also stopped smoking so they can obviously play a huge role too. Anyone else experience this?</t>
        </is>
      </c>
      <c r="D8303" t="n">
        <v>1</v>
      </c>
      <c r="E8303" t="n">
        <v>2</v>
      </c>
      <c r="F8303">
        <f>HYPERLINK("https://www.reddit.com/r/GERD/comments/hcjdn4/gerd_cough/")</f>
        <v/>
      </c>
      <c r="G8303" t="inlineStr">
        <is>
          <t>2020-06-20 02:38:53</t>
        </is>
      </c>
      <c r="H8303" t="inlineStr"/>
    </row>
    <row r="8304">
      <c r="A8304" t="inlineStr">
        <is>
          <t>hcl1ox</t>
        </is>
      </c>
      <c r="B8304" t="inlineStr">
        <is>
          <t>Experiences with taking ppi and h2 blockers too?</t>
        </is>
      </c>
      <c r="C8304" t="inlineStr">
        <is>
          <t>With my doctor we have been experimenting about what would work for my GERD (constant nausea, lot of acid) the best.
So far: a month on 20 mg h2 blockers a day helped perfectly for a week but then almost nothing.
Any ppi dosage above 20 mg makes me unbearably sick. 20 mgs help some, but only like 50%.
So now im trying the combination of the two. Took 40 mgs of h2 blocker at night and 20mg ppi in the morning.
The h2 caused me some nausea throughout the night, which didn't happen when i first tried it with 20mgs. It also made me very bloated. In the morning i took the ppi. I could only very little since that . I was also shivering heavily for like an hour and had major fatigue. It's been a couple of hours but i still feel weak. Im guessing my body has to get used to the h2 blockers too, especially in this dose? Has anyone had experience with taking this two at the same time? Have you had results? If you had side effects from combining the two, did they go away?</t>
        </is>
      </c>
      <c r="D8304" t="n">
        <v>1</v>
      </c>
      <c r="E8304" t="n">
        <v>2</v>
      </c>
      <c r="F8304">
        <f>HYPERLINK("https://www.reddit.com/r/GERD/comments/hcl1ox/experiences_with_taking_ppi_and_h2_blockers_too/")</f>
        <v/>
      </c>
      <c r="G8304" t="inlineStr">
        <is>
          <t>2020-06-20 04:52:49</t>
        </is>
      </c>
      <c r="H8304" t="inlineStr"/>
    </row>
    <row r="8305">
      <c r="A8305" t="inlineStr">
        <is>
          <t>hclhdz</t>
        </is>
      </c>
      <c r="B8305" t="inlineStr">
        <is>
          <t>Any one doing the Acid Watcher Diet for their Gastritis and Gerd (LPR).</t>
        </is>
      </c>
      <c r="C8305" t="inlineStr">
        <is>
          <t>How are you following it directly if you have food intolerances?</t>
        </is>
      </c>
      <c r="D8305" t="n">
        <v>1</v>
      </c>
      <c r="E8305" t="n">
        <v>4</v>
      </c>
      <c r="F8305">
        <f>HYPERLINK("https://www.reddit.com/r/GERD/comments/hclhdz/any_one_doing_the_acid_watcher_diet_for_their/")</f>
        <v/>
      </c>
      <c r="G8305" t="inlineStr">
        <is>
          <t>2020-06-20 05:25:17</t>
        </is>
      </c>
      <c r="H8305" t="inlineStr"/>
    </row>
    <row r="8306">
      <c r="A8306" t="inlineStr">
        <is>
          <t>hclqg8</t>
        </is>
      </c>
      <c r="B8306" t="inlineStr">
        <is>
          <t>What is life like after surgery?</t>
        </is>
      </c>
      <c r="C8306" t="inlineStr">
        <is>
          <t>1 month, 6 months, 2 years, 10 years? 
I’m assuming Nissen, but there may be other surgeries out there that I am not aware of. 
Thanks!</t>
        </is>
      </c>
      <c r="D8306" t="n">
        <v>1</v>
      </c>
      <c r="E8306" t="n">
        <v>4</v>
      </c>
      <c r="F8306">
        <f>HYPERLINK("https://www.reddit.com/r/GERD/comments/hclqg8/what_is_life_like_after_surgery/")</f>
        <v/>
      </c>
      <c r="G8306" t="inlineStr">
        <is>
          <t>2020-06-20 05:45:43</t>
        </is>
      </c>
      <c r="H8306" t="inlineStr"/>
    </row>
    <row r="8307">
      <c r="A8307" t="inlineStr">
        <is>
          <t>hcls9s</t>
        </is>
      </c>
      <c r="B8307" t="inlineStr">
        <is>
          <t>Help Needed.</t>
        </is>
      </c>
      <c r="C8307" t="inlineStr">
        <is>
          <t>I am diagnosed with Gerd and a hiatus hernia, I experience regular heart burn even with Proton pump inhibitors. To add I regularly what feels like chest tightness and discomfort breathing. I've had multiple chest CT Scans coming back all clear/good. My respiratory specialist doesn't believe it to be lung related. Can Gerd/hernia cause chronic discomfort and chest tightness?</t>
        </is>
      </c>
      <c r="D8307" t="n">
        <v>1</v>
      </c>
      <c r="E8307" t="n">
        <v>7</v>
      </c>
      <c r="F8307">
        <f>HYPERLINK("https://www.reddit.com/r/GERD/comments/hcls9s/help_needed/")</f>
        <v/>
      </c>
      <c r="G8307" t="inlineStr">
        <is>
          <t>2020-06-20 05:49:59</t>
        </is>
      </c>
      <c r="H8307" t="inlineStr"/>
    </row>
    <row r="8308">
      <c r="A8308" t="inlineStr">
        <is>
          <t>hcmduw</t>
        </is>
      </c>
      <c r="B8308" t="inlineStr">
        <is>
          <t>I sleep with a 14+ inch incline</t>
        </is>
      </c>
      <c r="C8308" t="inlineStr">
        <is>
          <t>I look like I’m retarded but just trying to survive</t>
        </is>
      </c>
      <c r="D8308" t="n">
        <v>1</v>
      </c>
      <c r="E8308" t="n">
        <v>8</v>
      </c>
      <c r="F8308">
        <f>HYPERLINK("https://www.reddit.com/r/GERD/comments/hcmduw/i_sleep_with_a_14_inch_incline/")</f>
        <v/>
      </c>
      <c r="G8308" t="inlineStr">
        <is>
          <t>2020-06-20 06:35:13</t>
        </is>
      </c>
      <c r="H8308" t="inlineStr"/>
    </row>
    <row r="8309">
      <c r="A8309" t="inlineStr">
        <is>
          <t>hcntzg</t>
        </is>
      </c>
      <c r="B8309" t="inlineStr">
        <is>
          <t>LPR diet forever or just temporary?</t>
        </is>
      </c>
      <c r="C8309" t="inlineStr">
        <is>
          <t>Has anyone ever gone from bad LPR to cured just by diet? And by cure I mean being able to eat normal food (aka pizza, ice cream)? 
I’m in the first three weeks of a 3-6 month LPR diet. Is there any chance that after this diet my reflux will improve to the point that I am able to eat normal foods? 
Or is the consensus that this diet is going to be life long. It’s much harder than I ever thought it would be.</t>
        </is>
      </c>
      <c r="D8309" t="n">
        <v>1</v>
      </c>
      <c r="E8309" t="n">
        <v>32</v>
      </c>
      <c r="F8309">
        <f>HYPERLINK("https://www.reddit.com/r/GERD/comments/hcntzg/lpr_diet_forever_or_just_temporary/")</f>
        <v/>
      </c>
      <c r="G8309" t="inlineStr">
        <is>
          <t>2020-06-20 08:10:57</t>
        </is>
      </c>
      <c r="H8309" t="inlineStr"/>
    </row>
    <row r="8310">
      <c r="A8310" t="inlineStr">
        <is>
          <t>hcob5k</t>
        </is>
      </c>
      <c r="B8310" t="inlineStr">
        <is>
          <t>Constant mucus from my stomach, weak LES?</t>
        </is>
      </c>
      <c r="C8310" t="inlineStr">
        <is>
          <t>Whatever I eat creates mucus in my mouth. I can literally drink water and few seconds later, my mouth will be filled with mucus from stomach. Does this mean I have weak LES?</t>
        </is>
      </c>
      <c r="D8310" t="n">
        <v>1</v>
      </c>
      <c r="E8310" t="n">
        <v>3</v>
      </c>
      <c r="F8310">
        <f>HYPERLINK("https://www.reddit.com/r/GERD/comments/hcob5k/constant_mucus_from_my_stomach_weak_les/")</f>
        <v/>
      </c>
      <c r="G8310" t="inlineStr">
        <is>
          <t>2020-06-20 08:39:45</t>
        </is>
      </c>
      <c r="H8310" t="inlineStr"/>
    </row>
    <row r="8311">
      <c r="A8311" t="inlineStr">
        <is>
          <t>hcodu1</t>
        </is>
      </c>
      <c r="B8311" t="inlineStr">
        <is>
          <t>Swallowing difficulties</t>
        </is>
      </c>
      <c r="C8311" t="inlineStr">
        <is>
          <t>This is a bit long so if you take the time to read this THANK YOU! My post was just declined in a facebook support group for GERD for being too long so I came here!! So, I've been having trouble swallowing for the last year. I thought for a while it was due to having alot of dental work done and assumed it was just that, me getting used to eating again afterwards, and maybe my mind messing with me. A few weeks ago I woke up choking on acid in my throat. I put that, my trouble swallowing, dry mouth, hoarseness, occasional sore throat and the fact that I've lost 40 pounds together and decided I must go to the doctor. I went last thursday and she said it seems to be GERD and she also thought I had esophageal thrush. She said if it isn't improving in one month she is sending me for an endoscopy. I understand that it needs time to heal but I feel that i will never see a light at the end of the tunnel. I cannot and have not eaten a solid food in months. One would think that I would be able to eat things like grits, oatmeal, smoothies or mashed potatoes but those are they textures that make me feel like I am suffocating as it goes down. I am living off of broth at the moment but discovered that they all contain a few ingredients that I should really be staying away from so I don't know if i'm doing the right thing by drinking those or if I am just making it worse. I have never really had heartburn or indigestion so I had no idea that this could have been GERD or acid reflux related until I woke weeks ago choking on acid and started googling. I have had shortness of breath for a year that the doctor gave me anxiety meds for but that never helped so she concluded that that was more than likely being caused by GERD as well.  My question is will it ever get better and will I ever be able to eat solid food ever again???? Also, does this most definitely sound like GERD/Acid reflux?? I am not doubting my doctor but just asking opinions because I haven't been looked at on the inside yet and worry myself sick about everything anyway and the fact that my first symptom was swallowing problems with pretty much no other symptoms until these last few weeks. I would greatly appreciate any information, feedback, encouragement or success stories. Thank you!</t>
        </is>
      </c>
      <c r="D8311" t="n">
        <v>2</v>
      </c>
      <c r="E8311" t="n">
        <v>15</v>
      </c>
      <c r="F8311">
        <f>HYPERLINK("https://www.reddit.com/r/GERD/comments/hcodu1/swallowing_difficulties/")</f>
        <v/>
      </c>
      <c r="G8311" t="inlineStr">
        <is>
          <t>2020-06-20 08:44:11</t>
        </is>
      </c>
      <c r="H8311" t="inlineStr"/>
    </row>
    <row r="8312">
      <c r="A8312" t="inlineStr">
        <is>
          <t>hcooji</t>
        </is>
      </c>
      <c r="B8312" t="inlineStr">
        <is>
          <t>Not sure what to do in regards to medication</t>
        </is>
      </c>
      <c r="C8312" t="inlineStr">
        <is>
          <t>Been having Issues with reflux since just before the new year that have gradually gotten worse, went from 1 attack a week to feeling it almost every day.
Tried Gaviscon advance,omeprazole(20mg),lansoperzole(30mg) and now currently on esomoprazole(40mg) and while the PPI's seem to help at first they stop working very quickly, Haven't tried H2 blockers but as far as i know they are weaker than PPI's ?
Symptoms are: 
Burning in throat
Bloating
discomfort under sternum/ribs
Pain in middle/upper back between shoulder blades, Might be trapped gas or acid not quite sure
Done the usual diet modification you see all over, no coffee/sodas tomato's spices fatty ect ect to no avail.
Now i haven't had any testing done at all because of the whole covid situation GP said endoscopy's are suspended?
But are willing to test for h.pylori but would require me to come off PPI for 2 weeks, which i would not look forward to as the rebound will be brutal on top of what im already experiencing. 
Not going to lie im not the healthiest person at the moment, im overweight and im pretty sedentary for the most part(playing to many games).
So my question is do i drop the PPI's or do i try some other medication?
And in terms of tests what should i be pushing for from my GP?
Thanks for reading and hope your all doing well.</t>
        </is>
      </c>
      <c r="D8312" t="n">
        <v>3</v>
      </c>
      <c r="E8312" t="n">
        <v>2</v>
      </c>
      <c r="F8312">
        <f>HYPERLINK("https://www.reddit.com/r/GERD/comments/hcooji/not_sure_what_to_do_in_regards_to_medication/")</f>
        <v/>
      </c>
      <c r="G8312" t="inlineStr">
        <is>
          <t>2020-06-20 09:01:57</t>
        </is>
      </c>
      <c r="H8312" t="inlineStr"/>
    </row>
    <row r="8313">
      <c r="A8313" t="inlineStr">
        <is>
          <t>hcoz7x</t>
        </is>
      </c>
      <c r="B8313" t="inlineStr">
        <is>
          <t>Symptoms and results</t>
        </is>
      </c>
      <c r="C8313" t="inlineStr">
        <is>
          <t>Hello everyone, 23M
I have been having nausea, stomach pain, belching, gas for the past 3 months. I had an endoscopy 2 weeks ago. I got the results back a few days ago and it said I have insufficient closure of cardia, GERD and chronic stomach inflammation. Was also tested for celiac and H. pylori which were negative. Just looking for some people similar experiences since I usually dont have a burning sensation which a lot of people with GERD seem to have. Could this be the cause of my symptoms? cheers</t>
        </is>
      </c>
      <c r="D8313" t="n">
        <v>3</v>
      </c>
      <c r="E8313" t="n">
        <v>1</v>
      </c>
      <c r="F8313">
        <f>HYPERLINK("https://www.reddit.com/r/GERD/comments/hcoz7x/symptoms_and_results/")</f>
        <v/>
      </c>
      <c r="G8313" t="inlineStr">
        <is>
          <t>2020-06-20 09:19:17</t>
        </is>
      </c>
      <c r="H8313" t="inlineStr"/>
    </row>
    <row r="8314">
      <c r="A8314" t="inlineStr">
        <is>
          <t>hcp34i</t>
        </is>
      </c>
      <c r="B8314" t="inlineStr">
        <is>
          <t>Is this Acid Reflux?</t>
        </is>
      </c>
      <c r="C8314" t="inlineStr">
        <is>
          <t>Hi i am 22, i got diagnosed with a stomach ulcer a few years ago (when i was 16) but have never had standard GERD symptoms. All i usually get is a croaking/groaning gas bubble rising up my throat several times a day (50-200 times it was for a few years) that never hurts or feels acidic. Could this be LPR, Acid from my stomach or just Gas from my stomach coming back up? I’ve also only had heartburn 3 times in the 5 years of having reflux. I am worried I will have Barrett’s esophagus, which is why i am getting an endoscopy in a week or so.
Has anyone else had this croaking rising feeling coming up their throat? If so how many TIMES do you get it? (mine has been reduced a bit since i changed my diet and habits not long ago.)</t>
        </is>
      </c>
      <c r="D8314" t="n">
        <v>3</v>
      </c>
      <c r="E8314" t="n">
        <v>5</v>
      </c>
      <c r="F8314">
        <f>HYPERLINK("https://www.reddit.com/r/GERD/comments/hcp34i/is_this_acid_reflux/")</f>
        <v/>
      </c>
      <c r="G8314" t="inlineStr">
        <is>
          <t>2020-06-20 09:25:37</t>
        </is>
      </c>
      <c r="H8314" t="inlineStr"/>
    </row>
    <row r="8315">
      <c r="A8315" t="inlineStr">
        <is>
          <t>hcp4fw</t>
        </is>
      </c>
      <c r="B8315" t="inlineStr">
        <is>
          <t>GERD or something else?</t>
        </is>
      </c>
      <c r="C8315" t="inlineStr">
        <is>
          <t>Starting to wonder am I barking up the wrong tree here. I get quite bloated and fart A LOT through the day, burp quite a bit at times, I have pressure that feels like it’s pushing inwards just below my sternum which makes breathing feel constructed at times, all that is every day. Some chest pain. My diet is clean, but very simple and repetitive, all plant based.
But no sore throats, acidic burning in the throat has only happened twice when I woke up. No heartburn. No hoarseness.
Starting to think maybe I’m looking in the wrong place. It’s very frustrating being unable to see a doctor right now, so all I can do is try read up on what I can do to try help myself in the meantime. If anyone has any thoughts it’d be very welcome, starting to feel a bit lost with this.</t>
        </is>
      </c>
      <c r="D8315" t="n">
        <v>3</v>
      </c>
      <c r="E8315" t="n">
        <v>9</v>
      </c>
      <c r="F8315">
        <f>HYPERLINK("https://www.reddit.com/r/GERD/comments/hcp4fw/gerd_or_something_else/")</f>
        <v/>
      </c>
      <c r="G8315" t="inlineStr">
        <is>
          <t>2020-06-20 09:27:43</t>
        </is>
      </c>
      <c r="H8315" t="inlineStr"/>
    </row>
    <row r="8316">
      <c r="A8316" t="inlineStr">
        <is>
          <t>hcp9fi</t>
        </is>
      </c>
      <c r="B8316" t="inlineStr">
        <is>
          <t>LPR symptom question</t>
        </is>
      </c>
      <c r="C8316" t="inlineStr">
        <is>
          <t>I’ve been diagnosed with lpr since april this year. Would like to ask how often do those suffering from lpr experience a sensation of throat burning? My symptoms first appeared in jan and I haven’t had any throat burning/heartburn or regurgitation. Had a nasoendoscopy done earlier this week and my ent said mucus was present in an area that suggests that it came from the nose/sinuses. No excess mucus observed in the area that’s normally expected for lpr. Recommended nasal irrigation and so far it seems like it’s been more effective than ppis but I’m still clearing my throat. If no throat burning sensation is present, is it a potential indicator that acid/pepsin is not the culprit?</t>
        </is>
      </c>
      <c r="D8316" t="n">
        <v>3</v>
      </c>
      <c r="E8316" t="n">
        <v>3</v>
      </c>
      <c r="F8316">
        <f>HYPERLINK("https://www.reddit.com/r/GERD/comments/hcp9fi/lpr_symptom_question/")</f>
        <v/>
      </c>
      <c r="G8316" t="inlineStr">
        <is>
          <t>2020-06-20 09:35:59</t>
        </is>
      </c>
      <c r="H8316" t="inlineStr"/>
    </row>
    <row r="8317">
      <c r="A8317" t="inlineStr">
        <is>
          <t>hcq7gg</t>
        </is>
      </c>
      <c r="B8317" t="inlineStr">
        <is>
          <t>Which works better DGL or Slippery Elm capsule. It feels as if the acid comes up in my ears. My ears feel funny.</t>
        </is>
      </c>
      <c r="C8317" t="inlineStr">
        <is>
          <t>Any advice? The DGL is just too sweet for me. How long does the slippery elm capsule takes to work and coats?</t>
        </is>
      </c>
      <c r="D8317" t="n">
        <v>1</v>
      </c>
      <c r="E8317" t="n">
        <v>1</v>
      </c>
      <c r="F8317">
        <f>HYPERLINK("https://www.reddit.com/r/GERD/comments/hcq7gg/which_works_better_dgl_or_slippery_elm_capsule_it/")</f>
        <v/>
      </c>
      <c r="G8317" t="inlineStr">
        <is>
          <t>2020-06-20 10:30:23</t>
        </is>
      </c>
      <c r="H8317" t="inlineStr"/>
    </row>
    <row r="8318">
      <c r="A8318" t="inlineStr">
        <is>
          <t>hcq9eu</t>
        </is>
      </c>
      <c r="B8318" t="inlineStr">
        <is>
          <t>How did you cure you Gerd (LPR) and Gastritis while on Nexium</t>
        </is>
      </c>
      <c r="C8318" t="inlineStr">
        <is>
          <t>What did you take?
What did you do?</t>
        </is>
      </c>
      <c r="D8318" t="n">
        <v>1</v>
      </c>
      <c r="E8318" t="n">
        <v>0</v>
      </c>
      <c r="F8318">
        <f>HYPERLINK("https://www.reddit.com/r/GERD/comments/hcq9eu/how_did_you_cure_you_gerd_lpr_and_gastritis_while/")</f>
        <v/>
      </c>
      <c r="G8318" t="inlineStr">
        <is>
          <t>2020-06-20 10:33:33</t>
        </is>
      </c>
      <c r="H8318" t="inlineStr"/>
    </row>
    <row r="8319">
      <c r="A8319" t="inlineStr">
        <is>
          <t>hcqd11</t>
        </is>
      </c>
      <c r="B8319" t="inlineStr">
        <is>
          <t>Severe gerd.. help..</t>
        </is>
      </c>
      <c r="C8319" t="inlineStr">
        <is>
          <t>I’ve never experienced this before, I can’t literally swallow anything as I get that weird salty taste in my mouth.
At first I thought I got covid but I do not have fever, cough  or body aches, so that’s a relief!
I also have been vomiting for the last three days.
Though after 3 days I have some relief in diarrhoea and constipation. 
This salty taste in my mouth doesn’t seem to go away. Is this acid reflux?!
Help guys help.
What did you do to make it just disappear</t>
        </is>
      </c>
      <c r="D8319" t="n">
        <v>1</v>
      </c>
      <c r="E8319" t="n">
        <v>1</v>
      </c>
      <c r="F8319">
        <f>HYPERLINK("https://www.reddit.com/r/GERD/comments/hcqd11/severe_gerd_help/")</f>
        <v/>
      </c>
      <c r="G8319" t="inlineStr">
        <is>
          <t>2020-06-20 10:39:18</t>
        </is>
      </c>
      <c r="H8319" t="inlineStr"/>
    </row>
    <row r="8320">
      <c r="A8320" t="inlineStr">
        <is>
          <t>hcr7kf</t>
        </is>
      </c>
      <c r="B8320" t="inlineStr">
        <is>
          <t>What am I regurgitating?</t>
        </is>
      </c>
      <c r="C8320" t="inlineStr">
        <is>
          <t>19 M
This morning I took my 20 mg Prilosec. I had a vanilla ensure shake and some club crackers 45 minutes after taking it. 3 hours later and I am regurgitating into my mouth. How? What is going on? My doctor wants me to up my dosage to twice a day but I’m nervous.</t>
        </is>
      </c>
      <c r="D8320" t="n">
        <v>1</v>
      </c>
      <c r="E8320" t="n">
        <v>5</v>
      </c>
      <c r="F8320">
        <f>HYPERLINK("https://www.reddit.com/r/GERD/comments/hcr7kf/what_am_i_regurgitating/")</f>
        <v/>
      </c>
      <c r="G8320" t="inlineStr">
        <is>
          <t>2020-06-20 11:28:36</t>
        </is>
      </c>
      <c r="H8320" t="inlineStr"/>
    </row>
    <row r="8321">
      <c r="A8321" t="inlineStr">
        <is>
          <t>hcrbzs</t>
        </is>
      </c>
      <c r="B8321" t="inlineStr">
        <is>
          <t>What probiotic can I take with Nexium to get rid of my food intolerance?</t>
        </is>
      </c>
      <c r="C8321" t="inlineStr">
        <is>
          <t>I can’t eat much because of Gastritis and Gerd!</t>
        </is>
      </c>
      <c r="D8321" t="n">
        <v>2</v>
      </c>
      <c r="E8321" t="n">
        <v>13</v>
      </c>
      <c r="F8321">
        <f>HYPERLINK("https://www.reddit.com/r/GERD/comments/hcrbzs/what_probiotic_can_i_take_with_nexium_to_get_rid/")</f>
        <v/>
      </c>
      <c r="G8321" t="inlineStr">
        <is>
          <t>2020-06-20 11:36:08</t>
        </is>
      </c>
      <c r="H8321" t="inlineStr"/>
    </row>
    <row r="8322">
      <c r="A8322" t="inlineStr">
        <is>
          <t>hcrcc9</t>
        </is>
      </c>
      <c r="B8322" t="inlineStr">
        <is>
          <t>5 beers but fine the next day?</t>
        </is>
      </c>
      <c r="C8322" t="inlineStr">
        <is>
          <t>I went to the doctor for GERD and have been on Prilosec 20mg for almost a week. I don’t get heartburn but I do get globus feeling and can feel full easy, pressure in chest, feeling like somethings coming up throat. I have at least one symptom every evening.
I had 5 Summershandys last night. I had globus feeling and chest pressure. But nothing extreme. So far today I feel fine (besides beer induced diarrhea). Should I be able to drink five beers and feel fine the next day. Is it possible I don’t have GERD?</t>
        </is>
      </c>
      <c r="D8322" t="n">
        <v>4</v>
      </c>
      <c r="E8322" t="n">
        <v>14</v>
      </c>
      <c r="F8322">
        <f>HYPERLINK("https://www.reddit.com/r/GERD/comments/hcrcc9/5_beers_but_fine_the_next_day/")</f>
        <v/>
      </c>
      <c r="G8322" t="inlineStr">
        <is>
          <t>2020-06-20 11:36:41</t>
        </is>
      </c>
      <c r="H8322" t="inlineStr"/>
    </row>
    <row r="8323">
      <c r="A8323" t="inlineStr">
        <is>
          <t>hcsg02</t>
        </is>
      </c>
      <c r="B8323" t="inlineStr">
        <is>
          <t>GERD friendly recipes or dishes?</t>
        </is>
      </c>
      <c r="C8323" t="inlineStr">
        <is>
          <t>Hey! I dont know much about GERD bu,t my good buddy just got diagnosed with it and me being a decent cook want to help out and show him how to cook some GERD friendly recipes! What are some of your favorite dishes that go down easy?</t>
        </is>
      </c>
      <c r="D8323" t="n">
        <v>1</v>
      </c>
      <c r="E8323" t="n">
        <v>0</v>
      </c>
      <c r="F8323">
        <f>HYPERLINK("https://www.reddit.com/r/GERD/comments/hcsg02/gerd_friendly_recipes_or_dishes/")</f>
        <v/>
      </c>
      <c r="G8323" t="inlineStr">
        <is>
          <t>2020-06-20 12:42:52</t>
        </is>
      </c>
      <c r="H8323" t="inlineStr"/>
    </row>
    <row r="8324">
      <c r="A8324" t="inlineStr">
        <is>
          <t>hcsxq9</t>
        </is>
      </c>
      <c r="B8324" t="inlineStr">
        <is>
          <t>Low Stomach Acid and curing your illness success?</t>
        </is>
      </c>
      <c r="C8324" t="inlineStr">
        <is>
          <t>Just wondering if there are many people out there who once they cured their Low Stomach Acid, also had success in reversing any diseases/autoimmune issues with it?</t>
        </is>
      </c>
      <c r="D8324" t="n">
        <v>0</v>
      </c>
      <c r="E8324" t="n">
        <v>0</v>
      </c>
      <c r="F8324">
        <f>HYPERLINK("https://www.reddit.com/r/GERD/comments/hcsxq9/low_stomach_acid_and_curing_your_illness_success/")</f>
        <v/>
      </c>
      <c r="G8324" t="inlineStr">
        <is>
          <t>2020-06-20 13:13:29</t>
        </is>
      </c>
      <c r="H8324" t="inlineStr"/>
    </row>
    <row r="8325">
      <c r="A8325" t="inlineStr">
        <is>
          <t>hctvwk</t>
        </is>
      </c>
      <c r="B8325" t="inlineStr">
        <is>
          <t>Do any of you have a chronic cough/clearing of throat and work at an office with other workers?</t>
        </is>
      </c>
      <c r="C8325" t="inlineStr">
        <is>
          <t>tbh i am not sure what my cough is the root of. it may e gerd, allegeries, or some other unknown condition. And i don't currently work in an office but it's something that i may want to do and this cough/clearing of the throat that i have, i know other people in the office won't like it</t>
        </is>
      </c>
      <c r="D8325" t="n">
        <v>2</v>
      </c>
      <c r="E8325" t="n">
        <v>5</v>
      </c>
      <c r="F8325">
        <f>HYPERLINK("https://www.reddit.com/r/GERD/comments/hctvwk/do_any_of_you_have_a_chronic_coughclearing_of/")</f>
        <v/>
      </c>
      <c r="G8325" t="inlineStr">
        <is>
          <t>2020-06-20 14:12:40</t>
        </is>
      </c>
      <c r="H8325" t="inlineStr"/>
    </row>
    <row r="8326">
      <c r="A8326" t="inlineStr">
        <is>
          <t>hctxcg</t>
        </is>
      </c>
      <c r="B8326" t="inlineStr">
        <is>
          <t>How exactly will changing my diet help?</t>
        </is>
      </c>
      <c r="C8326" t="inlineStr">
        <is>
          <t>I understand dietary changes are important, and I’m implementing those. But my question is, how will they help, physically? Like if the problem is that the sphincter is weakened, changing the diet won’t stop stuff from coming up, right? The only thing that would solve a weakened valve would be strengthening the valve.</t>
        </is>
      </c>
      <c r="D8326" t="n">
        <v>2</v>
      </c>
      <c r="E8326" t="n">
        <v>3</v>
      </c>
      <c r="F8326">
        <f>HYPERLINK("https://www.reddit.com/r/GERD/comments/hctxcg/how_exactly_will_changing_my_diet_help/")</f>
        <v/>
      </c>
      <c r="G8326" t="inlineStr">
        <is>
          <t>2020-06-20 14:15:08</t>
        </is>
      </c>
      <c r="H8326" t="inlineStr"/>
    </row>
    <row r="8327">
      <c r="A8327" t="inlineStr">
        <is>
          <t>hcu52l</t>
        </is>
      </c>
      <c r="B8327" t="inlineStr">
        <is>
          <t>OBESE GERD *RANT*</t>
        </is>
      </c>
      <c r="C8327" t="inlineStr">
        <is>
          <t>My experience with Gerd has been..agonising. 
At first I thought I was having a heart attack, then I thought I had covid due to breathing difficulties. Which I must add were NOT the case! 
Since then I've had back pain, side/rib pain, sternum pain, swelling in oesophagus, searing pain in oesophagus, bad breath, mouth ulcers and ear pain. I've been crying pretty much everyday, writhing in pain. 
Now I need to note that I am 228 pounds, 5"3. Morbidly obese, lets not sugarcoat it (I don't need anymore of that lol)
My GERD is 100% an onset from obesity. NOW I DON'T MEAN TO INTEND ANYONE WITH THIS AND I AM FULLY AWARE THIS DOES NOT APPLY TO EVERYONE IN ANY WAY SHAPE OR FORM BUT FOR MOI IT DOES. 
As a child, I had hardly any illnesses or issues, now I'm pre-diabetes, tooth erosion, breathlessness, knee and joint issues, ect ect etc you get the f' point. I fcked up. Real bad, with mental shit on the side but I'm not excusing it. 
This brings me to my point of, the fact that my fat is compromising my LES, forcing my LES open and weakening all the muscles. Not only that, but the years of overeating, the years of overeating the POISON we consume at the hands of the fast food industries and the pharmaceutical companies rubbing their hands together smiling with glee everytime you purchase a pack of rennies. They've all compromised my LES, and now I have the consequences. Now this doesn't go for everyone and I'm sure as hell NOT saying that this does, but speaking on my OWN personal behalf it does. 
So this pain and this hell is the biggest motivator to change, to stop eating the shit, to lose the weight, to heal my LES muscle  (surgeons and doctors may say this is probably impossible but they weren't around 1000's of years ago and are heavily tied to pharmas $$$)  The human body is fucking amazing, like a temple. An incredible (probably these most) advanced piece of "tech" out there imo. 
So when the temple needs reconstructing from years of abuse in my case (foods, excess weight, overeating, LES malfunction) then it's time to take it into my hands. Now I'm not saying i'll have to live like a caveman and run around gathering food, even though that's what we did, but until I can get my body back to it's original healthy form, every time I consume something poisonous (fast food junk crap shit) and harming to my LES, it's gonna take a hit and make healing harder. 
There is a FIRM reason why Dr Koufman and Co have made acid watcher diet recipe book, they talk about healing which imo is what I personally have to do. Once you're body is healed, and I mean fully HEALED, OPTIMAL CONDITION your body will be able to withstand that night of drinking with friends, or that monthly takeaway. Just like it can withstand a virus or bacterial infection. But for me those things became an everyday every hour thing. DON'T LET SOCIETY DESTROY YOU. 
Now please, understand this is not everyone's circumstance, and I'm fully aware. Psychical issues such as Hernias, born with a weak LES, obstructions ect, that don't clear up with lifestyle and diet changes need addressing in different ways. Even those suffering with GERD who are optimal weight and don't have any psychical issues, and have reviewed their lifestyles and diets still suffer. And I advise everyone to be an advocate for their own health, get the investigations you need from doctors, UTILISE their technologies, and some even find peace in surgeries ect. I'M NOT A DOCTOR OR HEALTHCARE PROFESSIONAL. 
PLEASE IF THERES ONE THING YOU GET FROM THIS, IS NOURISH YOUR BODY AND TREAT IT LIKE A TEMPLE. LOOK INTO THE CAUSES OF REFLUX, RESEARCH THE CHANGES, LOOK AFTER YOUR MENTAL HEALTH. 
AMEN. 
No offence or disrespect intended whilst writing this, nor am I 100% certain the science and who knows maybe I'm talking a load of shit. But I wanted to get this off my chest, as many others do. Pun intended.</t>
        </is>
      </c>
      <c r="D8327" t="n">
        <v>11</v>
      </c>
      <c r="E8327" t="n">
        <v>13</v>
      </c>
      <c r="F8327">
        <f>HYPERLINK("https://www.reddit.com/r/GERD/comments/hcu52l/obese_gerd_rant/")</f>
        <v/>
      </c>
      <c r="G8327" t="inlineStr">
        <is>
          <t>2020-06-20 14:28:25</t>
        </is>
      </c>
      <c r="H8327" t="inlineStr"/>
    </row>
    <row r="8328">
      <c r="A8328" t="inlineStr">
        <is>
          <t>hcu8qj</t>
        </is>
      </c>
      <c r="B8328" t="inlineStr">
        <is>
          <t>Ongoing LPR</t>
        </is>
      </c>
      <c r="C8328" t="inlineStr">
        <is>
          <t>So I have had LPR for a while. It started from excessive coffee intake. I have gotten a wedge to sleep on, and I have extensively changed my diet. I drink alkaline water (by having baking soda in a water bottle), and I am taking 20mg omeprasol and I take antacids like crazy. However, these symptoms are continuing. It may be from an occasional cheat or misunderstanding. For instance, I have a lot of throat soreness right now because I ate sardines which have a ton of oil. Now oil is yet another thing that I realize I cannot eat. Maybe this is obvious to others, but I am still learning of more and more things that I cannot eat.
&amp;amp;#x200B;
Anyway, I am kind of worried that I am not healing. I have been doing this for about five weeks.</t>
        </is>
      </c>
      <c r="D8328" t="n">
        <v>1</v>
      </c>
      <c r="E8328" t="n">
        <v>0</v>
      </c>
      <c r="F8328">
        <f>HYPERLINK("https://www.reddit.com/r/GERD/comments/hcu8qj/ongoing_lpr/")</f>
        <v/>
      </c>
      <c r="G8328" t="inlineStr">
        <is>
          <t>2020-06-20 14:34:46</t>
        </is>
      </c>
      <c r="H8328" t="inlineStr"/>
    </row>
    <row r="8329">
      <c r="A8329" t="inlineStr">
        <is>
          <t>hcurt1</t>
        </is>
      </c>
      <c r="B8329" t="inlineStr">
        <is>
          <t>What am I feeling</t>
        </is>
      </c>
      <c r="C8329" t="inlineStr">
        <is>
          <t>Hi guys!
Edit: I’ve been eating too much protein the past 2 months, possibly longer before I started tracking two months ago (I would eat 180-200g, now I’m eating 120-130g. I’m 140 lbs). Could this be a cause? I cut down one week ago. How long would this take to heal, and is this the reason for the constant burning? It’s only been a week but I’m not hopeful it will recover, there have been many, many triggers I have gotten rid of that have not solved anything
18M, Been on 40mg tablets of Omeprazole a day for the month of May, and I’ve been on two 40 mg tablets a day for two weeks. Since I started taking the two 40 mg I haven’t had any reflux but I’ve started feeling acidic and a burning in the back of my throat 24/7. I also feel nauseous almost constantly. The symptoms go away while I eat and reappear a few minutes later, gets worse throughout the course of the day. I’ve made all dietary and lifestyle changes that I can do. The dietary restrictions have contributed to an eating disorder(over control of what, when, and exactly how much I eat) that makes me want to stay home all day even when I’m not having GERD symptoms. Since the throat burning is constant, Is it healing or just plateauing? I’m not confident in any of my doctors’ abilities to help me, and I want to end my life so badly. Life doesn’t feel like it’s worth it even after/if I recover, I’ll be extremely paranoid about this for years after I recover, and anytime I’ll have any fear that I’m having symptoms, I’ll have some sort of post traumatic stress response. Why haven’t I gotten enough help by now if it’s affected me this much. I went to the crisis center weeks ago for self-harm, waiting for a referral. If I recover, I know this will come back to haunt me later in life as I age, and I’m also terrified of any other possible medical problem I could contract that would torture me as much. I don’t trust doctors or mental health professionals anymore, I feel like they would’ve gotten help to me quicker if I’ve been on the brink of suicide for months. It’s my moms birthday and I want to be celebrating with her and making her feel happy but I’m stuck in my room afraid to move around too much. There are so many things that this could be caused by, and a lot of times the doctor won’t even find anything, so I could be just stuck like this. At that point, if a doctor says they can’t find anything, I’ll end my life the next day, because then there truly is no point in hoping for a recovery or for enjoying life. I can’t stick it out, I’m too weak and I just don’t want to, I don’t care if it makes me selfish, I just want out. Everyone I’ll be “transferring” the pain to can just end their lives too for all I’ll care because I’d be dead</t>
        </is>
      </c>
      <c r="D8329" t="n">
        <v>2</v>
      </c>
      <c r="E8329" t="n">
        <v>5</v>
      </c>
      <c r="F8329">
        <f>HYPERLINK("https://www.reddit.com/r/GERD/comments/hcurt1/what_am_i_feeling/")</f>
        <v/>
      </c>
      <c r="G8329" t="inlineStr">
        <is>
          <t>2020-06-20 15:07:32</t>
        </is>
      </c>
      <c r="H8329" t="inlineStr"/>
    </row>
    <row r="8330">
      <c r="A8330" t="inlineStr">
        <is>
          <t>hcv5kb</t>
        </is>
      </c>
      <c r="B8330" t="inlineStr">
        <is>
          <t>Sore throat</t>
        </is>
      </c>
      <c r="C8330" t="inlineStr">
        <is>
          <t>My doctor is convinced that my sore/dry throat is from GERD. I’ve been going to different doctors for almost a couple years at this point trying to figure out why my throat is always sore and dry. I have definitely had minor heartburn throughout my life but never have looked into it much. How many people with GERD experience daily sore throats and do any of y’all have any tips for dealing with it?</t>
        </is>
      </c>
      <c r="D8330" t="n">
        <v>1</v>
      </c>
      <c r="E8330" t="n">
        <v>1</v>
      </c>
      <c r="F8330">
        <f>HYPERLINK("https://www.reddit.com/r/GERD/comments/hcv5kb/sore_throat/")</f>
        <v/>
      </c>
      <c r="G8330" t="inlineStr">
        <is>
          <t>2020-06-20 15:29:10</t>
        </is>
      </c>
      <c r="H8330" t="inlineStr"/>
    </row>
    <row r="8331">
      <c r="A8331" t="inlineStr">
        <is>
          <t>hcx399</t>
        </is>
      </c>
      <c r="B8331" t="inlineStr">
        <is>
          <t>Looking for advice on possible underlying issues!</t>
        </is>
      </c>
      <c r="C8331" t="inlineStr">
        <is>
          <t>Hello there. I’ll try to keep this as short as possible: 
Basically for four years I’ve been having GERD symptoms that started with the constant clearing of my throat and hoarseness. As time went by that’s when I started noticing stomach symptoms, which actually started with constant hunger. All my bloodwork is fine but I had H Pylori which has since been confirmed to be eradicated after treatment. However, I’m still struggling and getting worse. Here are my symptoms:
-Extremely tired all the time, but especially after meals. My quality of life is in the dirt
-Easily bloated
-I have an intense (non painful) nagging feeling in my stomach every morning
-I’m short of breath a lot 
-I get hungry every two hours no matter how much I eat
-I sometimes feel light headed and dizzy
I am doing things about it. I’m getting an endoscopy soon and I have a CPAP coming in the mail to help feel well rested. I had a very minor apnea according to studies. 
Basically I’m just asking, is there anything else I should look into? Did any of you have these exact symptoms?</t>
        </is>
      </c>
      <c r="D8331" t="n">
        <v>1</v>
      </c>
      <c r="E8331" t="n">
        <v>1</v>
      </c>
      <c r="F8331">
        <f>HYPERLINK("https://www.reddit.com/r/GERD/comments/hcx399/looking_for_advice_on_possible_underlying_issues/")</f>
        <v/>
      </c>
      <c r="G8331" t="inlineStr">
        <is>
          <t>2020-06-20 17:24:23</t>
        </is>
      </c>
      <c r="H8331" t="inlineStr"/>
    </row>
    <row r="8332">
      <c r="A8332" t="inlineStr">
        <is>
          <t>hcx8jv</t>
        </is>
      </c>
      <c r="B8332" t="inlineStr">
        <is>
          <t>GERD for over 9 months now. Symptoms change from time to time. Does anyone ever have this inflammed esophagus feeling that sits behind the chest wall?</t>
        </is>
      </c>
      <c r="C8332" t="inlineStr">
        <is>
          <t>I was diagnosed with GERD back in November of last year. Fast forward to now I've been pretty much been able to cope with it for the most part on PPIs and itopride. The main symptom I have is a recurring stubborn cough that  is daily but I usually am able to deal.  At the beginning of my GERD I had a lot of heart palpitations and heart pumping type issues , along with shortness of breath . Fast forward to now and it feels like those symptoms are coming back and that scares me .  The best way I can describe it is like this warm feeling as if my esophagus were so inflammed that it was making contact with my pumping heart because it feels like some weird palpitations going on.  I check my pulse and that seems to be ok but whenever I try to lay down now even elevated I feel that pressure ( not chest pressure) but like inflammed feeling.  Granted I have been cheating a bit on my diet the past few days before , but it hasnt felt like this in months . I'm scared that the medication is no longer working or I did some internal damage to my esophagus or sphincter.  Any comments would really help</t>
        </is>
      </c>
      <c r="D8332" t="n">
        <v>1</v>
      </c>
      <c r="E8332" t="n">
        <v>1</v>
      </c>
      <c r="F8332">
        <f>HYPERLINK("https://www.reddit.com/r/GERD/comments/hcx8jv/gerd_for_over_9_months_now_symptoms_change_from/")</f>
        <v/>
      </c>
      <c r="G8332" t="inlineStr">
        <is>
          <t>2020-06-20 17:33:24</t>
        </is>
      </c>
      <c r="H8332" t="inlineStr"/>
    </row>
    <row r="8333">
      <c r="A8333" t="inlineStr">
        <is>
          <t>hczfo0</t>
        </is>
      </c>
      <c r="B8333" t="inlineStr">
        <is>
          <t>Do using shampoos and soaps with acid aggravate gerd?</t>
        </is>
      </c>
      <c r="C8333" t="inlineStr">
        <is>
          <t>I'm using a soap with salicylic acid for my skin condition and I was wondering if that's contributing with my gerd problems.</t>
        </is>
      </c>
      <c r="D8333" t="n">
        <v>1</v>
      </c>
      <c r="E8333" t="n">
        <v>2</v>
      </c>
      <c r="F8333">
        <f>HYPERLINK("https://www.reddit.com/r/GERD/comments/hczfo0/do_using_shampoos_and_soaps_with_acid_aggravate/")</f>
        <v/>
      </c>
      <c r="G8333" t="inlineStr">
        <is>
          <t>2020-06-20 19:55:12</t>
        </is>
      </c>
      <c r="H8333" t="inlineStr"/>
    </row>
    <row r="8334">
      <c r="A8334" t="inlineStr">
        <is>
          <t>hd04nq</t>
        </is>
      </c>
      <c r="B8334" t="inlineStr">
        <is>
          <t>Tiny Progress!</t>
        </is>
      </c>
      <c r="C8334" t="inlineStr">
        <is>
          <t>My doctor(s) and I have been playing prescription musical chairs for MONTHS and my GERD just keeps getting worse.  
I also heard that low-carb diet had helped people improve their GERD.  
I heard that weight loss in general can help improve GERD.  
I heard exercise (even without weightloss) can help improve GERD.  
I've been doing all of the above for the last 2 weeks.  
And my GERD is only 5% improved so far, but its a noticeable improvement, and I am so optimistic right now!  
My symptoms are still miserable, but its also the best I've felt since February.  
There isnt one thing that works for everyone. But if you are feeling hopeless, I just wanted to say keep trying stuff! There may be improved symptoms around the corner, but you wont know unless you try!</t>
        </is>
      </c>
      <c r="D8334" t="n">
        <v>4</v>
      </c>
      <c r="E8334" t="n">
        <v>2</v>
      </c>
      <c r="F8334">
        <f>HYPERLINK("https://www.reddit.com/r/GERD/comments/hd04nq/tiny_progress/")</f>
        <v/>
      </c>
      <c r="G8334" t="inlineStr">
        <is>
          <t>2020-06-20 20:44:59</t>
        </is>
      </c>
      <c r="H8334" t="inlineStr"/>
    </row>
    <row r="8335">
      <c r="A8335" t="inlineStr">
        <is>
          <t>hd0mkb</t>
        </is>
      </c>
      <c r="B8335" t="inlineStr">
        <is>
          <t>Weird Feeling in Throat</t>
        </is>
      </c>
      <c r="C8335" t="inlineStr">
        <is>
          <t>I managed to eat some soft foods today which was chicken noodle soup, the whole time I had to chew a ton and then swallow where most of the times it felt like it didnt go down but after water id be fine. Now I feel like something may be in there attached or stuck of something, I’ve always had the need to burp or make myself burp out of nowhere and several times in a row but its kind of hard to make it go out. It doesn’t necessarily hurt to swallow but its kind of uncomfortable and I feel something is maybe in the way blocking or clogging it’s not a huge pain but it hurts a little. Also when I breathe in I feel like a minty very little burning sensation in my neck/throat area. It may be overreacting because I do get anxiety but it’s bothering me. Now i’m most likely going to have much more trouble sleeping since i’m heading to bed soon, I took one of my moms anxiety pills which was Lorazepam because she wanted me to sleep. I read somewhere it shouldn’t be taken it I have acid reflux which I may have, but I stopped taking it a few days ago and started yesterday. Not sure what it is, maybe it’s overreacting but i’m probably going to get a lot of anxiety,</t>
        </is>
      </c>
      <c r="D8335" t="n">
        <v>1</v>
      </c>
      <c r="E8335" t="n">
        <v>5</v>
      </c>
      <c r="F8335">
        <f>HYPERLINK("https://www.reddit.com/r/GERD/comments/hd0mkb/weird_feeling_in_throat/")</f>
        <v/>
      </c>
      <c r="G8335" t="inlineStr">
        <is>
          <t>2020-06-20 21:24:14</t>
        </is>
      </c>
      <c r="H8335" t="inlineStr"/>
    </row>
    <row r="8336">
      <c r="A8336" t="inlineStr">
        <is>
          <t>hd0nwq</t>
        </is>
      </c>
      <c r="B8336" t="inlineStr">
        <is>
          <t>Need emotional support</t>
        </is>
      </c>
      <c r="C8336" t="inlineStr">
        <is>
          <t>Hey so i'm currently 16 years old and overweight and I think I have GERD basically my mother has GERD and I started showing symptoms just last month. But I haven't been able to go to a doctor or see one because of the pandemic going on but I am taking 20mg Omeprazole and some heartburn relief medicine to ease the pain. But with my existential crisis its really not helping, I did some research and turns out that GERD can develop into cancer, and now i'm really scared and dont know what to do to be honest. I always get the feeling that i'll die early because of this but this is my symptoms:
-Difficulty breathing
-cant overeat anymore
-feeling bloated
-feeling of getting a heart attack
-puking when overeating
-feeling nauseous when eating spicy foods
But, I dont really know anymore i'm so scared I don't want to die yet. I'm sorry if this isn't the right subbreddit but I really relate to some stories that people shared here especially with the symptoms.</t>
        </is>
      </c>
      <c r="D8336" t="n">
        <v>1</v>
      </c>
      <c r="E8336" t="n">
        <v>6</v>
      </c>
      <c r="F8336">
        <f>HYPERLINK("https://www.reddit.com/r/GERD/comments/hd0nwq/need_emotional_support/")</f>
        <v/>
      </c>
      <c r="G8336" t="inlineStr">
        <is>
          <t>2020-06-20 21:27:19</t>
        </is>
      </c>
      <c r="H8336" t="inlineStr"/>
    </row>
    <row r="8337">
      <c r="A8337" t="inlineStr">
        <is>
          <t>hd0s90</t>
        </is>
      </c>
      <c r="B8337" t="inlineStr">
        <is>
          <t>How often can I take Gaviscon?</t>
        </is>
      </c>
      <c r="C8337" t="inlineStr">
        <is>
          <t>So I take Gaviscon once in a while but don't know if it is safe to take it daily.</t>
        </is>
      </c>
      <c r="D8337" t="n">
        <v>2</v>
      </c>
      <c r="E8337" t="n">
        <v>2</v>
      </c>
      <c r="F8337">
        <f>HYPERLINK("https://www.reddit.com/r/GERD/comments/hd0s90/how_often_can_i_take_gaviscon/")</f>
        <v/>
      </c>
      <c r="G8337" t="inlineStr">
        <is>
          <t>2020-06-20 21:37:01</t>
        </is>
      </c>
      <c r="H8337" t="inlineStr"/>
    </row>
    <row r="8338">
      <c r="A8338" t="inlineStr">
        <is>
          <t>hd1dow</t>
        </is>
      </c>
      <c r="B8338" t="inlineStr">
        <is>
          <t>getting better... sort of</t>
        </is>
      </c>
      <c r="C8338" t="inlineStr">
        <is>
          <t>Four months ago I had trouble swallowing.  Food would literally get stuck in my throat, here I'd have to swallow again to get it down.
Globus sensation was bad.  Every day.
These delicious granola bars with healthy ingredients seemed to make it worse.  Oh they were so good, I'd eat lots every day.
So, to point out, my diet is good.  I avoid sugar for the most part, don't drink anything other than water (and kombucha, which makes it worse now), no alcohol, lots of olive oil.
I started taking DGL.  Nothing.
I started using manuka honey 12 UMF.  Seemed to make my throat feel better in the short term but didn't really do much?  I got a stronger manuka honey 16 UMF later.
I started using D-Limonene.  I did the plan of every other day for 20 days.  It seemed to feel better on the days I took it.  I started taking it every day for 20 days... 30 days... I didn't stop taking it, actually.
I started taking allimax.  Seemed to help especially with the D-Limonene.  One a day after breakfast.
I'm basically eating the same things every day as I have found foods that DON'T make it worse, but don't really make it better.
Every day I keep track of my symptoms.  I have three columns, sore throat, globus sensation, hard to swallow.  These are my primary symptoms.  I seldom have heartburn.
When I wake up in the morning it's the worst.  Swallowing is the hardest.  Sometimes, I get a pop in my throat when I swallow that is quite annoying.  This seems to go away after a few meals.  The other main symptom I have is gurgling in the throat, usually right after I swallow.
I have found weird things that make it worse.  Kombucha makes it worse the next day.  Peanut butter makes it worse the next day.
I feel like certain vegetables make it worse the next day.
Green tea (decaffeinated) and honey seem to make it better.
Anyway, it still stinks, and I'm frustrated but it's not as bad as it was, I'm curious if I'm just covering up symptoms with these supplements or if I'm actually healing.  Hey, I forgot one more symptom, occasionally my eyes burn.  Oh man, they burn so bad, I can't do or see anything until it stops.  However, eating GENERALLY makes my symptoms better.  It's the weirdest thing.  I wake up in the morning, don't feel good, I eat, eat, eat, and I start to feel better, less symptoms.  Amount of fat really doesn't matter, hamburgers really help for some reason.</t>
        </is>
      </c>
      <c r="D8338" t="n">
        <v>1</v>
      </c>
      <c r="E8338" t="n">
        <v>2</v>
      </c>
      <c r="F8338">
        <f>HYPERLINK("https://www.reddit.com/r/GERD/comments/hd1dow/getting_better_sort_of/")</f>
        <v/>
      </c>
      <c r="G8338" t="inlineStr">
        <is>
          <t>2020-06-20 22:25:18</t>
        </is>
      </c>
      <c r="H8338" t="inlineStr"/>
    </row>
    <row r="8339">
      <c r="A8339" t="inlineStr">
        <is>
          <t>hd1e9h</t>
        </is>
      </c>
      <c r="B8339" t="inlineStr">
        <is>
          <t>GERD diagnosis</t>
        </is>
      </c>
      <c r="C8339" t="inlineStr">
        <is>
          <t>How did you get diagnosed for GERD ? For last 4 days Im having a lot of heartburn which i sometimes feel on my chest, stomach and sometimes hands. Antacids does not seem helping. I usually burp a lot everyday but i have never felt any heartburn before so i do not even know how it feels. My primary care ask me to take Femotidine 20mg for two weeks and says if I’m still not well i need to check with a GI specialist. Today was the first day i was taking the medicine and i dont see any difference</t>
        </is>
      </c>
      <c r="D8339" t="n">
        <v>1</v>
      </c>
      <c r="E8339" t="n">
        <v>0</v>
      </c>
      <c r="F8339">
        <f>HYPERLINK("https://www.reddit.com/r/GERD/comments/hd1e9h/gerd_diagnosis/")</f>
        <v/>
      </c>
      <c r="G8339" t="inlineStr">
        <is>
          <t>2020-06-20 22:26:40</t>
        </is>
      </c>
      <c r="H8339" t="inlineStr"/>
    </row>
    <row r="8340">
      <c r="A8340" t="inlineStr">
        <is>
          <t>hd1fh5</t>
        </is>
      </c>
      <c r="B8340" t="inlineStr">
        <is>
          <t>what is the deal with the gurgling in the throat?</t>
        </is>
      </c>
      <c r="C8340" t="inlineStr">
        <is>
          <t>I've seen more than one person here mention this.  This was my first symptom a year ago, nearly a year before any other symptoms began.  This is how it happens:
I swallow.
Then almost immediately after, there is gurgling in my throat.
Another poster here said their wife said it sounds like poprocks when it happens to them.
This happens to me in the morning especially.  I lay in bed.  Swallow.  gurgle.
Sometimes it happens numerous times in a row.  I can feel it about to happen... pressure... pressure... pressure... gurgle.
Right after I swallow.</t>
        </is>
      </c>
      <c r="D8340" t="n">
        <v>1</v>
      </c>
      <c r="E8340" t="n">
        <v>4</v>
      </c>
      <c r="F8340">
        <f>HYPERLINK("https://www.reddit.com/r/GERD/comments/hd1fh5/what_is_the_deal_with_the_gurgling_in_the_throat/")</f>
        <v/>
      </c>
      <c r="G8340" t="inlineStr">
        <is>
          <t>2020-06-20 22:29:18</t>
        </is>
      </c>
      <c r="H8340" t="inlineStr"/>
    </row>
    <row r="8341">
      <c r="A8341" t="inlineStr">
        <is>
          <t>hd1md8</t>
        </is>
      </c>
      <c r="B8341" t="inlineStr">
        <is>
          <t>how has changing your diet helped you?</t>
        </is>
      </c>
      <c r="C8341" t="inlineStr">
        <is>
          <t>There are a lot of GERD diets.  Did they do anything for you?</t>
        </is>
      </c>
      <c r="D8341" t="n">
        <v>1</v>
      </c>
      <c r="E8341" t="n">
        <v>2</v>
      </c>
      <c r="F8341">
        <f>HYPERLINK("https://www.reddit.com/r/GERD/comments/hd1md8/how_has_changing_your_diet_helped_you/")</f>
        <v/>
      </c>
      <c r="G8341" t="inlineStr">
        <is>
          <t>2020-06-20 22:45:40</t>
        </is>
      </c>
      <c r="H8341" t="inlineStr"/>
    </row>
    <row r="8342">
      <c r="A8342" t="inlineStr">
        <is>
          <t>hd1nzs</t>
        </is>
      </c>
      <c r="B8342" t="inlineStr">
        <is>
          <t>are your symptoms worse in the morning or night?</t>
        </is>
      </c>
      <c r="C8342" t="inlineStr">
        <is>
          <t>Mine are worse when I wake up, and seem to get better over the day.</t>
        </is>
      </c>
      <c r="D8342" t="n">
        <v>1</v>
      </c>
      <c r="E8342" t="n">
        <v>9</v>
      </c>
      <c r="F8342">
        <f>HYPERLINK("https://www.reddit.com/r/GERD/comments/hd1nzs/are_your_symptoms_worse_in_the_morning_or_night/")</f>
        <v/>
      </c>
      <c r="G8342" t="inlineStr">
        <is>
          <t>2020-06-20 22:49:42</t>
        </is>
      </c>
      <c r="H8342" t="inlineStr"/>
    </row>
    <row r="8343">
      <c r="A8343" t="inlineStr">
        <is>
          <t>hd1q81</t>
        </is>
      </c>
      <c r="B8343" t="inlineStr">
        <is>
          <t>can anyone eat things they're not supposed to and it doesn't get worse?</t>
        </is>
      </c>
      <c r="C8343" t="inlineStr">
        <is>
          <t>Tons of websites say you should avoid things like tomatoes and fat.  I swear, I can eat a certain type of pizza and it gets better.  Seriously, after eating a pizza the other day I thought I was healed.  No problems swallowing, felt fine.  Of course, this was wrong, but still.
Kombucha makes it worse.
wtfffffff.
Is the GERD diet like unique for everyone or do the replies apply to all people?</t>
        </is>
      </c>
      <c r="D8343" t="n">
        <v>1</v>
      </c>
      <c r="E8343" t="n">
        <v>29</v>
      </c>
      <c r="F8343">
        <f>HYPERLINK("https://www.reddit.com/r/GERD/comments/hd1q81/can_anyone_eat_things_theyre_not_supposed_to_and/")</f>
        <v/>
      </c>
      <c r="G8343" t="inlineStr">
        <is>
          <t>2020-06-20 22:55:01</t>
        </is>
      </c>
      <c r="H8343" t="inlineStr"/>
    </row>
    <row r="8344">
      <c r="A8344" t="inlineStr">
        <is>
          <t>hd3ftj</t>
        </is>
      </c>
      <c r="B8344" t="inlineStr">
        <is>
          <t>Chest pain</t>
        </is>
      </c>
      <c r="C8344" t="inlineStr">
        <is>
          <t>Has anyone experienced chest pain mostly in the middle between breasts. I’ve been suffering with sever GERD/Esophagitis and awaiting an endoscopy. I get reflux worse at night and the pains in chest are getting worse. I could not sleep at all last night. I am on max dose of PPI and following a strict diet and I’m not getting any better. Worried about the chest pain.</t>
        </is>
      </c>
      <c r="D8344" t="n">
        <v>1</v>
      </c>
      <c r="E8344" t="n">
        <v>24</v>
      </c>
      <c r="F8344">
        <f>HYPERLINK("https://www.reddit.com/r/GERD/comments/hd3ftj/chest_pain/")</f>
        <v/>
      </c>
      <c r="G8344" t="inlineStr">
        <is>
          <t>2020-06-21 01:32:39</t>
        </is>
      </c>
      <c r="H8344" t="inlineStr"/>
    </row>
    <row r="8345">
      <c r="A8345" t="inlineStr">
        <is>
          <t>hd4ndh</t>
        </is>
      </c>
      <c r="B8345" t="inlineStr">
        <is>
          <t>Vomit, diarrhoea, constipation. HELP!</t>
        </is>
      </c>
      <c r="C8345" t="inlineStr">
        <is>
          <t>Hello everyone,
I don’t think if it can get any worse. Having trouble in passing stools, diarrhoea, and vomiting every morning after breakfast for the last five days.
Nothing seems to work out. My stomach just isn’t accepting anything that I eat...
Those who went through the same shit, what worked out for you. 
Please help me out.</t>
        </is>
      </c>
      <c r="D8345" t="n">
        <v>1</v>
      </c>
      <c r="E8345" t="n">
        <v>12</v>
      </c>
      <c r="F8345">
        <f>HYPERLINK("https://www.reddit.com/r/GERD/comments/hd4ndh/vomit_diarrhoea_constipation_help/")</f>
        <v/>
      </c>
      <c r="G8345" t="inlineStr">
        <is>
          <t>2020-06-21 03:19:50</t>
        </is>
      </c>
      <c r="H8345" t="inlineStr"/>
    </row>
    <row r="8346">
      <c r="A8346" t="inlineStr">
        <is>
          <t>hd5cur</t>
        </is>
      </c>
      <c r="B8346" t="inlineStr">
        <is>
          <t>Is it possible to fix gerd/lpr without surgery?</t>
        </is>
      </c>
      <c r="C8346" t="inlineStr">
        <is>
          <t>I was diagnosed with gerd a few months ago and was on medication for a while. It got better but it wasn't 100%. Now it's back to what it was like before medication maybe even worse. I think I actually have lpr. I've read a lot about other people's stories and the people that get surgery always say they are symptom free. Is it possible to be symptom free by just avoiding trigger foods for a few months then going back to eating any food?</t>
        </is>
      </c>
      <c r="D8346" t="n">
        <v>1</v>
      </c>
      <c r="E8346" t="n">
        <v>5</v>
      </c>
      <c r="F8346">
        <f>HYPERLINK("https://www.reddit.com/r/GERD/comments/hd5cur/is_it_possible_to_fix_gerdlpr_without_surgery/")</f>
        <v/>
      </c>
      <c r="G8346" t="inlineStr">
        <is>
          <t>2020-06-21 04:20:40</t>
        </is>
      </c>
      <c r="H8346" t="inlineStr"/>
    </row>
    <row r="8347">
      <c r="A8347" t="inlineStr">
        <is>
          <t>hd6h68</t>
        </is>
      </c>
      <c r="B8347" t="inlineStr">
        <is>
          <t>Is decaf coffee okay for gerd?</t>
        </is>
      </c>
      <c r="C8347" t="inlineStr">
        <is>
          <t>Hello, I have gerd and coffee makes it worse for me. I stopped having coffee, but sometimes I feel like I need it so much, i used to consume a lot and I suddenly had to stop. Is decaf coffee okay? Iknow triggers for everybody are different, but in general is it better?</t>
        </is>
      </c>
      <c r="D8347" t="n">
        <v>1</v>
      </c>
      <c r="E8347" t="n">
        <v>8</v>
      </c>
      <c r="F8347">
        <f>HYPERLINK("https://www.reddit.com/r/GERD/comments/hd6h68/is_decaf_coffee_okay_for_gerd/")</f>
        <v/>
      </c>
      <c r="G8347" t="inlineStr">
        <is>
          <t>2020-06-21 05:54:28</t>
        </is>
      </c>
      <c r="H8347" t="inlineStr"/>
    </row>
    <row r="8348">
      <c r="A8348" t="inlineStr">
        <is>
          <t>hd826r</t>
        </is>
      </c>
      <c r="B8348" t="inlineStr">
        <is>
          <t>PPI and sleeplessness</t>
        </is>
      </c>
      <c r="C8348" t="inlineStr">
        <is>
          <t>I cant seem to stay asleep for more than 5 hours. Is this normal?</t>
        </is>
      </c>
      <c r="D8348" t="n">
        <v>1</v>
      </c>
      <c r="E8348" t="n">
        <v>1</v>
      </c>
      <c r="F8348">
        <f>HYPERLINK("https://www.reddit.com/r/GERD/comments/hd826r/ppi_and_sleeplessness/")</f>
        <v/>
      </c>
      <c r="G8348" t="inlineStr">
        <is>
          <t>2020-06-21 07:43:58</t>
        </is>
      </c>
      <c r="H8348" t="inlineStr"/>
    </row>
    <row r="8349">
      <c r="A8349" t="inlineStr">
        <is>
          <t>hd8dxl</t>
        </is>
      </c>
      <c r="B8349" t="inlineStr">
        <is>
          <t>Why is it so difficult to find generic cimetidine?</t>
        </is>
      </c>
      <c r="C8349" t="inlineStr">
        <is>
          <t>Amazon only has the original, tagamet. Walmart apparently has a generic, but it's been out of stock forever. Same with CVS. Can't seem to find it anywhere else.
The reason I want to the generic is because it doesn't have corn starch, which gives me a bad reaction where as the original tagamet does.
Anyone know where I can get generic cimetidine?
Pepcid gives me horrible insomnia and stopped working for me. Seems like cimetidine is the only h2 blocker I can try now here in the US before going to ppis.</t>
        </is>
      </c>
      <c r="D8349" t="n">
        <v>1</v>
      </c>
      <c r="E8349" t="n">
        <v>3</v>
      </c>
      <c r="F8349">
        <f>HYPERLINK("https://www.reddit.com/r/GERD/comments/hd8dxl/why_is_it_so_difficult_to_find_generic_cimetidine/")</f>
        <v/>
      </c>
      <c r="G8349" t="inlineStr">
        <is>
          <t>2020-06-21 08:04:57</t>
        </is>
      </c>
      <c r="H8349" t="inlineStr"/>
    </row>
    <row r="8350">
      <c r="A8350" t="inlineStr">
        <is>
          <t>hdaczi</t>
        </is>
      </c>
      <c r="B8350" t="inlineStr">
        <is>
          <t>Can CT scan show ulcer?</t>
        </is>
      </c>
      <c r="C8350" t="inlineStr">
        <is>
          <t>this past week i got a ct scan of my abdomen and pelvis and ill see the doctor on tuesday to talk about it. What I hate the most is I feel like a dull pain in my stomach almost all the time and I read that could be an ulcer. Would a CT scan be able to show ulcer?
They say a ct scan shows a lot, bone, muscle, tissue, even down to blood vessels... so Im hoping it can show if I have a hiatal hernia or whats going on.
Whatever's going on is getting progressively worse over the months and its really making my life hell 😭 I hope I can get some answers when I see my doctor</t>
        </is>
      </c>
      <c r="D8350" t="n">
        <v>2</v>
      </c>
      <c r="E8350" t="n">
        <v>4</v>
      </c>
      <c r="F8350">
        <f>HYPERLINK("https://www.reddit.com/r/GERD/comments/hdaczi/can_ct_scan_show_ulcer/")</f>
        <v/>
      </c>
      <c r="G8350" t="inlineStr">
        <is>
          <t>2020-06-21 10:03:50</t>
        </is>
      </c>
      <c r="H8350" t="inlineStr"/>
    </row>
    <row r="8351">
      <c r="A8351" t="inlineStr">
        <is>
          <t>hdajiy</t>
        </is>
      </c>
      <c r="B8351" t="inlineStr">
        <is>
          <t>Gerd, empty stomach symptoms and anxiety</t>
        </is>
      </c>
      <c r="C8351" t="inlineStr">
        <is>
          <t>I've been having terrible bouts of Acid reflux (especially bad about 3-4 hours after my meal) and was wondering if anyone had any tips to share on how to counter empty stomach symptoms...
I've taken antacids for the past 7 days as prescribed by the doc but it doesn't seem to be helping. I was prescribed a H2 blocker as well that i took every morning for 5 days. 
Also, i read that if i get reflux when my stomach is empty/i'm hungry i should take some water (but i realised this kind of makes it worse) - is this a trigger? This is all new to me so im not sure
I also have anxiety so it makes it extra bad.</t>
        </is>
      </c>
      <c r="D8351" t="n">
        <v>2</v>
      </c>
      <c r="E8351" t="n">
        <v>17</v>
      </c>
      <c r="F8351">
        <f>HYPERLINK("https://www.reddit.com/r/GERD/comments/hdajiy/gerd_empty_stomach_symptoms_and_anxiety/")</f>
        <v/>
      </c>
      <c r="G8351" t="inlineStr">
        <is>
          <t>2020-06-21 10:14:04</t>
        </is>
      </c>
      <c r="H8351" t="inlineStr"/>
    </row>
    <row r="8352">
      <c r="A8352" t="inlineStr">
        <is>
          <t>hdanf3</t>
        </is>
      </c>
      <c r="B8352" t="inlineStr">
        <is>
          <t>Not taking omeprazole (Prilosec)has made my acid reflux / gerd / indigestion 5x better</t>
        </is>
      </c>
      <c r="C8352" t="inlineStr">
        <is>
          <t>Before I start I want to say that I understand some people NEED to take Prilosec but i honestly think its over prescribed so damn much in the most minor cases.
In July 2018 I basically had constipation and then for some reason I had indigestion. I was stupidly prescribed omeprazole and i obviously took it and i did feel better. after this i had this weird period where i couldn't eat oranges, rice, citrus type stuff,onions, fizzy drinks and some other stuff and i would feel rubbish. for 1.5 years i took omeprazole but it wasn't every day it was around 15 days each month so in general i would say i was taking it for 10 months to a year. everything changed. i didn't feel like myself anymore. i was super anxious and depressed and this tablet was the cause of it.
so far this year i've only taken it for 1 whole month if i add the days up however **i've been free of omeprazole for 7 weeks straight now!**! i feel a lot better. I know it will take some time for me to completely get rid of the aftermath and withdrawal (if somebody knows how long let me know) but yesterday i basically ate a greasy lamb donor and had a fizzy drink. did my tummy feel a bit uncomfortable in the night? yes it did but let me tell you it was nothing like before. i used to feel so dizzy and gross when i was taking omeprazole but yesterday it was just a small tummy ache. i feel completely fine today.
i also use a wedged pillow (they are so amazing) because the acid doesn't go down my throat. i used to always try and do that clearing throat thing and now theres nothing to clear. i sleep on it all the time and personally i just like it so won't be changed it now. there are also some other uses for wedge pillows (xD)
i don't take any medicine besides 2 paracetamols during my period (just once a month of the first day) however if my tummy hurts i never touch omeprazole anymore. its not an option for me and if i really feel bad i just take half a paracetamol and i'm fine. i've only had to do this once so its not a regular thing and obviously too many pain killers are bad but its not the case for me anyway. before i sleep i drink warm water from the kettle and i chew on cardamon which is this spice i found which helps with indigestion. works well. i do take vitamin d everyday and 2 multivitamins  every week though because theres no sun in the UK and its advised especially because i dont go out in the sun (i get hayfever and im pale so i burn sometimes)
i just wanted to make this post to say there is hope. it takes time and this sad period made me grow up so quickly. it also made me realise that you should always listen to your body and stop depending on doctors so damn much. yes they are helpful but they do things on a routine basis and it takes ages to find out what the cause is. listen to your body and if you're young (im 22) i would personally try and wean off especially if its a minor case but let your doctor know you want to do this. i assume you guys all know about the scary long term consequences but honestly its not just that this tablet makes you feel like utter shit and i will never touch it ever again.
fyi i had multiple blood tests, stool tests to check for ulcers and some other tests over this period. everything came back fine.
if you have any questions please let me know.</t>
        </is>
      </c>
      <c r="D8352" t="n">
        <v>1</v>
      </c>
      <c r="E8352" t="n">
        <v>8</v>
      </c>
      <c r="F8352">
        <f>HYPERLINK("https://www.reddit.com/r/GERD/comments/hdanf3/not_taking_omeprazole_prilosechas_made_my_acid/")</f>
        <v/>
      </c>
      <c r="G8352" t="inlineStr">
        <is>
          <t>2020-06-21 10:20:30</t>
        </is>
      </c>
      <c r="H8352" t="inlineStr"/>
    </row>
    <row r="8353">
      <c r="A8353" t="inlineStr">
        <is>
          <t>hdbnnb</t>
        </is>
      </c>
      <c r="B8353" t="inlineStr">
        <is>
          <t>Reflux returning after LINX</t>
        </is>
      </c>
      <c r="C8353" t="inlineStr">
        <is>
          <t>Hello everyone, 
I had the LINX implant in December. After a short recovery, things were normal. I had no reflux symptoms at any point. I was completely off of any PPIs, and life was normal. 
Fast forward to around a week ago, and my reflux is now back to pre-LINX levels. It reappeared out of nowhere. One day I was fine, and the next day I had a sore throat, a cough, and acid coming up throughout the day. It does not appear to be going away. 
Has anyone else had similar issues after received by a LINX implant? And if so, what steps were taken to resolve it?</t>
        </is>
      </c>
      <c r="D8353" t="n">
        <v>1</v>
      </c>
      <c r="E8353" t="n">
        <v>10</v>
      </c>
      <c r="F8353">
        <f>HYPERLINK("https://www.reddit.com/r/GERD/comments/hdbnnb/reflux_returning_after_linx/")</f>
        <v/>
      </c>
      <c r="G8353" t="inlineStr">
        <is>
          <t>2020-06-21 11:18:26</t>
        </is>
      </c>
      <c r="H8353" t="inlineStr"/>
    </row>
    <row r="8354">
      <c r="A8354" t="inlineStr">
        <is>
          <t>hdc61e</t>
        </is>
      </c>
      <c r="B8354" t="inlineStr">
        <is>
          <t>Tips for coping with esophagitis?</t>
        </is>
      </c>
      <c r="C8354" t="inlineStr">
        <is>
          <t>So after a call with the doctor, It's likely I have esophagitis. 
I'm aware that controlling the acid itself will heal the esophagitis, so I'm on Prevacid 30mg per day for two months. I think it's pretty severe tbh. So hopefully the medication and rapid weight loss will control the acid. I'm undergoing tests for infections as well and waiting on results. 
Meanwhile i've been eating soft foods because the pain is real bad, I've got the sharp shooting pains and swelling more than anything else.  My question is, how did you cope with it whilst healing?
What did you eat, drink and how much? How did you sleep? How did you manage the pain?</t>
        </is>
      </c>
      <c r="D8354" t="n">
        <v>1</v>
      </c>
      <c r="E8354" t="n">
        <v>1</v>
      </c>
      <c r="F8354">
        <f>HYPERLINK("https://www.reddit.com/r/GERD/comments/hdc61e/tips_for_coping_with_esophagitis/")</f>
        <v/>
      </c>
      <c r="G8354" t="inlineStr">
        <is>
          <t>2020-06-21 11:47:56</t>
        </is>
      </c>
      <c r="H8354" t="inlineStr"/>
    </row>
    <row r="8355">
      <c r="A8355" t="inlineStr">
        <is>
          <t>hdchiv</t>
        </is>
      </c>
      <c r="B8355" t="inlineStr">
        <is>
          <t>What diet has worked best to control your GERD?</t>
        </is>
      </c>
      <c r="C8355" t="inlineStr">
        <is>
          <t>I don’t eat fatty or spicy foods. I don’t drink alcohol or smoke. or drink carbonated or caffeinated drinks either. But here I am, diagnosed with GERD. The only culprit I can think of is stress, but I’ve always had high stress and no GERD until this year. 
I’m not sure how to help myself and PPIs are only reducing symptoms like 50%. I still get the reflux at night and after meals, and wake up to a sore throat. 
what has worked for you guys?</t>
        </is>
      </c>
      <c r="D8355" t="n">
        <v>2</v>
      </c>
      <c r="E8355" t="n">
        <v>20</v>
      </c>
      <c r="F8355">
        <f>HYPERLINK("https://www.reddit.com/r/GERD/comments/hdchiv/what_diet_has_worked_best_to_control_your_gerd/")</f>
        <v/>
      </c>
      <c r="G8355" t="inlineStr">
        <is>
          <t>2020-06-21 12:06:16</t>
        </is>
      </c>
      <c r="H8355" t="inlineStr"/>
    </row>
    <row r="8356">
      <c r="A8356" t="inlineStr">
        <is>
          <t>hdcjq5</t>
        </is>
      </c>
      <c r="B8356" t="inlineStr">
        <is>
          <t>Relief with physical exercises?</t>
        </is>
      </c>
      <c r="C8356" t="inlineStr">
        <is>
          <t>Was wondering, has anyone had any relief by doing any kind of exercise?
I've seen claims that some yoga poses do help with hiatal hernia, for instance.
I myself can't live anymore without walking almost 1 hour a day, it prevents my GERD to get completely out of hand. But any other physical strength I make will make it worse. 
It would be great to find any physical practice that I could not just do, but that would improve GERD.</t>
        </is>
      </c>
      <c r="D8356" t="n">
        <v>1</v>
      </c>
      <c r="E8356" t="n">
        <v>3</v>
      </c>
      <c r="F8356">
        <f>HYPERLINK("https://www.reddit.com/r/GERD/comments/hdcjq5/relief_with_physical_exercises/")</f>
        <v/>
      </c>
      <c r="G8356" t="inlineStr">
        <is>
          <t>2020-06-21 12:09:35</t>
        </is>
      </c>
      <c r="H8356" t="inlineStr"/>
    </row>
    <row r="8357">
      <c r="A8357" t="inlineStr">
        <is>
          <t>hdcydo</t>
        </is>
      </c>
      <c r="B8357" t="inlineStr">
        <is>
          <t>How I fixed almost all symptoms</t>
        </is>
      </c>
      <c r="C8357" t="inlineStr">
        <is>
          <t>[https://soobvious.co/2020/06/21/health-fixing-acid-reflux/](https://soobvious.co/2020/06/21/health-fixing-acid-reflux/)</t>
        </is>
      </c>
      <c r="D8357" t="n">
        <v>1</v>
      </c>
      <c r="E8357" t="n">
        <v>2</v>
      </c>
      <c r="F8357">
        <f>HYPERLINK("https://www.reddit.com/r/GERD/comments/hdcydo/how_i_fixed_almost_all_symptoms/")</f>
        <v/>
      </c>
      <c r="G8357" t="inlineStr">
        <is>
          <t>2020-06-21 12:32:46</t>
        </is>
      </c>
      <c r="H8357" t="inlineStr"/>
    </row>
    <row r="8358">
      <c r="A8358" t="inlineStr">
        <is>
          <t>hddcxy</t>
        </is>
      </c>
      <c r="B8358" t="inlineStr">
        <is>
          <t>Not Again</t>
        </is>
      </c>
      <c r="C8358" t="inlineStr">
        <is>
          <t>Tingling pain in left arm for more than a day, stifness in neck, ear pain on right side. I work on mobile and laptop for most of the day, have bad health anxietty, gerd and ibs. Sometimes tingling is palm and wrists too. What can it be now.</t>
        </is>
      </c>
      <c r="D8358" t="n">
        <v>1</v>
      </c>
      <c r="E8358" t="n">
        <v>1</v>
      </c>
      <c r="F8358">
        <f>HYPERLINK("https://www.reddit.com/r/GERD/comments/hddcxy/not_again/")</f>
        <v/>
      </c>
      <c r="G8358" t="inlineStr">
        <is>
          <t>2020-06-21 12:56:24</t>
        </is>
      </c>
      <c r="H8358" t="inlineStr"/>
    </row>
    <row r="8359">
      <c r="A8359" t="inlineStr">
        <is>
          <t>hdf5bj</t>
        </is>
      </c>
      <c r="B8359" t="inlineStr">
        <is>
          <t>Struggling and could use advice</t>
        </is>
      </c>
      <c r="C8359" t="inlineStr">
        <is>
          <t>I was diagnosed with LPR about 5 and a half weeks ago.
Starting in February I thought I had a sinus infection with all the normal stuff; congestion, cough, post nasal drip, sore throat, upset stomach, etc. it even felt like it was flaring up my asthma. They gave me a steroid pack, some cough meds, allergy meds and told me to take it easy. 
A month later and it still wasn’t better so I went back to the doctor right in the middle of the covid outbreak/shutdown. They essentially prescribed me the same stuff but also added in symbicort for the asthma symptoms. 
Within 24 hours I was hoarse but all the other symptoms remained.  I followed all of their instructions for another month and a half and felt ok but not great. I figured it was intense allergies as Central Texas gets lit up with allergies that time of year.
May came around I decided to follow up with a new doctor. He prescribed more steroids and an antibiotic. Those did nothing and I was still fighting the hoarseness. He referred me to an ENT to get looked at.
Mid May I went to the ENT and he scoped my throat and vocal cords and said it definitely looks like LPR based on symptoms etc. put me on a low acid diet, raised headboard of bed, as well as 40mg of omeprazole. 
The first week I felt okay and my voice seemed to come back some. But then my stomach started flaring up. I was having daily diarrhea, massive burps, nausea, stomach aches, and shortness of breath. I changed my diet some more to see if anything would help, but it didn’t.
I tried adding in Gaviscon, but that pretty much guaranteed I would get diarrhea in the morning so I stopped taking that.
I went back to the doctor last week and he switched me to an H2 blocker. As of today the diarrhea has stopped and the shortness of breath has decreased but the nausea/upset stomach is still out in force.
Has anyone ever had this brought on by a PPI and how long did it take to get over it after switching meds?
Did you find anything that worked for you?
I know I haven’t dealt with this as long as many that I’ve seen on here, but I’m getting worn down. I need my voice for meetings with clients daily and it’s frustrating when it just decides it’s not going to work. Adding the stomach on top is just exhausting and has sky rocketed my anxiety.</t>
        </is>
      </c>
      <c r="D8359" t="n">
        <v>1</v>
      </c>
      <c r="E8359" t="n">
        <v>2</v>
      </c>
      <c r="F8359">
        <f>HYPERLINK("https://www.reddit.com/r/GERD/comments/hdf5bj/struggling_and_could_use_advice/")</f>
        <v/>
      </c>
      <c r="G8359" t="inlineStr">
        <is>
          <t>2020-06-21 14:39:58</t>
        </is>
      </c>
      <c r="H8359" t="inlineStr"/>
    </row>
    <row r="8360">
      <c r="A8360" t="inlineStr">
        <is>
          <t>hdg6un</t>
        </is>
      </c>
      <c r="B8360" t="inlineStr">
        <is>
          <t>H pylori positive but no symptoms</t>
        </is>
      </c>
      <c r="C8360" t="inlineStr">
        <is>
          <t>I have zero symptoms of HP. I had an endoscopy done on June 11 got my results back the following Wednesday. 
I am prescribed a triple treatment Omeprazole, clarithromycin, amoxicillin, all 2x a day. 
Is it necessary to do this? I have no symptoms. No bloating, stomach pain, or digestion problems. 
Had test done due to suspected gerd which is more of lpr that went away after a month. 
I had globus some days and pressure in my chest. Following a inflammatory colitis flare back in March. . Which was heightened in intensity due to anxiety of not knowing why. Have had no symptoms since end of March when inflammation was gone. 
I've read 80 percent of the population has this bacteria. 
I do not want to mess up my gut Flora with the treatment. Especially if I am not experiencing any of the HP symptoms 
My GI recommended to do the course just "in case  and to rid my body of the bacteria." 
My endoscopy came back in my GI words, "perfect and healthy looking." Zero inflammation, damage, or ulcers.
Edit to add:
Not seeking medical advice just opinions. Would you do the course? 
I had a HP stool test done May 11 and that was negative. However, the biopsy from the Endo came back positive.
Edit 2: typos</t>
        </is>
      </c>
      <c r="D8360" t="n">
        <v>1</v>
      </c>
      <c r="E8360" t="n">
        <v>9</v>
      </c>
      <c r="F8360">
        <f>HYPERLINK("https://www.reddit.com/r/GERD/comments/hdg6un/h_pylori_positive_but_no_symptoms/")</f>
        <v/>
      </c>
      <c r="G8360" t="inlineStr">
        <is>
          <t>2020-06-21 15:42:43</t>
        </is>
      </c>
      <c r="H8360" t="inlineStr"/>
    </row>
    <row r="8361">
      <c r="A8361" t="inlineStr">
        <is>
          <t>hdgy6p</t>
        </is>
      </c>
      <c r="B8361" t="inlineStr">
        <is>
          <t>Uncomfortable</t>
        </is>
      </c>
      <c r="C8361" t="inlineStr">
        <is>
          <t>I know i’m posting here a lot but I really am new to this and need a lot of help. Almost after every meal, I get weird feeling in my lower torso area. It feels kind of bloated but mostly like constipated. It’s really uncomfortable and sometimes hurts but not a lot. I also have trouble using the stool, like the need to use it but nothing comes out. I’m not very gassy, but it’s constantly grumbling not like im hungry. Sometimes it’s feeling like burning near or a little above my bladder area. Don’t know what to do and it’s hard to eat because of my dysphagia so I can’t really consume anything besides liquidy foods and really soft foods and tons of water throughout meals and times of the day.</t>
        </is>
      </c>
      <c r="D8361" t="n">
        <v>1</v>
      </c>
      <c r="E8361" t="n">
        <v>3</v>
      </c>
      <c r="F8361">
        <f>HYPERLINK("https://www.reddit.com/r/GERD/comments/hdgy6p/uncomfortable/")</f>
        <v/>
      </c>
      <c r="G8361" t="inlineStr">
        <is>
          <t>2020-06-21 16:31:26</t>
        </is>
      </c>
      <c r="H8361" t="inlineStr"/>
    </row>
    <row r="8362">
      <c r="A8362" t="inlineStr">
        <is>
          <t>hdhfu1</t>
        </is>
      </c>
      <c r="B8362" t="inlineStr">
        <is>
          <t>Anyone here had gastric polyps?</t>
        </is>
      </c>
      <c r="C8362" t="inlineStr">
        <is>
          <t>My last endoscopy showed the presence of some small polyps. I will get the biopsy results this week.
Anyone had this? How worried should i be?
I've been taking Ezomeprazole for years...</t>
        </is>
      </c>
      <c r="D8362" t="n">
        <v>3</v>
      </c>
      <c r="E8362" t="n">
        <v>17</v>
      </c>
      <c r="F8362">
        <f>HYPERLINK("https://www.reddit.com/r/GERD/comments/hdhfu1/anyone_here_had_gastric_polyps/")</f>
        <v/>
      </c>
      <c r="G8362" t="inlineStr">
        <is>
          <t>2020-06-21 17:03:00</t>
        </is>
      </c>
      <c r="H8362" t="inlineStr"/>
    </row>
    <row r="8363">
      <c r="A8363" t="inlineStr">
        <is>
          <t>hdhj2p</t>
        </is>
      </c>
      <c r="B8363" t="inlineStr">
        <is>
          <t>GERD Flare-up from LAUGHING !</t>
        </is>
      </c>
      <c r="C8363" t="inlineStr">
        <is>
          <t>Fuck GERD. I ate completely healthy, took my medication, slept on a fucking 14 inch incline and I’m still barely getting by — and then I hear something funny and laugh for a few minutes while regurgitating into my mouth. [19 M]</t>
        </is>
      </c>
      <c r="D8363" t="n">
        <v>2</v>
      </c>
      <c r="E8363" t="n">
        <v>14</v>
      </c>
      <c r="F8363">
        <f>HYPERLINK("https://www.reddit.com/r/GERD/comments/hdhj2p/gerd_flareup_from_laughing/")</f>
        <v/>
      </c>
      <c r="G8363" t="inlineStr">
        <is>
          <t>2020-06-21 17:08:57</t>
        </is>
      </c>
      <c r="H8363" t="inlineStr"/>
    </row>
    <row r="8364">
      <c r="A8364" t="inlineStr">
        <is>
          <t>hdi99h</t>
        </is>
      </c>
      <c r="B8364" t="inlineStr">
        <is>
          <t>Would love to hear your experience with pepcid!</t>
        </is>
      </c>
      <c r="C8364" t="inlineStr">
        <is>
          <t>I'm on day 2 of pepcid and it's the 2nd time I feel a burning sensation in my stomach and weird feeling in my throat? Been dealing with Gerd symptoms since last August but it has got pretty bad as it late so I decided to follow my Drs reccomendations.</t>
        </is>
      </c>
      <c r="D8364" t="n">
        <v>1</v>
      </c>
      <c r="E8364" t="n">
        <v>3</v>
      </c>
      <c r="F8364">
        <f>HYPERLINK("https://www.reddit.com/r/GERD/comments/hdi99h/would_love_to_hear_your_experience_with_pepcid/")</f>
        <v/>
      </c>
      <c r="G8364" t="inlineStr">
        <is>
          <t>2020-06-21 17:58:07</t>
        </is>
      </c>
      <c r="H8364" t="inlineStr"/>
    </row>
    <row r="8365">
      <c r="A8365" t="inlineStr">
        <is>
          <t>hdima3</t>
        </is>
      </c>
      <c r="B8365" t="inlineStr">
        <is>
          <t>Throat tightness... and losing weight</t>
        </is>
      </c>
      <c r="C8365" t="inlineStr">
        <is>
          <t>I’m 17 years old and..... Normal health and skinny but always had a shitty lifestyle.... laying down all the time, etc etc.... 
I’ve been having GERD since a couple months back now... I’ve changed my lifestyle a bit (getting more, sleep, attempting to fix my diet, 30 min walks, etc.) but I am still burping a lot, still losing my appetite (sometimes), chest spasms, and this recently new burning sensation &amp;amp; and I feel like something is stuck in my throat... 
Is it a globus sensation? I’ve noticed when I every time I laugh my throat tightness reappears.... and I’m stressed out over cancer concerns... trying to find a suitable diet.... and of course... the year.... 2020... people around me just say: “ohhh it’s just all in your head... it’s just sore throat” I just feel isolated... confused.... and afraid....</t>
        </is>
      </c>
      <c r="D8365" t="n">
        <v>1</v>
      </c>
      <c r="E8365" t="n">
        <v>1</v>
      </c>
      <c r="F8365">
        <f>HYPERLINK("https://www.reddit.com/r/GERD/comments/hdima3/throat_tightness_and_losing_weight/")</f>
        <v/>
      </c>
      <c r="G8365" t="inlineStr">
        <is>
          <t>2020-06-21 18:22:45</t>
        </is>
      </c>
      <c r="H8365" t="inlineStr"/>
    </row>
    <row r="8366">
      <c r="A8366" t="inlineStr">
        <is>
          <t>hdivce</t>
        </is>
      </c>
      <c r="B8366" t="inlineStr">
        <is>
          <t>CANT. STOP. BURPING.</t>
        </is>
      </c>
      <c r="C8366" t="inlineStr">
        <is>
          <t>I’m in so much pain every single day I can’t stop burping. It doesn’t matter what digestive enzymes I take or what I eat, I always end up having to take FOUR tums a day. Usually tums helps but now I feel like it stopped working. I also have stomach pain so I’m wondering if it could be an ulcer. The burping is so bad that it gives me heart palpitations and makes it heart to breathe and gives me chest pain. I know I need to see a GI specialist now. This is fucking hell</t>
        </is>
      </c>
      <c r="D8366" t="n">
        <v>1</v>
      </c>
      <c r="E8366" t="n">
        <v>3</v>
      </c>
      <c r="F8366">
        <f>HYPERLINK("https://www.reddit.com/r/GERD/comments/hdivce/cant_stop_burping/")</f>
        <v/>
      </c>
      <c r="G8366" t="inlineStr">
        <is>
          <t>2020-06-21 18:40:09</t>
        </is>
      </c>
      <c r="H8366" t="inlineStr"/>
    </row>
    <row r="8367">
      <c r="A8367" t="inlineStr">
        <is>
          <t>hdizoq</t>
        </is>
      </c>
      <c r="B8367" t="inlineStr">
        <is>
          <t>Does anyone still eat spicy food?</t>
        </is>
      </c>
      <c r="C8367" t="inlineStr">
        <is>
          <t>If so, how do you do it??</t>
        </is>
      </c>
      <c r="D8367" t="n">
        <v>1</v>
      </c>
      <c r="E8367" t="n">
        <v>3</v>
      </c>
      <c r="F8367">
        <f>HYPERLINK("https://www.reddit.com/r/GERD/comments/hdizoq/does_anyone_still_eat_spicy_food/")</f>
        <v/>
      </c>
      <c r="G8367" t="inlineStr">
        <is>
          <t>2020-06-21 18:48:43</t>
        </is>
      </c>
      <c r="H8367" t="inlineStr"/>
    </row>
    <row r="8368">
      <c r="A8368" t="inlineStr">
        <is>
          <t>hdj7ec</t>
        </is>
      </c>
      <c r="B8368" t="inlineStr">
        <is>
          <t>I think this meme is relatable</t>
        </is>
      </c>
      <c r="C8368" t="inlineStr">
        <is>
          <t>https://imgur.com/E60NVJ6</t>
        </is>
      </c>
      <c r="D8368" t="n">
        <v>1</v>
      </c>
      <c r="E8368" t="n">
        <v>0</v>
      </c>
      <c r="F8368">
        <f>HYPERLINK("https://www.reddit.com/r/GERD/comments/hdj7ec/i_think_this_meme_is_relatable/")</f>
        <v/>
      </c>
      <c r="G8368" t="inlineStr">
        <is>
          <t>2020-06-21 19:03:37</t>
        </is>
      </c>
      <c r="H8368" t="inlineStr"/>
    </row>
    <row r="8369">
      <c r="A8369" t="inlineStr">
        <is>
          <t>hdlefy</t>
        </is>
      </c>
      <c r="B8369" t="inlineStr">
        <is>
          <t>Need Advice please.</t>
        </is>
      </c>
      <c r="C8369" t="inlineStr">
        <is>
          <t>Hi everyone, (sorry for the length of the post)
I am a 19 year old female who has been having an awful time.
For about 4 months I have been having excruciating  chest pain which I would describe as a fiery burning pressure and cramping in the centre of my chest. I have not been able to do my usual workout as it makes it worse. I can't eat certain foods, my sleep schedule is ruined as I can't sleep at night due to the intensity of the pain.
I am a generally healthy young woman, never smoked, never done drugs, I hardly drink.
I have spoken to so many different doctors, had an echocardiogram and EKG/ECG thinking it was heart related - results were all normal. I have had a chest x ray 3 months ago everything was normal. A doctor suggested I try taking Gaviscon as he thought it was just minor acid reflux, I have been taking it for 3 months and it has done nothing to help alleviate the pain. A family friend who is a doctor thinks it is very likely GERD/GORD.
I am supposed to have an appointment with a gastroenterologist hopefully in the next few weeks, but in the mean time the chest pain and bloating is so awful and my lovely parents understandably just cant understand the pain I am in everyday. It is really affecting my mental health because o the pain.
I am worried that this will never go away, and the pressure and burning never fully stops.  I have been told that due to the current circumstances I may not be able to have a endoscopy done.
I am just wondering if anyone similar to my age has ever experienced this having never had any issues with acid reflux before in their life?
What were you symptoms of GERD/ or a hiatal hernia before diagnosis?
Also if anyone with any advice on what I can/should do in the mean time to try and cope and get doctors to take me seriously would be so appreciated.
Thank you so much.</t>
        </is>
      </c>
      <c r="D8369" t="n">
        <v>1</v>
      </c>
      <c r="E8369" t="n">
        <v>4</v>
      </c>
      <c r="F8369">
        <f>HYPERLINK("https://www.reddit.com/r/GERD/comments/hdlefy/need_advice_please/")</f>
        <v/>
      </c>
      <c r="G8369" t="inlineStr">
        <is>
          <t>2020-06-21 21:40:52</t>
        </is>
      </c>
      <c r="H8369" t="inlineStr"/>
    </row>
    <row r="8370">
      <c r="A8370" t="inlineStr">
        <is>
          <t>hdlr79</t>
        </is>
      </c>
      <c r="B8370" t="inlineStr">
        <is>
          <t>Diets Tips</t>
        </is>
      </c>
      <c r="C8370" t="inlineStr">
        <is>
          <t>Anyone have any guidance on the best diet to follow if you might have GERD? I’ve been coughing off and on for months, mostly at night. Allergy meds didn’t cure it and I’m not sick. Wanna try to switch up my diet.</t>
        </is>
      </c>
      <c r="D8370" t="n">
        <v>1</v>
      </c>
      <c r="E8370" t="n">
        <v>2</v>
      </c>
      <c r="F8370">
        <f>HYPERLINK("https://www.reddit.com/r/GERD/comments/hdlr79/diets_tips/")</f>
        <v/>
      </c>
      <c r="G8370" t="inlineStr">
        <is>
          <t>2020-06-21 22:06:07</t>
        </is>
      </c>
      <c r="H8370" t="inlineStr"/>
    </row>
    <row r="8371">
      <c r="A8371" t="inlineStr">
        <is>
          <t>hdmwkb</t>
        </is>
      </c>
      <c r="B8371" t="inlineStr">
        <is>
          <t>Here's to everyone suffering with breathing complications from GERD</t>
        </is>
      </c>
      <c r="C8371" t="inlineStr">
        <is>
          <t>Not to minimize other people experiences, but I think the shortness of breath from GERD/LPR is the worst symptom, and I'd happily trade it for anything else. I haven't been able to take a full breath for like 7 months. It has brought my life to a complete halt. PPIs haven't helped, diet has minimally helped... I'm seeing a GI for the first time this Friday for an upper endoscopy, which will hopefully get the ball rolling on surgery. I know its a stretch to run to surgery right away, but I've read so many success stories from people just like me, it feels great knowing that there might be a light at the end of the tunnel, that I won't have to off myself because of this.
To everyone who's breathing has been affected by this horrible disease, keep your head up please. We will win this.</t>
        </is>
      </c>
      <c r="D8371" t="n">
        <v>1</v>
      </c>
      <c r="E8371" t="n">
        <v>40</v>
      </c>
      <c r="F8371">
        <f>HYPERLINK("https://www.reddit.com/r/GERD/comments/hdmwkb/heres_to_everyone_suffering_with_breathing/")</f>
        <v/>
      </c>
      <c r="G8371" t="inlineStr">
        <is>
          <t>2020-06-21 23:30:47</t>
        </is>
      </c>
      <c r="H8371" t="inlineStr"/>
    </row>
    <row r="8372">
      <c r="A8372" t="inlineStr">
        <is>
          <t>hdooza</t>
        </is>
      </c>
      <c r="B8372" t="inlineStr">
        <is>
          <t>Heart Palpitations from GERD?</t>
        </is>
      </c>
      <c r="C8372" t="inlineStr">
        <is>
          <t>I woke up this morning with a thumping and fast heart rate that went away after some moderate movement. Anyone else have this problem?</t>
        </is>
      </c>
      <c r="D8372" t="n">
        <v>1</v>
      </c>
      <c r="E8372" t="n">
        <v>2</v>
      </c>
      <c r="F8372">
        <f>HYPERLINK("https://www.reddit.com/r/GERD/comments/hdooza/heart_palpitations_from_gerd/")</f>
        <v/>
      </c>
      <c r="G8372" t="inlineStr">
        <is>
          <t>2020-06-22 01:55:13</t>
        </is>
      </c>
      <c r="H8372" t="inlineStr"/>
    </row>
    <row r="8373">
      <c r="A8373" t="inlineStr">
        <is>
          <t>hdp4zk</t>
        </is>
      </c>
      <c r="B8373" t="inlineStr">
        <is>
          <t>best diet to manage gerd and lose weight?</t>
        </is>
      </c>
      <c r="C8373" t="inlineStr">
        <is>
          <t>im a 20 year old female and get nauseous on an empty stomach, and need to include things that will absorb my stomach acid otherwise ill get nauseous and vomit. i dont get too much burning really. just nausea. and fasting does not work for me, it makes me very sick. im definitely overweight and i had this issue even when i was skinny and 150lbs (5'6), its just more intense now. but id really like to lose weight without having to throw up and feeling like a bulimic!</t>
        </is>
      </c>
      <c r="D8373" t="n">
        <v>1</v>
      </c>
      <c r="E8373" t="n">
        <v>6</v>
      </c>
      <c r="F8373">
        <f>HYPERLINK("https://www.reddit.com/r/GERD/comments/hdp4zk/best_diet_to_manage_gerd_and_lose_weight/")</f>
        <v/>
      </c>
      <c r="G8373" t="inlineStr">
        <is>
          <t>2020-06-22 02:31:40</t>
        </is>
      </c>
      <c r="H8373" t="inlineStr"/>
    </row>
    <row r="8374">
      <c r="A8374" t="inlineStr">
        <is>
          <t>hdr8v7</t>
        </is>
      </c>
      <c r="B8374" t="inlineStr">
        <is>
          <t>Anyone cured their Gastritis and Gerd?</t>
        </is>
      </c>
      <c r="C8374" t="inlineStr">
        <is>
          <t>Healing stories? How long did it take? What did you do?</t>
        </is>
      </c>
      <c r="D8374" t="n">
        <v>1</v>
      </c>
      <c r="E8374" t="n">
        <v>5</v>
      </c>
      <c r="F8374">
        <f>HYPERLINK("https://www.reddit.com/r/GERD/comments/hdr8v7/anyone_cured_their_gastritis_and_gerd/")</f>
        <v/>
      </c>
      <c r="G8374" t="inlineStr">
        <is>
          <t>2020-06-22 05:13:02</t>
        </is>
      </c>
      <c r="H8374" t="inlineStr"/>
    </row>
    <row r="8375">
      <c r="A8375" t="inlineStr">
        <is>
          <t>hds61u</t>
        </is>
      </c>
      <c r="B8375" t="inlineStr">
        <is>
          <t>Any tips on controlling bad breath from LPR/GERD and tonsillitis?</t>
        </is>
      </c>
      <c r="C8375" t="inlineStr">
        <is>
          <t>My (23F) LPR causes me to have bad breath (or more specifically, my mouth feels so gross that I'm betting since it feels *that* yucky, my breath must not exactly be smelling like roses).
My mouth is always either dry as a desert, or I'm constantly trying to clear mucus from my throat -- usually the latter. Either way, it doesn't take long after I brush my teeth for the throat clearing to start and my mouth to feel funky and blah. When wearing a face mask in public due to covid, the first few times wearing them I was like, "What the *fuck* is that smell." Until I realized I was breathing my own breath, and then I was mortified. I just began dating again, is THAT what people smell when they kiss me?
After wearing a mask for the first time, I immediately went and bought a tongue scraper, tonsil pick, watermelon chewing gum, and Therabreath mouthwash. I brush my teeth often, but if on a date I excused myself everytime I began to question my breath's stench, I'd be spending more time with the tube of Sensodyne than I would be with my actual date.
I'm constantly drinking water, the only thing I still have an issue with is drinking soda (specifically Fresca, which is grapefruit flavored). I found that the flavor sort of masks the mucus-y feeling better than plain water, but maybe it's doing more harm than good. Is it better to just stick to water? 
Sidenote: I have chronic swollen tonsils, which I'm aware is a huge factor behind why I have halitosis and may be why some of the tips I've tried haven't worked, but my tonsillectomy isn't scheduled until the fall and I was wondering if there's still ways I could deal with this in the meantime.
So, any tips and tricks on how I could better manage this, or am I forced to have to constantly gargle mouthwash and religiously chew gum until further notice?</t>
        </is>
      </c>
      <c r="D8375" t="n">
        <v>1</v>
      </c>
      <c r="E8375" t="n">
        <v>7</v>
      </c>
      <c r="F8375">
        <f>HYPERLINK("https://www.reddit.com/r/GERD/comments/hds61u/any_tips_on_controlling_bad_breath_from_lprgerd/")</f>
        <v/>
      </c>
      <c r="G8375" t="inlineStr">
        <is>
          <t>2020-06-22 06:17:20</t>
        </is>
      </c>
      <c r="H8375" t="inlineStr"/>
    </row>
    <row r="8376">
      <c r="A8376" t="inlineStr">
        <is>
          <t>hdszgc</t>
        </is>
      </c>
      <c r="B8376" t="inlineStr">
        <is>
          <t>Evening / Night GERD</t>
        </is>
      </c>
      <c r="C8376" t="inlineStr">
        <is>
          <t>Hi all,  
First time poster; hope this is appropriate. I've had acid reflux off and on for the past year or so and recently with the stay-at-home order and the quarantine, it's come back in recent months with an absolute vengeance. It's not been formally diagnosed yet as I have an appointment with a gastroenterologist next month but I'm basically of the opinion that it's only a matter of time.  
I'm handling most of the symptoms and what not ok so far and trying a few different things such as keeping track of symptoms and food I eat, taking Gastrex and Cataplex based on recommendations from a Natural Wellness practitioner, drinking Herbalife Aloe water at various meals, and doing a formalized yoga routine whenever things get really bad. But no matter what I do, it always gets worse in the evening no matter what I eat or drink to where it's become really concerning (even with the wedge pillow that I took forever to get used to).  
What are some tips and tricks you all have to better manage it beside TUMS or PPIs (which I've been trying to wean myself off of)? Would love some thoughts and comments; it's becoming a beast to where I'm getting greatly concerned for my throat. Thanks!!</t>
        </is>
      </c>
      <c r="D8376" t="n">
        <v>1</v>
      </c>
      <c r="E8376" t="n">
        <v>5</v>
      </c>
      <c r="F8376">
        <f>HYPERLINK("https://www.reddit.com/r/GERD/comments/hdszgc/evening_night_gerd/")</f>
        <v/>
      </c>
      <c r="G8376" t="inlineStr">
        <is>
          <t>2020-06-22 07:07:45</t>
        </is>
      </c>
      <c r="H8376" t="inlineStr"/>
    </row>
    <row r="8377">
      <c r="A8377" t="inlineStr">
        <is>
          <t>hdtghs</t>
        </is>
      </c>
      <c r="B8377" t="inlineStr">
        <is>
          <t>Constant throat clearing is my only symptom and it's driving me insane.</t>
        </is>
      </c>
      <c r="C8377" t="inlineStr">
        <is>
          <t>This is a symptom that I've had for years, but it's starting to get worse. It's pretty much all day that I'll be clearing my throat because there is what feels like mucus stuck at the back of my throat. 
I'll be constantly trying to clear my throat and many times I'll be able to clear the mucus up into my mouth and it has the consistency of mucus that would be in my nose. 
I've started to notice that it might be happening after I eat. For example, I woke up this morning with absolutely no symptoms. No need to clear my throat at all. But immediately after eating a bagel with peanut butter, I start having to clear my throat. 
My dad also suffers from this symptom. No heartburn, no feeling of a lump, just a constant throat clearing because there is mucus at the back of his throat. I should probably go see a doctor about it, but I feel like they'll just tell me to avoid certain foods and make other lifestyle changes. I'm willing to do those, but they seem realistically difficult to implement.
Has anyone with only constant throat clearing as a symptom had any luck with taking medication?
Thanks.</t>
        </is>
      </c>
      <c r="D8377" t="n">
        <v>2</v>
      </c>
      <c r="E8377" t="n">
        <v>20</v>
      </c>
      <c r="F8377">
        <f>HYPERLINK("https://www.reddit.com/r/GERD/comments/hdtghs/constant_throat_clearing_is_my_only_symptom_and/")</f>
        <v/>
      </c>
      <c r="G8377" t="inlineStr">
        <is>
          <t>2020-06-22 07:35:46</t>
        </is>
      </c>
      <c r="H8377" t="inlineStr"/>
    </row>
    <row r="8378">
      <c r="A8378" t="inlineStr">
        <is>
          <t>hdva0a</t>
        </is>
      </c>
      <c r="B8378" t="inlineStr">
        <is>
          <t>GP won't refer me for an endoscopy because my barium swallow just showed acid reflux and is 'normal' - advice please</t>
        </is>
      </c>
      <c r="C8378" t="inlineStr">
        <is>
          <t>Hi,
I've been fighting to get an endoscopy referral for about 4 months. I had a barium swallow recently (after calling the hospital department and asking to take on any cancellations they had) and they said it was normal, no hernia, but signs of "Intra-oesophageal reflux noted.".
I have been having regurgitation, acid reflux, vomiting, breathlessness etc for 4 months, and the GP thought it was GERD/GORD, and prescribed PPIs (which i didn't take - I took Gaviscon Advance).
However, they're saying because the barium swallow came back "normal", I do not need an endoscopy anymore. Any advice? Is this even true? I have also tried contacting PALs with no luck, and I don't have the money to go private.
Thank you</t>
        </is>
      </c>
      <c r="D8378" t="n">
        <v>1</v>
      </c>
      <c r="E8378" t="n">
        <v>23</v>
      </c>
      <c r="F8378">
        <f>HYPERLINK("https://www.reddit.com/r/GERD/comments/hdva0a/gp_wont_refer_me_for_an_endoscopy_because_my/")</f>
        <v/>
      </c>
      <c r="G8378" t="inlineStr">
        <is>
          <t>2020-06-22 09:14:28</t>
        </is>
      </c>
      <c r="H8378" t="inlineStr"/>
    </row>
    <row r="8379">
      <c r="A8379" t="inlineStr">
        <is>
          <t>hdx3j1</t>
        </is>
      </c>
      <c r="B8379" t="inlineStr">
        <is>
          <t>GERD will be the death of me.</t>
        </is>
      </c>
      <c r="C8379" t="inlineStr">
        <is>
          <t>I was diagnosed with GERD when I was 22. I am currently 28. 
Last thanksgiving (2019) I choked on my food, it felt like a rock, I couldn’t swallow, I puked, then I was fine. It didn’t happen again until early 2020, around March, it’s been downhill since then. 
I went to the doctor, they think I have an Esophageal Stricture causes most likely by my GERD, my doctor did throw in the big C, so of course my anxiety has been spiraling. 
I am working to get an appt scheduled for them to do an endoscopy and just give me the answers, no if’s/ands/buts. 
Anyone else going through this?  How do you calm your attacks when they happen? I have been put on a soft food diet since my last appt and having issues with breathing, that has helped a lot, but my appetite is broken, I struggle to finish my meals/snacks.</t>
        </is>
      </c>
      <c r="D8379" t="n">
        <v>2</v>
      </c>
      <c r="E8379" t="n">
        <v>5</v>
      </c>
      <c r="F8379">
        <f>HYPERLINK("https://www.reddit.com/r/GERD/comments/hdx3j1/gerd_will_be_the_death_of_me/")</f>
        <v/>
      </c>
      <c r="G8379" t="inlineStr">
        <is>
          <t>2020-06-22 10:51:29</t>
        </is>
      </c>
      <c r="H8379" t="inlineStr"/>
    </row>
    <row r="8380">
      <c r="A8380" t="inlineStr">
        <is>
          <t>hdxfpi</t>
        </is>
      </c>
      <c r="B8380" t="inlineStr">
        <is>
          <t>Two ER visits later and I'm diagnosed with GERD. For someone just starting to deal with their GERD, what advice would you give them?</t>
        </is>
      </c>
      <c r="C8380" t="inlineStr">
        <is>
          <t>Howdy yall. I went to the ER twice this week for intense abdominal pain. The pain was so bad that it would make me shake and make it hard to breathe. Out of fear of something worse, I went to the ER. 
They wanted to rule out my appendix bursting so they did some blood work and a ct scan. Appendix was good and so was my gallbladder. 
Their conclusion was that I had GERD. However my ER doctor didn't really give me any information on what GERD was and how to treat it. He perscribed me some medications(pepcid, tylenol 3 and some anti-nausea medication).
Not once was I ever under the impression that this is something that doesn't go away very easily, I was under the impression that it was just a fluke thing with my stomach acid and would be very unlikely to happen again and that the medications I got were to treat my symptoms when they happened. 
So almost a week passes of me not doing anything to treat my GERD other than having a bland diet for a few days. Then last night I woke up around 3 am with very intense abdominal pain again, go back to the ER because my pain medication is not working and they tell me that GERD isn't something that goes away very easily and I'll have to take medication and manage my diet to control my symptoms. 
So here I am, still in a bit of pain from last night and trying to figure out how to manage GERD.
Any tips?
Also, I should add that as far as I know, my only GERD symptom is this intense abdominal pain.</t>
        </is>
      </c>
      <c r="D8380" t="n">
        <v>6</v>
      </c>
      <c r="E8380" t="n">
        <v>28</v>
      </c>
      <c r="F8380">
        <f>HYPERLINK("https://www.reddit.com/r/GERD/comments/hdxfpi/two_er_visits_later_and_im_diagnosed_with_gerd/")</f>
        <v/>
      </c>
      <c r="G8380" t="inlineStr">
        <is>
          <t>2020-06-22 11:09:10</t>
        </is>
      </c>
      <c r="H8380" t="inlineStr"/>
    </row>
    <row r="8381">
      <c r="A8381" t="inlineStr">
        <is>
          <t>hdxx6f</t>
        </is>
      </c>
      <c r="B8381" t="inlineStr">
        <is>
          <t>PLEASE somebody help me!</t>
        </is>
      </c>
      <c r="C8381" t="inlineStr">
        <is>
          <t>I have no idea what I experience, each day and times of symptoms are completely different. 
- upper abdominal pains and bloating 
- tight chest (feels like I’ve been running outside in the cold)
- pain between shoulder blades that moves to left shoulder
- continuous pain to the point where I’m sick
Tbh I thought it was when I smoked weed, but I haven’t smoked at all today and now it’s evening I have chest and back pain. 
It used to come and go but the last week it’s been everyday and it triggers my anxiety. Like I know what I’m about to experience and I’ve had it so bad before I rang an ambulance because I honestly thought I was going to die. 
I can hardly speak, I can’t get comfortable with it, I can’t even watch tv when I have it. I get it so bad it’s like I have a mild panic attack the whole time until it’s gone. I’m so aware of the pain when it’s here.
I’ve tried eating more, eating less, not eating too late etc. But I feel hungry even with these pains half the time. I just really don’t know what to do. Idk what’s wrong with me. I had an endoscopy and never got a diagnosis but I’m so over this. I have a daughter so when I get this and I’m home alone it’s awful because I simply can’t move to tend to her if she needs me. 
I researched CHS but it’s weird how I haven’t even smoked today and I feel the exact same as usual!</t>
        </is>
      </c>
      <c r="D8381" t="n">
        <v>1</v>
      </c>
      <c r="E8381" t="n">
        <v>2</v>
      </c>
      <c r="F8381">
        <f>HYPERLINK("https://www.reddit.com/r/GERD/comments/hdxx6f/please_somebody_help_me/")</f>
        <v/>
      </c>
      <c r="G8381" t="inlineStr">
        <is>
          <t>2020-06-22 11:33:30</t>
        </is>
      </c>
      <c r="H8381" t="inlineStr"/>
    </row>
    <row r="8382">
      <c r="A8382" t="inlineStr">
        <is>
          <t>hdy7cs</t>
        </is>
      </c>
      <c r="B8382" t="inlineStr">
        <is>
          <t>Trouble Swallowing..How Am I Supposed to Eat or take My Medication?</t>
        </is>
      </c>
      <c r="C8382" t="inlineStr">
        <is>
          <t>Hi everyone,
I have had acid reflux for a long time now. I have had some trouble swallowing/lump in throat feeling in the past. But i has gotten a lot worse. I choke nearly every time I eat. I have almost had to call the ambulance because a piece of food was lodged in my throat but I was able to cough it up. The worst part is that I can't even take my medication...30 mg Lansoprazole disintegrating tablets (you don't even have to swallow a pill, it disintegrates into small pieces in your mouth).
What do I do? Should I avoid eating? How do I take a PPI if I literally cannot swallow and even choke on the disintegrating tablets?
Oh, and not to mention that I have trouble breathing too. So my life is not very fun right now :/</t>
        </is>
      </c>
      <c r="D8382" t="n">
        <v>1</v>
      </c>
      <c r="E8382" t="n">
        <v>3</v>
      </c>
      <c r="F8382">
        <f>HYPERLINK("https://www.reddit.com/r/GERD/comments/hdy7cs/trouble_swallowinghow_am_i_supposed_to_eat_or/")</f>
        <v/>
      </c>
      <c r="G8382" t="inlineStr">
        <is>
          <t>2020-06-22 11:47:39</t>
        </is>
      </c>
      <c r="H8382" t="inlineStr"/>
    </row>
    <row r="8383">
      <c r="A8383" t="inlineStr">
        <is>
          <t>hdydzj</t>
        </is>
      </c>
      <c r="B8383" t="inlineStr">
        <is>
          <t>Famotidine causing bad breath and dizziness? Why? Is this normal?</t>
        </is>
      </c>
      <c r="C8383" t="inlineStr">
        <is>
          <t>I have taken this exact one 5 months ago, and i dont remember anything like this. Now the only difference is that i already take ppi, and to that we added this with my doctor.(famotidine at night, ppi in the morning) But it's so weird because it's causing bad breath and mouth taste. 
Is this normal, will this go away? Or is this a sign that its too much for me? Anyone have a clue?</t>
        </is>
      </c>
      <c r="D8383" t="n">
        <v>1</v>
      </c>
      <c r="E8383" t="n">
        <v>1</v>
      </c>
      <c r="F8383">
        <f>HYPERLINK("https://www.reddit.com/r/GERD/comments/hdydzj/famotidine_causing_bad_breath_and_dizziness_why/")</f>
        <v/>
      </c>
      <c r="G8383" t="inlineStr">
        <is>
          <t>2020-06-22 11:57:07</t>
        </is>
      </c>
      <c r="H8383" t="inlineStr"/>
    </row>
    <row r="8384">
      <c r="A8384" t="inlineStr">
        <is>
          <t>hdyp8k</t>
        </is>
      </c>
      <c r="B8384" t="inlineStr">
        <is>
          <t>A quick chat about omeprazole</t>
        </is>
      </c>
      <c r="C8384" t="inlineStr">
        <is>
          <t>hello Gerdians I come from the gastritis thread and land of IBS, i’m coming here to seek some insight about side effects of omeprazole and Nexium when I got my endoscopy and diagnosis of gastritis they recommended take these medications, After taking these medications for a day or two I felt significant discomfort in my gastritis and ended up having undigested food in my stools(and I was eating chicken, and when I would eat ground beef I would feel dizzy, this ended up causing loose stools and floating stools) it’s been about two months now and my stools are finally forming up but I can’t seem to eat any greasy foods anymore, Wondering if anyone had severe digestive issues when taking these medications I understand everyone is different but just Curious if anyone in this thread since they take these PPIs has any similar issues. Thank you</t>
        </is>
      </c>
      <c r="D8384" t="n">
        <v>2</v>
      </c>
      <c r="E8384" t="n">
        <v>9</v>
      </c>
      <c r="F8384">
        <f>HYPERLINK("https://www.reddit.com/r/GERD/comments/hdyp8k/a_quick_chat_about_omeprazole/")</f>
        <v/>
      </c>
      <c r="G8384" t="inlineStr">
        <is>
          <t>2020-06-22 12:12:58</t>
        </is>
      </c>
      <c r="H8384" t="inlineStr"/>
    </row>
    <row r="8385">
      <c r="A8385" t="inlineStr">
        <is>
          <t>hdz7kb</t>
        </is>
      </c>
      <c r="B8385" t="inlineStr">
        <is>
          <t>Dating with GERD</t>
        </is>
      </c>
      <c r="C8385" t="inlineStr">
        <is>
          <t>I'm really self conscious about my symptoms and having to eat a special diet. It's honestly embarrassing and I've avoided dating because of it. I'd like to date someone who also has gerd because I think we would understand each other more and be on the same level. 
Are there any gerd or digestive disorder specific dating sites? 
I don't know of any but I just wanted to ask. Also if anyone on here is also looking, I'm a 37 Male 5'11 135lbs. Dry sense of humor and I worry too much.</t>
        </is>
      </c>
      <c r="D8385" t="n">
        <v>3</v>
      </c>
      <c r="E8385" t="n">
        <v>12</v>
      </c>
      <c r="F8385">
        <f>HYPERLINK("https://www.reddit.com/r/GERD/comments/hdz7kb/dating_with_gerd/")</f>
        <v/>
      </c>
      <c r="G8385" t="inlineStr">
        <is>
          <t>2020-06-22 12:39:30</t>
        </is>
      </c>
      <c r="H8385" t="inlineStr"/>
    </row>
    <row r="8386">
      <c r="A8386" t="inlineStr">
        <is>
          <t>he0xla</t>
        </is>
      </c>
      <c r="B8386" t="inlineStr">
        <is>
          <t>Please tell me it's going to be okay. I can't do this anymore</t>
        </is>
      </c>
      <c r="C8386" t="inlineStr">
        <is>
          <t>Hi. I have been an active member here for now maybe 2 months. I'm really thankful for this community, because i learnt that im not alone, and heared others share their experience. Im here again, because at this point I really need some emotional help. 
I'm so scared everyday because of my gerd. I have nausea constantly. This has been going on for 8 months. Doctors refused to do endoscopy on me, even when i asked her this week, because I'm too young (20).
With my doctor we have been experimenting about what would work for my GERD the best.
So far: Herb teas, natural remedies:nothing. 
A month on 20 mg h2 blockers a day helped perfectly for a week but then almost nothing.
Then: Any ppi dosage above 20 mg makes me unbearably sick. 20 mgs help some, but only like 50%. But i have been taking that for 1,5 months. 
Now i tried the combination of the two. Took 40 mgs of h2 blocker at night and 20mg ppi in the morning. Nade me really sick,gave me weird symptoms like dizziness, bad breath and bad mouthtaste, and weirdly different kind of nausea, and shivers and hairfall. Reduced h2 blocker to 20 mgs, but i had mostly the same. It's been 24 hours since i took it last, but i still feel the sife effects. And my nausea is at its worst. Its not even acidic nausea but stomach discomfort with strong nausea. Can't explain it. But im not gonna take more of the h2 blocker, and just hope that the side effects go away soon. 
I have tried eliminating some foods, but im still in the beginning with that. I hope that would help, but im just so sad by this suffering and this nausea. It's killing me. I lost so much because of this, i cant leave my house, and i just try not to throw up in my bed all day long. Im anorexic because can't eat from the nausea. 
I am so so so sad. And I'm so scared. I can't tell you how much. I feel this this will never go away, and this scary nausea is so strong.. I never feel safe. I don't know if i had endoscopy it would give me anything to work with, or i would just have the same things. I feel like anything i do makes it worse. Im so depressed, i feel like I'm trapped, and i feel physically and emotionally awful. I'm on edge.</t>
        </is>
      </c>
      <c r="D8386" t="n">
        <v>4</v>
      </c>
      <c r="E8386" t="n">
        <v>71</v>
      </c>
      <c r="F8386">
        <f>HYPERLINK("https://www.reddit.com/r/GERD/comments/he0xla/please_tell_me_its_going_to_be_okay_i_cant_do/")</f>
        <v/>
      </c>
      <c r="G8386" t="inlineStr">
        <is>
          <t>2020-06-22 14:11:49</t>
        </is>
      </c>
      <c r="H8386" t="inlineStr"/>
    </row>
    <row r="8387">
      <c r="A8387" t="inlineStr">
        <is>
          <t>he1owo</t>
        </is>
      </c>
      <c r="B8387" t="inlineStr">
        <is>
          <t>Any luck with vegan substitutes?</t>
        </is>
      </c>
      <c r="C8387" t="inlineStr">
        <is>
          <t>Hey, all! 
I've been diagnosed with GERD and a hiatal hernia, and I was wondering if vegan substitutes, such as Beyond Burgers or plant-based yogurts/milks/cheeses offered any relief for you guys.</t>
        </is>
      </c>
      <c r="D8387" t="n">
        <v>1</v>
      </c>
      <c r="E8387" t="n">
        <v>8</v>
      </c>
      <c r="F8387">
        <f>HYPERLINK("https://www.reddit.com/r/GERD/comments/he1owo/any_luck_with_vegan_substitutes/")</f>
        <v/>
      </c>
      <c r="G8387" t="inlineStr">
        <is>
          <t>2020-06-22 14:53:54</t>
        </is>
      </c>
      <c r="H8387" t="inlineStr"/>
    </row>
    <row r="8388">
      <c r="A8388" t="inlineStr">
        <is>
          <t>he1y94</t>
        </is>
      </c>
      <c r="B8388" t="inlineStr">
        <is>
          <t>Was diagnosed today - GERD with Esophagitis</t>
        </is>
      </c>
      <c r="C8388" t="inlineStr">
        <is>
          <t>I was just diagnosed today, after suffering a throbbing pain in my chest after eating pizza last night. It came on suddenly. I could feel it in my esophagus, and it got even worse after eating a cheeseburger and fries the next morning. I have lots of bloating, and belching. It feels like when you swallow something too big for your esophagus so it feels swollen and hard to swallow, and just all over inflamed.
My diet consists of: Coffee, diet pop, carbonated water, chocolate, pizza, burgers, chips, salsa, hot sauce, tacos, etc.
I also have endometriosis, and would take 600 to 800 mg ibuprofen for a day or two each month.
I had been eating this way for a while. Sometimes, I would get neauseous and vomit after eating for no reason, it was always a greasy meal or snack that triggered it, it all makes sense now.
The doctor said to eat soft food, vegetables, fruit, lean meat for 2 weeks and then it should be much better. She said to avoid the trigger foods and gave me a list of what to avoid.
My question is: is this a lifelong thing, or can I eat unhealthy once in a while and be ok? Do I have to eat this way the rest of my life?</t>
        </is>
      </c>
      <c r="D8388" t="n">
        <v>1</v>
      </c>
      <c r="E8388" t="n">
        <v>6</v>
      </c>
      <c r="F8388">
        <f>HYPERLINK("https://www.reddit.com/r/GERD/comments/he1y94/was_diagnosed_today_gerd_with_esophagitis/")</f>
        <v/>
      </c>
      <c r="G8388" t="inlineStr">
        <is>
          <t>2020-06-22 15:08:03</t>
        </is>
      </c>
      <c r="H8388" t="inlineStr"/>
    </row>
    <row r="8389">
      <c r="A8389" t="inlineStr">
        <is>
          <t>he2cq4</t>
        </is>
      </c>
      <c r="B8389" t="inlineStr">
        <is>
          <t>Feeling better, But still need some advice.</t>
        </is>
      </c>
      <c r="C8389" t="inlineStr">
        <is>
          <t>Hey all, I posted here around 2 weeks ago when i was at my wits end. 
Was having issues with gagging while eating and just generally feeling like crap all around mentally and physically.
Knowing that i wasn't alone, Knowing that many are going through the same struggles i am around the world really put my mind at ease.
I've been having issues with nausea in my throat for a solid month now and my journey this past month has been a complete rollercoaster ride. 
Two weeks i was on Pantoprazole and it didn't help one bit, Two weeks I've been on Dexilant and it's worked better than Pantoprazole but I'm still nowhere near getting the relief from this nausea that i would like. 
It's like, I no longer feel sick but my throat continues to feel this super gross nauseous pressure and it's still very much getting in the way of me taking back my life completely. 
I've tried Gravol and a few other anti nausea tablets and none of them seem to give my throat any relief. 
The only thing that gives me relief is TUMS or Pepcid but they only give me relief for a very brief amount of time. 
I guess what I'm trying to ask here is, Is there anything i could take more for nausea in my throat versus my stomach??
My stomach ever since i started taking Dexilant has felt the best it has in years and I'm even regaining that big appetite i always used to have. 
Everything just feels business as usual for me excluding this really disgusting pressure i get in my throat. 
So, If there's any advice on how i could get some longer term relief from this nausea in my throat while my esophagus continues to heal (Forgot to mention for those seeing my issues for the 1st time that my GERD gave me a case of esophagitis) it would be greatly appreciated. 
I'm just getting antsy feeling like 100% again but also having this stupid nausea basically dictate what i can and cannot do.</t>
        </is>
      </c>
      <c r="D8389" t="n">
        <v>1</v>
      </c>
      <c r="E8389" t="n">
        <v>11</v>
      </c>
      <c r="F8389">
        <f>HYPERLINK("https://www.reddit.com/r/GERD/comments/he2cq4/feeling_better_but_still_need_some_advice/")</f>
        <v/>
      </c>
      <c r="G8389" t="inlineStr">
        <is>
          <t>2020-06-22 15:30:37</t>
        </is>
      </c>
      <c r="H8389" t="inlineStr"/>
    </row>
    <row r="8390">
      <c r="A8390" t="inlineStr">
        <is>
          <t>he2nm7</t>
        </is>
      </c>
      <c r="B8390" t="inlineStr">
        <is>
          <t>Do you feel like liquid/acid reflux crawling up in your ears?</t>
        </is>
      </c>
      <c r="C8390" t="inlineStr">
        <is>
          <t>Do you get that feeling?</t>
        </is>
      </c>
      <c r="D8390" t="n">
        <v>2</v>
      </c>
      <c r="E8390" t="n">
        <v>15</v>
      </c>
      <c r="F8390">
        <f>HYPERLINK("https://www.reddit.com/r/GERD/comments/he2nm7/do_you_feel_like_liquidacid_reflux_crawling_up_in/")</f>
        <v/>
      </c>
      <c r="G8390" t="inlineStr">
        <is>
          <t>2020-06-22 15:47:55</t>
        </is>
      </c>
      <c r="H8390" t="inlineStr"/>
    </row>
    <row r="8391">
      <c r="A8391" t="inlineStr">
        <is>
          <t>he3fpc</t>
        </is>
      </c>
      <c r="B8391" t="inlineStr">
        <is>
          <t>Anyone experience weight gain or loss after starting or stopping PPIs?</t>
        </is>
      </c>
      <c r="C8391" t="inlineStr">
        <is>
          <t>Anyone experience weight gain or loss after starting or stopping PPIs? I'm not talking about huge increases or decreases. But a slow and consistent enough of a change to ask yourself if it's the PPI affecting the change.</t>
        </is>
      </c>
      <c r="D8391" t="n">
        <v>2</v>
      </c>
      <c r="E8391" t="n">
        <v>4</v>
      </c>
      <c r="F8391">
        <f>HYPERLINK("https://www.reddit.com/r/GERD/comments/he3fpc/anyone_experience_weight_gain_or_loss_after/")</f>
        <v/>
      </c>
      <c r="G8391" t="inlineStr">
        <is>
          <t>2020-06-22 16:34:37</t>
        </is>
      </c>
      <c r="H8391" t="inlineStr"/>
    </row>
    <row r="8392">
      <c r="A8392" t="inlineStr">
        <is>
          <t>he463c</t>
        </is>
      </c>
      <c r="B8392" t="inlineStr">
        <is>
          <t>Vomiting and heart palpitations</t>
        </is>
      </c>
      <c r="C8392" t="inlineStr">
        <is>
          <t>I was dx with GERD three weeks ago. Have been on 20mg omeprazole now for five weeks. 
I ate some cookies today and about an hour later was laying down. My chest started pounding so I stood up and went to the bathroom. I made myself throw up everything I had ate and it seemed to help but the heart racing is terrifying. 
I see a cardiologist tomorrow but just want to see if other people experience similar symptoms?</t>
        </is>
      </c>
      <c r="D8392" t="n">
        <v>1</v>
      </c>
      <c r="E8392" t="n">
        <v>2</v>
      </c>
      <c r="F8392">
        <f>HYPERLINK("https://www.reddit.com/r/GERD/comments/he463c/vomiting_and_heart_palpitations/")</f>
        <v/>
      </c>
      <c r="G8392" t="inlineStr">
        <is>
          <t>2020-06-22 17:19:44</t>
        </is>
      </c>
      <c r="H8392" t="inlineStr"/>
    </row>
    <row r="8393">
      <c r="A8393" t="inlineStr">
        <is>
          <t>he48ny</t>
        </is>
      </c>
      <c r="B8393" t="inlineStr">
        <is>
          <t>What should i do..</t>
        </is>
      </c>
      <c r="C8393" t="inlineStr">
        <is>
          <t>This has been going on for like 5 months,honestly my stomach feels awful especially at night.I have been going to see the same doctor for four times now and nothing is working(They said it was gastric pain but i don't think so).Usually the food don't get digested and sometimes would come back up,usually when i'm lying down.Sometimes it would get too uncomfortable that i will try to lie down.But lately it's happening more often in the afternoon and even getting dizzy at times.I honestly don't know what i can do to stop this cause seeing the doctor hasn't been helping at all.</t>
        </is>
      </c>
      <c r="D8393" t="n">
        <v>1</v>
      </c>
      <c r="E8393" t="n">
        <v>4</v>
      </c>
      <c r="F8393">
        <f>HYPERLINK("https://www.reddit.com/r/GERD/comments/he48ny/what_should_i_do/")</f>
        <v/>
      </c>
      <c r="G8393" t="inlineStr">
        <is>
          <t>2020-06-22 17:24:08</t>
        </is>
      </c>
      <c r="H8393" t="inlineStr"/>
    </row>
    <row r="8394">
      <c r="A8394" t="inlineStr">
        <is>
          <t>he5toi</t>
        </is>
      </c>
      <c r="B8394" t="inlineStr">
        <is>
          <t>Protein Powder, go or no go for most people?</t>
        </is>
      </c>
      <c r="C8394" t="inlineStr">
        <is>
          <t>Is whey protein powder generally considered safe on an acid reflux diet?</t>
        </is>
      </c>
      <c r="D8394" t="n">
        <v>1</v>
      </c>
      <c r="E8394" t="n">
        <v>4</v>
      </c>
      <c r="F8394">
        <f>HYPERLINK("https://www.reddit.com/r/GERD/comments/he5toi/protein_powder_go_or_no_go_for_most_people/")</f>
        <v/>
      </c>
      <c r="G8394" t="inlineStr">
        <is>
          <t>2020-06-22 19:04:24</t>
        </is>
      </c>
      <c r="H8394" t="inlineStr"/>
    </row>
    <row r="8395">
      <c r="A8395" t="inlineStr">
        <is>
          <t>he69d1</t>
        </is>
      </c>
      <c r="B8395" t="inlineStr">
        <is>
          <t>Can anyone share their endoscopy experiences?</t>
        </is>
      </c>
      <c r="C8395" t="inlineStr">
        <is>
          <t>I have an appointment with an ENT next week and I’m nervous about them possibly doing an endoscopy on me. I have no clue how it’s done but I have the worst gag reflex. I’m scared if they do it I’ll throw up or be so nervous I pass out. Any stories you can share?</t>
        </is>
      </c>
      <c r="D8395" t="n">
        <v>1</v>
      </c>
      <c r="E8395" t="n">
        <v>13</v>
      </c>
      <c r="F8395">
        <f>HYPERLINK("https://www.reddit.com/r/GERD/comments/he69d1/can_anyone_share_their_endoscopy_experiences/")</f>
        <v/>
      </c>
      <c r="G8395" t="inlineStr">
        <is>
          <t>2020-06-22 19:32:31</t>
        </is>
      </c>
      <c r="H8395" t="inlineStr"/>
    </row>
    <row r="8396">
      <c r="A8396" t="inlineStr">
        <is>
          <t>he6q3x</t>
        </is>
      </c>
      <c r="B8396" t="inlineStr">
        <is>
          <t>I think I figured out my trigger</t>
        </is>
      </c>
      <c r="C8396" t="inlineStr">
        <is>
          <t>So about 15 years ago I injured my lower back, pinched my sciatic nerve, was out for about 3 months. l never rehabbed it properly and I have never really felt 100% ever since. I developed a painless constant twitch in my calf (which is starting to cramp up now when my reflux is bad) and have always had really bad posture. I was diagnosed with gastritis a few weeks ago and I'm starting to think that the main problem is my lower back issues. I feel like the weight of my upper torso all kind of just sat on my gi tract and thats what fucked me up. Focusing on posture has been the biggest help for me, I think. Is this possible, or am i just imagining this?</t>
        </is>
      </c>
      <c r="D8396" t="n">
        <v>1</v>
      </c>
      <c r="E8396" t="n">
        <v>1</v>
      </c>
      <c r="F8396">
        <f>HYPERLINK("https://www.reddit.com/r/GERD/comments/he6q3x/i_think_i_figured_out_my_trigger/")</f>
        <v/>
      </c>
      <c r="G8396" t="inlineStr">
        <is>
          <t>2020-06-22 20:03:38</t>
        </is>
      </c>
      <c r="H8396" t="inlineStr"/>
    </row>
    <row r="8397">
      <c r="A8397" t="inlineStr">
        <is>
          <t>he95xe</t>
        </is>
      </c>
      <c r="B8397" t="inlineStr">
        <is>
          <t>Oatmeal didn't help.</t>
        </is>
      </c>
      <c r="C8397" t="inlineStr">
        <is>
          <t>First time posting here any advice or support is greatly appreciated, I've been dealing with acid reflux for a couple of years now im 33 m and today I had oatmeal with banana because I've been having digestive problems as well but it seems to have made me feel worse, now I have more burps and my arms are feeling numb or tingling is this normal I made myself a tea of chamomile to see if it helps, I would love feed back thanks in advance by the way my name is Robert.</t>
        </is>
      </c>
      <c r="D8397" t="n">
        <v>1</v>
      </c>
      <c r="E8397" t="n">
        <v>6</v>
      </c>
      <c r="F8397">
        <f>HYPERLINK("https://www.reddit.com/r/GERD/comments/he95xe/oatmeal_didnt_help/")</f>
        <v/>
      </c>
      <c r="G8397" t="inlineStr">
        <is>
          <t>2020-06-22 23:03:48</t>
        </is>
      </c>
      <c r="H8397" t="inlineStr"/>
    </row>
    <row r="8398">
      <c r="A8398" t="inlineStr">
        <is>
          <t>hea62i</t>
        </is>
      </c>
      <c r="B8398" t="inlineStr">
        <is>
          <t>Heart Palp/Popping noise/Throat feeling</t>
        </is>
      </c>
      <c r="C8398" t="inlineStr">
        <is>
          <t>Ive been having this weird sensation for the past week where if i lie on particularly my left side I can hear popping in my left side of the chest. It sounds like gas but at the same time feels like multiple heartbeats which is scary. Ive had this in the past but my anxiety is particularly high about it this time around so i notice it a lot more. Is this normal? It is like multiple popping noises coming from my left side of my chest and this is like all night. Already got ekgs and a holter monitor done. Nothing from that. I was wondering if gas alone could cause that popping  noise to occur whenever im in certain positions and it doesnt happen when im standing up or in a more upright position.</t>
        </is>
      </c>
      <c r="D8398" t="n">
        <v>1</v>
      </c>
      <c r="E8398" t="n">
        <v>7</v>
      </c>
      <c r="F8398">
        <f>HYPERLINK("https://www.reddit.com/r/GERD/comments/hea62i/heart_palppopping_noisethroat_feeling/")</f>
        <v/>
      </c>
      <c r="G8398" t="inlineStr">
        <is>
          <t>2020-06-23 00:29:50</t>
        </is>
      </c>
      <c r="H8398" t="inlineStr"/>
    </row>
    <row r="8399">
      <c r="A8399" t="inlineStr">
        <is>
          <t>heaq46</t>
        </is>
      </c>
      <c r="B8399" t="inlineStr">
        <is>
          <t>GERD but only Nausea?</t>
        </is>
      </c>
      <c r="C8399" t="inlineStr">
        <is>
          <t>Hi all. I’m new to this community and reddit so apologies if I accidentally break one of the guidelines. For the last 3 months I have had constant nausea. I went to a gastroenterologist and had a colonoscopy and endoscopy done yesterday. The doctor thought it might be IBS but has ruled it out and thinks it is GERD o. She took some biopsies but I don’t have those results yet. There was some slight abnormal tissue on my oesophageal junction. Anyway I just wanted to ask - does anyone with GERD get only (or mainly) nausea? I sometime get an acidic feeling in my chest (and I burp a lot), but I don’t get the actual acid in the back of my throat or heartburn. The nausea is almost constant but I never actually vomit. I have some odansetron/zofran which helps but it causes constipation and is not ideal. The nausea is becoming quite debilitating. I have been taking nexium for about a month prior to this but have not seen a huge improvement.</t>
        </is>
      </c>
      <c r="D8399" t="n">
        <v>1</v>
      </c>
      <c r="E8399" t="n">
        <v>10</v>
      </c>
      <c r="F8399">
        <f>HYPERLINK("https://www.reddit.com/r/GERD/comments/heaq46/gerd_but_only_nausea/")</f>
        <v/>
      </c>
      <c r="G8399" t="inlineStr">
        <is>
          <t>2020-06-23 01:19:04</t>
        </is>
      </c>
      <c r="H8399" t="inlineStr"/>
    </row>
    <row r="8400">
      <c r="A8400" t="inlineStr">
        <is>
          <t>heaxoy</t>
        </is>
      </c>
      <c r="B8400" t="inlineStr">
        <is>
          <t>Nausea after nissian fundoplication</t>
        </is>
      </c>
      <c r="C8400" t="inlineStr">
        <is>
          <t>My spouse had a nissian fundoplication in December and while it seem to have limited her gerd symptoms and reduced her nexium to half her usual dose . 
She still struggles with nausea everyday . It affects her day to day life and our together activities . Is there anything she can do to help or any similar experiences ?</t>
        </is>
      </c>
      <c r="D8400" t="n">
        <v>1</v>
      </c>
      <c r="E8400" t="n">
        <v>3</v>
      </c>
      <c r="F8400">
        <f>HYPERLINK("https://www.reddit.com/r/GERD/comments/heaxoy/nausea_after_nissian_fundoplication/")</f>
        <v/>
      </c>
      <c r="G8400" t="inlineStr">
        <is>
          <t>2020-06-23 01:38:28</t>
        </is>
      </c>
      <c r="H8400" t="inlineStr"/>
    </row>
    <row r="8401">
      <c r="A8401" t="inlineStr">
        <is>
          <t>heb0dr</t>
        </is>
      </c>
      <c r="B8401" t="inlineStr">
        <is>
          <t>Supragastric belching</t>
        </is>
      </c>
      <c r="C8401" t="inlineStr">
        <is>
          <t>Hello. Who has supragastric belching here?  It is burping alot due to excess swallowing of air due to anxiety. (You can search it in google for better explanation :) )
I think i have this. I burp a lot. It feels like there's a pressure in my stomach/chest that i need to release so i burp.
I've been like this for more than a month (almost 2) . My GI said it is GERD. So i took all the medications but nothing helped. If someone experienced this, how did you recovered?
I don't experience acid reflux, regurgitation, heartburn, etc. Just the annoying repeated pressure that needs to be released by burping. My BMI is normal and i already stopped drinking coffee since this started.</t>
        </is>
      </c>
      <c r="D8401" t="n">
        <v>1</v>
      </c>
      <c r="E8401" t="n">
        <v>5</v>
      </c>
      <c r="F8401">
        <f>HYPERLINK("https://www.reddit.com/r/GERD/comments/heb0dr/supragastric_belching/")</f>
        <v/>
      </c>
      <c r="G8401" t="inlineStr">
        <is>
          <t>2020-06-23 01:46:00</t>
        </is>
      </c>
      <c r="H8401" t="inlineStr"/>
    </row>
    <row r="8402">
      <c r="A8402" t="inlineStr">
        <is>
          <t>hebwi2</t>
        </is>
      </c>
      <c r="B8402" t="inlineStr">
        <is>
          <t>I ate a big meal right before bed and woke up with painful wet coughing.</t>
        </is>
      </c>
      <c r="C8402" t="inlineStr">
        <is>
          <t>Is this a symptom of GERD? I’m new here. 
Also, right after I eat any meal I have a congestive cough for about a minute but it goes away very quickly. Could this be GERD also?</t>
        </is>
      </c>
      <c r="D8402" t="n">
        <v>1</v>
      </c>
      <c r="E8402" t="n">
        <v>7</v>
      </c>
      <c r="F8402">
        <f>HYPERLINK("https://www.reddit.com/r/GERD/comments/hebwi2/i_ate_a_big_meal_right_before_bed_and_woke_up/")</f>
        <v/>
      </c>
      <c r="G8402" t="inlineStr">
        <is>
          <t>2020-06-23 03:07:25</t>
        </is>
      </c>
      <c r="H8402" t="inlineStr"/>
    </row>
    <row r="8403">
      <c r="A8403" t="inlineStr">
        <is>
          <t>heeokd</t>
        </is>
      </c>
      <c r="B8403" t="inlineStr">
        <is>
          <t>Diagnosed with GERD but stuck in a lockdown.</t>
        </is>
      </c>
      <c r="C8403" t="inlineStr">
        <is>
          <t>I’m a 26 year old male, I had been diagnosed with GERD and IBS about a year back. Recently over the last 2-3 months I’ve consistently had a low grade fever, nauseas feeling, slight headaches, dry mouth and sore throat, and more recently I’ve started having a great deal of upper middle back pain, and fatigue. I get the occasional earache too, although that’s not so bad. I’m currently in the middle of a lockdown, so accessing a doctor is not easy. Is it something I should be taking a lot more seriously and going to a hospital?</t>
        </is>
      </c>
      <c r="D8403" t="n">
        <v>1</v>
      </c>
      <c r="E8403" t="n">
        <v>5</v>
      </c>
      <c r="F8403">
        <f>HYPERLINK("https://www.reddit.com/r/GERD/comments/heeokd/diagnosed_with_gerd_but_stuck_in_a_lockdown/")</f>
        <v/>
      </c>
      <c r="G8403" t="inlineStr">
        <is>
          <t>2020-06-23 06:33:06</t>
        </is>
      </c>
      <c r="H8403" t="inlineStr"/>
    </row>
    <row r="8404">
      <c r="A8404" t="inlineStr">
        <is>
          <t>hegrpn</t>
        </is>
      </c>
      <c r="B8404" t="inlineStr">
        <is>
          <t>Has anyone successfully been able to drink coffee/caffeine since the start of their GERD?</t>
        </is>
      </c>
      <c r="C8404" t="inlineStr">
        <is>
          <t>So it’s coming up on almost 2 months of having GERD and thankfully I am improving and being able to consume a lot of the trigger foods I thought I would never eat but of course some foods with higher moderation than others. I started incorporating caffeine like 3 weeks ago and keep trying to incorporate caffeine from like every other week just to see how it goes and it feels like it barely gets any better. I have purchased iced decaf lattes when coffee shops use the Swiss/mountain method and that gives me no heart burn and I even made myself a decaf iced latte with a nespresso and it gives me no heart burn either. I made myself one yesterday and I just wanted to experiment having some with a bit of caffeine so I tried pouring in some coffee but again, it gave me bad reflux. Has anyone just took a really long time to be able to go back to drinking caffeine? Looking for some hope here 😞🙏🏼</t>
        </is>
      </c>
      <c r="D8404" t="n">
        <v>2</v>
      </c>
      <c r="E8404" t="n">
        <v>41</v>
      </c>
      <c r="F8404">
        <f>HYPERLINK("https://www.reddit.com/r/GERD/comments/hegrpn/has_anyone_successfully_been_able_to_drink/")</f>
        <v/>
      </c>
      <c r="G8404" t="inlineStr">
        <is>
          <t>2020-06-23 08:34:42</t>
        </is>
      </c>
      <c r="H8404" t="inlineStr"/>
    </row>
    <row r="8405">
      <c r="A8405" t="inlineStr">
        <is>
          <t>heho75</t>
        </is>
      </c>
      <c r="B8405" t="inlineStr">
        <is>
          <t>14 days on Prilosec 20. Not fully healed. What now?</t>
        </is>
      </c>
      <c r="C8405" t="inlineStr">
        <is>
          <t>I did 14 days of Prilosec. It helped with acid but still have the globus sensation all day. What now? Can I keep taking it until I get into the doctors office. Do I take a week off and then start again?</t>
        </is>
      </c>
      <c r="D8405" t="n">
        <v>1</v>
      </c>
      <c r="E8405" t="n">
        <v>3</v>
      </c>
      <c r="F8405">
        <f>HYPERLINK("https://www.reddit.com/r/GERD/comments/heho75/14_days_on_prilosec_20_not_fully_healed_what_now/")</f>
        <v/>
      </c>
      <c r="G8405" t="inlineStr">
        <is>
          <t>2020-06-23 09:22:24</t>
        </is>
      </c>
      <c r="H8405" t="inlineStr"/>
    </row>
    <row r="8406">
      <c r="A8406" t="inlineStr">
        <is>
          <t>hehxpv</t>
        </is>
      </c>
      <c r="B8406" t="inlineStr">
        <is>
          <t>How long will it hurt to eat after having esophagus dilated?</t>
        </is>
      </c>
      <c r="C8406" t="inlineStr">
        <is>
          <t>Had my esophagus dilated/stretched during an endoscopy on Friday. It’s still very painful to eat — is this normal? 
I had it dilated a couple months ago too and I recall it only hurting for a couple of days afterwards. 
Please share your experience if you’ve had a dilation. Thanks!</t>
        </is>
      </c>
      <c r="D8406" t="n">
        <v>1</v>
      </c>
      <c r="E8406" t="n">
        <v>0</v>
      </c>
      <c r="F8406">
        <f>HYPERLINK("https://www.reddit.com/r/GERD/comments/hehxpv/how_long_will_it_hurt_to_eat_after_having/")</f>
        <v/>
      </c>
      <c r="G8406" t="inlineStr">
        <is>
          <t>2020-06-23 09:36:34</t>
        </is>
      </c>
      <c r="H8406" t="inlineStr"/>
    </row>
    <row r="8407">
      <c r="A8407" t="inlineStr">
        <is>
          <t>hei3jn</t>
        </is>
      </c>
      <c r="B8407" t="inlineStr">
        <is>
          <t>My GERD is a kidney infection. WTF?! GOVERNMENT SAVE THE NHS FFS</t>
        </is>
      </c>
      <c r="C8407" t="inlineStr">
        <is>
          <t>My GERD is a kidney infection/potential kidney stones. Got the call today. 
I'm am shocked, but not surprised. The pain I am experiencing is in my back, stabbing and shooting pains. But this also affected my ears and my throat and I started tasting blood in my mouth and bleeding from the other end (tmi sorry). What a horrendous misdiagnosis. 
Now I am 4 weeks in on a PPI I may NOT have even needed. Inflammination makers in my blood tests high, due to the infection. I just don't understand how this happened. The pain had radiated round to my stomach and sternum and all the way up and down my back, the pain had even gotten as far as just above my butt. However I guess this does make sense as I don't have the classical 'heartburn' signs or regurgitation ect.
 I have had a fever and been feeling generally really unwell. Yesterday it got so bad I thought I was gonna have to go to A&amp;amp;E. Lord knows.. PLEASE SAVE THE NHS FFS. Funniest thing I don't even have any signs of a UTI. I seriously thought I had erosive esophagitis that is chewing through to my back. Alas, I'm now gonna need a PPI step down plan.
 I want to cry tbh, this has been a living HELL. You are all warriors and this has definitely taught me one thing, to look after my health. I will never again neglect my health. Nu Uh you won't catch me slipping back to my old dietary habits either. I am going to nourish my body.  I have lost almost a stone in 3 weeks. I now drink TONS of water, no caffeine, little to no sugar, high fiber, low fat. 
What's the best way to step down from PPIs?</t>
        </is>
      </c>
      <c r="D8407" t="n">
        <v>3</v>
      </c>
      <c r="E8407" t="n">
        <v>27</v>
      </c>
      <c r="F8407">
        <f>HYPERLINK("https://www.reddit.com/r/GERD/comments/hei3jn/my_gerd_is_a_kidney_infection_wtf_government_save/")</f>
        <v/>
      </c>
      <c r="G8407" t="inlineStr">
        <is>
          <t>2020-06-23 09:45:25</t>
        </is>
      </c>
      <c r="H8407" t="inlineStr"/>
    </row>
    <row r="8408">
      <c r="A8408" t="inlineStr">
        <is>
          <t>hej9s5</t>
        </is>
      </c>
      <c r="B8408" t="inlineStr">
        <is>
          <t>Which book has work best for you with Gastritis and (Gerd) LPR especially when you have food intolerance?</t>
        </is>
      </c>
      <c r="C8408" t="inlineStr">
        <is>
          <t>Help!</t>
        </is>
      </c>
      <c r="D8408" t="n">
        <v>1</v>
      </c>
      <c r="E8408" t="n">
        <v>0</v>
      </c>
      <c r="F8408">
        <f>HYPERLINK("https://www.reddit.com/r/GERD/comments/hej9s5/which_book_has_work_best_for_you_with_gastritis/")</f>
        <v/>
      </c>
      <c r="G8408" t="inlineStr">
        <is>
          <t>2020-06-23 10:47:26</t>
        </is>
      </c>
      <c r="H8408" t="inlineStr"/>
    </row>
    <row r="8409">
      <c r="A8409" t="inlineStr">
        <is>
          <t>hejmdm</t>
        </is>
      </c>
      <c r="B8409" t="inlineStr">
        <is>
          <t>Best anxiety meds for gastritis and gerd</t>
        </is>
      </c>
      <c r="C8409" t="inlineStr">
        <is>
          <t>One that you can wean off really fast and one that start to work within a day.</t>
        </is>
      </c>
      <c r="D8409" t="n">
        <v>1</v>
      </c>
      <c r="E8409" t="n">
        <v>2</v>
      </c>
      <c r="F8409">
        <f>HYPERLINK("https://www.reddit.com/r/GERD/comments/hejmdm/best_anxiety_meds_for_gastritis_and_gerd/")</f>
        <v/>
      </c>
      <c r="G8409" t="inlineStr">
        <is>
          <t>2020-06-23 11:05:48</t>
        </is>
      </c>
      <c r="H8409" t="inlineStr"/>
    </row>
    <row r="8410">
      <c r="A8410" t="inlineStr">
        <is>
          <t>hejneh</t>
        </is>
      </c>
      <c r="B8410" t="inlineStr">
        <is>
          <t>Anyone had an endoscopy with propofol?</t>
        </is>
      </c>
      <c r="C8410" t="inlineStr">
        <is>
          <t>I’m having an endoscopy tomorrow with propofol instead of twilight sleep because I had a bad reaction to it the first time. My first endoscopy was not able to be completed because the doctor couldn’t dose me properly (I’m super small like barely 100lbs). I’m just wondering if anyone can explain what it was like with propofol and how they felt after the procedure. I’m extremely nervous and get panic attacks, so any reassurance would be greatly appreciated.</t>
        </is>
      </c>
      <c r="D8410" t="n">
        <v>1</v>
      </c>
      <c r="E8410" t="n">
        <v>10</v>
      </c>
      <c r="F8410">
        <f>HYPERLINK("https://www.reddit.com/r/GERD/comments/hejneh/anyone_had_an_endoscopy_with_propofol/")</f>
        <v/>
      </c>
      <c r="G8410" t="inlineStr">
        <is>
          <t>2020-06-23 11:07:10</t>
        </is>
      </c>
      <c r="H8410" t="inlineStr"/>
    </row>
    <row r="8411">
      <c r="A8411" t="inlineStr">
        <is>
          <t>hekzru</t>
        </is>
      </c>
      <c r="B8411" t="inlineStr">
        <is>
          <t>GERD and loss of appetite</t>
        </is>
      </c>
      <c r="C8411" t="inlineStr">
        <is>
          <t>Has anyone else experienced a loss of appetite with their GERD? I try to eat as best as possible since I have to manage ibs too, but I’m having trouble eating. Any tips?</t>
        </is>
      </c>
      <c r="D8411" t="n">
        <v>2</v>
      </c>
      <c r="E8411" t="n">
        <v>5</v>
      </c>
      <c r="F8411">
        <f>HYPERLINK("https://www.reddit.com/r/GERD/comments/hekzru/gerd_and_loss_of_appetite/")</f>
        <v/>
      </c>
      <c r="G8411" t="inlineStr">
        <is>
          <t>2020-06-23 12:17:12</t>
        </is>
      </c>
      <c r="H8411" t="inlineStr"/>
    </row>
    <row r="8412">
      <c r="A8412" t="inlineStr">
        <is>
          <t>helcs6</t>
        </is>
      </c>
      <c r="B8412" t="inlineStr">
        <is>
          <t>PPIs is sucking the life from my food.</t>
        </is>
      </c>
      <c r="C8412" t="inlineStr">
        <is>
          <t>I’m currently on Pantrapozole 40mg I was diagnosed GERD from a telehealth DR 2 months ago. I change my diet completely. Is there something better? Other than this PPI. I feel like the acid is removing the nutrients from my food.</t>
        </is>
      </c>
      <c r="D8412" t="n">
        <v>1</v>
      </c>
      <c r="E8412" t="n">
        <v>3</v>
      </c>
      <c r="F8412">
        <f>HYPERLINK("https://www.reddit.com/r/GERD/comments/helcs6/ppis_is_sucking_the_life_from_my_food/")</f>
        <v/>
      </c>
      <c r="G8412" t="inlineStr">
        <is>
          <t>2020-06-23 12:36:01</t>
        </is>
      </c>
      <c r="H8412" t="inlineStr"/>
    </row>
    <row r="8413">
      <c r="A8413" t="inlineStr">
        <is>
          <t>helg6q</t>
        </is>
      </c>
      <c r="B8413" t="inlineStr">
        <is>
          <t>Anyone feel like their temperature is higher than usual very often. Not quite a fever, but higher than what it should be?</t>
        </is>
      </c>
      <c r="C8413" t="inlineStr">
        <is>
          <t>Or am I the only one with this symptom?</t>
        </is>
      </c>
      <c r="D8413" t="n">
        <v>1</v>
      </c>
      <c r="E8413" t="n">
        <v>4</v>
      </c>
      <c r="F8413">
        <f>HYPERLINK("https://www.reddit.com/r/GERD/comments/helg6q/anyone_feel_like_their_temperature_is_higher_than/")</f>
        <v/>
      </c>
      <c r="G8413" t="inlineStr">
        <is>
          <t>2020-06-23 12:40:56</t>
        </is>
      </c>
      <c r="H8413" t="inlineStr"/>
    </row>
    <row r="8414">
      <c r="A8414" t="inlineStr">
        <is>
          <t>hem7lb</t>
        </is>
      </c>
      <c r="B8414" t="inlineStr">
        <is>
          <t>Relief from Claritin</t>
        </is>
      </c>
      <c r="C8414" t="inlineStr">
        <is>
          <t>Was just wondering if anyone in this community gets relief from Claritin.   
My doctor thinks I may have digestive issues and prescribed me 20mg of omeprazole today.  
Previously, I was taking Claritin and it made me feel incredible. Better than I ever felt in my life.  I dont think that I have outdoor allergies though.  I just happened to take some Claritin a couple of years ago and it made me feel so much better that I assumed I must have allergies. I stopped taking Claritin recently because I developed a chronic dry cough that went away when I stopped taking Claritin. 
So now I'm going to try omeprazole. 
Just wondering if Claritin worked for anyone's digestive issues .</t>
        </is>
      </c>
      <c r="D8414" t="n">
        <v>3</v>
      </c>
      <c r="E8414" t="n">
        <v>11</v>
      </c>
      <c r="F8414">
        <f>HYPERLINK("https://www.reddit.com/r/GERD/comments/hem7lb/relief_from_claritin/")</f>
        <v/>
      </c>
      <c r="G8414" t="inlineStr">
        <is>
          <t>2020-06-23 13:21:31</t>
        </is>
      </c>
      <c r="H8414" t="inlineStr"/>
    </row>
    <row r="8415">
      <c r="A8415" t="inlineStr">
        <is>
          <t>hemsyd</t>
        </is>
      </c>
      <c r="B8415" t="inlineStr">
        <is>
          <t>do they make a Tums without nasty artificial sweeteners?</t>
        </is>
      </c>
      <c r="C8415" t="inlineStr">
        <is>
          <t>I had a tums the other day and saw it had sucralose in it.  Gross wtf why is this in everything.</t>
        </is>
      </c>
      <c r="D8415" t="n">
        <v>1</v>
      </c>
      <c r="E8415" t="n">
        <v>5</v>
      </c>
      <c r="F8415">
        <f>HYPERLINK("https://www.reddit.com/r/GERD/comments/hemsyd/do_they_make_a_tums_without_nasty_artificial/")</f>
        <v/>
      </c>
      <c r="G8415" t="inlineStr">
        <is>
          <t>2020-06-23 13:53:44</t>
        </is>
      </c>
      <c r="H8415" t="inlineStr"/>
    </row>
    <row r="8416">
      <c r="A8416" t="inlineStr">
        <is>
          <t>hen2hx</t>
        </is>
      </c>
      <c r="B8416" t="inlineStr">
        <is>
          <t>LPR globus. Zyrtec or Mucinex?</t>
        </is>
      </c>
      <c r="C8416" t="inlineStr">
        <is>
          <t>Has anyone had more luck with Mucinex? I have globus sensation at random times throughout the day that chewing gum helps with. I use a tongue scraper and spit is really clearmucus like and bubbly. Nose gets stuffy at different points.</t>
        </is>
      </c>
      <c r="D8416" t="n">
        <v>1</v>
      </c>
      <c r="E8416" t="n">
        <v>1</v>
      </c>
      <c r="F8416">
        <f>HYPERLINK("https://www.reddit.com/r/GERD/comments/hen2hx/lpr_globus_zyrtec_or_mucinex/")</f>
        <v/>
      </c>
      <c r="G8416" t="inlineStr">
        <is>
          <t>2020-06-23 14:07:57</t>
        </is>
      </c>
      <c r="H8416" t="inlineStr"/>
    </row>
    <row r="8417">
      <c r="A8417" t="inlineStr">
        <is>
          <t>hen5v6</t>
        </is>
      </c>
      <c r="B8417" t="inlineStr">
        <is>
          <t>PH Bravo tomorrow - no meds this past 10 days has been a challenge</t>
        </is>
      </c>
      <c r="C8417" t="inlineStr">
        <is>
          <t>Super excited to FINALLY be having this test so I can talk to a surgeon.  It's been really hard to be off PPI's though, non stop burning and teeth hurting from LPR.  And now these last 24 hours I can't even take an antacid or Gaviscon.  It's torture, but it's going to be worth it.  I'm going to try and sleep sitting up for the next 3 nights until this test is over.  Here we go!</t>
        </is>
      </c>
      <c r="D8417" t="n">
        <v>1</v>
      </c>
      <c r="E8417" t="n">
        <v>21</v>
      </c>
      <c r="F8417">
        <f>HYPERLINK("https://www.reddit.com/r/GERD/comments/hen5v6/ph_bravo_tomorrow_no_meds_this_past_10_days_has/")</f>
        <v/>
      </c>
      <c r="G8417" t="inlineStr">
        <is>
          <t>2020-06-23 14:12:57</t>
        </is>
      </c>
      <c r="H8417" t="inlineStr"/>
    </row>
    <row r="8418">
      <c r="A8418" t="inlineStr">
        <is>
          <t>henb9s</t>
        </is>
      </c>
      <c r="B8418" t="inlineStr">
        <is>
          <t>Globus and LPR?</t>
        </is>
      </c>
      <c r="C8418" t="inlineStr">
        <is>
          <t>I was misdiagnosed with a goiter for years for an ENT to tell me what I’m most likely experiencing is Globus from LPR. I always knew I had GERD since I was six, but had never even heard of this. I just figured regurgitation was common with acid reflux.
Anyways, It’s a super uncomfortable feeling! and everything I’ve research on My own says it will take months to heal my esophagus. Has anyone else experienced this discomfort? How long did it take for you to finally get relief? What can I do to make it heal better?</t>
        </is>
      </c>
      <c r="D8418" t="n">
        <v>1</v>
      </c>
      <c r="E8418" t="n">
        <v>2</v>
      </c>
      <c r="F8418">
        <f>HYPERLINK("https://www.reddit.com/r/GERD/comments/henb9s/globus_and_lpr/")</f>
        <v/>
      </c>
      <c r="G8418" t="inlineStr">
        <is>
          <t>2020-06-23 14:21:16</t>
        </is>
      </c>
      <c r="H8418" t="inlineStr"/>
    </row>
    <row r="8419">
      <c r="A8419" t="inlineStr">
        <is>
          <t>henyv0</t>
        </is>
      </c>
      <c r="B8419" t="inlineStr">
        <is>
          <t>Water regurgitation?</t>
        </is>
      </c>
      <c r="C8419" t="inlineStr">
        <is>
          <t>I am not sure what to call this but anytime I drink water I can feel it going down my throat and esophagus then it feels like some of it just hangs out in my chest and throat. Within a few minutes I can still feel water but now mixed with burning and the inability to burp. Is this common? It almost feels like when I drink water there just isn’t enough room for it to go all the way down.</t>
        </is>
      </c>
      <c r="D8419" t="n">
        <v>1</v>
      </c>
      <c r="E8419" t="n">
        <v>4</v>
      </c>
      <c r="F8419">
        <f>HYPERLINK("https://www.reddit.com/r/GERD/comments/henyv0/water_regurgitation/")</f>
        <v/>
      </c>
      <c r="G8419" t="inlineStr">
        <is>
          <t>2020-06-23 14:55:52</t>
        </is>
      </c>
      <c r="H8419" t="inlineStr"/>
    </row>
    <row r="8420">
      <c r="A8420" t="inlineStr">
        <is>
          <t>hep0eb</t>
        </is>
      </c>
      <c r="B8420" t="inlineStr">
        <is>
          <t>Triggers</t>
        </is>
      </c>
      <c r="C8420" t="inlineStr">
        <is>
          <t>Hi All,
Been suffering for the past few months. Having a horrible time trying to figure out my triggers. Could we all do a quick post to this and list your triggers? I know it’s different for everyone but it may help people and myself identify some triggers.</t>
        </is>
      </c>
      <c r="D8420" t="n">
        <v>1</v>
      </c>
      <c r="E8420" t="n">
        <v>13</v>
      </c>
      <c r="F8420">
        <f>HYPERLINK("https://www.reddit.com/r/GERD/comments/hep0eb/triggers/")</f>
        <v/>
      </c>
      <c r="G8420" t="inlineStr">
        <is>
          <t>2020-06-23 15:51:49</t>
        </is>
      </c>
      <c r="H8420" t="inlineStr"/>
    </row>
    <row r="8421">
      <c r="A8421" t="inlineStr">
        <is>
          <t>hepa89</t>
        </is>
      </c>
      <c r="B8421" t="inlineStr">
        <is>
          <t>Has anyone successfully stopped taking PPIs yet?</t>
        </is>
      </c>
      <c r="C8421" t="inlineStr">
        <is>
          <t>Got on Nexium two years ago for mild heartburn following a doctors's advice.  Have had to take some sort of acid reducer ever since I tried to quit the first time.  I think I am fighting acid rebound as my endoscopy was clear and H pylori negative.  Diagnosis has gone from GERD to gastritis to functional dyspepsia and symptoms shift from primarily in esophagus to burning and bloating in upper belly.  Have stepped from PPIs, to H2As to Famotidine now.  Doc wants to put me back on PPIs.  I don't want to be on that forever as I'm at risk of osteoporosis and have no thyroid and must get full use of my Synthroid dose.  This sucks.  I'm ok eating very little until about 3 pm every day when symptoms really crank up.</t>
        </is>
      </c>
      <c r="D8421" t="n">
        <v>1</v>
      </c>
      <c r="E8421" t="n">
        <v>5</v>
      </c>
      <c r="F8421">
        <f>HYPERLINK("https://www.reddit.com/r/GERD/comments/hepa89/has_anyone_successfully_stopped_taking_ppis_yet/")</f>
        <v/>
      </c>
      <c r="G8421" t="inlineStr">
        <is>
          <t>2020-06-23 16:06:44</t>
        </is>
      </c>
      <c r="H8421" t="inlineStr"/>
    </row>
    <row r="8422">
      <c r="A8422" t="inlineStr">
        <is>
          <t>heptsu</t>
        </is>
      </c>
      <c r="B8422" t="inlineStr">
        <is>
          <t>Irritation just from eating?</t>
        </is>
      </c>
      <c r="C8422" t="inlineStr">
        <is>
          <t>Can continued "LPR" symptoms be attributed to food irritating the throat on the way down and the throat not fully healing? This would be separate from pepsin getting reactivated due to high-acid foods - think of having an open wound on your arm but it can't fully heal because you keep accidentally touching it; same concept but it's the food that keeps irritating the damaged tissue not because your immune system is reacting to it, but just because it's something solid hitting damaged tissue.
My issues are with silent reflux and my primary symptom is Globus. I've gone all-in with lifestyle changes, including the low acid diet, sleeping on a wedge, Gaviscon Advance UK, etc. I've kept food journals and haven't found a rhyme or reason, with the exception being that on my bad days I can feel the irritation get worse immediately after dinner. Any of these issues have been with food that on other days are fine. While reflux may have started this, my bad days don't seem to align with typical reasons for LPR.
I've been diagnosed with LPR after ENT scoped through my nose and saw "classic LPR", I've also had an endoscopy done with only mild signs of reflux. Negative on EoE.</t>
        </is>
      </c>
      <c r="D8422" t="n">
        <v>1</v>
      </c>
      <c r="E8422" t="n">
        <v>10</v>
      </c>
      <c r="F8422">
        <f>HYPERLINK("https://www.reddit.com/r/GERD/comments/heptsu/irritation_just_from_eating/")</f>
        <v/>
      </c>
      <c r="G8422" t="inlineStr">
        <is>
          <t>2020-06-23 16:38:13</t>
        </is>
      </c>
      <c r="H8422" t="inlineStr"/>
    </row>
    <row r="8423">
      <c r="A8423" t="inlineStr">
        <is>
          <t>hepy7z</t>
        </is>
      </c>
      <c r="B8423" t="inlineStr">
        <is>
          <t>Anyone get spasms or sharp pain in the middle of chest?</t>
        </is>
      </c>
      <c r="C8423" t="inlineStr">
        <is>
          <t>Anyone get spasms or sharp pain in the middle of chest?  Been getting them today around breast bone. Some so strong they are making me yell. Feels like needles and tightness.</t>
        </is>
      </c>
      <c r="D8423" t="n">
        <v>1</v>
      </c>
      <c r="E8423" t="n">
        <v>11</v>
      </c>
      <c r="F8423">
        <f>HYPERLINK("https://www.reddit.com/r/GERD/comments/hepy7z/anyone_get_spasms_or_sharp_pain_in_the_middle_of/")</f>
        <v/>
      </c>
      <c r="G8423" t="inlineStr">
        <is>
          <t>2020-06-23 16:45:55</t>
        </is>
      </c>
      <c r="H8423" t="inlineStr"/>
    </row>
    <row r="8424">
      <c r="A8424" t="inlineStr">
        <is>
          <t>heq70z</t>
        </is>
      </c>
      <c r="B8424" t="inlineStr">
        <is>
          <t>I suffer from “hunger nausea” constantly</t>
        </is>
      </c>
      <c r="C8424" t="inlineStr">
        <is>
          <t>I am hypoglycemic, I possibly have IBS (suggested by a few doctors) and have confirmed Ehlers Danlos. I have had stomach issues for as long as I can remember, and I think it’s gotten worse with all of my meds of the years. I have to eat when I first wake up because the “hunger nausea” is so bad, so eat say a hot dog or something, but then when I drink a cup of  water immediately after, I feel like I’m being stabbed in the stomach and the pain quickly snakes its way down to my intestines. That’s usually only when I wake up and for the first meal and drink of the day. 
Last conversation I had with my doctor about the hunger nausea, he said to eat more fiber, because I eat as little as possible right now. Doesn’t cause me constipation, since I pretty much always have diarrhea. He said it’s a low blood sugar type of thing possibly. However, I tried doing what the doctor says and it causes me pretty much way more pain than it’s worth, especially in my digestive track. I’ll be holding my stomach all day.
Does anyone have any suggestions about the hunger nausea? It keeps me up at night, and I have to eat pretty much every few hours, it’s been driving me mad.</t>
        </is>
      </c>
      <c r="D8424" t="n">
        <v>1</v>
      </c>
      <c r="E8424" t="n">
        <v>3</v>
      </c>
      <c r="F8424">
        <f>HYPERLINK("https://www.reddit.com/r/GERD/comments/heq70z/i_suffer_from_hunger_nausea_constantly/")</f>
        <v/>
      </c>
      <c r="G8424" t="inlineStr">
        <is>
          <t>2020-06-23 17:01:02</t>
        </is>
      </c>
      <c r="H8424" t="inlineStr"/>
    </row>
    <row r="8425">
      <c r="A8425" t="inlineStr">
        <is>
          <t>heruiy</t>
        </is>
      </c>
      <c r="B8425" t="inlineStr">
        <is>
          <t>Since I have lots of time on my hands...</t>
        </is>
      </c>
      <c r="C8425" t="inlineStr">
        <is>
          <t>I’m creating a huge document that will attempt to tackle these topics in a very meticulous fashion.
—-
Common Triggers (Which are normal?)
Surgery
Symptoms
Natural remedies
Exercises
—-
It seems like a lot of questions here get over-asked and they usually have the same responses. I’m scared shitless I’ll continue my life living like this, so I’m making a huge guide to attempt to tackle all FAQ’s. 
Thank you :)</t>
        </is>
      </c>
      <c r="D8425" t="n">
        <v>1</v>
      </c>
      <c r="E8425" t="n">
        <v>28</v>
      </c>
      <c r="F8425">
        <f>HYPERLINK("https://www.reddit.com/r/GERD/comments/heruiy/since_i_have_lots_of_time_on_my_hands/")</f>
        <v/>
      </c>
      <c r="G8425" t="inlineStr">
        <is>
          <t>2020-06-23 18:46:19</t>
        </is>
      </c>
      <c r="H8425" t="inlineStr"/>
    </row>
    <row r="8426">
      <c r="A8426" t="inlineStr">
        <is>
          <t>hesgqh</t>
        </is>
      </c>
      <c r="B8426" t="inlineStr">
        <is>
          <t>Need Help with Pills please</t>
        </is>
      </c>
      <c r="C8426" t="inlineStr">
        <is>
          <t>I’ve been prescribed a pill to take today, which i’ve never really taken. I’ve only ever taken tablets or small pills. I have dysphagia which is a trouble swallowing and it’s kind of gotten worse. I have to take it every time before breakfast and dinner, so I need to get used to it. I’ve never in my life swallowed anything this big or at least I think, and it’s definitely nerve wracking. Do you guys have any tips to help taking bigger pills or do you know any ways I can sort of cheat the pill while it still is used properly??</t>
        </is>
      </c>
      <c r="D8426" t="n">
        <v>1</v>
      </c>
      <c r="E8426" t="n">
        <v>4</v>
      </c>
      <c r="F8426">
        <f>HYPERLINK("https://www.reddit.com/r/GERD/comments/hesgqh/need_help_with_pills_please/")</f>
        <v/>
      </c>
      <c r="G8426" t="inlineStr">
        <is>
          <t>2020-06-23 19:26:39</t>
        </is>
      </c>
      <c r="H8426" t="inlineStr"/>
    </row>
    <row r="8427">
      <c r="A8427" t="inlineStr">
        <is>
          <t>het31c</t>
        </is>
      </c>
      <c r="B8427" t="inlineStr">
        <is>
          <t>I have food intolerance to wheat, bakers and brewers yeast, barley grain, and rye</t>
        </is>
      </c>
      <c r="C8427" t="inlineStr">
        <is>
          <t>Does it mean I can’t eat bread/rice?
What can I eat then? 
Is oats wheat?</t>
        </is>
      </c>
      <c r="D8427" t="n">
        <v>1</v>
      </c>
      <c r="E8427" t="n">
        <v>3</v>
      </c>
      <c r="F8427">
        <f>HYPERLINK("https://www.reddit.com/r/GERD/comments/het31c/i_have_food_intolerance_to_wheat_bakers_and/")</f>
        <v/>
      </c>
      <c r="G8427" t="inlineStr">
        <is>
          <t>2020-06-23 20:07:35</t>
        </is>
      </c>
      <c r="H8427" t="inlineStr"/>
    </row>
    <row r="8428">
      <c r="A8428" t="inlineStr">
        <is>
          <t>hetgy4</t>
        </is>
      </c>
      <c r="B8428" t="inlineStr">
        <is>
          <t>Anyone else think their GERD is from their Benzo usage?</t>
        </is>
      </c>
      <c r="C8428" t="inlineStr">
        <is>
          <t>What do you think? I get regurgitation, burps, heartburn when taking 2mg Klonopin. I am prescribed since the age of 12.</t>
        </is>
      </c>
      <c r="D8428" t="n">
        <v>1</v>
      </c>
      <c r="E8428" t="n">
        <v>7</v>
      </c>
      <c r="F8428">
        <f>HYPERLINK("https://www.reddit.com/r/GERD/comments/hetgy4/anyone_else_think_their_gerd_is_from_their_benzo/")</f>
        <v/>
      </c>
      <c r="G8428" t="inlineStr">
        <is>
          <t>2020-06-23 20:33:53</t>
        </is>
      </c>
      <c r="H8428" t="inlineStr"/>
    </row>
    <row r="8429">
      <c r="A8429" t="inlineStr">
        <is>
          <t>hevgxj</t>
        </is>
      </c>
      <c r="B8429" t="inlineStr">
        <is>
          <t>I will be dead soon</t>
        </is>
      </c>
      <c r="C8429" t="inlineStr">
        <is>
          <t>before my stomach would hurt when I ate something bad and somtimes, now it hurts all the time no matter what I eat! i got a ct scan last week and they said they didn't find anything significant, if I have a hiatal hernia its not big enough to show in a CT scan. right now they got me on lansoprazole and said to try this for 2 months and if things dont get better they will do an endoscopy. I dont blame the doctor cos i know that realistically there isnt a whole lot of treatment options for these problems, but the pain is absolute hell and I cant take it anymore. My dad will come to visit me next week and I think when he is sleeping at night I will go to the garage and run my car and die from the carbon monoxide. The only reason I am waiting for him is becuase I have 2 birds at home and I don't want them to starve to death after I die.</t>
        </is>
      </c>
      <c r="D8429" t="n">
        <v>1</v>
      </c>
      <c r="E8429" t="n">
        <v>3</v>
      </c>
      <c r="F8429">
        <f>HYPERLINK("https://www.reddit.com/r/GERD/comments/hevgxj/i_will_be_dead_soon/")</f>
        <v/>
      </c>
      <c r="G8429" t="inlineStr">
        <is>
          <t>2020-06-23 23:00:08</t>
        </is>
      </c>
      <c r="H8429" t="inlineStr"/>
    </row>
    <row r="8430">
      <c r="A8430" t="inlineStr">
        <is>
          <t>hezr2d</t>
        </is>
      </c>
      <c r="B8430" t="inlineStr">
        <is>
          <t>Brain Fog</t>
        </is>
      </c>
      <c r="C8430" t="inlineStr">
        <is>
          <t>Do any of you get brain fog due to gerd? I have been experiencing it for over a year now and I feel out of it. How do you guys go about treating it?</t>
        </is>
      </c>
      <c r="D8430" t="n">
        <v>1</v>
      </c>
      <c r="E8430" t="n">
        <v>5</v>
      </c>
      <c r="F8430">
        <f>HYPERLINK("https://www.reddit.com/r/GERD/comments/hezr2d/brain_fog/")</f>
        <v/>
      </c>
      <c r="G8430" t="inlineStr">
        <is>
          <t>2020-06-24 04:59:07</t>
        </is>
      </c>
      <c r="H8430" t="inlineStr"/>
    </row>
    <row r="8431">
      <c r="A8431" t="inlineStr">
        <is>
          <t>heztd7</t>
        </is>
      </c>
      <c r="B8431" t="inlineStr">
        <is>
          <t>Night sweats</t>
        </is>
      </c>
      <c r="C8431" t="inlineStr">
        <is>
          <t>Do you guys ever go through night sweats because of your GERD ?</t>
        </is>
      </c>
      <c r="D8431" t="n">
        <v>1</v>
      </c>
      <c r="E8431" t="n">
        <v>2</v>
      </c>
      <c r="F8431">
        <f>HYPERLINK("https://www.reddit.com/r/GERD/comments/heztd7/night_sweats/")</f>
        <v/>
      </c>
      <c r="G8431" t="inlineStr">
        <is>
          <t>2020-06-24 05:03:43</t>
        </is>
      </c>
      <c r="H8431" t="inlineStr"/>
    </row>
    <row r="8432">
      <c r="A8432" t="inlineStr">
        <is>
          <t>hf00ee</t>
        </is>
      </c>
      <c r="B8432" t="inlineStr">
        <is>
          <t>Omeprazole withdrawal 2 weeks 40 mg</t>
        </is>
      </c>
      <c r="C8432" t="inlineStr">
        <is>
          <t>I’m coming off Omeprazole after only being on 40mg for 2 weeks.  I had prolonged “out of body” dizziness and intended on only taking 20mg which I did for only 1 day.  I’m now only 2 days not taking and am still getting like dizziness.  Went to Primary doc did some neurological baseline stuff, bloodwork and BP laying, standing and sitting.  Seems fine but is this a normal side effect from this medication?  I also felt depressed, prone to slight anxiety but this was and still is the worst.</t>
        </is>
      </c>
      <c r="D8432" t="n">
        <v>1</v>
      </c>
      <c r="E8432" t="n">
        <v>2</v>
      </c>
      <c r="F8432">
        <f>HYPERLINK("https://www.reddit.com/r/GERD/comments/hf00ee/omeprazole_withdrawal_2_weeks_40_mg/")</f>
        <v/>
      </c>
      <c r="G8432" t="inlineStr">
        <is>
          <t>2020-06-24 05:18:28</t>
        </is>
      </c>
      <c r="H8432" t="inlineStr"/>
    </row>
    <row r="8433">
      <c r="A8433" t="inlineStr">
        <is>
          <t>hf19y6</t>
        </is>
      </c>
      <c r="B8433" t="inlineStr">
        <is>
          <t>Just had my first endoscopy</t>
        </is>
      </c>
      <c r="C8433" t="inlineStr">
        <is>
          <t>I'm sure my story is almost copy paste from a lot of you . Starting out of nowhere in February I went to the ER twice for chest pain and difficulty breathing along with constant burping, ear pain and some dizziness. After all the heart test the ruled everything looks good and said could be GERD. I saw a GI specialist and he put me on some PPIs but we had to hold off on a endoscopy due to covid. After daily pain I was able to get a endoscopy today and turns out I have grade 3 esophagitis and some gastritis. I feel a little bit better knowing whats causing the pain but looks like it will be a rough couple months while it heals. Also I have been feeling really tired lately and am wondering if it could be due to B12 deffencicy, has anyone tried B12 shots or supplements in the same situation?</t>
        </is>
      </c>
      <c r="D8433" t="n">
        <v>1</v>
      </c>
      <c r="E8433" t="n">
        <v>7</v>
      </c>
      <c r="F8433">
        <f>HYPERLINK("https://www.reddit.com/r/GERD/comments/hf19y6/just_had_my_first_endoscopy/")</f>
        <v/>
      </c>
      <c r="G8433" t="inlineStr">
        <is>
          <t>2020-06-24 06:45:21</t>
        </is>
      </c>
      <c r="H8433" t="inlineStr"/>
    </row>
    <row r="8434">
      <c r="A8434" t="inlineStr">
        <is>
          <t>hf25k8</t>
        </is>
      </c>
      <c r="B8434" t="inlineStr">
        <is>
          <t>Try carrots</t>
        </is>
      </c>
      <c r="C8434" t="inlineStr">
        <is>
          <t>Carrots have basically eliminated my dogs GERD. I recommend a large amount. I think there are a few reasons carrots work. For one they are low on the glycemic index. Two they are a good source of fiber/pectin and I think that helps a lot with digestion. Three, they take up a lot of space in the stomach. My dog was usually worst in the mornings when his stomach was empty. Now after a few weeks of carrots he has been restored to a point where he isn’t symptomatic in the morning. Please try it and tell me if it works for you! I blend raw carrots and raw sweet potato in a smoothie for him now, but I believe all you need is carrots as that’s what I used at first. I had tried dozens of holistic treatments to fix his GERD. It is insanely stubborn. I know carrots sound too simple to be true, but make no mistake I have been working tirelessly at this issue for about 8 months. This is what works for me!</t>
        </is>
      </c>
      <c r="D8434" t="n">
        <v>1</v>
      </c>
      <c r="E8434" t="n">
        <v>6</v>
      </c>
      <c r="F8434">
        <f>HYPERLINK("https://www.reddit.com/r/GERD/comments/hf25k8/try_carrots/")</f>
        <v/>
      </c>
      <c r="G8434" t="inlineStr">
        <is>
          <t>2020-06-24 07:39:20</t>
        </is>
      </c>
      <c r="H8434" t="inlineStr"/>
    </row>
    <row r="8435">
      <c r="A8435" t="inlineStr">
        <is>
          <t>hf28cu</t>
        </is>
      </c>
      <c r="B8435" t="inlineStr">
        <is>
          <t>Do you struggle with overeating?</t>
        </is>
      </c>
      <c r="C8435" t="inlineStr">
        <is>
          <t>Just to clarify, I'm at a mid range normal bmi and haven't had weight problems. It's more of a stomach being painfully full before brain telling me I'm full problem. 
I just learned more about my family history, and realized that both my grandfathers died from throat cancer, and my grandma had barrett's. I've always had throat issues but I never realized there was such a strong genetic component. My grandpas died before I was born (they died pretty young..) so I was never really told anything other than that they had cancer. 
-----
Basically, I get heartburn/uncomfortable fullness before I feel full--I've always had a problem with this. My mom said as a little kid, I would eat and then throw up while eating. I'm not eating huge amounts of food either; like in high school, my friends would make fun of me because we'd all eat the same amount for dinners together at a friend's house, but I'd feel painfully full before my brain told me to stop eating. Is this because people with GERD shouldn't be eating regular sized meals? 
My go-to for eating too much or drinking too much alcohol was voluntarily throwing up--I know that sound like an eating disorder, but it's the easiest way to get rid of that painful bloating and heartburn. I'm now realizing this is the worst thing I could be doing, so I'm definitely going to stop.. 
I've also got a chronic phlegm in my throat, and bleeding when I talk too loud. I'm definitely going to see my PCP about throat issues and GERD now that I know my family history..</t>
        </is>
      </c>
      <c r="D8435" t="n">
        <v>5</v>
      </c>
      <c r="E8435" t="n">
        <v>2</v>
      </c>
      <c r="F8435">
        <f>HYPERLINK("https://www.reddit.com/r/GERD/comments/hf28cu/do_you_struggle_with_overeating/")</f>
        <v/>
      </c>
      <c r="G8435" t="inlineStr">
        <is>
          <t>2020-06-24 07:43:44</t>
        </is>
      </c>
      <c r="H8435" t="inlineStr"/>
    </row>
    <row r="8436">
      <c r="A8436" t="inlineStr">
        <is>
          <t>hf2w2g</t>
        </is>
      </c>
      <c r="B8436" t="inlineStr">
        <is>
          <t>Question regarding Barrett's</t>
        </is>
      </c>
      <c r="C8436" t="inlineStr">
        <is>
          <t>How long and how severe does your GERD have to be for you to develop Barrett's esophagus?</t>
        </is>
      </c>
      <c r="D8436" t="n">
        <v>1</v>
      </c>
      <c r="E8436" t="n">
        <v>2</v>
      </c>
      <c r="F8436">
        <f>HYPERLINK("https://www.reddit.com/r/GERD/comments/hf2w2g/question_regarding_barretts/")</f>
        <v/>
      </c>
      <c r="G8436" t="inlineStr">
        <is>
          <t>2020-06-24 08:22:02</t>
        </is>
      </c>
      <c r="H8436" t="inlineStr"/>
    </row>
    <row r="8437">
      <c r="A8437" t="inlineStr">
        <is>
          <t>hf2wcp</t>
        </is>
      </c>
      <c r="B8437" t="inlineStr">
        <is>
          <t>Best food recs for GERD and IBS?</t>
        </is>
      </c>
      <c r="C8437" t="inlineStr">
        <is>
          <t>I think that in this situation it probably might be better to prioritize treating GERD over IBS. It’s hard to balance both. What should I be eating? Also, what seasonings can I use? What do I need to absolutely stay away from?</t>
        </is>
      </c>
      <c r="D8437" t="n">
        <v>1</v>
      </c>
      <c r="E8437" t="n">
        <v>4</v>
      </c>
      <c r="F8437">
        <f>HYPERLINK("https://www.reddit.com/r/GERD/comments/hf2wcp/best_food_recs_for_gerd_and_ibs/")</f>
        <v/>
      </c>
      <c r="G8437" t="inlineStr">
        <is>
          <t>2020-06-24 08:22:27</t>
        </is>
      </c>
      <c r="H8437" t="inlineStr"/>
    </row>
    <row r="8438">
      <c r="A8438" t="inlineStr">
        <is>
          <t>hf3u71</t>
        </is>
      </c>
      <c r="B8438" t="inlineStr">
        <is>
          <t>Morning stomach cramps</t>
        </is>
      </c>
      <c r="C8438" t="inlineStr">
        <is>
          <t>I've had this issue for awhile, it would come and go but lately it's been getting a lot worse. Last night I ate a few pieces of pizza and a bowl of cereal after I got off work and I got woken up at 5am to terrible high stomach/ chest pains. I threw up around 8am but that still didn't help the pain at all, it just finally went away around 1030. Does anyone else experience this? I haven't been to the doctor yet but I plan on going tomorrow. I've also had some ear pain and laryngitis in the past month so I'm pretty confident I have GERD.</t>
        </is>
      </c>
      <c r="D8438" t="n">
        <v>1</v>
      </c>
      <c r="E8438" t="n">
        <v>1</v>
      </c>
      <c r="F8438">
        <f>HYPERLINK("https://www.reddit.com/r/GERD/comments/hf3u71/morning_stomach_cramps/")</f>
        <v/>
      </c>
      <c r="G8438" t="inlineStr">
        <is>
          <t>2020-06-24 09:13:15</t>
        </is>
      </c>
      <c r="H8438" t="inlineStr"/>
    </row>
    <row r="8439">
      <c r="A8439" t="inlineStr">
        <is>
          <t>hf40d8</t>
        </is>
      </c>
      <c r="B8439" t="inlineStr">
        <is>
          <t>Do tums not help anyone else?</t>
        </is>
      </c>
      <c r="C8439" t="inlineStr">
        <is>
          <t>My acid reflux has gotten really bad the past few weeks and I keep taking tums to help with the pain, but they don't seem to do anything. (I'm seeing my doctor soon.) I have a lot of LPR symptoms, the pain behaves like acid reflux, and some other acid reflux remedies help, so I'm pretty sure it is acid reflux. It just seems weird that tums don't help. Is this something that can happen with acid reflux?</t>
        </is>
      </c>
      <c r="D8439" t="n">
        <v>1</v>
      </c>
      <c r="E8439" t="n">
        <v>19</v>
      </c>
      <c r="F8439">
        <f>HYPERLINK("https://www.reddit.com/r/GERD/comments/hf40d8/do_tums_not_help_anyone_else/")</f>
        <v/>
      </c>
      <c r="G8439" t="inlineStr">
        <is>
          <t>2020-06-24 09:22:14</t>
        </is>
      </c>
      <c r="H8439" t="inlineStr"/>
    </row>
    <row r="8440">
      <c r="A8440" t="inlineStr">
        <is>
          <t>hf4stc</t>
        </is>
      </c>
      <c r="B8440" t="inlineStr">
        <is>
          <t>Fuck GERD</t>
        </is>
      </c>
      <c r="C8440" t="inlineStr">
        <is>
          <t>Honestly, at least we KNOW what disease we have. It took me almost my complete teenage life until I realized that I‘m not some mentally unstable lame-ass but that I have this. I‘m beginning with a GERD-diet right now, now that I finally am not dependent on my parents‘ money anymore, who ate and served me so much shit and so much tomatoes that they and I are almost  zombies. I feel bad for all the people outside who suffer, and who might not even know that they may have this.
&amp;amp;#x200B;
My list right now:  
GERD DIET  
Do not eat:
\- Tomatoes and Tomato Products, - Pasta. Can‘t wait to go outside and experiment now. I always hated what my parents served me, so this is going to be a really influential and important journey for me. On some school days I was too weak to even throw a ball, it just fell from my hands. My entire throat feels clogged, and I can‘t eat a bit anymore. I‘m really glad I‘m addressing this issue now. I wish that you find your way out of this, many posts are greatly helpful with their diets, but I think that each of us has to experiment, even  if they will suffer greatly from certain foods, until we have our own, custom diets. Time to go the discounter now and to experiment, I think I‘ll get some skim milk, and some greens. I remember that I once bought spinach, zucchini and some green, mild onion. I then simply cooked them in boiling, salty water and ate it. Tasted OK, although I almost had to puke afterwards.</t>
        </is>
      </c>
      <c r="D8440" t="n">
        <v>1</v>
      </c>
      <c r="E8440" t="n">
        <v>1</v>
      </c>
      <c r="F8440">
        <f>HYPERLINK("https://www.reddit.com/r/GERD/comments/hf4stc/fuck_gerd/")</f>
        <v/>
      </c>
      <c r="G8440" t="inlineStr">
        <is>
          <t>2020-06-24 10:04:09</t>
        </is>
      </c>
      <c r="H8440" t="inlineStr"/>
    </row>
    <row r="8441">
      <c r="A8441" t="inlineStr">
        <is>
          <t>hf5kvv</t>
        </is>
      </c>
      <c r="B8441" t="inlineStr">
        <is>
          <t>Those of you who use your voice for work...how do you heal it?</t>
        </is>
      </c>
      <c r="C8441" t="inlineStr">
        <is>
          <t>Hi there. So, I still don’t have a diagnosis yet. But I have constant heartburn and a sore throat just about every morning when I “wake up”. The main issue with this, asides from the lack of sleep... is that I make about half of my income through music. I sing, rap and generally do melodic things with my voice.  Lately I’ve found myself so hoarse that if I even talk on the car ride over, I will find myself actually losing my voice in the middle of a session.
Does anyone have a magic cure for maintaining their vocal chords? Whatever’s going on with my stomach/esophagus is messing up my life pretty hard right now, as I’m in the middle of making a new album. I tried honey and tea, lots of hydration, a humidifier...nothing seems to work. Maybe I should eat even more honey? I’m getting desperate over here. Anyone have any other ideas?</t>
        </is>
      </c>
      <c r="D8441" t="n">
        <v>1</v>
      </c>
      <c r="E8441" t="n">
        <v>5</v>
      </c>
      <c r="F8441">
        <f>HYPERLINK("https://www.reddit.com/r/GERD/comments/hf5kvv/those_of_you_who_use_your_voice_for_workhow_do/")</f>
        <v/>
      </c>
      <c r="G8441" t="inlineStr">
        <is>
          <t>2020-06-24 10:45:08</t>
        </is>
      </c>
      <c r="H8441" t="inlineStr"/>
    </row>
    <row r="8442">
      <c r="A8442" t="inlineStr">
        <is>
          <t>hf6s53</t>
        </is>
      </c>
      <c r="B8442" t="inlineStr">
        <is>
          <t>Pepcid and taganet</t>
        </is>
      </c>
      <c r="C8442" t="inlineStr">
        <is>
          <t>I took tagamet about 4a.m. And pepcid at 1130 a m. It's this dangerous?</t>
        </is>
      </c>
      <c r="D8442" t="n">
        <v>1</v>
      </c>
      <c r="E8442" t="n">
        <v>0</v>
      </c>
      <c r="F8442">
        <f>HYPERLINK("https://www.reddit.com/r/GERD/comments/hf6s53/pepcid_and_taganet/")</f>
        <v/>
      </c>
      <c r="G8442" t="inlineStr">
        <is>
          <t>2020-06-24 11:45:59</t>
        </is>
      </c>
      <c r="H8442" t="inlineStr"/>
    </row>
    <row r="8443">
      <c r="A8443" t="inlineStr">
        <is>
          <t>hf6w24</t>
        </is>
      </c>
      <c r="B8443" t="inlineStr">
        <is>
          <t>New to this</t>
        </is>
      </c>
      <c r="C8443" t="inlineStr">
        <is>
          <t>Hello, beautiful people. I've been dealing with the symptoms for a while, although they started to get really bad in March, and I have been taking  Lansoprazole, and switched to Nexium when Lansoprazole stopped working, now it seems that Nexium isn't working anymore, either. I will be talking to my DR as soon as possible, but I'm terrified. I would like to avoid surgery if possible, and the thought of an endoscopy scares me (especially with COVID going around) Has anyone had success dealing with this without surgery or the endoscopy?
I am trying to diet and limit acidic foods, but I still have symptoms, though not as bad as some of the things I've read on here, just food coming back up and a burning sensation..</t>
        </is>
      </c>
      <c r="D8443" t="n">
        <v>1</v>
      </c>
      <c r="E8443" t="n">
        <v>1</v>
      </c>
      <c r="F8443">
        <f>HYPERLINK("https://www.reddit.com/r/GERD/comments/hf6w24/new_to_this/")</f>
        <v/>
      </c>
      <c r="G8443" t="inlineStr">
        <is>
          <t>2020-06-24 11:51:30</t>
        </is>
      </c>
      <c r="H8443" t="inlineStr"/>
    </row>
    <row r="8444">
      <c r="A8444" t="inlineStr">
        <is>
          <t>hf72ja</t>
        </is>
      </c>
      <c r="B8444" t="inlineStr">
        <is>
          <t>Where do you feel your heartburn ?</t>
        </is>
      </c>
      <c r="C8444" t="inlineStr">
        <is>
          <t>As I've been diagnosed with reflux and a small grade A oesophagitis, I'm wondering where I'm supposed to feel heartburn. I've always thought it was in the middle of the chest, but I'm beginning to suspect my pain at the very bottom of the sternum (in the gap between my left and right ribs) is heartburn. Do any of you feel it there ? It never goes higher than this location, so I was thinking it's more stomatch related than oesophagus. I'm on a quest to find symptoms in order to banish food that causes it !</t>
        </is>
      </c>
      <c r="D8444" t="n">
        <v>1</v>
      </c>
      <c r="E8444" t="n">
        <v>6</v>
      </c>
      <c r="F8444">
        <f>HYPERLINK("https://www.reddit.com/r/GERD/comments/hf72ja/where_do_you_feel_your_heartburn/")</f>
        <v/>
      </c>
      <c r="G8444" t="inlineStr">
        <is>
          <t>2020-06-24 12:00:48</t>
        </is>
      </c>
      <c r="H8444" t="inlineStr"/>
    </row>
    <row r="8445">
      <c r="A8445" t="inlineStr">
        <is>
          <t>hf828s</t>
        </is>
      </c>
      <c r="B8445" t="inlineStr">
        <is>
          <t>Heart race when doing small tasks</t>
        </is>
      </c>
      <c r="C8445" t="inlineStr">
        <is>
          <t>Do your guys GERD make your heart race when just doing small task ?</t>
        </is>
      </c>
      <c r="D8445" t="n">
        <v>2</v>
      </c>
      <c r="E8445" t="n">
        <v>4</v>
      </c>
      <c r="F8445">
        <f>HYPERLINK("https://www.reddit.com/r/GERD/comments/hf828s/heart_race_when_doing_small_tasks/")</f>
        <v/>
      </c>
      <c r="G8445" t="inlineStr">
        <is>
          <t>2020-06-24 12:51:43</t>
        </is>
      </c>
      <c r="H8445" t="inlineStr"/>
    </row>
    <row r="8446">
      <c r="A8446" t="inlineStr">
        <is>
          <t>hf83pf</t>
        </is>
      </c>
      <c r="B8446" t="inlineStr">
        <is>
          <t>Upper Endoscopy</t>
        </is>
      </c>
      <c r="C8446" t="inlineStr">
        <is>
          <t>I’m having a Upper Endoscopy done in 2 weeks. What should I expect. What was your experience?</t>
        </is>
      </c>
      <c r="D8446" t="n">
        <v>2</v>
      </c>
      <c r="E8446" t="n">
        <v>29</v>
      </c>
      <c r="F8446">
        <f>HYPERLINK("https://www.reddit.com/r/GERD/comments/hf83pf/upper_endoscopy/")</f>
        <v/>
      </c>
      <c r="G8446" t="inlineStr">
        <is>
          <t>2020-06-24 12:53:51</t>
        </is>
      </c>
      <c r="H8446" t="inlineStr"/>
    </row>
    <row r="8447">
      <c r="A8447" t="inlineStr">
        <is>
          <t>hf9ghb</t>
        </is>
      </c>
      <c r="B8447" t="inlineStr">
        <is>
          <t>Best GERD diet book?</t>
        </is>
      </c>
      <c r="C8447" t="inlineStr">
        <is>
          <t>I’m so desperate right now. Which book has worked for you? Thanks</t>
        </is>
      </c>
      <c r="D8447" t="n">
        <v>1</v>
      </c>
      <c r="E8447" t="n">
        <v>1</v>
      </c>
      <c r="F8447">
        <f>HYPERLINK("https://www.reddit.com/r/GERD/comments/hf9ghb/best_gerd_diet_book/")</f>
        <v/>
      </c>
      <c r="G8447" t="inlineStr">
        <is>
          <t>2020-06-24 14:04:23</t>
        </is>
      </c>
      <c r="H8447" t="inlineStr"/>
    </row>
    <row r="8448">
      <c r="A8448" t="inlineStr">
        <is>
          <t>hf9ka2</t>
        </is>
      </c>
      <c r="B8448" t="inlineStr">
        <is>
          <t>Ways to cope with anxiety? (M, 16)</t>
        </is>
      </c>
      <c r="C8448" t="inlineStr">
        <is>
          <t>Sorry but id like to just vent out here because I never really got the chance to talk to anyone about it. I was diagnosed with GERD back in the summer of 2017. Took ranitidine from 2017 to 2018, then finally felt all normal again throughout 2019 and pretty much got to eat mostly everything I want without feeling like shit. I honestly felt so happy that i got to eat what i want again, until I relapsed recently once the whole quarantine &amp;amp; covid shenanigans happened, now im out here alone thinking way too much. My anxiety has been making me think that im gonna have esophageal cancer because my aunt (who was 52) have passed away &amp;amp; got diagnosed from it back in 2018. I need some help to take that mindset away from me because I also had the same mindset around the time she got diagnosed &amp;amp; passed because i happen to be taking my medications for GERD. The thing is, my symptoms are pretty basic, (although no heartburn, i get the feeling of acid creeping up my throat, acid indigestion, &amp;amp; sometimes shortness of breath, (starting to feel like i might have LPR)). And i’ve also now been taking pepcid once every night and its been helping, although i was supposed to take it twice a day but the side effects of it are making me moody &amp;amp; tired + the anxiety in me is just making me feel more grumpy &amp;amp; vulnerable 0-0, does anyone have any advice?</t>
        </is>
      </c>
      <c r="D8448" t="n">
        <v>1</v>
      </c>
      <c r="E8448" t="n">
        <v>7</v>
      </c>
      <c r="F8448">
        <f>HYPERLINK("https://www.reddit.com/r/GERD/comments/hf9ka2/ways_to_cope_with_anxiety_m_16/")</f>
        <v/>
      </c>
      <c r="G8448" t="inlineStr">
        <is>
          <t>2020-06-24 14:10:07</t>
        </is>
      </c>
      <c r="H8448" t="inlineStr"/>
    </row>
    <row r="8449">
      <c r="A8449" t="inlineStr">
        <is>
          <t>hfa0b7</t>
        </is>
      </c>
      <c r="B8449" t="inlineStr">
        <is>
          <t>Pepcid panic attack?</t>
        </is>
      </c>
      <c r="C8449" t="inlineStr">
        <is>
          <t>Anyone ever have a panic attack while using Pepcid?! Silly question maybe just curious to see. That or I’m crazy.</t>
        </is>
      </c>
      <c r="D8449" t="n">
        <v>2</v>
      </c>
      <c r="E8449" t="n">
        <v>5</v>
      </c>
      <c r="F8449">
        <f>HYPERLINK("https://www.reddit.com/r/GERD/comments/hfa0b7/pepcid_panic_attack/")</f>
        <v/>
      </c>
      <c r="G8449" t="inlineStr">
        <is>
          <t>2020-06-24 14:34:41</t>
        </is>
      </c>
      <c r="H8449" t="inlineStr"/>
    </row>
    <row r="8450">
      <c r="A8450" t="inlineStr">
        <is>
          <t>hfa2ip</t>
        </is>
      </c>
      <c r="B8450" t="inlineStr">
        <is>
          <t>My pH study found little reflux but I still have symptoms all day</t>
        </is>
      </c>
      <c r="C8450" t="inlineStr">
        <is>
          <t>My doctor probably thinks I am insane. My pH study said I had 30 reflux events but I literally have symptoms the entire day except for that specific day when my reflux was okay. I don’t think I am a candidate for a fundoplication anymore but I know for a fact it is worse than what the study showed.</t>
        </is>
      </c>
      <c r="D8450" t="n">
        <v>5</v>
      </c>
      <c r="E8450" t="n">
        <v>34</v>
      </c>
      <c r="F8450">
        <f>HYPERLINK("https://www.reddit.com/r/GERD/comments/hfa2ip/my_ph_study_found_little_reflux_but_i_still_have/")</f>
        <v/>
      </c>
      <c r="G8450" t="inlineStr">
        <is>
          <t>2020-06-24 14:38:04</t>
        </is>
      </c>
      <c r="H8450" t="inlineStr"/>
    </row>
    <row r="8451">
      <c r="A8451" t="inlineStr">
        <is>
          <t>hfabjv</t>
        </is>
      </c>
      <c r="B8451" t="inlineStr">
        <is>
          <t>Sudden attack - what can I do when omeprazole doesn't work?</t>
        </is>
      </c>
      <c r="C8451" t="inlineStr">
        <is>
          <t>First post, so forgive me if I'm doing this wrong. I've had reflux on and off for about 7 years and dr. suspects GERD, but tbh it's nothing too major most of the time...usually, if I flare up it's gone in a few days. Episodes are always set off by overeating. Had a nice Chinese food fest about a week and a half ago and had some really crazy symptoms after that. First it was gnawing feeling 24/7 in my stomach. A few days later I had the fun acid taste in my mouth, hoarseness, more saliva in my mouth (which is funny, because it makes my lips dry) and that sort of "stuck" feeling while swallowing. I'm now up to full-fledged heartburn all day, which I almost never get. It's gone from 0-100 in a few days and nothing seems to help.
When this all started and I suspected I was flaring, I immediately went on a 6-tiny-meals-a-day diet, eliminated potential usual triggers like tomatoes and chocolate, stopped eating 4 hours before bed, chewed everything to the point of liquification, added recommended stuff like kefir and chamomile tea, and started taking 1 tablet of omeprazole in the mornings according to the directions...nothing. It's been a week. Regular antacids? Also not doing anything.
I'm thin, I exercise, I don't drink or smoke and I eat a pretty darn healthy diet...not sure where this is coming from, unless it's stress - ? I really would rather avoid a dr. appointment during COVID. Suggestions on what else to try? I can feel symptoms 24/7, with or without food. My heart goes out to those of you who have to live like this on a regular basis. :( I can't imagine. Thank you in advance.</t>
        </is>
      </c>
      <c r="D8451" t="n">
        <v>1</v>
      </c>
      <c r="E8451" t="n">
        <v>3</v>
      </c>
      <c r="F8451">
        <f>HYPERLINK("https://www.reddit.com/r/GERD/comments/hfabjv/sudden_attack_what_can_i_do_when_omeprazole/")</f>
        <v/>
      </c>
      <c r="G8451" t="inlineStr">
        <is>
          <t>2020-06-24 14:52:33</t>
        </is>
      </c>
      <c r="H8451" t="inlineStr"/>
    </row>
    <row r="8452">
      <c r="A8452" t="inlineStr">
        <is>
          <t>hfc69d</t>
        </is>
      </c>
      <c r="B8452" t="inlineStr">
        <is>
          <t>Does marijuana cause GERD?</t>
        </is>
      </c>
      <c r="C8452" t="inlineStr">
        <is>
          <t>I smoked weed three days ago and had a horrible feeling in my chest. It felt as if something was stuck in my throat like a burp or a piece of food or something. I also felt short of breath. Should I go to the ER or is this normal ?</t>
        </is>
      </c>
      <c r="D8452" t="n">
        <v>1</v>
      </c>
      <c r="E8452" t="n">
        <v>9</v>
      </c>
      <c r="F8452">
        <f>HYPERLINK("https://www.reddit.com/r/GERD/comments/hfc69d/does_marijuana_cause_gerd/")</f>
        <v/>
      </c>
      <c r="G8452" t="inlineStr">
        <is>
          <t>2020-06-24 16:49:07</t>
        </is>
      </c>
      <c r="H8452" t="inlineStr"/>
    </row>
    <row r="8453">
      <c r="A8453" t="inlineStr">
        <is>
          <t>hfd00d</t>
        </is>
      </c>
      <c r="B8453" t="inlineStr">
        <is>
          <t>Any ppi users also taking a probiotic to offset the side effects?</t>
        </is>
      </c>
      <c r="C8453" t="inlineStr">
        <is>
          <t>Anybody taking a probiotic to make up for the fact that ppi's negatively impact the gut microbiome? If so, did you find that it helps with the side effects?</t>
        </is>
      </c>
      <c r="D8453" t="n">
        <v>1</v>
      </c>
      <c r="E8453" t="n">
        <v>1</v>
      </c>
      <c r="F8453">
        <f>HYPERLINK("https://www.reddit.com/r/GERD/comments/hfd00d/any_ppi_users_also_taking_a_probiotic_to_offset/")</f>
        <v/>
      </c>
      <c r="G8453" t="inlineStr">
        <is>
          <t>2020-06-24 17:59:17</t>
        </is>
      </c>
      <c r="H8453" t="inlineStr"/>
    </row>
    <row r="8454">
      <c r="A8454" t="inlineStr">
        <is>
          <t>hfdxjl</t>
        </is>
      </c>
      <c r="B8454" t="inlineStr">
        <is>
          <t>Any quick symptom relief for burning in throat?</t>
        </is>
      </c>
      <c r="C8454" t="inlineStr">
        <is>
          <t>Hi - I had my suspected LPR diagnosis confirmed by an ENT today.   Going to take Omeprazole twice a day (40 mg) for a month and see if it helps and then reevaluate.   I have been doing a low acid diet for about two weeks now and will continue with that as well.   
Just curious if there are any quick relief (lozenges, cough drops, etc) that people recommend for the burning in the throat, because right now that is the most annoying thing about this and I know it will take a while to go (hopefully) away.</t>
        </is>
      </c>
      <c r="D8454" t="n">
        <v>1</v>
      </c>
      <c r="E8454" t="n">
        <v>7</v>
      </c>
      <c r="F8454">
        <f>HYPERLINK("https://www.reddit.com/r/GERD/comments/hfdxjl/any_quick_symptom_relief_for_burning_in_throat/")</f>
        <v/>
      </c>
      <c r="G8454" t="inlineStr">
        <is>
          <t>2020-06-24 18:59:55</t>
        </is>
      </c>
      <c r="H8454" t="inlineStr"/>
    </row>
    <row r="8455">
      <c r="A8455" t="inlineStr">
        <is>
          <t>hfe6ss</t>
        </is>
      </c>
      <c r="B8455" t="inlineStr">
        <is>
          <t>Mistaking constipation with reflux symptoms?</t>
        </is>
      </c>
      <c r="C8455" t="inlineStr">
        <is>
          <t>So basically for the past 9 days ive been constipated, not severe as I can still pass but it’s usually hard pellet stool, started taking miralax which would make me go 3-4 times a day of soft stool so I started to rule out impaction 
Anyway even after a BM (not normal yet, just soft with the help of miralax) ill still feel abdominal discomfort both low and high near my breastbone, lower back and middle back aches, belching which just makes my mind think im totally impacted and its all related to my constipation 
Is there a chance this is reflux? Ive had reflux once before but not with constipation so the symptoms are throwing me a bit, i cant think of changing anything in my diet however I have started stimulant meds (5 months ago) and ive heard of other people getting reflux on meds
Has anyone else experienced similar?</t>
        </is>
      </c>
      <c r="D8455" t="n">
        <v>1</v>
      </c>
      <c r="E8455" t="n">
        <v>1</v>
      </c>
      <c r="F8455">
        <f>HYPERLINK("https://www.reddit.com/r/GERD/comments/hfe6ss/mistaking_constipation_with_reflux_symptoms/")</f>
        <v/>
      </c>
      <c r="G8455" t="inlineStr">
        <is>
          <t>2020-06-24 19:16:23</t>
        </is>
      </c>
      <c r="H8455" t="inlineStr"/>
    </row>
    <row r="8456">
      <c r="A8456" t="inlineStr">
        <is>
          <t>hfewn6</t>
        </is>
      </c>
      <c r="B8456" t="inlineStr">
        <is>
          <t>Permanent damage to stomach?</t>
        </is>
      </c>
      <c r="C8456" t="inlineStr">
        <is>
          <t>My GERD began when I started drinking a few years ago. I was also consuming a lot of soda with the alcohol. I also have IBS and now my symptoms of both IBS and GERD are seriously affecting my life. I am in constant discomfort and have the urge to go to the toilet all day. Anytime I eat something my body wants to reject it out the other end immediately. Food often goes right through me within minutes, I’ve tested this.
I also get very uncomfortable symptoms such as dry and itchy skin, hot flashes, cold chills, brain fog ect. immediately after eating (sugar and sweetener being the worst trigger). Any form of exercise, even just going for a walk, also causes horrible flare ups.
Things were never this bad before I started drinking and consuming lots of soda.
I have tried quitting drinking, changing my diet, medications ect and nothing has helped. I fear permanent damages has been done to my stomach. Is this possible? Has this happened to any of you?</t>
        </is>
      </c>
      <c r="D8456" t="n">
        <v>1</v>
      </c>
      <c r="E8456" t="n">
        <v>2</v>
      </c>
      <c r="F8456">
        <f>HYPERLINK("https://www.reddit.com/r/GERD/comments/hfewn6/permanent_damage_to_stomach/")</f>
        <v/>
      </c>
      <c r="G8456" t="inlineStr">
        <is>
          <t>2020-06-24 20:05:14</t>
        </is>
      </c>
      <c r="H8456" t="inlineStr"/>
    </row>
    <row r="8457">
      <c r="A8457" t="inlineStr">
        <is>
          <t>hffzo6</t>
        </is>
      </c>
      <c r="B8457" t="inlineStr">
        <is>
          <t>Water Fasting... yay or nay?</t>
        </is>
      </c>
      <c r="C8457" t="inlineStr">
        <is>
          <t>So obviously water fasting is known to be a great source of healing where your body resets itself and does a great amount of healing, specifically in the gut because of no food consumption. I’ve seen conflicting articles on whether this would be amazing or detrimental for those suffering from GERD. 
I really want to try it because it seems even with the blandest of diets, I’m still having a lot of difficulties healing myself and have seen no improvement whatsoever. I think a water fast would provide me with a lot of help but I’ve also heard that when you don’t eat acid builds up in your stomach as well. 
Thanks guys! :) Always look forward to the help</t>
        </is>
      </c>
      <c r="D8457" t="n">
        <v>1</v>
      </c>
      <c r="E8457" t="n">
        <v>2</v>
      </c>
      <c r="F8457">
        <f>HYPERLINK("https://www.reddit.com/r/GERD/comments/hffzo6/water_fasting_yay_or_nay/")</f>
        <v/>
      </c>
      <c r="G8457" t="inlineStr">
        <is>
          <t>2020-06-24 21:26:15</t>
        </is>
      </c>
      <c r="H8457" t="inlineStr"/>
    </row>
    <row r="8458">
      <c r="A8458" t="inlineStr">
        <is>
          <t>hfgnz6</t>
        </is>
      </c>
      <c r="B8458" t="inlineStr">
        <is>
          <t>Bile reflux?</t>
        </is>
      </c>
      <c r="C8458" t="inlineStr">
        <is>
          <t>So I just had an endoscopy today and it said they found bile reflux but everything else looked good. I’m still waiting on the biopsy results, but what does this mean? 
When I saw the symptoms of it, it made a lot of sense that I have this. I’m just extremely confused because I have always been underweight and eaten healthily. I never had my gallbladder removed or any type of surgery that could cause this. Only one website said it could be caused by medications but didn’t specify what kind or how. I’m just feeling very confused, especially since the only surgery to fix this problem is gastric bypass. How would I get gastric bypass if I’m barely 100lbs?! 
Anyone have experience with this? How did you treat it?</t>
        </is>
      </c>
      <c r="D8458" t="n">
        <v>1</v>
      </c>
      <c r="E8458" t="n">
        <v>3</v>
      </c>
      <c r="F8458">
        <f>HYPERLINK("https://www.reddit.com/r/GERD/comments/hfgnz6/bile_reflux/")</f>
        <v/>
      </c>
      <c r="G8458" t="inlineStr">
        <is>
          <t>2020-06-24 22:46:20</t>
        </is>
      </c>
      <c r="H8458" t="inlineStr"/>
    </row>
    <row r="8459">
      <c r="A8459" t="inlineStr">
        <is>
          <t>hfh5bl</t>
        </is>
      </c>
      <c r="B8459" t="inlineStr">
        <is>
          <t>I gave in to my spicy craving. If youre thinking about it. Don't do it.</t>
        </is>
      </c>
      <c r="C8459" t="inlineStr">
        <is>
          <t>Man, I love love love hot stuff. And I went to a Qdoba today and skipped over all the hot stuff and noticed they pickled their own jalapenos and i broke down. They were sooooo good. But a couple hours later the pain nearly curled me. I was regurgitating water for 30 minutes and almost went to the ER. But man those jalapenos just weren't worth that. Stay healthy everyone!</t>
        </is>
      </c>
      <c r="D8459" t="n">
        <v>1</v>
      </c>
      <c r="E8459" t="n">
        <v>19</v>
      </c>
      <c r="F8459">
        <f>HYPERLINK("https://www.reddit.com/r/GERD/comments/hfh5bl/i_gave_in_to_my_spicy_craving_if_youre_thinking/")</f>
        <v/>
      </c>
      <c r="G8459" t="inlineStr">
        <is>
          <t>2020-06-24 23:29:52</t>
        </is>
      </c>
      <c r="H8459" t="inlineStr"/>
    </row>
    <row r="8460">
      <c r="A8460" t="inlineStr">
        <is>
          <t>hfhlcu</t>
        </is>
      </c>
      <c r="B8460" t="inlineStr">
        <is>
          <t>Does anyone get acid reflux from probiotics?</t>
        </is>
      </c>
      <c r="C8460" t="inlineStr">
        <is>
          <t>I‘ve read that a lot of people are „cured“ by probiotics, so I thought going to the store and getting some cheap, simple ones. I‘m not sure whether I should just try it or wait ‘till my doctor‘s appointment next week. Did anyone get worse from probiotics? I really don‘t wanna fuck this up.</t>
        </is>
      </c>
      <c r="D8460" t="n">
        <v>1</v>
      </c>
      <c r="E8460" t="n">
        <v>0</v>
      </c>
      <c r="F8460">
        <f>HYPERLINK("https://www.reddit.com/r/GERD/comments/hfhlcu/does_anyone_get_acid_reflux_from_probiotics/")</f>
        <v/>
      </c>
      <c r="G8460" t="inlineStr">
        <is>
          <t>2020-06-25 00:05:13</t>
        </is>
      </c>
      <c r="H8460" t="inlineStr"/>
    </row>
    <row r="8461">
      <c r="A8461" t="inlineStr">
        <is>
          <t>hfho8g</t>
        </is>
      </c>
      <c r="B8461" t="inlineStr">
        <is>
          <t>When do the side effects of a medication go away?</t>
        </is>
      </c>
      <c r="C8461" t="inlineStr">
        <is>
          <t>I have been taking 20 mg ppi everyday for 2 months. A few days ago i was prescribed h2 blockers that i took previously and didn't have much problems with that. But seems like it wasnt mixing well with ppi, and ever since i took it i have shivers, headaches and dizziness and fatigue. I stopped taking it 3 days ago but i still have the symptoms all day long.
Today I was at my gastroentologist who just reassued that i stopped taking it, but didn't say anything else. Im going to have a blood test and endoscopy a few weaks later.
Should i worry about these side effects still not going away? Will they later? If my doc didn't seemed too concerned and omly said to stop taking them, then i shouldn't worry either?</t>
        </is>
      </c>
      <c r="D8461" t="n">
        <v>1</v>
      </c>
      <c r="E8461" t="n">
        <v>2</v>
      </c>
      <c r="F8461">
        <f>HYPERLINK("https://www.reddit.com/r/GERD/comments/hfho8g/when_do_the_side_effects_of_a_medication_go_away/")</f>
        <v/>
      </c>
      <c r="G8461" t="inlineStr">
        <is>
          <t>2020-06-25 00:11:14</t>
        </is>
      </c>
      <c r="H8461" t="inlineStr"/>
    </row>
    <row r="8462">
      <c r="A8462" t="inlineStr">
        <is>
          <t>hfk5vw</t>
        </is>
      </c>
      <c r="B8462" t="inlineStr">
        <is>
          <t>GERD or Anxiety?</t>
        </is>
      </c>
      <c r="C8462" t="inlineStr">
        <is>
          <t>Hi guys, so i have this ongoing stomach problem for 6 months now that seems like a gerd, but i never throw up or have a heartburn, and my appetite is normal. Its just a bloating and fatigue, and sometimes gnawing sensation even after i had my meal. I have some gum iritation both near my lower wisdom tooth, but im not sure if its because of the reflux. I also sometimes experienced cold feet/hand and itchiness. Its gotten quite bad now everytime i lay down, my stomach would just growl like crazy, its kinda f-ed up my sleeping time. I checked for a h.pylori infection (blood test) but the result was negative. I never had an endoscopy though. 
This all happened 3 months after my partner told me he has hiv, and he assured me that im fine because he’s on medication and we always play safe (using condom). Im quite a chill person so i dont really freak out when he told me that, but this is just weird. I never have a stomach problem this persistant before. I had all the ppi and it doesnt really help, and i wouldnt go to any doctor anytime soon because they’ll just give me more ppi drugs. 
Anybody has similar experience with gerd caused by anxiety?</t>
        </is>
      </c>
      <c r="D8462" t="n">
        <v>1</v>
      </c>
      <c r="E8462" t="n">
        <v>0</v>
      </c>
      <c r="F8462">
        <f>HYPERLINK("https://www.reddit.com/r/GERD/comments/hfk5vw/gerd_or_anxiety/")</f>
        <v/>
      </c>
      <c r="G8462" t="inlineStr">
        <is>
          <t>2020-06-25 04:02:57</t>
        </is>
      </c>
      <c r="H8462" t="inlineStr"/>
    </row>
    <row r="8463">
      <c r="A8463" t="inlineStr">
        <is>
          <t>hfl1ys</t>
        </is>
      </c>
      <c r="B8463" t="inlineStr">
        <is>
          <t>Do ppi's cause weight gain?</t>
        </is>
      </c>
      <c r="C8463" t="inlineStr">
        <is>
          <t>I just started taking prevacid, but I'm also trying to lose a couple of pounds I've gained over quarantine. Will this affect my ability to lose weight?</t>
        </is>
      </c>
      <c r="D8463" t="n">
        <v>1</v>
      </c>
      <c r="E8463" t="n">
        <v>1</v>
      </c>
      <c r="F8463">
        <f>HYPERLINK("https://www.reddit.com/r/GERD/comments/hfl1ys/do_ppis_cause_weight_gain/")</f>
        <v/>
      </c>
      <c r="G8463" t="inlineStr">
        <is>
          <t>2020-06-25 05:15:56</t>
        </is>
      </c>
      <c r="H8463" t="inlineStr"/>
    </row>
    <row r="8464">
      <c r="A8464" t="inlineStr">
        <is>
          <t>hfleaq</t>
        </is>
      </c>
      <c r="B8464" t="inlineStr">
        <is>
          <t>When does Omeprazole kick in? I forgot to take it yesterday and my stomach is hurting worse than usual.</t>
        </is>
      </c>
      <c r="C8464" t="inlineStr">
        <is>
          <t>I checked online for an answer but all I got was stuff about starting Omeprazole. This has happened before when I couldn’t get my prescription for two days and it was a major setback. I was back to only eating bread and a few other things in the same group. It made my symptoms worse even after taking it regularly again but it eventually slowed down. This time It’s gotten worse to the point where I can’t find anything to distract me from the pain. Anxiety is the reason i have acid reflux but regardless if i’m anxious the pain is the same. I wrote this quickly cause I can’t focus so sorry if it doesn’t make sense.</t>
        </is>
      </c>
      <c r="D8464" t="n">
        <v>1</v>
      </c>
      <c r="E8464" t="n">
        <v>4</v>
      </c>
      <c r="F8464">
        <f>HYPERLINK("https://www.reddit.com/r/GERD/comments/hfleaq/when_does_omeprazole_kick_in_i_forgot_to_take_it/")</f>
        <v/>
      </c>
      <c r="G8464" t="inlineStr">
        <is>
          <t>2020-06-25 05:41:03</t>
        </is>
      </c>
      <c r="H8464" t="inlineStr"/>
    </row>
    <row r="8465">
      <c r="A8465" t="inlineStr">
        <is>
          <t>hfo59w</t>
        </is>
      </c>
      <c r="B8465" t="inlineStr">
        <is>
          <t>Anyone on here have IBS-C?</t>
        </is>
      </c>
      <c r="C8465" t="inlineStr">
        <is>
          <t>I was recently diagnosed with it, and was told my GERD stems from it? Does anyone else have this experience? Any tips?</t>
        </is>
      </c>
      <c r="D8465" t="n">
        <v>1</v>
      </c>
      <c r="E8465" t="n">
        <v>0</v>
      </c>
      <c r="F8465">
        <f>HYPERLINK("https://www.reddit.com/r/GERD/comments/hfo59w/anyone_on_here_have_ibsc/")</f>
        <v/>
      </c>
      <c r="G8465" t="inlineStr">
        <is>
          <t>2020-06-25 08:33:22</t>
        </is>
      </c>
      <c r="H8465" t="inlineStr"/>
    </row>
    <row r="8466">
      <c r="A8466" t="inlineStr">
        <is>
          <t>hfoetf</t>
        </is>
      </c>
      <c r="B8466" t="inlineStr">
        <is>
          <t>Can I take Omeprazole forever?</t>
        </is>
      </c>
      <c r="C8466" t="inlineStr">
        <is>
          <t>I've been using omeprazole and it's amazing. But I've heard long term use can lead to kidney issues. Honestly I think I'll take the kidney issues over the bad effects and potential long term effects of Gerd. Is this unwise? Should I look into other options?</t>
        </is>
      </c>
      <c r="D8466" t="n">
        <v>1</v>
      </c>
      <c r="E8466" t="n">
        <v>3</v>
      </c>
      <c r="F8466">
        <f>HYPERLINK("https://www.reddit.com/r/GERD/comments/hfoetf/can_i_take_omeprazole_forever/")</f>
        <v/>
      </c>
      <c r="G8466" t="inlineStr">
        <is>
          <t>2020-06-25 08:48:09</t>
        </is>
      </c>
      <c r="H8466" t="inlineStr"/>
    </row>
    <row r="8467">
      <c r="A8467" t="inlineStr">
        <is>
          <t>hfoln0</t>
        </is>
      </c>
      <c r="B8467" t="inlineStr">
        <is>
          <t>My first revision is out! GERD + LPR + Hiatal Hernia</t>
        </is>
      </c>
      <c r="C8467" t="inlineStr">
        <is>
          <t>Hey, as promised, I have finally finished my document. I hope this serves as a megathread to all your questions about GERD, LPR, and HH.
Feel free to download a PDF or Word Document from [HERE](https://gofile.io/d/6Nk6ii) 
I hope this helps many people. This took me a lot of time, researching and talking to doctor!
Any edits are greatly appreciated, also please drop any questions you have!
I wish you all good luck with your symptoms.</t>
        </is>
      </c>
      <c r="D8467" t="n">
        <v>1</v>
      </c>
      <c r="E8467" t="n">
        <v>13</v>
      </c>
      <c r="F8467">
        <f>HYPERLINK("https://www.reddit.com/r/GERD/comments/hfoln0/my_first_revision_is_out_gerd_lpr_hiatal_hernia/")</f>
        <v/>
      </c>
      <c r="G8467" t="inlineStr">
        <is>
          <t>2020-06-25 08:58:49</t>
        </is>
      </c>
      <c r="H8467" t="inlineStr"/>
    </row>
    <row r="8468">
      <c r="A8468" t="inlineStr">
        <is>
          <t>hfopbb</t>
        </is>
      </c>
      <c r="B8468" t="inlineStr">
        <is>
          <t>LPR: My voice is thin, quiet and kinda hoarse over the day. When I eat something warm and lunchy, my voice gets really good for a short amount of time.</t>
        </is>
      </c>
      <c r="C8468" t="inlineStr">
        <is>
          <t>Does anyone have an idea what these symptoms could mean? I'm not diagnosed, but my ENT was pretty sure I have silent reflux/LPR. I take meds for that, but I think it's taking a while to work. I did all the usual r/GERD things. I'm chewing gum. Overall its helping, I feel far better than like 3 weeks ago, but I still far away of where I wanna go.
I think I also get asthma induced by my LPR. Eating warm lunchy meals also gives me productive cough right after. The air shortage from asthma also contributes to my voice problems. Using my asthma spray also makes my voice feel good, but only for a really short time.
Any input greatly appreciated. Will do a doctors appointment to adress my issues soon again.</t>
        </is>
      </c>
      <c r="D8468" t="n">
        <v>1</v>
      </c>
      <c r="E8468" t="n">
        <v>6</v>
      </c>
      <c r="F8468">
        <f>HYPERLINK("https://www.reddit.com/r/GERD/comments/hfopbb/lpr_my_voice_is_thin_quiet_and_kinda_hoarse_over/")</f>
        <v/>
      </c>
      <c r="G8468" t="inlineStr">
        <is>
          <t>2020-06-25 09:04:26</t>
        </is>
      </c>
      <c r="H8468" t="inlineStr"/>
    </row>
    <row r="8469">
      <c r="A8469" t="inlineStr">
        <is>
          <t>hfpd7q</t>
        </is>
      </c>
      <c r="B8469" t="inlineStr">
        <is>
          <t>acid reducers and ppi together?</t>
        </is>
      </c>
      <c r="C8469" t="inlineStr">
        <is>
          <t>Can acid reducers and ppi be taken together?</t>
        </is>
      </c>
      <c r="D8469" t="n">
        <v>1</v>
      </c>
      <c r="E8469" t="n">
        <v>7</v>
      </c>
      <c r="F8469">
        <f>HYPERLINK("https://www.reddit.com/r/GERD/comments/hfpd7q/acid_reducers_and_ppi_together/")</f>
        <v/>
      </c>
      <c r="G8469" t="inlineStr">
        <is>
          <t>2020-06-25 09:41:32</t>
        </is>
      </c>
      <c r="H8469" t="inlineStr"/>
    </row>
    <row r="8470">
      <c r="A8470" t="inlineStr">
        <is>
          <t>hfpj8y</t>
        </is>
      </c>
      <c r="B8470" t="inlineStr">
        <is>
          <t>Help is needed</t>
        </is>
      </c>
      <c r="C8470" t="inlineStr">
        <is>
          <t>I've had a peace of tobacco stuck in my throat for a maybe a month I know most people think it would still not be there, ether way if it's not it must have created a reaction or scar tissue and it's maddening. With that said I've previously had a lump in my throat which everybody talks about but it hasn't come back recently. It feels way better than the feeling I have now. I stopped drinking coffee so maybe that doesn't help so I may start again. Might sound odd but my question is what can I eat or drink to create a constant lump in my throat? Certain types off coffee? foods? Any kinds of cigarettes that people feel make it worse?(better in my case) I've seen a lot of posts where people say it's with them every minute of the day and I would be so relieved and grateful if this could be my situation since my mind wouldn't be able to focus on the other horrible feeling. Thanks a lot please give me any advice you can.</t>
        </is>
      </c>
      <c r="D8470" t="n">
        <v>1</v>
      </c>
      <c r="E8470" t="n">
        <v>3</v>
      </c>
      <c r="F8470">
        <f>HYPERLINK("https://www.reddit.com/r/GERD/comments/hfpj8y/help_is_needed/")</f>
        <v/>
      </c>
      <c r="G8470" t="inlineStr">
        <is>
          <t>2020-06-25 09:51:01</t>
        </is>
      </c>
      <c r="H8470" t="inlineStr"/>
    </row>
    <row r="8471">
      <c r="A8471" t="inlineStr">
        <is>
          <t>hfpp7c</t>
        </is>
      </c>
      <c r="B8471" t="inlineStr">
        <is>
          <t>Late Night Snacks?</t>
        </is>
      </c>
      <c r="C8471" t="inlineStr">
        <is>
          <t>I've been having dinner three hours before bedtime as advised by my doctor. But, I stay up late into the night and I am often hungry late in the night. I'm not supposed to eat anything, which makes the hunger pangs worse. If I do give in and eat, I have severe reflux that follows. Can anybody suggest light and healthy food items that I can have during such times? I was thinking yoghurt but I'm not sure if it's good.</t>
        </is>
      </c>
      <c r="D8471" t="n">
        <v>1</v>
      </c>
      <c r="E8471" t="n">
        <v>5</v>
      </c>
      <c r="F8471">
        <f>HYPERLINK("https://www.reddit.com/r/GERD/comments/hfpp7c/late_night_snacks/")</f>
        <v/>
      </c>
      <c r="G8471" t="inlineStr">
        <is>
          <t>2020-06-25 09:59:58</t>
        </is>
      </c>
      <c r="H8471" t="inlineStr"/>
    </row>
    <row r="8472">
      <c r="A8472" t="inlineStr">
        <is>
          <t>hfpxc2</t>
        </is>
      </c>
      <c r="B8472" t="inlineStr">
        <is>
          <t>Question for those who have had a hiatal hernia</t>
        </is>
      </c>
      <c r="C8472" t="inlineStr">
        <is>
          <t>I really suspect I have one, my past and symptoms are consistent with it. I used to lift heavy weights before the symptoms got horrible, and I might not have lifted with proper bracing all the time. I have regurgitation after every meal, shortness of breath constantly, tight throat, belching, pressure behind the sternum, occasional palpitations, burning in throat, sinusitis, etc.
I have an upper GI tract endoscopy tomorrow. I’m hoping they can find something on there to solve my issues, as I’ve seen pulmonologists, cardiologists, ENTs, etc, and none of them could find a problem with my heart, lungs, or vocal chords (chords were a bit red and irritated, but mechanically worked normally). I also intend to try and get a barium swallow.
I’m a little worried they won’t find anything. I have had chest x rays in the past, in the ER, and they didn’t say they found a hiatal hernia in those. Granted, they were ER chest x rays, I went to the ER because breathing got so labored, and I’m guessing they were looking for like pneumonia or something on those.
How did you all get your hiatal hernias diagnosed? What test found it? Did any of you pass previous chest X-rays when you had a hiatal hernia for sure?</t>
        </is>
      </c>
      <c r="D8472" t="n">
        <v>1</v>
      </c>
      <c r="E8472" t="n">
        <v>5</v>
      </c>
      <c r="F8472">
        <f>HYPERLINK("https://www.reddit.com/r/GERD/comments/hfpxc2/question_for_those_who_have_had_a_hiatal_hernia/")</f>
        <v/>
      </c>
      <c r="G8472" t="inlineStr">
        <is>
          <t>2020-06-25 10:11:06</t>
        </is>
      </c>
      <c r="H8472" t="inlineStr"/>
    </row>
    <row r="8473">
      <c r="A8473" t="inlineStr">
        <is>
          <t>hfpyd9</t>
        </is>
      </c>
      <c r="B8473" t="inlineStr">
        <is>
          <t>Doctors have no idea what is happening.</t>
        </is>
      </c>
      <c r="C8473" t="inlineStr">
        <is>
          <t>I was diagnosed with GERD about 4 months ago and between that time I've had everything from stomach aches that felt like an ulcer, to my esophagus being on fire, then leading to rectal bleeding that my doctor ruled to be possible internal hemorrhoids. (I apologize for the information) I tried to heal everything naturally from using Lilly of the Desert two times a day, multi vitamins with probiotics, avoiding anything that would cause a flare up and fast forward to now, my esophagus feels almost cold and it's effected my breathing.  It started last week when my esophagus felt like it was on fire and so I couldn't take it anymore and took some pepto and then a little while after I started having heart palpitations and ended up in the ER and resulted in a heart monitor.  Yesterday I went hiking and my esophagus felt on fire again so I took some pepto again and famotidine for the first time (10mg since Pepsin AC was the only thing available) and a couple hours later I went to take in a deep breath and I couldn't and my heart felt like it sank to my stomach and heart palpitations started again and my chest felt like it was on fire/freezing cold.  I ended up having to call an ambulance, I know I know, your cringe is felt. They gave me a GI cocktail which didn't change anything only terrified me because it numbed my entire throat, EKG came back normal, chest xray good,  blood tests were great, my oxygen stayed at 98/99 the entire few hours I was there, gave me a breathing treatment and that did nothing but make my heart rate sky rocket.  He said he thinks it is possible something to do with acid reflux and inflammation of my lungs so told me to take IB every 6 hours and take my pepcid once a day.  I still feel the same today and not sure where to go from here.  I tried to go for a walk earlier today and my chest felt like It was feeling by the end of the walk.  I don't know how I got here.</t>
        </is>
      </c>
      <c r="D8473" t="n">
        <v>1</v>
      </c>
      <c r="E8473" t="n">
        <v>2</v>
      </c>
      <c r="F8473">
        <f>HYPERLINK("https://www.reddit.com/r/GERD/comments/hfpyd9/doctors_have_no_idea_what_is_happening/")</f>
        <v/>
      </c>
      <c r="G8473" t="inlineStr">
        <is>
          <t>2020-06-25 10:12:35</t>
        </is>
      </c>
      <c r="H8473" t="inlineStr"/>
    </row>
    <row r="8474">
      <c r="A8474" t="inlineStr">
        <is>
          <t>hfpz5x</t>
        </is>
      </c>
      <c r="B8474" t="inlineStr">
        <is>
          <t>I have GERD/LPR and live in 3rd world country</t>
        </is>
      </c>
      <c r="C8474" t="inlineStr">
        <is>
          <t>Hi does anyone here live in a 3dr world country with LPR/GERD ?I'm from Suriname to be exact and I am 30 years old. in my country there are no surgeons who can do surgery for GERD. I would like to know where in the Caribbean you can find a surgeon who does? Fly to Europe to do this procedure will cost at least $30.000,- with flying ticket and medical treatment and after stay for recovery. How will I come up with the money ? I only make $300,- a month. So I feel pretty helpless. Because I would like to be really prepared for worst.</t>
        </is>
      </c>
      <c r="D8474" t="n">
        <v>1</v>
      </c>
      <c r="E8474" t="n">
        <v>3</v>
      </c>
      <c r="F8474">
        <f>HYPERLINK("https://www.reddit.com/r/GERD/comments/hfpz5x/i_have_gerdlpr_and_live_in_3rd_world_country/")</f>
        <v/>
      </c>
      <c r="G8474" t="inlineStr">
        <is>
          <t>2020-06-25 10:13:49</t>
        </is>
      </c>
      <c r="H8474" t="inlineStr"/>
    </row>
    <row r="8475">
      <c r="A8475" t="inlineStr">
        <is>
          <t>hfqc7k</t>
        </is>
      </c>
      <c r="B8475" t="inlineStr">
        <is>
          <t>HELP! COVID OR GERD?!!</t>
        </is>
      </c>
      <c r="C8475" t="inlineStr">
        <is>
          <t>Hello everyone! I was wondering if with GERD (got diagnosed about a month ago) you all deal with chest pressure, shortness of breath, and stabbing chest pain. I’ve dealt with it before I’m just super anxious due to COVID having similar symptoms. Has anyone else experienced chest pressure due to GERD? I’m able to take deep breaths and breath but I still feel a bit of pressure on my chest. Should I go to the ER?! Thanks so much.</t>
        </is>
      </c>
      <c r="D8475" t="n">
        <v>1</v>
      </c>
      <c r="E8475" t="n">
        <v>26</v>
      </c>
      <c r="F8475">
        <f>HYPERLINK("https://www.reddit.com/r/GERD/comments/hfqc7k/help_covid_or_gerd/")</f>
        <v/>
      </c>
      <c r="G8475" t="inlineStr">
        <is>
          <t>2020-06-25 10:33:44</t>
        </is>
      </c>
      <c r="H8475" t="inlineStr"/>
    </row>
    <row r="8476">
      <c r="A8476" t="inlineStr">
        <is>
          <t>hfqom7</t>
        </is>
      </c>
      <c r="B8476" t="inlineStr">
        <is>
          <t>what can the ER do for gerd-related pain?</t>
        </is>
      </c>
      <c r="C8476" t="inlineStr">
        <is>
          <t>i am having such horrible pain from my acid reflux (heart burn i guess? but its never been this painful before) that i am considering going to the ER. is there anything that they can do to help me with the pain, or would it be a waste of a trip? what exactly could they do? ive already taken the max amount of alka seltzer chews i can in 24 hours.</t>
        </is>
      </c>
      <c r="D8476" t="n">
        <v>1</v>
      </c>
      <c r="E8476" t="n">
        <v>10</v>
      </c>
      <c r="F8476">
        <f>HYPERLINK("https://www.reddit.com/r/GERD/comments/hfqom7/what_can_the_er_do_for_gerdrelated_pain/")</f>
        <v/>
      </c>
      <c r="G8476" t="inlineStr">
        <is>
          <t>2020-06-25 10:52:55</t>
        </is>
      </c>
      <c r="H8476" t="inlineStr"/>
    </row>
    <row r="8477">
      <c r="A8477" t="inlineStr">
        <is>
          <t>hfrwbm</t>
        </is>
      </c>
      <c r="B8477" t="inlineStr">
        <is>
          <t>I've had enough of one of my symptom trains and i want to stomp it, how do i go about fixing GERD?</t>
        </is>
      </c>
      <c r="C8477" t="inlineStr">
        <is>
          <t>Hey all!
I believe i have GERD as a result of a hiatial hernia, which i believe is due to bodily weakness because of the many deficiencies and other ailments i suffer, and GERD causes post-nasal drip which causes breathing difficulty &amp;amp; often impossibility through the nose which leads to mouth breathing, which i believe is causing me poor sleep, sleep bruxism &amp;amp; often a scratching sore throat, i have enough of these symptom trees without adding more, so i want to take a stab at destroying this for all
Often in life you never achieve anything without some type of hardship or sacrifice, and true to tradition, i believe anti-acids are one solution but i read they can give birth to stomach ulcers? I'm also considering the LINX procedure but this makes me slightly uncomfortable, i suppose what i need to expect is to have a temporary solution before getting a permanent one, i.e using antacids until i can get LINX surgery, but i am hoping there are better solutions out there, and it'd mean a lot if you could share them with me
Thank you so much :)</t>
        </is>
      </c>
      <c r="D8477" t="n">
        <v>1</v>
      </c>
      <c r="E8477" t="n">
        <v>0</v>
      </c>
      <c r="F8477">
        <f>HYPERLINK("https://www.reddit.com/r/GERD/comments/hfrwbm/ive_had_enough_of_one_of_my_symptom_trains_and_i/")</f>
        <v/>
      </c>
      <c r="G8477" t="inlineStr">
        <is>
          <t>2020-06-25 11:59:36</t>
        </is>
      </c>
      <c r="H8477" t="inlineStr"/>
    </row>
    <row r="8478">
      <c r="A8478" t="inlineStr">
        <is>
          <t>hftdnm</t>
        </is>
      </c>
      <c r="B8478" t="inlineStr">
        <is>
          <t>Neat tip for ATTIC-INHABITANTS</t>
        </is>
      </c>
      <c r="C8478" t="inlineStr">
        <is>
          <t>TL;DR: Don‘t go upstairs after eating. Take your food to your attic if you can.
&amp;amp;#x200B;
I still live with my parents and my own room is at the attic. Our house has two stories and my attic. The kitchen is on the lowest floor.
Whenever I‘m done eating in the kitchen, I always instantly walk the stairs up to my room because that‘s where I feel most comfortable. When I had gaming as a hobby as a teenager, I even ran the whole thing up so I don‘t miss my game.
I only realized this right now. After a full day of water-fasting, I went down and ate a red apple and cherries. I chewed until I only had water in my mouth and there seemed to be no signs of reflux yet, but that‘s because I‘ve eaten extremely careful. Then I walked upstairs, and suddenly my stomach was going haywire. I stopped mid-stairs, and then I realized a potential mistake I‘ve been doing all my life. This may be one cause of my GERD (or whatever I have), because I feel like going upstairs after eating is a terrible habit. I well remember eating meatballs once in my bed in my attic, and then going to the kitchen to get more sauce. DEAD. I felt so terrible. I hope this is it, because I really want to eat mayonaise again :(</t>
        </is>
      </c>
      <c r="D8478" t="n">
        <v>1</v>
      </c>
      <c r="E8478" t="n">
        <v>0</v>
      </c>
      <c r="F8478">
        <f>HYPERLINK("https://www.reddit.com/r/GERD/comments/hftdnm/neat_tip_for_atticinhabitants/")</f>
        <v/>
      </c>
      <c r="G8478" t="inlineStr">
        <is>
          <t>2020-06-25 13:21:18</t>
        </is>
      </c>
      <c r="H8478" t="inlineStr"/>
    </row>
    <row r="8479">
      <c r="A8479" t="inlineStr">
        <is>
          <t>hfu56e</t>
        </is>
      </c>
      <c r="B8479" t="inlineStr">
        <is>
          <t>Gerd + anxiety, name a more iconic duo</t>
        </is>
      </c>
      <c r="C8479" t="inlineStr">
        <is>
          <t>M27 here. Quite frequent GERD symptoms for a couple of years. Have suffered from pretty bad health anxiety all my life and GERD does a perfect job increasing that. For the past year I've been stressing about a suspected Barrett's they saw at the endoscopy, which, according to the biopsies, was nothing though.
The doctors say I'm totally fine and I should only need PPI intermittently. Rationally I agree, but man... it's just so hard to stay positive. Gotta be grateful, things could be SO much worse, but I keep obsessing about the small probability of dying from esophageal cancer.
Shoutout to the other people like me in this sub. I know there are a few of you.</t>
        </is>
      </c>
      <c r="D8479" t="n">
        <v>1</v>
      </c>
      <c r="E8479" t="n">
        <v>28</v>
      </c>
      <c r="F8479">
        <f>HYPERLINK("https://www.reddit.com/r/GERD/comments/hfu56e/gerd_anxiety_name_a_more_iconic_duo/")</f>
        <v/>
      </c>
      <c r="G8479" t="inlineStr">
        <is>
          <t>2020-06-25 14:04:32</t>
        </is>
      </c>
      <c r="H8479" t="inlineStr"/>
    </row>
    <row r="8480">
      <c r="A8480" t="inlineStr">
        <is>
          <t>hfvfcm</t>
        </is>
      </c>
      <c r="B8480" t="inlineStr">
        <is>
          <t>Endoscopy on Tuesday</t>
        </is>
      </c>
      <c r="C8480" t="inlineStr">
        <is>
          <t>I have had endoscopy before but the sedation was not strong enough to put me down completely that I had suffered and gagged and was in pain that right now I am very anxious.  
I informed my doctor, he said he will be using propofol in order to have deeper sedation, would I really not feel anything at all because the first time when I was given Dormicum and felt it all.  
First one came negative did not have anything but now I have been having symptoms such as, chest pain behind breastbone (not always there), sometimes feel it more when I swallow my saliva (not food or drink) as well as feeling bloated and filled up with air like a balloon along with nausea, feeling like something is stuck in my throat/chest (not always happens)</t>
        </is>
      </c>
      <c r="D8480" t="n">
        <v>1</v>
      </c>
      <c r="E8480" t="n">
        <v>8</v>
      </c>
      <c r="F8480">
        <f>HYPERLINK("https://www.reddit.com/r/GERD/comments/hfvfcm/endoscopy_on_tuesday/")</f>
        <v/>
      </c>
      <c r="G8480" t="inlineStr">
        <is>
          <t>2020-06-25 15:16:20</t>
        </is>
      </c>
      <c r="H8480" t="inlineStr"/>
    </row>
    <row r="8481">
      <c r="A8481" t="inlineStr">
        <is>
          <t>hfwemg</t>
        </is>
      </c>
      <c r="B8481" t="inlineStr">
        <is>
          <t>Holy crap... I ate a whole bag of sour cream and onion chips yesterday and felt like I was going to die</t>
        </is>
      </c>
      <c r="C8481" t="inlineStr">
        <is>
          <t>So I hadn’t had any LPR or heartburn in a few days so I thought it was over and said “I’ll only have a serving”. Nope, I let the chips get the best of me and I destroyed that bag of chips and proceeded to eat a bowl of Ben and Jerry’s right after. Worst idea I have ever had. I immediately felt so bloated and kinda sick... after 1-2 hours, my stomach and chest felt so messed up and I was getting cramps all over the place, pain, feeling like food is stuck in there. An hour later, the heartburn and LPR hit full force. Popped a couple tums and it literally did nothing. Popped a couple more just to kill enough stomach acid to get to sleep.... and this is now 5-6 hours after eating that crap. Maybe longer. I seriously couldn’t tell anymore if it was GERD or if I was dying because I was getting these crazy stomach aches and the LPR was so bad that I felt like my throat was continuously on fire. 
Never again.</t>
        </is>
      </c>
      <c r="D8481" t="n">
        <v>1</v>
      </c>
      <c r="E8481" t="n">
        <v>2</v>
      </c>
      <c r="F8481">
        <f>HYPERLINK("https://www.reddit.com/r/GERD/comments/hfwemg/holy_crap_i_ate_a_whole_bag_of_sour_cream_and/")</f>
        <v/>
      </c>
      <c r="G8481" t="inlineStr">
        <is>
          <t>2020-06-25 16:14:37</t>
        </is>
      </c>
      <c r="H8481" t="inlineStr"/>
    </row>
    <row r="8482">
      <c r="A8482" t="inlineStr">
        <is>
          <t>hfwmpd</t>
        </is>
      </c>
      <c r="B8482" t="inlineStr">
        <is>
          <t>YouTube video for both Gastritis and Gerd.</t>
        </is>
      </c>
      <c r="C8482" t="inlineStr">
        <is>
          <t>Hi
I am trying to find YouTube videos of people who have had both Gastritis and Gerd and have overcome it. I feel very lonely. I need to overcome this.</t>
        </is>
      </c>
      <c r="D8482" t="n">
        <v>1</v>
      </c>
      <c r="E8482" t="n">
        <v>0</v>
      </c>
      <c r="F8482">
        <f>HYPERLINK("https://www.reddit.com/r/GERD/comments/hfwmpd/youtube_video_for_both_gastritis_and_gerd/")</f>
        <v/>
      </c>
      <c r="G8482" t="inlineStr">
        <is>
          <t>2020-06-25 16:28:16</t>
        </is>
      </c>
      <c r="H8482" t="inlineStr"/>
    </row>
    <row r="8483">
      <c r="A8483" t="inlineStr">
        <is>
          <t>hfwn3p</t>
        </is>
      </c>
      <c r="B8483" t="inlineStr">
        <is>
          <t>YouTube video to cure both Gastritis and Gerd</t>
        </is>
      </c>
      <c r="C8483" t="inlineStr">
        <is>
          <t>Hi
I am trying to find YouTube videos of people who have had both Gastritis and Gerd and have overcome it. I feel very lonely. I need to overcome this.</t>
        </is>
      </c>
      <c r="D8483" t="n">
        <v>1</v>
      </c>
      <c r="E8483" t="n">
        <v>2</v>
      </c>
      <c r="F8483">
        <f>HYPERLINK("https://www.reddit.com/r/GERD/comments/hfwn3p/youtube_video_to_cure_both_gastritis_and_gerd/")</f>
        <v/>
      </c>
      <c r="G8483" t="inlineStr">
        <is>
          <t>2020-06-25 16:29:00</t>
        </is>
      </c>
      <c r="H8483" t="inlineStr"/>
    </row>
    <row r="8484">
      <c r="A8484" t="inlineStr">
        <is>
          <t>hfwwwt</t>
        </is>
      </c>
      <c r="B8484" t="inlineStr">
        <is>
          <t>Question about a procedure I'm having done?</t>
        </is>
      </c>
      <c r="C8484" t="inlineStr">
        <is>
          <t>According to my doctor, I'm having an esophageal manometry and Bravo test at the same time on the same day. I asked if I would be sedated throughout the procedure, and my doctor said I would. I would be "asleep," to quote him.
Now, last time I had an esophageal manometry (I didn't complete mine because I was too anxious), I was told I couldn't be sedated. 
I'm going to call the doctor's tomorrow just to get more clarity on my upcoming procedure, but have you guys heard of a manometry done with sedation? Or a Bravo test done with sedation? Or both tests being done at the same time? 
Thanks!!</t>
        </is>
      </c>
      <c r="D8484" t="n">
        <v>1</v>
      </c>
      <c r="E8484" t="n">
        <v>4</v>
      </c>
      <c r="F8484">
        <f>HYPERLINK("https://www.reddit.com/r/GERD/comments/hfwwwt/question_about_a_procedure_im_having_done/")</f>
        <v/>
      </c>
      <c r="G8484" t="inlineStr">
        <is>
          <t>2020-06-25 16:46:01</t>
        </is>
      </c>
      <c r="H8484" t="inlineStr"/>
    </row>
    <row r="8485">
      <c r="A8485" t="inlineStr">
        <is>
          <t>hfxhbp</t>
        </is>
      </c>
      <c r="B8485" t="inlineStr">
        <is>
          <t>Are headaches normal?</t>
        </is>
      </c>
      <c r="C8485" t="inlineStr">
        <is>
          <t>Hey everyone, so glad I found this sub. I am 23F, 155 lbs 5 ft 2. I have been experiencing chronic GERD for the last 4 years, ever since going to college and eating out/not having a regular diet. The thing is, my GERD is always just burping/belching + insane headache on one side of the head, and it often moves. Is this normal? I visited a gastroenterologist 2 yrs ago and they were basically like “eat tums and lose weight.” These headaches are extremely debilitating though, and they usually accompany stress. Can anyone relate to this?</t>
        </is>
      </c>
      <c r="D8485" t="n">
        <v>1</v>
      </c>
      <c r="E8485" t="n">
        <v>1</v>
      </c>
      <c r="F8485">
        <f>HYPERLINK("https://www.reddit.com/r/GERD/comments/hfxhbp/are_headaches_normal/")</f>
        <v/>
      </c>
      <c r="G8485" t="inlineStr">
        <is>
          <t>2020-06-25 17:22:31</t>
        </is>
      </c>
      <c r="H8485" t="inlineStr"/>
    </row>
    <row r="8486">
      <c r="A8486" t="inlineStr">
        <is>
          <t>hfya1b</t>
        </is>
      </c>
      <c r="B8486" t="inlineStr">
        <is>
          <t>GERD not getting better?</t>
        </is>
      </c>
      <c r="C8486" t="inlineStr">
        <is>
          <t>I recently had an endoscopy done after a debilitating amount of indigestion and nausea. Doctor found GERD and a small hiatal hernia and prescribed Omeprazole and famotidine. I’ve been on both for 6 weeks and there has been no improvement. It did get a little better for a bit but came back. I’m starting to also think it’s more than GERD due to malaise/fatigue/nausea/lower abdominal pains and other symptoms that I have been having. 
I had a follow up with my doctor 2 weeks ago and he wanted to wait 6 more weeks before another follow up but I really need to figure this out before the college semester. Should  I continue to wait and see if the GERD goes away or should I try to get in with the doctor early? Also is it possible my symptoms can be caused by something other than GERD?</t>
        </is>
      </c>
      <c r="D8486" t="n">
        <v>1</v>
      </c>
      <c r="E8486" t="n">
        <v>4</v>
      </c>
      <c r="F8486">
        <f>HYPERLINK("https://www.reddit.com/r/GERD/comments/hfya1b/gerd_not_getting_better/")</f>
        <v/>
      </c>
      <c r="G8486" t="inlineStr">
        <is>
          <t>2020-06-25 18:15:59</t>
        </is>
      </c>
      <c r="H8486" t="inlineStr"/>
    </row>
    <row r="8487">
      <c r="A8487" t="inlineStr">
        <is>
          <t>hfymvt</t>
        </is>
      </c>
      <c r="B8487" t="inlineStr">
        <is>
          <t>SMA Syndrome?</t>
        </is>
      </c>
      <c r="C8487" t="inlineStr">
        <is>
          <t xml:space="preserve">     So, I finally got into my new GI Doctor and he thinks I have SMA Syndrome.  He ordered a upper and lower scope to rule everything else out.  Everything came back normal!  As always,  a little gastritis and some esophageal irritation, pretty standard results for me.  Has anyone ever gotten this as a possible diagnosis?  SMA syndrome is when the SMA artery pinches the duodenum.  This apparently can cause GERD and some IBS like symptoms.  I'm just curious, after 6 years of various diagnosis I'm not easily convinced. Haha</t>
        </is>
      </c>
      <c r="D8487" t="n">
        <v>1</v>
      </c>
      <c r="E8487" t="n">
        <v>1</v>
      </c>
      <c r="F8487">
        <f>HYPERLINK("https://www.reddit.com/r/GERD/comments/hfymvt/sma_syndrome/")</f>
        <v/>
      </c>
      <c r="G8487" t="inlineStr">
        <is>
          <t>2020-06-25 18:40:08</t>
        </is>
      </c>
      <c r="H8487" t="inlineStr"/>
    </row>
    <row r="8488">
      <c r="A8488" t="inlineStr">
        <is>
          <t>hfyt6y</t>
        </is>
      </c>
      <c r="B8488" t="inlineStr">
        <is>
          <t>Heartburn Everyday- Normal Tests- Need Some Advice</t>
        </is>
      </c>
      <c r="C8488" t="inlineStr">
        <is>
          <t>Hey everyone! Thanks for taking the time to read this. For the last 8 months I’ve been struggling with daily heartburn not triggered by any specific food. It’s worse when I have acidic foods but even if I have something as simple pretzels and water I still experience symptoms. I’ve had a barium swallow done as well as an h pylori test. Both came back negative for any abnormalities. I’ve tried Pepcid, Prilosec and Nexium (prescription doses) and nothing has gotten rid of it. Has anyone else here been on the same boat as me? Any advice? 
Thanks!</t>
        </is>
      </c>
      <c r="D8488" t="n">
        <v>1</v>
      </c>
      <c r="E8488" t="n">
        <v>6</v>
      </c>
      <c r="F8488">
        <f>HYPERLINK("https://www.reddit.com/r/GERD/comments/hfyt6y/heartburn_everyday_normal_tests_need_some_advice/")</f>
        <v/>
      </c>
      <c r="G8488" t="inlineStr">
        <is>
          <t>2020-06-25 18:52:27</t>
        </is>
      </c>
      <c r="H8488" t="inlineStr"/>
    </row>
    <row r="8489">
      <c r="A8489" t="inlineStr">
        <is>
          <t>hfzptp</t>
        </is>
      </c>
      <c r="B8489" t="inlineStr">
        <is>
          <t>Almost constant, inadvertent stomach clenching.</t>
        </is>
      </c>
      <c r="C8489" t="inlineStr">
        <is>
          <t>Hi everybody, first post so bear with me.  I've noticed that I've been clenching my stomach muscles, so that my stomach sits higher up.  When I notice, I immediately unclench, but then its almost hurts when I relax it so then I clench it again.  Has anyone else experienced this? If so, in you're experience, was it more from anxiety or from constant GERD?  Im wondering if part of my problem with this huge flare up is that im clenching my stomach all day which brings it closer up to my diaphragm, thus making food come up higher than usual, belching acid etc..?</t>
        </is>
      </c>
      <c r="D8489" t="n">
        <v>1</v>
      </c>
      <c r="E8489" t="n">
        <v>4</v>
      </c>
      <c r="F8489">
        <f>HYPERLINK("https://www.reddit.com/r/GERD/comments/hfzptp/almost_constant_inadvertent_stomach_clenching/")</f>
        <v/>
      </c>
      <c r="G8489" t="inlineStr">
        <is>
          <t>2020-06-25 19:55:43</t>
        </is>
      </c>
      <c r="H8489" t="inlineStr"/>
    </row>
    <row r="8490">
      <c r="A8490" t="inlineStr">
        <is>
          <t>hfzqcx</t>
        </is>
      </c>
      <c r="B8490" t="inlineStr">
        <is>
          <t>Hello, my doctor strongly believes I have GERD, questions about symptoms</t>
        </is>
      </c>
      <c r="C8490" t="inlineStr">
        <is>
          <t>It all started after being overly stressed about something 2 months ago. And while the stress of that went away these knew bloating symptoms haven't.
22 year old male 
Basically, I keep hearing grumbling and bloating (sometimes painful) in my upper abdomen and lower abdomen. It goes for 2-3 hours then stops. Slight discomfort symptoms after that. At night the symptoms is just mild discomfort until I get ready to sleep. In bed the bloating painful noises start again. I also getting mini burps not actual burps just like water goes through my throat (not sure how to explain it). Heart is also sometimes racing. Sweating in my chest and mostly my armpits.</t>
        </is>
      </c>
      <c r="D8490" t="n">
        <v>1</v>
      </c>
      <c r="E8490" t="n">
        <v>2</v>
      </c>
      <c r="F8490">
        <f>HYPERLINK("https://www.reddit.com/r/GERD/comments/hfzqcx/hello_my_doctor_strongly_believes_i_have_gerd/")</f>
        <v/>
      </c>
      <c r="G8490" t="inlineStr">
        <is>
          <t>2020-06-25 19:56:51</t>
        </is>
      </c>
      <c r="H8490" t="inlineStr"/>
    </row>
    <row r="8491">
      <c r="A8491" t="inlineStr">
        <is>
          <t>hg0ini</t>
        </is>
      </c>
      <c r="B8491" t="inlineStr">
        <is>
          <t>GERD Help/Tips</t>
        </is>
      </c>
      <c r="C8491" t="inlineStr">
        <is>
          <t>Hi guys this is my first time on Reddit, I thought it would be the best place to confide in people about my issues that can relate lmao, anyway I've been suffering from gerd for about 7 years, but very recently it has started to take a toll on my life pretty bad, of course I already suffer from anxiety and I know it can make it worse but I manage it well I feel. But recently its just seems to become worse and worse, every time I eat it just doesn't feel right, always a sour taste in my mouth, my tongue is orange a lot, if that makes any sense, it just feels like it wants to come back up. For reference I'm on Somac 80mg daily this is new as of yesterday, previously was on Nexium 20mg since 2015 but haven't taken it consistently in that time because it wasn't causing me trouble.
I'm just afraid that something bigger is wrong, I feel unwell a lot after I eat naturally and life just is kind of a bummer atm, I know people definitely have it worse then me btw, and don't want to make it look like 'pOOr mE'. Anyways Cheers!</t>
        </is>
      </c>
      <c r="D8491" t="n">
        <v>1</v>
      </c>
      <c r="E8491" t="n">
        <v>0</v>
      </c>
      <c r="F8491">
        <f>HYPERLINK("https://www.reddit.com/r/GERD/comments/hg0ini/gerd_helptips/")</f>
        <v/>
      </c>
      <c r="G8491" t="inlineStr">
        <is>
          <t>2020-06-25 20:53:44</t>
        </is>
      </c>
      <c r="H8491" t="inlineStr"/>
    </row>
    <row r="8492">
      <c r="A8492" t="inlineStr">
        <is>
          <t>hg5ikd</t>
        </is>
      </c>
      <c r="B8492" t="inlineStr">
        <is>
          <t>GERD?</t>
        </is>
      </c>
      <c r="C8492" t="inlineStr">
        <is>
          <t>So I’ve been suffering from what I believe to be GERD for almost 4 months now. I was eating one night and laid down too soon causing the acid to back up into my esophagus. I believe the LES became weak so it happened a couple more times which gave me chest pain that still lingers today. It has caused me to have anxiety while driving because I’m constantly thinking of the pain when I know it’s nothing that deals with a heart attack, but my stomach. I’m a 28 yo male. I went to the er possibly 4 weeks ago... did an ecg as well as blood work. Found nothing wrong with my heart or no infections, but prescribed me with Prilosec. Called my doctor within a week and he prescribed me with Nexium for 30 days. Right now I am on day 19 and really want to stop because it is making me drowsy, tired and probably add to heart palpitations. I cut down on caffeine, alcohol, fatty meats and eat more vegetables and fruits, but I still suffer from chest pain that comes and goes. I know I have to stay positive or it will add to my anxiety, but I have to go back to work in a week and it is giving me anxiety while driving. I need to find some help before I am trying to go back to college in 2 months. Luckily my college is only 5 minute drive, but even then my chest pain will cause some anxiety. My stomach is tolerable, but the chest pain... not so much! I tested for h. pylori with a stools test and going to call my doctor today for results. I might even ask to stop my medication because it is not helping. I’m not sure if my esophagus is inflamed or what the problem is? Worst of all it happened around Covid 19 where nobody wants to deal with anybody so it screwed me over. What to do? Any advice would be great! I also started to do more running and breathing exercises. Looking into some relaxation meditation methods. Thank you in advance!</t>
        </is>
      </c>
      <c r="D8492" t="n">
        <v>1</v>
      </c>
      <c r="E8492" t="n">
        <v>2</v>
      </c>
      <c r="F8492">
        <f>HYPERLINK("https://www.reddit.com/r/GERD/comments/hg5ikd/gerd/")</f>
        <v/>
      </c>
      <c r="G8492" t="inlineStr">
        <is>
          <t>2020-06-26 04:09:15</t>
        </is>
      </c>
      <c r="H8492" t="inlineStr"/>
    </row>
    <row r="8493">
      <c r="A8493" t="inlineStr">
        <is>
          <t>hg64n7</t>
        </is>
      </c>
      <c r="B8493" t="inlineStr">
        <is>
          <t>Gerd and Gastritis</t>
        </is>
      </c>
      <c r="C8493" t="inlineStr">
        <is>
          <t>Who has both conditions?
How are you healing?
Which one heals first?
I am confused?</t>
        </is>
      </c>
      <c r="D8493" t="n">
        <v>1</v>
      </c>
      <c r="E8493" t="n">
        <v>6</v>
      </c>
      <c r="F8493">
        <f>HYPERLINK("https://www.reddit.com/r/GERD/comments/hg64n7/gerd_and_gastritis/")</f>
        <v/>
      </c>
      <c r="G8493" t="inlineStr">
        <is>
          <t>2020-06-26 04:54:11</t>
        </is>
      </c>
      <c r="H8493" t="inlineStr"/>
    </row>
    <row r="8494">
      <c r="A8494" t="inlineStr">
        <is>
          <t>hg71yf</t>
        </is>
      </c>
      <c r="B8494" t="inlineStr">
        <is>
          <t>How can I support my partner??</t>
        </is>
      </c>
      <c r="C8494" t="inlineStr">
        <is>
          <t>Hey all! Any advice is very much appreciated. As the title states, I am looking for ways that I can support my fiance with horrible GERD. What are some go to foods that don't cause flare ups? Is there anything unusual that you tried that helped? How can you support someone mentally? Its really breaking my heart to see him going through this :\ thanks all!</t>
        </is>
      </c>
      <c r="D8494" t="n">
        <v>1</v>
      </c>
      <c r="E8494" t="n">
        <v>6</v>
      </c>
      <c r="F8494">
        <f>HYPERLINK("https://www.reddit.com/r/GERD/comments/hg71yf/how_can_i_support_my_partner/")</f>
        <v/>
      </c>
      <c r="G8494" t="inlineStr">
        <is>
          <t>2020-06-26 05:55:33</t>
        </is>
      </c>
      <c r="H8494" t="inlineStr"/>
    </row>
    <row r="8495">
      <c r="A8495" t="inlineStr">
        <is>
          <t>hg7nnw</t>
        </is>
      </c>
      <c r="B8495" t="inlineStr">
        <is>
          <t>My new discovery and it really helps with heartburn - a special homemade tea</t>
        </is>
      </c>
      <c r="C8495" t="inlineStr">
        <is>
          <t xml:space="preserve">  Hi guys
I shared here a couple of months ago a German product that really helps me with my heartburn (google for Bullrich Salz, I buy it local stores in Germany) If I have heartburn it really helps immediately and reliefs the symptoms. But in my opinion this method isn't enough. I don’t want to fight the symptoms I want to fight the cause. After searching the internet for natural remedies I came across an ebook, that has a lot of useful tips. One of them is something I'm trying since a few weeks and my symptoms are showing up way less. Here it comes: Every morning I drink a cup of hot water with a tablespoon of apple cider vinegar and honey. The apple cider vinegar will strenghted the acid in your stomach - therefore your stomach wont build up to much acid which will damage your Esophagus and the honey will relief any hurtburn symtoms. This tea even tastes good. Try it out yourselves and let me know if it helps. 😊</t>
        </is>
      </c>
      <c r="D8495" t="n">
        <v>1</v>
      </c>
      <c r="E8495" t="n">
        <v>7</v>
      </c>
      <c r="F8495">
        <f>HYPERLINK("https://www.reddit.com/r/GERD/comments/hg7nnw/my_new_discovery_and_it_really_helps_with/")</f>
        <v/>
      </c>
      <c r="G8495" t="inlineStr">
        <is>
          <t>2020-06-26 06:33:18</t>
        </is>
      </c>
      <c r="H8495" t="inlineStr"/>
    </row>
    <row r="8496">
      <c r="A8496" t="inlineStr">
        <is>
          <t>hg7tq4</t>
        </is>
      </c>
      <c r="B8496" t="inlineStr">
        <is>
          <t>Side Effects</t>
        </is>
      </c>
      <c r="C8496" t="inlineStr">
        <is>
          <t>Hey everyone! I just started taking Famotidine the day before yesterday and can anyone share any side effects they've had or anything positive it has done for you?  I woke up feeling kind of off this morning.</t>
        </is>
      </c>
      <c r="D8496" t="n">
        <v>1</v>
      </c>
      <c r="E8496" t="n">
        <v>3</v>
      </c>
      <c r="F8496">
        <f>HYPERLINK("https://www.reddit.com/r/GERD/comments/hg7tq4/side_effects/")</f>
        <v/>
      </c>
      <c r="G8496" t="inlineStr">
        <is>
          <t>2020-06-26 06:43:26</t>
        </is>
      </c>
      <c r="H8496" t="inlineStr"/>
    </row>
    <row r="8497">
      <c r="A8497" t="inlineStr">
        <is>
          <t>hg80gm</t>
        </is>
      </c>
      <c r="B8497" t="inlineStr">
        <is>
          <t>How can I test if I have silent reflux?</t>
        </is>
      </c>
      <c r="C8497" t="inlineStr">
        <is>
          <t>So I often have a sore throat. But this time it's different and I am scared af because it's been 2-3 weeks off and on, sometimes better and I think it "heals" but thenMit gets worse again. My stress and anxiety level has been extremely high lately. I've been to the docs twice but they can't really find anything and say it may be allergies (I have meds for my allergies so i don't think so) or psychosomatic. Well, great help *sigh *.
 On the second appointment doc asked me if I had heartburn because many symptoms look like reflux (sore throat, feeling of a lump inside, slime, regular infections, soapy/numbed taste in my mouth). But when I said no not really he brushed it off.  Now a fellow redditor made me read about reflux and I found silent reflux which is like a real possibility and has most of my symptoms covered. It also fits that stress and anxiety can cause all of this.
I would be so relieved and I am already drinking alkaline herbal tea and read about  chamomile tea bwing helpful which I will buy tomorrow!! I will try to sleep on my left and not eat sugar, sour stuff and carbonated drinks.
What else can I do to test if silent reflux might be the reason for my problem? I would like to try for 1-2 weeks and am grateful for any tips on what (not) to eat and other stuff that might help!!</t>
        </is>
      </c>
      <c r="D8497" t="n">
        <v>1</v>
      </c>
      <c r="E8497" t="n">
        <v>7</v>
      </c>
      <c r="F8497">
        <f>HYPERLINK("https://www.reddit.com/r/GERD/comments/hg80gm/how_can_i_test_if_i_have_silent_reflux/")</f>
        <v/>
      </c>
      <c r="G8497" t="inlineStr">
        <is>
          <t>2020-06-26 06:54:49</t>
        </is>
      </c>
      <c r="H8497" t="inlineStr"/>
    </row>
    <row r="8498">
      <c r="A8498" t="inlineStr">
        <is>
          <t>hg82ny</t>
        </is>
      </c>
      <c r="B8498" t="inlineStr">
        <is>
          <t>Diet or remedies for gerd?</t>
        </is>
      </c>
      <c r="C8498" t="inlineStr">
        <is>
          <t>It's only the feeling of food or something stuck in throat. I'll try whatever.</t>
        </is>
      </c>
      <c r="D8498" t="n">
        <v>1</v>
      </c>
      <c r="E8498" t="n">
        <v>7</v>
      </c>
      <c r="F8498">
        <f>HYPERLINK("https://www.reddit.com/r/GERD/comments/hg82ny/diet_or_remedies_for_gerd/")</f>
        <v/>
      </c>
      <c r="G8498" t="inlineStr">
        <is>
          <t>2020-06-26 06:58:34</t>
        </is>
      </c>
      <c r="H8498" t="inlineStr"/>
    </row>
    <row r="8499">
      <c r="A8499" t="inlineStr">
        <is>
          <t>hg8cu2</t>
        </is>
      </c>
      <c r="B8499" t="inlineStr">
        <is>
          <t>New here, had my first (hopefully last) sleep-related laryngospasm last night</t>
        </is>
      </c>
      <c r="C8499" t="inlineStr">
        <is>
          <t>So I was sleeping last night and then all of a sudden I was standing up and panicking because I couldn't breathe. When I tried to inhale, my airway was closed; this harsh, strangled noise happened instead, and I thought maybe I was going to die. But then after a few seconds I could breathe again.
This was not pleasant and I had trouble sleeping the rest of the night, so I did some googling. Apparently it was a sleep-related laryngospasm and can be caused by acid reflux; acid touches the larynx and causes the vocal cords to constrict. The sound I made is called stridor.
After looking up the causes of acid reflux, it looks like I've pretty much been doing everything wrong... sleeping/napping after eating, eating when I'm already stuffed, not chewing food well, lots of spicy food/coffee/fatty food. I really like my sriracha sauce... but I also like not suffocating in my sleep, so here I am. Bleh.
Anyway, can anyone recommend any high-fiber dishes that you like? I am now living on chickpeas because I'm afraid to eat anything else in the house. Also, do any of the typical trigger foods not trigger you?</t>
        </is>
      </c>
      <c r="D8499" t="n">
        <v>1</v>
      </c>
      <c r="E8499" t="n">
        <v>3</v>
      </c>
      <c r="F8499">
        <f>HYPERLINK("https://www.reddit.com/r/GERD/comments/hg8cu2/new_here_had_my_first_hopefully_last_sleeprelated/")</f>
        <v/>
      </c>
      <c r="G8499" t="inlineStr">
        <is>
          <t>2020-06-26 07:14:34</t>
        </is>
      </c>
      <c r="H8499" t="inlineStr"/>
    </row>
    <row r="8500">
      <c r="A8500" t="inlineStr">
        <is>
          <t>hg8m46</t>
        </is>
      </c>
      <c r="B8500" t="inlineStr">
        <is>
          <t>H pylori issue</t>
        </is>
      </c>
      <c r="C8500" t="inlineStr">
        <is>
          <t>Hi everyone,
I have had H pylori for months now and i've been through 3 treatments and still no improvment i've startd to have this constant burning pain in my stomach and i'm worried it could be an ulcer! I don't want to take any more medication really because all it does is mak me feel unwell and worse and nothin mdically has helped! Are there any more ways i can get rid of this infection because i still think it's here!!</t>
        </is>
      </c>
      <c r="D8500" t="n">
        <v>1</v>
      </c>
      <c r="E8500" t="n">
        <v>3</v>
      </c>
      <c r="F8500">
        <f>HYPERLINK("https://www.reddit.com/r/GERD/comments/hg8m46/h_pylori_issue/")</f>
        <v/>
      </c>
      <c r="G8500" t="inlineStr">
        <is>
          <t>2020-06-26 07:29:27</t>
        </is>
      </c>
      <c r="H8500" t="inlineStr"/>
    </row>
    <row r="8501">
      <c r="A8501" t="inlineStr">
        <is>
          <t>hg9z05</t>
        </is>
      </c>
      <c r="B8501" t="inlineStr">
        <is>
          <t>I'm new here and experience some agony of my own.</t>
        </is>
      </c>
      <c r="C8501" t="inlineStr">
        <is>
          <t>Hello everyone. My name is Dennis, 33yrs old, and currently on my first treatment of pantoprazole 40mg daily. I haven't been officially diagnosed by my doctor with GERD. Im scheduled to see a ENT and a Gastro within two weeks. 
Main symptoms: Chest itchiness, lump in throat, burning lower abdomen sensation, bleaching, shortness of breath and bloating. 
Several weeks ago around March, my Uncle Carlos died from Covid 19. I was extremely upset and suffered from shortness of breath afterwards around March 20th.  
I couldn't figure out why I felt short of breath. I thought it was because I too came in contact with covid from the last time I saw my uncle alive. It felt like I could never get a satisfying breath. I was afraid to get in the shower because I felt like I was drowning. Well  some several tests and urgent care visits later, it turns out my lungs are okay. I even went to therapy and took lexipro thinking it was all in my head. Just anxiety. 
I go back to my life style of heavy drinking and eating fast food. But I couldn't help but noticed some itchiness in the middle of my chest. It comes and goes. But it was unbearable.  Then on my birthday. June 20th, I drank a whole bottle of whiskey 750ml. The next day I feel intense chest itchiness and im whizzing. I can't get a full breath.  I went to the ER and they did a CT and blood test. ER doctor saids my heart and lungs are healthy.  I bring this problem to my primary care physician and she tells me to take pantoprazole for two weeks. 
I'm experience a lot of gas and a burning sensation around my lower abdomen.  I'm honestly afraid for my life. I dont feel right and I hope I have time to turn it around with a cleaner life style. 
Reading all of your stories and how you're all trying to overcome this has given me hope and motivation.  I hope this will turn out okay. I hope what I'm experiencing isn't anything new and you  can tell me its normal for GERD. I'll update everyone as soon as my H.Pylori test comes back. Just looking for hope and support. I wish you all the best as well.</t>
        </is>
      </c>
      <c r="D8501" t="n">
        <v>3</v>
      </c>
      <c r="E8501" t="n">
        <v>30</v>
      </c>
      <c r="F8501">
        <f>HYPERLINK("https://www.reddit.com/r/GERD/comments/hg9z05/im_new_here_and_experience_some_agony_of_my_own/")</f>
        <v/>
      </c>
      <c r="G8501" t="inlineStr">
        <is>
          <t>2020-06-26 08:44:17</t>
        </is>
      </c>
      <c r="H8501" t="inlineStr"/>
    </row>
    <row r="8502">
      <c r="A8502" t="inlineStr">
        <is>
          <t>hgb9wk</t>
        </is>
      </c>
      <c r="B8502" t="inlineStr">
        <is>
          <t>What are you go to foods when you symptoms are that worst?</t>
        </is>
      </c>
      <c r="C8502" t="inlineStr">
        <is>
          <t>I feel like mostly anything I will eat will just give me pain and burping for hours on end. So looking to see what snacks you guys munch on to keep you from not starving and as little you can from the pain</t>
        </is>
      </c>
      <c r="D8502" t="n">
        <v>4</v>
      </c>
      <c r="E8502" t="n">
        <v>61</v>
      </c>
      <c r="F8502">
        <f>HYPERLINK("https://www.reddit.com/r/GERD/comments/hgb9wk/what_are_you_go_to_foods_when_you_symptoms_are/")</f>
        <v/>
      </c>
      <c r="G8502" t="inlineStr">
        <is>
          <t>2020-06-26 09:53:27</t>
        </is>
      </c>
      <c r="H8502" t="inlineStr"/>
    </row>
    <row r="8503">
      <c r="A8503" t="inlineStr">
        <is>
          <t>hgbnoj</t>
        </is>
      </c>
      <c r="B8503" t="inlineStr">
        <is>
          <t>Throat burns when walking?</t>
        </is>
      </c>
      <c r="C8503" t="inlineStr">
        <is>
          <t>I find anytime I’m walking for more than 10-15 minutes my throat starts burning and I start getting the acidic taste in my mouth. Is this just stomach acid getting worked up from me moving? Or is this not normal? Any advice is appreciated (and I will of course bring this up at my next doctor visit). Thank you!
*edit to clarify that I have GERD/LPR, just wondering if this is normal with these conditions</t>
        </is>
      </c>
      <c r="D8503" t="n">
        <v>1</v>
      </c>
      <c r="E8503" t="n">
        <v>0</v>
      </c>
      <c r="F8503">
        <f>HYPERLINK("https://www.reddit.com/r/GERD/comments/hgbnoj/throat_burns_when_walking/")</f>
        <v/>
      </c>
      <c r="G8503" t="inlineStr">
        <is>
          <t>2020-06-26 10:13:21</t>
        </is>
      </c>
      <c r="H8503" t="inlineStr"/>
    </row>
    <row r="8504">
      <c r="A8504" t="inlineStr">
        <is>
          <t>hgbvzo</t>
        </is>
      </c>
      <c r="B8504" t="inlineStr">
        <is>
          <t>Tips on eradicating silent reflux?</t>
        </is>
      </c>
      <c r="C8504" t="inlineStr">
        <is>
          <t>Hi guys Ive made substantial adjustments to my lifestyle such as quitting my job to focus on school, eating mostly a plant based diet (apart from occasional seafood), eating well before bedtime, taking a PPI (nexium), haven’t had a sip of alcohol since new years, exercising more, and yet I still seem to wake up every morning with chest pressure and a sore throat, as well as substantial jaw joint soreness from nightly teeth grinding. Ive also elevated my bed approximately 6 inches. All in all Ive improved my mental health drastically as Ive reduced a ton of stress, but physically speaking I still feel more or less the same. I plan on seeing a gerd specialist sometime this summer once things settle down. Im in my early 20s btw</t>
        </is>
      </c>
      <c r="D8504" t="n">
        <v>1</v>
      </c>
      <c r="E8504" t="n">
        <v>0</v>
      </c>
      <c r="F8504">
        <f>HYPERLINK("https://www.reddit.com/r/GERD/comments/hgbvzo/tips_on_eradicating_silent_reflux/")</f>
        <v/>
      </c>
      <c r="G8504" t="inlineStr">
        <is>
          <t>2020-06-26 10:25:34</t>
        </is>
      </c>
      <c r="H8504" t="inlineStr"/>
    </row>
    <row r="8505">
      <c r="A8505" t="inlineStr">
        <is>
          <t>hgcc4q</t>
        </is>
      </c>
      <c r="B8505" t="inlineStr">
        <is>
          <t>Why do I get short of breath when I raise my arms?</t>
        </is>
      </c>
      <c r="C8505" t="inlineStr">
        <is>
          <t>My acid reflux seems to kick in more when I raise my arms, stadig or laying down. Anyone get this?</t>
        </is>
      </c>
      <c r="D8505" t="n">
        <v>1</v>
      </c>
      <c r="E8505" t="n">
        <v>2</v>
      </c>
      <c r="F8505">
        <f>HYPERLINK("https://www.reddit.com/r/GERD/comments/hgcc4q/why_do_i_get_short_of_breath_when_i_raise_my_arms/")</f>
        <v/>
      </c>
      <c r="G8505" t="inlineStr">
        <is>
          <t>2020-06-26 10:49:32</t>
        </is>
      </c>
      <c r="H8505" t="inlineStr"/>
    </row>
    <row r="8506">
      <c r="A8506" t="inlineStr">
        <is>
          <t>hgd8tx</t>
        </is>
      </c>
      <c r="B8506" t="inlineStr">
        <is>
          <t>Spasms, cancer, esophagitis</t>
        </is>
      </c>
      <c r="C8506" t="inlineStr">
        <is>
          <t>I’m a 39 year old male (not overweight) that has had GERD since my late teens. Over the past 20 years I’ve taken PPI’s for a while then stopped for OTC solutions like Zantac and Pepcid. Over the years I’ve had a few episodes of what must be Esophageal Spasms... almost always at night and gosh are they terrible and terrifying.
About two weeks ago I was over at a friends house for a few cocktails, ended up having several puffs on a juul and on the way out my buddy handed me a vitamin B6 pill saying it helps him with recovery from drinking. So I took it.  That night I woke up with the most intense spasms I could have ever imagined. They have basically stuck around for the past two weeks... not entire episodes but I feel them kinda lingering around.  I also have that lump in throat/something stuck in throat feeling and a headache that has been sticking around. 
 I met with my Gastro who immediately scheduled an endoscopy which is happening next week and also took some blood work. (my last endoscopy in 2015 did not have any evidence of barrets esophagus)
I have a colleague who is 45 years old and is a survivor or Eshopageal cancer. 
I am totally spooked out with what I’ve been feeling the past few weeks, knowing what my colleague went thru while also being a husband and father myself. 
Anyone that has had experience with what I’m describing would be great to get your insight. Of course when you look online it sounds like I could have cancer. 
I’m currently taking like 4 doses of Pepcid AC max strength. Not sure if this is the best path.</t>
        </is>
      </c>
      <c r="D8506" t="n">
        <v>1</v>
      </c>
      <c r="E8506" t="n">
        <v>9</v>
      </c>
      <c r="F8506">
        <f>HYPERLINK("https://www.reddit.com/r/GERD/comments/hgd8tx/spasms_cancer_esophagitis/")</f>
        <v/>
      </c>
      <c r="G8506" t="inlineStr">
        <is>
          <t>2020-06-26 11:37:49</t>
        </is>
      </c>
      <c r="H8506" t="inlineStr"/>
    </row>
    <row r="8507">
      <c r="A8507" t="inlineStr">
        <is>
          <t>hge8zg</t>
        </is>
      </c>
      <c r="B8507" t="inlineStr">
        <is>
          <t>Protonix Information?</t>
        </is>
      </c>
      <c r="C8507" t="inlineStr">
        <is>
          <t>I was put on a trial of Protonix for 2 weeks. Today was my first day and I have had so many flare ups today. Is that normal with starting the new meds?</t>
        </is>
      </c>
      <c r="D8507" t="n">
        <v>1</v>
      </c>
      <c r="E8507" t="n">
        <v>0</v>
      </c>
      <c r="F8507">
        <f>HYPERLINK("https://www.reddit.com/r/GERD/comments/hge8zg/protonix_information/")</f>
        <v/>
      </c>
      <c r="G8507" t="inlineStr">
        <is>
          <t>2020-06-26 12:30:01</t>
        </is>
      </c>
      <c r="H8507" t="inlineStr"/>
    </row>
    <row r="8508">
      <c r="A8508" t="inlineStr">
        <is>
          <t>hge9fy</t>
        </is>
      </c>
      <c r="B8508" t="inlineStr">
        <is>
          <t>How long should I expect to wait to get an endoscopy/ gastroscopy?</t>
        </is>
      </c>
      <c r="C8508" t="inlineStr">
        <is>
          <t>I understand that every clinic’s schedule is very different, but I just wanted to ask about your own experiences of how long have you had GERD symptoms before an exam was scheduled?</t>
        </is>
      </c>
      <c r="D8508" t="n">
        <v>1</v>
      </c>
      <c r="E8508" t="n">
        <v>10</v>
      </c>
      <c r="F8508">
        <f>HYPERLINK("https://www.reddit.com/r/GERD/comments/hge9fy/how_long_should_i_expect_to_wait_to_get_an/")</f>
        <v/>
      </c>
      <c r="G8508" t="inlineStr">
        <is>
          <t>2020-06-26 12:30:40</t>
        </is>
      </c>
      <c r="H8508" t="inlineStr"/>
    </row>
    <row r="8509">
      <c r="A8509" t="inlineStr">
        <is>
          <t>hgfad5</t>
        </is>
      </c>
      <c r="B8509" t="inlineStr">
        <is>
          <t>Anyone else have pounding heartbeat that is associated with GERD?</t>
        </is>
      </c>
      <c r="C8509" t="inlineStr">
        <is>
          <t>Basically the title. 
Just got back from my GI, and I'm less than thrilled with the outcome. It was rushed and I feel like she thinks I ask too many questions. But I told her about the pounding heartbeat which happens a lot to me, I did not associate it with GERD until I would drink a naughty drink like sugary juice or something and would have it. Otherwise it was random and going on for the last 15 years. 
She suggested I get my PCM to give me a referral for a psychiatrist, because that sounds like panic attacks to her. To be honest I'm a little insulted, I had just finished telling her that it happens when I'm not compliant completely with diet. But I felt ignored, I was rushed out shortly after. 
I have great respect for my GI but I don't feel heard anymore. I could have sworn the chest pounding was a GERD sign. 
Does anyone else get the chest pounding? My chest doesn't feel tight and my BP is fine as well. It's a pounding heartbeat that shakes my whole head and chest with each beat. Dumb.</t>
        </is>
      </c>
      <c r="D8509" t="n">
        <v>3</v>
      </c>
      <c r="E8509" t="n">
        <v>29</v>
      </c>
      <c r="F8509">
        <f>HYPERLINK("https://www.reddit.com/r/GERD/comments/hgfad5/anyone_else_have_pounding_heartbeat_that_is/")</f>
        <v/>
      </c>
      <c r="G8509" t="inlineStr">
        <is>
          <t>2020-06-26 13:25:09</t>
        </is>
      </c>
      <c r="H8509" t="inlineStr"/>
    </row>
    <row r="8510">
      <c r="A8510" t="inlineStr">
        <is>
          <t>hggbk8</t>
        </is>
      </c>
      <c r="B8510" t="inlineStr">
        <is>
          <t>Hey, I think I have GERD, are these symptoms common?!</t>
        </is>
      </c>
      <c r="C8510" t="inlineStr">
        <is>
          <t>So about 2 months ago I started having really bad heartburn, and was throwing up this thin liquid with food, it stopped after about 2 weeks and then a little while after, I started having food reflux and excessive burping l, like always burping and I had stomach pain, but the burping wouldn’t stop there’s also a feeling of something stuck in my throat. 
Thanks</t>
        </is>
      </c>
      <c r="D8510" t="n">
        <v>1</v>
      </c>
      <c r="E8510" t="n">
        <v>2</v>
      </c>
      <c r="F8510">
        <f>HYPERLINK("https://www.reddit.com/r/GERD/comments/hggbk8/hey_i_think_i_have_gerd_are_these_symptoms_common/")</f>
        <v/>
      </c>
      <c r="G8510" t="inlineStr">
        <is>
          <t>2020-06-26 14:20:15</t>
        </is>
      </c>
      <c r="H8510" t="inlineStr"/>
    </row>
    <row r="8511">
      <c r="A8511" t="inlineStr">
        <is>
          <t>hggjqu</t>
        </is>
      </c>
      <c r="B8511" t="inlineStr">
        <is>
          <t>Endoscopy/Results</t>
        </is>
      </c>
      <c r="C8511" t="inlineStr">
        <is>
          <t>Follow up to https://www.reddit.com/r/GERD/comments/hfpxc2/question_for_those_who_have_had_a_hiatal_hernia/?utm_source=share&amp;amp;utm_medium=ios_app&amp;amp;utm_name=iossmf
I just got the Upper GI endoscopy done, basically they didn’t find a hiatal hernia and thinks look decently normal, save for some irritation in my stomach itself. He said he now wants to do a manometry and PH test, and I definitely could still be microaspirating/have GERD. Just waiting on biopsy results. I get some more traditional GERD symptoms, but my main worrying one is SoB. 
I’m a little sad nothing definitive was found, but happy that GERD wasn’t ruled out.</t>
        </is>
      </c>
      <c r="D8511" t="n">
        <v>1</v>
      </c>
      <c r="E8511" t="n">
        <v>17</v>
      </c>
      <c r="F8511">
        <f>HYPERLINK("https://www.reddit.com/r/GERD/comments/hggjqu/endoscopyresults/")</f>
        <v/>
      </c>
      <c r="G8511" t="inlineStr">
        <is>
          <t>2020-06-26 14:32:04</t>
        </is>
      </c>
      <c r="H8511" t="inlineStr"/>
    </row>
    <row r="8512">
      <c r="A8512" t="inlineStr">
        <is>
          <t>hgguuf</t>
        </is>
      </c>
      <c r="B8512" t="inlineStr">
        <is>
          <t>How is a person with LPR flare up supposed to eat small meals?</t>
        </is>
      </c>
      <c r="C8512" t="inlineStr">
        <is>
          <t>It's like a full time job.  
I'm taking time off work because of my LPR right now, and I barely have the time to fit in all my calories, sho at work I don't see how I can sustain this. I'm not gaining weight/ losing slowly still.  Im a 5' 11 1/2 inches Male 32, and 136 pounds when I wake up in the morning.  I should be at least 150.  I've been drinking ensure plus which helps with calories but it's sugary and activates LPR.  I feel like it's a hopeless battle just to gain weight.
Has anyone here had a problem with being too skinny and needing to eat, so they just say screw it with some trigger foods because they have to somehow gain weight? Thank you all in advance, sorry for long post.</t>
        </is>
      </c>
      <c r="D8512" t="n">
        <v>3</v>
      </c>
      <c r="E8512" t="n">
        <v>24</v>
      </c>
      <c r="F8512">
        <f>HYPERLINK("https://www.reddit.com/r/GERD/comments/hgguuf/how_is_a_person_with_lpr_flare_up_supposed_to_eat/")</f>
        <v/>
      </c>
      <c r="G8512" t="inlineStr">
        <is>
          <t>2020-06-26 14:49:08</t>
        </is>
      </c>
      <c r="H8512" t="inlineStr"/>
    </row>
    <row r="8513">
      <c r="A8513" t="inlineStr">
        <is>
          <t>hghn0r</t>
        </is>
      </c>
      <c r="B8513" t="inlineStr">
        <is>
          <t>Is GERD forever??</t>
        </is>
      </c>
      <c r="C8513" t="inlineStr">
        <is>
          <t>Hello! I started feeling tightness in my chest, sore throat &amp;amp; feeling of a lump in my throat so I went to the dr and he diagnsoed me with gerd. I've never had any of these symptoms before, I used to feel acid go back up sometimes but not often, only if I sleep after eating/exercise afterwards. I'm on nexium, things are better, I only feel pain when I eat smth i'm not supposed to eat. But i don't plan on taking medications for long, I want to stop themsoon. Will the pain stay? If i give my esophagus time to heal by eating only food that don't irritate it would it get back to normal ? Or do I still have to avoid the things that trigger me my whole life? I've cried a lot because of this, it's making me very stressed &amp;amp; sad. I love food so much, I can't eat anything I love anymore, i'm just scared it'll stay this way forever. Pls help!</t>
        </is>
      </c>
      <c r="D8513" t="n">
        <v>1</v>
      </c>
      <c r="E8513" t="n">
        <v>1</v>
      </c>
      <c r="F8513">
        <f>HYPERLINK("https://www.reddit.com/r/GERD/comments/hghn0r/is_gerd_forever/")</f>
        <v/>
      </c>
      <c r="G8513" t="inlineStr">
        <is>
          <t>2020-06-26 15:32:20</t>
        </is>
      </c>
      <c r="H8513" t="inlineStr"/>
    </row>
    <row r="8514">
      <c r="A8514" t="inlineStr">
        <is>
          <t>hgi0f1</t>
        </is>
      </c>
      <c r="B8514" t="inlineStr">
        <is>
          <t>Does someone feel a lack of air while swallowing?</t>
        </is>
      </c>
      <c r="C8514" t="inlineStr">
        <is>
          <t>It's a terrible sensation. I generally need to expand my belly so I don't feel it. I think that, because of hiatal hernia, my stomach and esophagus are completely messed up. I frequently feel the need to swallow air and saliva, so I think the air trapped in my esophagus pushes it when I swallow, hence pushes my lungs and triggers the sensation. Swallowing becomes a nightmare, very difficult.</t>
        </is>
      </c>
      <c r="D8514" t="n">
        <v>1</v>
      </c>
      <c r="E8514" t="n">
        <v>7</v>
      </c>
      <c r="F8514">
        <f>HYPERLINK("https://www.reddit.com/r/GERD/comments/hgi0f1/does_someone_feel_a_lack_of_air_while_swallowing/")</f>
        <v/>
      </c>
      <c r="G8514" t="inlineStr">
        <is>
          <t>2020-06-26 15:54:06</t>
        </is>
      </c>
      <c r="H8514" t="inlineStr"/>
    </row>
    <row r="8515">
      <c r="A8515" t="inlineStr">
        <is>
          <t>hgii1n</t>
        </is>
      </c>
      <c r="B8515" t="inlineStr">
        <is>
          <t>GERD and ADHD meds</t>
        </is>
      </c>
      <c r="C8515" t="inlineStr">
        <is>
          <t>In 2019, at 30 years old, I was diagnosed with ADHD and GERD. Love my ADHD med, but I think they it irritates my GERD since it’s a stimulant. I’ve been having dry heaves for about a year now—and I’ve been on Vyvanse for about 18 months. Does anyone else have this combo? How do you manage it?</t>
        </is>
      </c>
      <c r="D8515" t="n">
        <v>1</v>
      </c>
      <c r="E8515" t="n">
        <v>1</v>
      </c>
      <c r="F8515">
        <f>HYPERLINK("https://www.reddit.com/r/GERD/comments/hgii1n/gerd_and_adhd_meds/")</f>
        <v/>
      </c>
      <c r="G8515" t="inlineStr">
        <is>
          <t>2020-06-26 16:23:28</t>
        </is>
      </c>
      <c r="H8515" t="inlineStr"/>
    </row>
    <row r="8516">
      <c r="A8516" t="inlineStr">
        <is>
          <t>hgiinb</t>
        </is>
      </c>
      <c r="B8516" t="inlineStr">
        <is>
          <t>Pantaprazole Side Effects</t>
        </is>
      </c>
      <c r="C8516" t="inlineStr">
        <is>
          <t>Has anyone had mouth burning/metallic taste while taking Pantaprazole? I have all the symptoms of burning mouth syndrome, trying to figure out what’s causing it.</t>
        </is>
      </c>
      <c r="D8516" t="n">
        <v>1</v>
      </c>
      <c r="E8516" t="n">
        <v>1</v>
      </c>
      <c r="F8516">
        <f>HYPERLINK("https://www.reddit.com/r/GERD/comments/hgiinb/pantaprazole_side_effects/")</f>
        <v/>
      </c>
      <c r="G8516" t="inlineStr">
        <is>
          <t>2020-06-26 16:24:29</t>
        </is>
      </c>
      <c r="H8516" t="inlineStr"/>
    </row>
    <row r="8517">
      <c r="A8517" t="inlineStr">
        <is>
          <t>hgjcm6</t>
        </is>
      </c>
      <c r="B8517" t="inlineStr">
        <is>
          <t>My first endoscopy. Is chest pain normal?</t>
        </is>
      </c>
      <c r="C8517" t="inlineStr">
        <is>
          <t>Everytime i swallow, my chest like tightens up or just is uncomfortable? I don’t know how to explain it, but has anyone else experienced this?</t>
        </is>
      </c>
      <c r="D8517" t="n">
        <v>1</v>
      </c>
      <c r="E8517" t="n">
        <v>2</v>
      </c>
      <c r="F8517">
        <f>HYPERLINK("https://www.reddit.com/r/GERD/comments/hgjcm6/my_first_endoscopy_is_chest_pain_normal/")</f>
        <v/>
      </c>
      <c r="G8517" t="inlineStr">
        <is>
          <t>2020-06-26 17:15:48</t>
        </is>
      </c>
      <c r="H8517" t="inlineStr"/>
    </row>
    <row r="8518">
      <c r="A8518" t="inlineStr">
        <is>
          <t>hglfwm</t>
        </is>
      </c>
      <c r="B8518" t="inlineStr">
        <is>
          <t>Do some PPIs work less well than others for some people?</t>
        </is>
      </c>
      <c r="C8518" t="inlineStr">
        <is>
          <t>Is it possible that switching the kind of PPI I am taking will help me? I am not seeing much relief on the one I am on now, maybe switching to another type would help. Ex from omeprazole to dexilant</t>
        </is>
      </c>
      <c r="D8518" t="n">
        <v>1</v>
      </c>
      <c r="E8518" t="n">
        <v>2</v>
      </c>
      <c r="F8518">
        <f>HYPERLINK("https://www.reddit.com/r/GERD/comments/hglfwm/do_some_ppis_work_less_well_than_others_for_some/")</f>
        <v/>
      </c>
      <c r="G8518" t="inlineStr">
        <is>
          <t>2020-06-26 19:33:17</t>
        </is>
      </c>
      <c r="H8518" t="inlineStr"/>
    </row>
    <row r="8519">
      <c r="A8519" t="inlineStr">
        <is>
          <t>hgm30x</t>
        </is>
      </c>
      <c r="B8519" t="inlineStr">
        <is>
          <t>Is it just me?</t>
        </is>
      </c>
      <c r="C8519" t="inlineStr">
        <is>
          <t>Is it just me or dose anyone feel like there les or stomach stretches when and becomes even more loose when you do over head presses?</t>
        </is>
      </c>
      <c r="D8519" t="n">
        <v>1</v>
      </c>
      <c r="E8519" t="n">
        <v>0</v>
      </c>
      <c r="F8519">
        <f>HYPERLINK("https://www.reddit.com/r/GERD/comments/hgm30x/is_it_just_me/")</f>
        <v/>
      </c>
      <c r="G8519" t="inlineStr">
        <is>
          <t>2020-06-26 20:17:10</t>
        </is>
      </c>
      <c r="H8519" t="inlineStr"/>
    </row>
    <row r="8520">
      <c r="A8520" t="inlineStr">
        <is>
          <t>hgmxf1</t>
        </is>
      </c>
      <c r="B8520" t="inlineStr">
        <is>
          <t>Do you get a benefit form probiotics?</t>
        </is>
      </c>
      <c r="C8520" t="inlineStr">
        <is>
          <t>If so, which kind?  I have acidophilus and s. boulardii, wondering which (both) to take.</t>
        </is>
      </c>
      <c r="D8520" t="n">
        <v>1</v>
      </c>
      <c r="E8520" t="n">
        <v>1</v>
      </c>
      <c r="F8520">
        <f>HYPERLINK("https://www.reddit.com/r/GERD/comments/hgmxf1/do_you_get_a_benefit_form_probiotics/")</f>
        <v/>
      </c>
      <c r="G8520" t="inlineStr">
        <is>
          <t>2020-06-26 21:16:20</t>
        </is>
      </c>
      <c r="H8520" t="inlineStr"/>
    </row>
    <row r="8521">
      <c r="A8521" t="inlineStr">
        <is>
          <t>hgn1ps</t>
        </is>
      </c>
      <c r="B8521" t="inlineStr">
        <is>
          <t>Does anybody's GERD cause sensitivity to smell?</t>
        </is>
      </c>
      <c r="C8521" t="inlineStr">
        <is>
          <t>When my GERD flares up I will become almost hypersensitive to certain chemicals. Smoke from wood/tobacco/stove, perfumes, lotions all will cause me to feel suffocated. When my GERD is under control the same smells will hardly bother me at all. 
I've had allergy testing done and cleared that as the cause, and it really seems to coincide with my GERD.
BACKGROUND: GERD, LES hernia, esophageal motility disorder.</t>
        </is>
      </c>
      <c r="D8521" t="n">
        <v>1</v>
      </c>
      <c r="E8521" t="n">
        <v>0</v>
      </c>
      <c r="F8521">
        <f>HYPERLINK("https://www.reddit.com/r/GERD/comments/hgn1ps/does_anybodys_gerd_cause_sensitivity_to_smell/")</f>
        <v/>
      </c>
      <c r="G8521" t="inlineStr">
        <is>
          <t>2020-06-26 21:24:58</t>
        </is>
      </c>
      <c r="H8521" t="inlineStr"/>
    </row>
    <row r="8522">
      <c r="A8522" t="inlineStr">
        <is>
          <t>hgn7to</t>
        </is>
      </c>
      <c r="B8522" t="inlineStr">
        <is>
          <t>Pantoprazole vs Omeprazole, whats the difference?</t>
        </is>
      </c>
      <c r="C8522" t="inlineStr">
        <is>
          <t>I screwed up by telling my doctor I take Omeprazole instead of Pantoprazole, because they sound so similar. Whats the difference between them?</t>
        </is>
      </c>
      <c r="D8522" t="n">
        <v>1</v>
      </c>
      <c r="E8522" t="n">
        <v>4</v>
      </c>
      <c r="F8522">
        <f>HYPERLINK("https://www.reddit.com/r/GERD/comments/hgn7to/pantoprazole_vs_omeprazole_whats_the_difference/")</f>
        <v/>
      </c>
      <c r="G8522" t="inlineStr">
        <is>
          <t>2020-06-26 21:37:15</t>
        </is>
      </c>
      <c r="H8522" t="inlineStr"/>
    </row>
    <row r="8523">
      <c r="A8523" t="inlineStr">
        <is>
          <t>hgnnwe</t>
        </is>
      </c>
      <c r="B8523" t="inlineStr">
        <is>
          <t>is hiatal hernia the cause of most GERD?</t>
        </is>
      </c>
      <c r="C8523" t="inlineStr">
        <is>
          <t>Not sure how to ask this question.</t>
        </is>
      </c>
      <c r="D8523" t="n">
        <v>1</v>
      </c>
      <c r="E8523" t="n">
        <v>3</v>
      </c>
      <c r="F8523">
        <f>HYPERLINK("https://www.reddit.com/r/GERD/comments/hgnnwe/is_hiatal_hernia_the_cause_of_most_gerd/")</f>
        <v/>
      </c>
      <c r="G8523" t="inlineStr">
        <is>
          <t>2020-06-26 22:12:51</t>
        </is>
      </c>
      <c r="H8523" t="inlineStr"/>
    </row>
    <row r="8524">
      <c r="A8524" t="inlineStr">
        <is>
          <t>hgnr8t</t>
        </is>
      </c>
      <c r="B8524" t="inlineStr">
        <is>
          <t>do you know what caused your GERD?</t>
        </is>
      </c>
      <c r="C8524" t="inlineStr">
        <is>
          <t>I remember making a few changes around the time it started:
I had been eating vegetarian for a while.  I hear this can cause it.
I just ate some mushrooms for the first time in a long time.  I don't really like mushrooms but desired to try them.  That night I had HORRIBLE heartburn and shortness of breath, which went away (came back a few days later when I had mushrooms again) and then changed into trouble swallowing and globus sensation which hasn't gone away since.
I ate some sprouts that night, too.  I thought they were washed, but then I looked at the box and it said user must wash them.  Wonder if I got something from them?  Viral?
A week or so prior I had taken a Niacin, which I had taken randomly before then, but this time I had a 16 hour flush.  I got red for hours.
I had been eating a healthy granola bar multiple times a day for a few weeks before this.
I had been drinking aklaline water for a few days before this started.
I had a crazy eating schedule, kind of like one meal a day, one huge meal, a giant bowl of rice and beans.  Giant, you guys.  With olive oil.  Like 1/2 pound of rice precooked.  Don't know how I got on this schedule.  This makes me think it's the too-much-food-making-too-much-gas-problem.
&amp;amp;#x200B;
The only other weird thing is, a year before this all started, I began having gurgling in my throat after I swallow.  I didn't think anything of it, I would just swallow, and then gurrrrrgle back up my throat.  It bubbled a bit.  Like if you drink a pop too fast or something.  Don't know if these things are related.</t>
        </is>
      </c>
      <c r="D8524" t="n">
        <v>1</v>
      </c>
      <c r="E8524" t="n">
        <v>7</v>
      </c>
      <c r="F8524">
        <f>HYPERLINK("https://www.reddit.com/r/GERD/comments/hgnr8t/do_you_know_what_caused_your_gerd/")</f>
        <v/>
      </c>
      <c r="G8524" t="inlineStr">
        <is>
          <t>2020-06-26 22:20:50</t>
        </is>
      </c>
      <c r="H8524" t="inlineStr"/>
    </row>
    <row r="8525">
      <c r="A8525" t="inlineStr">
        <is>
          <t>hgolcs</t>
        </is>
      </c>
      <c r="B8525" t="inlineStr">
        <is>
          <t>What is the success rate of deep sleep endoscopy? And other questions.</t>
        </is>
      </c>
      <c r="C8525" t="inlineStr">
        <is>
          <t>Yes, this is yet another post from someone asking questions about an endoscopy.
In late May, I randomly started feeling the "lump in throat" sensation. The severity comes and goes. Sometimes it's a "pebble" that I can mostly ignore, while other times it feels like a big rock, in addition to dry and sore throat.
I went to the ENT office and they used the tube thing in my nose to check my throat. Said it is "bumpy and inflamed" and looks like acid reflux. They prescribed Prilosec, gave me an information sheet for LPR, and a referral to a gastroenterologist. 
I tried the Prilosec but it just gave me more symptoms! I only had the "lump in throat" sensation, but Prilosec added upset stomach, constipation, and fatigue! I took it for 2 wks.
I went to a gastroenterologist and told him what I just described, and he told me to get off the Prilosec and get on Pepcid.
**Question #1:** *Does it sound right for a gastroenterologist to say stop taking the PPI and start on Pepcid? I read about people apparently taking Prilosec as directed by a doctor for a long time. I only took it for 2 wks. The gastroenterologist said since I was just getting side effects so I should stop and try Pepcid which has a different mechanism of action.*
The gastroenterologist then pushed for me get an endoscopy.
**Question #2:** *Is it normal for someone to get an endoscopy when "lump in throat" feeling is the only symptom? I mean, it has been a while, and it hasn't gone away yet.*
I told him I didn't want to be awake for it. He said that's fine because they do it using deep sleep. So I guess this isn't the kind where you are kind-of awake, but rather the one where you are completely asleep.
**Question #3:** *How safe is a deep sleep endoscopy? What is the success rate? I recall reading that deep sedation is many times riskier than moderate sedation. But it's still relatively safe, right? I head patients have to sign a form before they go in indicating they understand the risks.*
**Question #4:** *What does the deep sleep feel like? What is the sense of time? Does it feel like a long nap, or does it feel more like the blink of an eye?*
I am terrified of needles. Just seeing a picture of a needle going into the skin makes me feel faint. For the endoscopy, I am told I will get an IV catheter stuck in my arm, then sit in a waiting from with that thing stuck in my vein! I was hoping they would stick it in at the last second!
**Question #5:** *What is having that IV catheter thing in your arm like? Do they stick it in the back of your hand or your inside elbow area? How long were you in the waiting room with that thing stuck in your arm? Can you bend your elbow when you have it in, or do you have to keep your arm straight? When do they take it out?*
Any information would be greatly appreciated. Thanks.</t>
        </is>
      </c>
      <c r="D8525" t="n">
        <v>1</v>
      </c>
      <c r="E8525" t="n">
        <v>4</v>
      </c>
      <c r="F8525">
        <f>HYPERLINK("https://www.reddit.com/r/GERD/comments/hgolcs/what_is_the_success_rate_of_deep_sleep_endoscopy/")</f>
        <v/>
      </c>
      <c r="G8525" t="inlineStr">
        <is>
          <t>2020-06-26 23:35:57</t>
        </is>
      </c>
      <c r="H8525" t="inlineStr"/>
    </row>
    <row r="8526">
      <c r="A8526" t="inlineStr">
        <is>
          <t>hgqhuj</t>
        </is>
      </c>
      <c r="B8526" t="inlineStr">
        <is>
          <t>Thinking of just giving up.</t>
        </is>
      </c>
      <c r="C8526" t="inlineStr">
        <is>
          <t>I’m 13 and I was diagnosed with GERD last December. I thought it wasn’t a big deal. A little bit of stomach bile couldn’t hurt me, right? That’s what I thought a few months ago. I hate it. I have such bad health anxiety. When my symptoms start, I literally can’t take it anymore. The heartburn hurts so much, my stomach hurts so much. My throat is filled to the brim with mucus. I have to be careful what with I eat. I always look like a maniac having a anxiety attack over eating cheese. Now this coronavirus stuff happened. I cannot win.</t>
        </is>
      </c>
      <c r="D8526" t="n">
        <v>1</v>
      </c>
      <c r="E8526" t="n">
        <v>44</v>
      </c>
      <c r="F8526">
        <f>HYPERLINK("https://www.reddit.com/r/GERD/comments/hgqhuj/thinking_of_just_giving_up/")</f>
        <v/>
      </c>
      <c r="G8526" t="inlineStr">
        <is>
          <t>2020-06-27 02:24:04</t>
        </is>
      </c>
      <c r="H8526" t="inlineStr"/>
    </row>
    <row r="8527">
      <c r="A8527" t="inlineStr">
        <is>
          <t>hgr4bj</t>
        </is>
      </c>
      <c r="B8527" t="inlineStr">
        <is>
          <t>I’ve been diagnosed with GERD as I keep having choking episodes when my throat closes on nothing and I can’t breathe, these episodes only last a few minutes but tire me out for the rest of the day, can anyone give me some advice?</t>
        </is>
      </c>
      <c r="C8527" t="inlineStr">
        <is>
          <t>Just to add I’ve been put on lansoprazole to control my stomach and fluticasone, flexofenadine for allergy’s as well as ventolin and clenil but is there anything else I can do, I’m over weight, would loosing that hello?</t>
        </is>
      </c>
      <c r="D8527" t="n">
        <v>1</v>
      </c>
      <c r="E8527" t="n">
        <v>0</v>
      </c>
      <c r="F8527">
        <f>HYPERLINK("https://www.reddit.com/r/GERD/comments/hgr4bj/ive_been_diagnosed_with_gerd_as_i_keep_having/")</f>
        <v/>
      </c>
      <c r="G8527" t="inlineStr">
        <is>
          <t>2020-06-27 03:20:29</t>
        </is>
      </c>
      <c r="H8527" t="inlineStr"/>
    </row>
    <row r="8528">
      <c r="A8528" t="inlineStr">
        <is>
          <t>hgrpvc</t>
        </is>
      </c>
      <c r="B8528" t="inlineStr">
        <is>
          <t>Is waking up with a sudden urge to throw up normal with GERD?</t>
        </is>
      </c>
      <c r="C8528" t="inlineStr">
        <is>
          <t>I was diagnosed with acid reflux that flairs up when I’m stressed. I used to take Pepcid but the doctor just gave me omeprazole to take for a month. Yesterday was the first day I took it and he said it takes a few days to really start to work so I’m hoping this feeling goes away soon.
Has anyone else woken up and felt totally nauseous? I was almost jolted awake by the sudden urge and my mouth was watering. This happened 3 times last night. It ended up subsiding after I got up. 
This is probably my fault for having sake and a spicy Asian dish before bed..... just wanting to see if this is normal or if I should be concerned?</t>
        </is>
      </c>
      <c r="D8528" t="n">
        <v>1</v>
      </c>
      <c r="E8528" t="n">
        <v>3</v>
      </c>
      <c r="F8528">
        <f>HYPERLINK("https://www.reddit.com/r/GERD/comments/hgrpvc/is_waking_up_with_a_sudden_urge_to_throw_up/")</f>
        <v/>
      </c>
      <c r="G8528" t="inlineStr">
        <is>
          <t>2020-06-27 04:10:06</t>
        </is>
      </c>
      <c r="H8528" t="inlineStr"/>
    </row>
    <row r="8529">
      <c r="A8529" t="inlineStr">
        <is>
          <t>hgrwpv</t>
        </is>
      </c>
      <c r="B8529" t="inlineStr">
        <is>
          <t>I'm getting sick of this PPI rebound</t>
        </is>
      </c>
      <c r="C8529" t="inlineStr">
        <is>
          <t>Before my rebound started I was taking 80 mg of omeprazole, 40 mg first thing in the morning and another 40 mg right before I go to sleep. I didn't know that I was taking Omeprazole incorrectly. But even though I was taking it wrong, I had no heartburn, just LPR type of symptoms. After a visit to ENT (not related to GERD) she looked at my throat/tongue and confirmed that I have GERD. Then she took me off 80 mg of Omeprazole completely and put me on some other PPI, she instructed me to only take 40 mg of it though. Few weeks later heartburn came, and before all of this shit I was only experiencing heartburn if I ate something like oranges (which didn't happen often). 
When the rebound came I tried to tough it out for a few months, after that I've stopped taking PPI entirely after reading bad things about it online. After a few months again, I went to gastroenterologist and she put me on some other 40 mg of PPI and a few other medicine (not H2 blockers), few weeks went,  I saw no progress and said fuck it I'm back on 80 mg of Omeprazole again. And all of this brings us to now, I'm taking 80 mg of omeprazole correctly (40 mg 30 min before breakfast and 40 mg 30 min before dinner for around 5 months now. With each month it got progressively better but I'm NOWHERE where I used to be before. Last week I was so happy because there were few days in a row where I almost didn't get any heartburn after eating, but that shit came back again this week... I'm so lost. I'm scared to continue taking Omeprazole, especially at this very high dosage, but I'm also scared if I stop taking it I will be back to ground 0. I may have fucked up my body somehow. I don't think I was taking 80 mg of omeprazole before rebound, because PPI needs to be activated with eating? And I don't like to eat in the mornings for at least a few hours, so it probably were a lot of days PPI wasn't even activated?</t>
        </is>
      </c>
      <c r="D8529" t="n">
        <v>1</v>
      </c>
      <c r="E8529" t="n">
        <v>6</v>
      </c>
      <c r="F8529">
        <f>HYPERLINK("https://www.reddit.com/r/GERD/comments/hgrwpv/im_getting_sick_of_this_ppi_rebound/")</f>
        <v/>
      </c>
      <c r="G8529" t="inlineStr">
        <is>
          <t>2020-06-27 04:24:57</t>
        </is>
      </c>
      <c r="H8529" t="inlineStr"/>
    </row>
    <row r="8530">
      <c r="A8530" t="inlineStr">
        <is>
          <t>hgsaw0</t>
        </is>
      </c>
      <c r="B8530" t="inlineStr">
        <is>
          <t>My experience with GERD</t>
        </is>
      </c>
      <c r="C8530" t="inlineStr">
        <is>
          <t>I'm 36 years old female, 158 cm and 43 kg. I have GERD since January 2019, was officially diagnosis with one in June 2019 after an endoscopy and colonoscopy. I don't know anyone around me who have GERD, so this illness went under my radar until I have it and it changes my life completely.
When I went hospital, the doctor there prescribed me with PPI that lasted for 3 months. At first, it helped me but once I was off it, the rebound was really bad, so I decided to stop relying on them.
For the next 9 months, I did everything I can to cope with it.
- I stopped eating common trigger food such as chocolate, tomatoes, soda, tea, fried food, etc.
- I noticed soy is a trigger food for me, so I avoid them as well.
- I walk for about 15 mins after a meal.
- I try not to eat too much.
- I eat aloe vera, yoghurt, and recently I have been drinking Manuka honey every day.
- I also drink probiotic pills known as Wakamoto to help digestion.
- I do meditation regularly.
- I stop eating close to sleep.
- Most importantly, I sleep with 6 inches inclination and lots of pillows.
For the most part, this has reduced about 90% of the pain. I no longer vomit or waking up coughing in the middle of the night. I can go by most days not feeling much pain.
Here is the thing though, I have stuck with this for several months and I can never get that last 10% of the problem away. My chest still feels funny whenevet I try to sleep. I still can't eat my trigger food. I still can't lie down on flat surface. I still feel mild pain whenever I sneeze, reminding me that I'm not fully healed.
I read many stories saying that GERD is something that can't get better and you will have to deal with it for the rest of your life. I think this is the part that scares me most. In the back of my mind, I have this feeling that whatever I do will never make me 100% cured and I can never lie on flat surface or eat chocolate ever again.
I know that compared to many people, my illness is not half as bad. I will continue to keep my current lifestyle, hoping for a miracle, though honestly I don't know if it will ever happen.
Thank you for reading.</t>
        </is>
      </c>
      <c r="D8530" t="n">
        <v>1</v>
      </c>
      <c r="E8530" t="n">
        <v>12</v>
      </c>
      <c r="F8530">
        <f>HYPERLINK("https://www.reddit.com/r/GERD/comments/hgsaw0/my_experience_with_gerd/")</f>
        <v/>
      </c>
      <c r="G8530" t="inlineStr">
        <is>
          <t>2020-06-27 04:57:34</t>
        </is>
      </c>
      <c r="H8530" t="inlineStr"/>
    </row>
    <row r="8531">
      <c r="A8531" t="inlineStr">
        <is>
          <t>hgsq9t</t>
        </is>
      </c>
      <c r="B8531" t="inlineStr">
        <is>
          <t>Racing heart from GERD?</t>
        </is>
      </c>
      <c r="C8531" t="inlineStr">
        <is>
          <t>Is this common? It’s awful. Doesn’t matter if i just drink water, eat a full meal or take vitamins my heart starts racing within 5 seconds somehow.</t>
        </is>
      </c>
      <c r="D8531" t="n">
        <v>1</v>
      </c>
      <c r="E8531" t="n">
        <v>0</v>
      </c>
      <c r="F8531">
        <f>HYPERLINK("https://www.reddit.com/r/GERD/comments/hgsq9t/racing_heart_from_gerd/")</f>
        <v/>
      </c>
      <c r="G8531" t="inlineStr">
        <is>
          <t>2020-06-27 05:31:40</t>
        </is>
      </c>
      <c r="H8531" t="inlineStr"/>
    </row>
    <row r="8532">
      <c r="A8532" t="inlineStr">
        <is>
          <t>hgt6dr</t>
        </is>
      </c>
      <c r="B8532" t="inlineStr">
        <is>
          <t>I can't seem to figure out what to eat</t>
        </is>
      </c>
      <c r="C8532" t="inlineStr">
        <is>
          <t>Nothing works,especially it's worse at night.It's probably not anxiety cause i did calming techiques for a while until i ended up vomitting for like how many times.I wonder if eating porridge every day might help.</t>
        </is>
      </c>
      <c r="D8532" t="n">
        <v>1</v>
      </c>
      <c r="E8532" t="n">
        <v>3</v>
      </c>
      <c r="F8532">
        <f>HYPERLINK("https://www.reddit.com/r/GERD/comments/hgt6dr/i_cant_seem_to_figure_out_what_to_eat/")</f>
        <v/>
      </c>
      <c r="G8532" t="inlineStr">
        <is>
          <t>2020-06-27 06:06:03</t>
        </is>
      </c>
      <c r="H8532" t="inlineStr"/>
    </row>
    <row r="8533">
      <c r="A8533" t="inlineStr">
        <is>
          <t>hgtcv4</t>
        </is>
      </c>
      <c r="B8533" t="inlineStr">
        <is>
          <t>GERD causing sensitivity to smells/chemicals?</t>
        </is>
      </c>
      <c r="C8533" t="inlineStr">
        <is>
          <t>When my GERD flares up I will become almost hypersensitive to certain chemicals. Smoke from wood/tobacco/stove, perfumes, lotions all will cause me to feel suffocated. I also will feel a burning sensation in my face. When my GERD is under control the same smells will hardly bother me at all. 
I've had allergy testing done and cleared that as the cause. Pulmonologist clears me for asthma. Also cleared from anxiety/panic attacks. It really seems to coincide with my GERD. 
BACKGROUND: GERD, hiatal hernia, esophageal motility disorder.</t>
        </is>
      </c>
      <c r="D8533" t="n">
        <v>1</v>
      </c>
      <c r="E8533" t="n">
        <v>10</v>
      </c>
      <c r="F8533">
        <f>HYPERLINK("https://www.reddit.com/r/GERD/comments/hgtcv4/gerd_causing_sensitivity_to_smellschemicals/")</f>
        <v/>
      </c>
      <c r="G8533" t="inlineStr">
        <is>
          <t>2020-06-27 06:19:29</t>
        </is>
      </c>
      <c r="H8533" t="inlineStr"/>
    </row>
    <row r="8534">
      <c r="A8534" t="inlineStr">
        <is>
          <t>hgth60</t>
        </is>
      </c>
      <c r="B8534" t="inlineStr">
        <is>
          <t>I wonder how many people die from acid reflux every year</t>
        </is>
      </c>
      <c r="C8534" t="inlineStr">
        <is>
          <t>I'm 31, was previously healthy as a horse. In the last 3 months I've lost 20 pounds. Maybe 1/5th as strong as I used to be. Haven't slept more than 2-3 hours per night since early March. Can't breath without coughing, can't eat anything at all really. Even oatmeal makes me puke.
If you would have told me a year ago that I'd eventually wither up and die from acid reflux I would have laughed. But it looks like that's my future.
Upon further research I see this is something that affects 20% of the population. That's insane. This is the real pandemic, I can't believe I'd never heard of it before.</t>
        </is>
      </c>
      <c r="D8534" t="n">
        <v>1</v>
      </c>
      <c r="E8534" t="n">
        <v>2</v>
      </c>
      <c r="F8534">
        <f>HYPERLINK("https://www.reddit.com/r/GERD/comments/hgth60/i_wonder_how_many_people_die_from_acid_reflux/")</f>
        <v/>
      </c>
      <c r="G8534" t="inlineStr">
        <is>
          <t>2020-06-27 06:27:13</t>
        </is>
      </c>
      <c r="H8534" t="inlineStr"/>
    </row>
    <row r="8535">
      <c r="A8535" t="inlineStr">
        <is>
          <t>hgu0ov</t>
        </is>
      </c>
      <c r="B8535" t="inlineStr">
        <is>
          <t>Symptoms worse with physical activity?</t>
        </is>
      </c>
      <c r="C8535" t="inlineStr">
        <is>
          <t>And what I mean by physical activity is usually just walking (though I’m a fast walker lol). I find though after about 10 mins minimum or an hour maximum I start to get a burning throat and chest and the acid taste in my mouth. Haven’t noticed yet whether it’s better or worse with a full or empty stomach, I’ve noticed it either way though. I’ll of course bring this up to my doctor at our next appointment, just wondering if anyone else has experienced this.
TLDR: GERD symptoms when walking (or any physical activity); anyone else have this?</t>
        </is>
      </c>
      <c r="D8535" t="n">
        <v>1</v>
      </c>
      <c r="E8535" t="n">
        <v>20</v>
      </c>
      <c r="F8535">
        <f>HYPERLINK("https://www.reddit.com/r/GERD/comments/hgu0ov/symptoms_worse_with_physical_activity/")</f>
        <v/>
      </c>
      <c r="G8535" t="inlineStr">
        <is>
          <t>2020-06-27 07:01:52</t>
        </is>
      </c>
      <c r="H8535" t="inlineStr"/>
    </row>
    <row r="8536">
      <c r="A8536" t="inlineStr">
        <is>
          <t>hgu10v</t>
        </is>
      </c>
      <c r="B8536" t="inlineStr">
        <is>
          <t>Acid reflux, omeprazole and headaches</t>
        </is>
      </c>
      <c r="C8536" t="inlineStr">
        <is>
          <t>Hi
For 7 weeks or so I believe I've been suffering from acid reflux. Either that or costochronditis.
The feeling is in my left chest, around my pectoral. I had multiple scans and lung problems have been ruled out.
I've been prescribed omeprazole, however it's causing me headaches and tingly feeling a in my wrists and left leg.
Anyone else get headaches? The omeprazole does work, my chest feels almost perfectly fine when I take it. I can finally do exercise again.
Also roughly how long does it take for acid reflux to go away once you have started taking medication? I'll be honest I do feel better than I did a week ago, I feel mentally happier too.</t>
        </is>
      </c>
      <c r="D8536" t="n">
        <v>1</v>
      </c>
      <c r="E8536" t="n">
        <v>5</v>
      </c>
      <c r="F8536">
        <f>HYPERLINK("https://www.reddit.com/r/GERD/comments/hgu10v/acid_reflux_omeprazole_and_headaches/")</f>
        <v/>
      </c>
      <c r="G8536" t="inlineStr">
        <is>
          <t>2020-06-27 07:02:25</t>
        </is>
      </c>
      <c r="H8536" t="inlineStr"/>
    </row>
    <row r="8537">
      <c r="A8537" t="inlineStr">
        <is>
          <t>hguftf</t>
        </is>
      </c>
      <c r="B8537" t="inlineStr">
        <is>
          <t>Tea provides complete relief for me.</t>
        </is>
      </c>
      <c r="C8537" t="inlineStr">
        <is>
          <t>Since yesterday I began making hot soup often, and a large cup peppermint tea 3 times a day. The symptoms, the mucus, the fatigue and anxiety are temporarily completely gone. I feel like I could eat what I want (obviously except the super-triggerers), and I won‘t get reflux aslong as I drink a cup of tea afterwards.
I recommend peppermint tea without anythng. Drink it as hot as you can. It really calms my stomach and makes me „normal“. I‘m full of energy. But obviously, this is just a relief of symptoms and not a cure, although I can imagine it **helping** your sphincter muscle heal, as it calms it down.</t>
        </is>
      </c>
      <c r="D8537" t="n">
        <v>1</v>
      </c>
      <c r="E8537" t="n">
        <v>5</v>
      </c>
      <c r="F8537">
        <f>HYPERLINK("https://www.reddit.com/r/GERD/comments/hguftf/tea_provides_complete_relief_for_me/")</f>
        <v/>
      </c>
      <c r="G8537" t="inlineStr">
        <is>
          <t>2020-06-27 07:26:51</t>
        </is>
      </c>
      <c r="H8537" t="inlineStr"/>
    </row>
    <row r="8538">
      <c r="A8538" t="inlineStr">
        <is>
          <t>hgumio</t>
        </is>
      </c>
      <c r="B8538" t="inlineStr">
        <is>
          <t>Suffering from heart burn caused my acidity</t>
        </is>
      </c>
      <c r="C8538" t="inlineStr">
        <is>
          <t>Hi all
I am 20 years old and I’m facing constant hunger pangs even though I eat. I am having acidity and I feel like there’s gas trapped in my body. Anybody else feels similar ?</t>
        </is>
      </c>
      <c r="D8538" t="n">
        <v>1</v>
      </c>
      <c r="E8538" t="n">
        <v>7</v>
      </c>
      <c r="F8538">
        <f>HYPERLINK("https://www.reddit.com/r/GERD/comments/hgumio/suffering_from_heart_burn_caused_my_acidity/")</f>
        <v/>
      </c>
      <c r="G8538" t="inlineStr">
        <is>
          <t>2020-06-27 07:38:02</t>
        </is>
      </c>
      <c r="H8538" t="inlineStr"/>
    </row>
    <row r="8539">
      <c r="A8539" t="inlineStr">
        <is>
          <t>hgvnm6</t>
        </is>
      </c>
      <c r="B8539" t="inlineStr">
        <is>
          <t>*Orocecal Transit Time and Hydrogen *Small intestinal bacterial overgrowth *Carbohydrate malabsorption</t>
        </is>
      </c>
      <c r="C8539" t="inlineStr">
        <is>
          <t>Anyone else researched these? 
I did some reading and after hearing about the hydrogen burps someone told me mine smelled like. I read that fermentation in the intestines/hydrogen burps could be why I have major issues with eating carbs. I noticed in cutting out carbs I feel way better. 
I'm going to mention these 3 things to my Dr.  While I get heartburn from many foods not just carbs, I seem to be having intestinal issues - gas, takes a long time to digest anything.  It's worth a mention. 
Might be worth some reading /talking to your doctor if you feel these might be your issue also.</t>
        </is>
      </c>
      <c r="D8539" t="n">
        <v>1</v>
      </c>
      <c r="E8539" t="n">
        <v>0</v>
      </c>
      <c r="F8539">
        <f>HYPERLINK("https://www.reddit.com/r/GERD/comments/hgvnm6/orocecal_transit_time_and_hydrogen_small/")</f>
        <v/>
      </c>
      <c r="G8539" t="inlineStr">
        <is>
          <t>2020-06-27 08:37:29</t>
        </is>
      </c>
      <c r="H8539" t="inlineStr"/>
    </row>
    <row r="8540">
      <c r="A8540" t="inlineStr">
        <is>
          <t>hgvo0r</t>
        </is>
      </c>
      <c r="B8540" t="inlineStr">
        <is>
          <t>Random chest pains and sweating?</t>
        </is>
      </c>
      <c r="C8540" t="inlineStr">
        <is>
          <t>I know people on here complain about night sweats.
My Gerd symptoms I feel are a bit more atypical... Ear aches, tinnitus, popping Jaw, head pressure, etc. I've had people say I may have migraines, but I'm convinced now these issues are related to my acid reflux (which is supposed to be mild based on endoscopy, but I've been to the ER 4 times in last year scared to death)... Because they've largely gone away or notably reduced after starting ppi again, after I thought to try it. I didn't initially associate any of this stuff to my reflux. I thought reflux meant heart/chest pain only before. 
Anyways, like yesterday I ate around 930. Felt great, and then randomly I'm shopping at store around 1 and all of a sudden chest pressure, head feels like shit, and I start having a bit of a sudden sweat over my body. (this sometimes happens at work too. I'll be sitting talking to someone and out of the blue chest pain and mild sweating for maybe 15-20 seconds).
I know of night sweats but do you guys get this too? I've seen two cardios, been to ER multiple times, and my heart is supposedly great. I'm 32. Logically the chances of it being a heart issue are low but my symptoms are just scare me so much.... So I tired of this. Last year of my life has been awful. Sigh....</t>
        </is>
      </c>
      <c r="D8540" t="n">
        <v>1</v>
      </c>
      <c r="E8540" t="n">
        <v>6</v>
      </c>
      <c r="F8540">
        <f>HYPERLINK("https://www.reddit.com/r/GERD/comments/hgvo0r/random_chest_pains_and_sweating/")</f>
        <v/>
      </c>
      <c r="G8540" t="inlineStr">
        <is>
          <t>2020-06-27 08:38:07</t>
        </is>
      </c>
      <c r="H8540" t="inlineStr"/>
    </row>
    <row r="8541">
      <c r="A8541" t="inlineStr">
        <is>
          <t>hgvo58</t>
        </is>
      </c>
      <c r="B8541" t="inlineStr">
        <is>
          <t>My back hurts like CRAZY and I don't have money for medicine. Any options? Herbs? Fruits? Whatever...</t>
        </is>
      </c>
      <c r="C8541" t="inlineStr">
        <is>
          <t>I don't feel like overextending myself since I am even fatigued but i can tell you this is excruciating and fucking annoying. Pain goes away for a few days then comes back full force, as a plethora of other annoying symptoms like dysphagia, throat pain, hoarseness, feeling bloated, nauseous, weak, fatigued. And the constant mucus in throat. I can't keep living like this. Help.</t>
        </is>
      </c>
      <c r="D8541" t="n">
        <v>1</v>
      </c>
      <c r="E8541" t="n">
        <v>3</v>
      </c>
      <c r="F8541">
        <f>HYPERLINK("https://www.reddit.com/r/GERD/comments/hgvo58/my_back_hurts_like_crazy_and_i_dont_have_money/")</f>
        <v/>
      </c>
      <c r="G8541" t="inlineStr">
        <is>
          <t>2020-06-27 08:38:19</t>
        </is>
      </c>
      <c r="H8541" t="inlineStr"/>
    </row>
    <row r="8542">
      <c r="A8542" t="inlineStr">
        <is>
          <t>hgwiou</t>
        </is>
      </c>
      <c r="B8542" t="inlineStr">
        <is>
          <t>GERD is a brain disease.</t>
        </is>
      </c>
      <c r="C8542" t="inlineStr">
        <is>
          <t>Our GI is directly connected to our brain. Any damage to the stomach is felt in the brain, and damage in the brain is felt in the stomach. That is why a hurt stomach causes anxiety, fatigue and depression.
This is why it‘s so important to always seek instant relief from your symptoms. I found my relief in tea. Relieving your stomach means unlocking the other 90 percent of your brain energy, and. therefore being more effective at thinking about the disease and finding cures and better ways of reducing acid reflux.
I get really upset when I sometimes have GERD symptoms in the morning, but fail to seek relief soon enough. I then spent my day doing dumb things like a zombie, until at one point I decide to drink tea. Usually, it is already afternoon by then. A whole day wasted.
Today I learnt how important managing stress is. Most of our stomaches are extremely volatile. Some of us get reflux from bread or milk, and some even from water. As the brain and the stomach are connected, any stress on the brain could stress the stomach and trigger GERD symptoms! Whenever I get stressed, I get acid reflux. I really hope that this is bullshit, but I think it isn‘t. When I get close to people I don‘t like, I get extremely depressed even though I shouldn‘t be. I link the depression to GERD. Brain stress seems to induce stomach stress. When I got stressed from a bad video game, I got unusually upset and really depressed.
&amp;amp;#x200B;</t>
        </is>
      </c>
      <c r="D8542" t="n">
        <v>11</v>
      </c>
      <c r="E8542" t="n">
        <v>23</v>
      </c>
      <c r="F8542">
        <f>HYPERLINK("https://www.reddit.com/r/GERD/comments/hgwiou/gerd_is_a_brain_disease/")</f>
        <v/>
      </c>
      <c r="G8542" t="inlineStr">
        <is>
          <t>2020-06-27 09:26:36</t>
        </is>
      </c>
      <c r="H8542" t="inlineStr"/>
    </row>
    <row r="8543">
      <c r="A8543" t="inlineStr">
        <is>
          <t>hgx97g</t>
        </is>
      </c>
      <c r="B8543" t="inlineStr">
        <is>
          <t>Anyone develop GERD after going vegan?</t>
        </is>
      </c>
      <c r="C8543" t="inlineStr">
        <is>
          <t>Around this time last year I decided to follow a vegan diet. Within a few months I started to notice mucus in my throat and heartburn (which I’d never experienced before.) My symptoms gradually worsened and I added animal products back into my diet 2 months ago, hoping for an improvement. Unfortunately my symptoms didn’t change and my doctor says I likely have GERD. I don’t know what about a vegan diet would cause GERD but it seems to me that’s what happened. Anyone have a similar experience?</t>
        </is>
      </c>
      <c r="D8543" t="n">
        <v>2</v>
      </c>
      <c r="E8543" t="n">
        <v>5</v>
      </c>
      <c r="F8543">
        <f>HYPERLINK("https://www.reddit.com/r/GERD/comments/hgx97g/anyone_develop_gerd_after_going_vegan/")</f>
        <v/>
      </c>
      <c r="G8543" t="inlineStr">
        <is>
          <t>2020-06-27 10:08:26</t>
        </is>
      </c>
      <c r="H8543" t="inlineStr"/>
    </row>
    <row r="8544">
      <c r="A8544" t="inlineStr">
        <is>
          <t>hgxf84</t>
        </is>
      </c>
      <c r="B8544" t="inlineStr">
        <is>
          <t>Normal symptoms?</t>
        </is>
      </c>
      <c r="C8544" t="inlineStr">
        <is>
          <t>This community has been super helpful in helping me identify the symptoms of GERD that aren’t listed with other internet resources. I was wondering if anyone else had has these symptoms associated with GERD.
-feeling lightheaded/weak
-shortness of breath 
-not satisfied after eating 
- low blood pressure (100/70)
Let me know guys...keep fighting!</t>
        </is>
      </c>
      <c r="D8544" t="n">
        <v>2</v>
      </c>
      <c r="E8544" t="n">
        <v>2</v>
      </c>
      <c r="F8544">
        <f>HYPERLINK("https://www.reddit.com/r/GERD/comments/hgxf84/normal_symptoms/")</f>
        <v/>
      </c>
      <c r="G8544" t="inlineStr">
        <is>
          <t>2020-06-27 10:18:00</t>
        </is>
      </c>
      <c r="H8544" t="inlineStr"/>
    </row>
    <row r="8545">
      <c r="A8545" t="inlineStr">
        <is>
          <t>hgxgmo</t>
        </is>
      </c>
      <c r="B8545" t="inlineStr">
        <is>
          <t>Can I take mastic gum while on pantoprazole?</t>
        </is>
      </c>
      <c r="C8545" t="inlineStr">
        <is>
          <t>I’m suffering from upper stomach pain, sore throat, and pressure on the chest at night from acid. It’s been a week since i’m on pantoprazole; definitely better than before taking meds and still some days are bad based on what I eat. 
I learned about mastic gum and bought it. Is this okay to take every day while i’m on pantoprazole?</t>
        </is>
      </c>
      <c r="D8545" t="n">
        <v>2</v>
      </c>
      <c r="E8545" t="n">
        <v>6</v>
      </c>
      <c r="F8545">
        <f>HYPERLINK("https://www.reddit.com/r/GERD/comments/hgxgmo/can_i_take_mastic_gum_while_on_pantoprazole/")</f>
        <v/>
      </c>
      <c r="G8545" t="inlineStr">
        <is>
          <t>2020-06-27 10:20:09</t>
        </is>
      </c>
      <c r="H8545" t="inlineStr"/>
    </row>
    <row r="8546">
      <c r="A8546" t="inlineStr">
        <is>
          <t>hgxla0</t>
        </is>
      </c>
      <c r="B8546" t="inlineStr">
        <is>
          <t>GERD meds and anti-depressants</t>
        </is>
      </c>
      <c r="C8546" t="inlineStr">
        <is>
          <t>So Im diagnosed with GERD, its been a pretty recent thing but may have been an underlying issue Im just now noticing. Ive been on a PPI and an H2 blocker for about a month which helped maybe a little, and over the last week ive been on sucralfate (oral suspension) to try to heal some of the damage in my throat.
I also have depression and have been on wellbutrin for a few months now. At first my depression started to go away, after two months I was feeling myself again. This last week since starting the carafate, it really feels like its coming back. I did forget a dose or two and have experimented with taking the drug at different times because I used to take them in the morning on an empty stomach, which probably exacerbated the gerd.
Im worried the sucralfate is blocking absorption of the wellbutrin or something, causing my depression to come back. Has anyone else noticed reduced efficacy of drugs while taking sucralfate/carafate? I messaged my doctor but probably wont hear from her until monday and curious if anyone else has experienced the same thing.</t>
        </is>
      </c>
      <c r="D8546" t="n">
        <v>6</v>
      </c>
      <c r="E8546" t="n">
        <v>8</v>
      </c>
      <c r="F8546">
        <f>HYPERLINK("https://www.reddit.com/r/GERD/comments/hgxla0/gerd_meds_and_antidepressants/")</f>
        <v/>
      </c>
      <c r="G8546" t="inlineStr">
        <is>
          <t>2020-06-27 10:27:04</t>
        </is>
      </c>
      <c r="H8546" t="inlineStr"/>
    </row>
    <row r="8547">
      <c r="A8547" t="inlineStr">
        <is>
          <t>hgy5jc</t>
        </is>
      </c>
      <c r="B8547" t="inlineStr">
        <is>
          <t>LPR and Tonsils/Lymph nodes</t>
        </is>
      </c>
      <c r="C8547" t="inlineStr">
        <is>
          <t>I have been diagnosed with lpr from my ent. For the last several months I have been dealing with throat irritation, especially around the back of my throat near my tonsils. The lymph nodes in my neck surrounding that area have also been inflamed during this time and have not grown, but have not decreased in size either. My tonsils/ back of throat seems irritated, painful, and very tight (like a choking feeling). My ent says there doesn’t appear to be any issues with my tonsils. I’m wondering if lpr or acid reflux can cause irritation of the tonsils and cause lymph nodes in neck to swell.</t>
        </is>
      </c>
      <c r="D8547" t="n">
        <v>5</v>
      </c>
      <c r="E8547" t="n">
        <v>1</v>
      </c>
      <c r="F8547">
        <f>HYPERLINK("https://www.reddit.com/r/GERD/comments/hgy5jc/lpr_and_tonsilslymph_nodes/")</f>
        <v/>
      </c>
      <c r="G8547" t="inlineStr">
        <is>
          <t>2020-06-27 10:58:19</t>
        </is>
      </c>
      <c r="H8547" t="inlineStr"/>
    </row>
    <row r="8548">
      <c r="A8548" t="inlineStr">
        <is>
          <t>hgza00</t>
        </is>
      </c>
      <c r="B8548" t="inlineStr">
        <is>
          <t>Do anti-nausea pills work? Are they recommended for nausea caused by GERD/ulcer/h pylori?</t>
        </is>
      </c>
      <c r="C8548" t="inlineStr">
        <is>
          <t>I have some antinausea at home, but since this whole journey i am so afraid to take any new meds, because they are really hit or miss with their effects. Im going to have an endoscopy 2 weeks later, because of constant nausea.
I was wondering if anti acid pills could hurt ulcer/gerd? Sorry if it's a dumb question, i just wanna make sure. If so, do any of you take them and do they help for you? I just wanna know if i could take them at times to help my symptoms. 
(btw i am on 20 mg pantoprasol)</t>
        </is>
      </c>
      <c r="D8548" t="n">
        <v>6</v>
      </c>
      <c r="E8548" t="n">
        <v>8</v>
      </c>
      <c r="F8548">
        <f>HYPERLINK("https://www.reddit.com/r/GERD/comments/hgza00/do_antinausea_pills_work_are_they_recommended_for/")</f>
        <v/>
      </c>
      <c r="G8548" t="inlineStr">
        <is>
          <t>2020-06-27 12:00:42</t>
        </is>
      </c>
      <c r="H8548" t="inlineStr"/>
    </row>
    <row r="8549">
      <c r="A8549" t="inlineStr">
        <is>
          <t>hh0qvp</t>
        </is>
      </c>
      <c r="B8549" t="inlineStr">
        <is>
          <t>Sibo or Gerd?</t>
        </is>
      </c>
      <c r="C8549" t="inlineStr">
        <is>
          <t>https://gutbliss.com/sibo-or-reflux-a-must-read-for-those-diagnosed-with-acid-relux/</t>
        </is>
      </c>
      <c r="D8549" t="n">
        <v>2</v>
      </c>
      <c r="E8549" t="n">
        <v>2</v>
      </c>
      <c r="F8549">
        <f>HYPERLINK("https://www.reddit.com/r/GERD/comments/hh0qvp/sibo_or_gerd/")</f>
        <v/>
      </c>
      <c r="G8549" t="inlineStr">
        <is>
          <t>2020-06-27 13:22:20</t>
        </is>
      </c>
      <c r="H8549" t="inlineStr"/>
    </row>
    <row r="8550">
      <c r="A8550" t="inlineStr">
        <is>
          <t>hh0zjp</t>
        </is>
      </c>
      <c r="B8550" t="inlineStr">
        <is>
          <t>Can anyone find extra strength liquid gaviscon</t>
        </is>
      </c>
      <c r="C8550" t="inlineStr">
        <is>
          <t>Title says it all, I’m on a PPI but this is the only thing that helps my break throughs. Can not find it anywhere in the last couple months.</t>
        </is>
      </c>
      <c r="D8550" t="n">
        <v>3</v>
      </c>
      <c r="E8550" t="n">
        <v>5</v>
      </c>
      <c r="F8550">
        <f>HYPERLINK("https://www.reddit.com/r/GERD/comments/hh0zjp/can_anyone_find_extra_strength_liquid_gaviscon/")</f>
        <v/>
      </c>
      <c r="G8550" t="inlineStr">
        <is>
          <t>2020-06-27 13:35:51</t>
        </is>
      </c>
      <c r="H8550" t="inlineStr"/>
    </row>
    <row r="8551">
      <c r="A8551" t="inlineStr">
        <is>
          <t>hh1050</t>
        </is>
      </c>
      <c r="B8551" t="inlineStr">
        <is>
          <t>Regurgitating EVERYTHING</t>
        </is>
      </c>
      <c r="C8551" t="inlineStr">
        <is>
          <t>I hate eating and drinking, because along with this I have an even bigger issue of IBD causing daily diarrhea. Acid reducers and medications have done diddly squat since it's a sphincter issue and sometimes I lose the ability to burp completely. Lately, everytime I eat, I regurgitate trying to burp and then end up throwing up a mass majority of the meal as a result solids coming up and triggering nausea. This is even happening with water, where any attempt to burp is met with too much water filling my mouth and then throwing that up too. Issue is, it HURTS not to burp. The gastric pressure later on from not burping causes the cramping and diarrhea to be much worse, so I have just been avoiding food and water at all costs if I'm to function at daily tasks at all. I eat in very small increments and even then, I regurgitate a good portion. If I lean forward or my head is below my chest, I pretty much will vomit out my nose. It's been months of this, I didn't even have IBD or acid reflux last year at all, and now suddenly everything is getting worse exponentially each month and I have had to cut out a massive list of things that make symptoms worse. Issue is, as of the last two weeks, it's everything I put in my mouth whether it's the blandest health food or plain water. I have no answers from doctors what is going on, they call it "mild acid reflux" and PMS. I have a diagnosis of "mild IBD" despite shitting blood and losing over 40lbs in 3 months. But I guess no one takes you seriously as a college age girl about your pain.</t>
        </is>
      </c>
      <c r="D8551" t="n">
        <v>4</v>
      </c>
      <c r="E8551" t="n">
        <v>5</v>
      </c>
      <c r="F8551">
        <f>HYPERLINK("https://www.reddit.com/r/GERD/comments/hh1050/regurgitating_everything/")</f>
        <v/>
      </c>
      <c r="G8551" t="inlineStr">
        <is>
          <t>2020-06-27 13:36:46</t>
        </is>
      </c>
      <c r="H8551" t="inlineStr"/>
    </row>
    <row r="8552">
      <c r="A8552" t="inlineStr">
        <is>
          <t>hh19nk</t>
        </is>
      </c>
      <c r="B8552" t="inlineStr">
        <is>
          <t>Are flare ups normal?</t>
        </is>
      </c>
      <c r="C8552" t="inlineStr">
        <is>
          <t xml:space="preserve">I was diagnosed officially with GERD about a year ago. I've had heartburn and regurgitation since I was a child though. For a few years the pain would be really severe out of nowhere and then go away. This is why I didn't seek help sooner.
Since going on omeprazole (40mg) the GERD has been pretty good. But sometimes out of nowhere it just hurts SO BAD. It feels like I'm not even taking a PPI sometimes. The latest flare up started 4 days ago. I've been sleeping on the couch because it's where I can keep my head raised. It's not been great.
I was wondering if flare ups like these are normal and how long they last. And what do I do during these flare ups? I'm a healthy 24yo 118lb female who exercises and is a pescatarian.
Edit: Also I had a scope down and my throat is fine. Which is surprising given how long it's been untreated for. </t>
        </is>
      </c>
      <c r="D8552" t="n">
        <v>3</v>
      </c>
      <c r="E8552" t="n">
        <v>2</v>
      </c>
      <c r="F8552">
        <f>HYPERLINK("https://www.reddit.com/r/GERD/comments/hh19nk/are_flare_ups_normal/")</f>
        <v/>
      </c>
      <c r="G8552" t="inlineStr">
        <is>
          <t>2020-06-27 13:52:04</t>
        </is>
      </c>
      <c r="H8552" t="inlineStr"/>
    </row>
    <row r="8553">
      <c r="A8553" t="inlineStr">
        <is>
          <t>hh1vg1</t>
        </is>
      </c>
      <c r="B8553" t="inlineStr">
        <is>
          <t>Questions on getting off of Omeprazole?</t>
        </is>
      </c>
      <c r="C8553" t="inlineStr">
        <is>
          <t>Hi,
I've been taking Omeprazole 40mg everyday for the past 2 years.  It has helped with my inflammation and gut wrenching pain.  I wanted to get off of it so I decided to go see a Naturalpath doctor to treat symptoms.  They made me get off of it cold turkey and replace it with digestive enzymes with Butaine HCl with me meal. It's been about 6 days and every time I eat anything since not taking the Omeprazole, I start to feel light-headed, get a headache and just feel a general sickness. It's been hard to function honestly. Has anyone else experienced this when stopping Omeprazole cold turkey? I am taking licorice tablets to help with the acid but the others feelings are still there.</t>
        </is>
      </c>
      <c r="D8553" t="n">
        <v>4</v>
      </c>
      <c r="E8553" t="n">
        <v>24</v>
      </c>
      <c r="F8553">
        <f>HYPERLINK("https://www.reddit.com/r/GERD/comments/hh1vg1/questions_on_getting_off_of_omeprazole/")</f>
        <v/>
      </c>
      <c r="G8553" t="inlineStr">
        <is>
          <t>2020-06-27 14:26:49</t>
        </is>
      </c>
      <c r="H8553" t="inlineStr"/>
    </row>
    <row r="8554">
      <c r="A8554" t="inlineStr">
        <is>
          <t>hh29g4</t>
        </is>
      </c>
      <c r="B8554" t="inlineStr">
        <is>
          <t>Pain for 3 days, feeling like something is at back of my throat, what do I do?</t>
        </is>
      </c>
      <c r="C8554" t="inlineStr">
        <is>
          <t>So this started 3 days ago. Last night I took gaviscon and it made everything a lot worse. Now my throat pain is constant. Nothing will ease this pain. On top of that it feels like something is at the back of my throat, since I used the gaviscon. US gaviscon btw. I guess it really is as bad as they say. 
I've taken maalox, two cups of my tea with slippery elm, and the pain persists. I take omeprazole every day but it's at dinner time.  I just don't know what to do. The omeprazole seems to work until my bedtime, seems I get bad gerd in my sleep without eating or anything.</t>
        </is>
      </c>
      <c r="D8554" t="n">
        <v>4</v>
      </c>
      <c r="E8554" t="n">
        <v>2</v>
      </c>
      <c r="F8554">
        <f>HYPERLINK("https://www.reddit.com/r/GERD/comments/hh29g4/pain_for_3_days_feeling_like_something_is_at_back/")</f>
        <v/>
      </c>
      <c r="G8554" t="inlineStr">
        <is>
          <t>2020-06-27 14:48:31</t>
        </is>
      </c>
      <c r="H8554" t="inlineStr"/>
    </row>
    <row r="8555">
      <c r="A8555" t="inlineStr">
        <is>
          <t>hh3ceq</t>
        </is>
      </c>
      <c r="B8555" t="inlineStr">
        <is>
          <t>Corn Chips --- No issues, but they are fatty??</t>
        </is>
      </c>
      <c r="C8555" t="inlineStr">
        <is>
          <t>Well, I guess this carb I can have.  I am starting to wonder if I do have a gluten or fermentation issue.
I might try corn tortilla with turkey tonight.</t>
        </is>
      </c>
      <c r="D8555" t="n">
        <v>1</v>
      </c>
      <c r="E8555" t="n">
        <v>0</v>
      </c>
      <c r="F8555">
        <f>HYPERLINK("https://www.reddit.com/r/GERD/comments/hh3ceq/corn_chips_no_issues_but_they_are_fatty/")</f>
        <v/>
      </c>
      <c r="G8555" t="inlineStr">
        <is>
          <t>2020-06-27 15:49:13</t>
        </is>
      </c>
      <c r="H8555" t="inlineStr"/>
    </row>
    <row r="8556">
      <c r="A8556" t="inlineStr">
        <is>
          <t>hh4czv</t>
        </is>
      </c>
      <c r="B8556" t="inlineStr">
        <is>
          <t>I'm 13 and have Gerd</t>
        </is>
      </c>
      <c r="C8556" t="inlineStr">
        <is>
          <t>Hi I'm a 13 year old.I've been having gerd for the past 2 years. I went for a endoscopy 5 months ago and they said they found some minor imflammation in my esophagus. They told me it could've been caused by EOE or reflux because some allergy cells were found. I was told to takes ppi for 2 months and go back for endoscopy. Then covid happens and I couldn't. I did finish my meds but then they said I couldn't. Ppis didnt help at all. (My only symptom was acid burp). I'm waiting to get another endoscopy now and start meds before that. I really need some reassurance tho. I'm really petrified of cancer or barrets esophagus. Someone plz help me because google says ima get cancer.</t>
        </is>
      </c>
      <c r="D8556" t="n">
        <v>1</v>
      </c>
      <c r="E8556" t="n">
        <v>6</v>
      </c>
      <c r="F8556">
        <f>HYPERLINK("https://www.reddit.com/r/GERD/comments/hh4czv/im_13_and_have_gerd/")</f>
        <v/>
      </c>
      <c r="G8556" t="inlineStr">
        <is>
          <t>2020-06-27 16:48:58</t>
        </is>
      </c>
      <c r="H8556" t="inlineStr"/>
    </row>
    <row r="8557">
      <c r="A8557" t="inlineStr">
        <is>
          <t>hh5a6v</t>
        </is>
      </c>
      <c r="B8557" t="inlineStr">
        <is>
          <t>els/diaphram/core strengthening? bakingsoda/phwater spray for lpr?</t>
        </is>
      </c>
      <c r="C8557" t="inlineStr">
        <is>
          <t>i'm about to get serious about my core exercises, hoping it will help with the els. has anyone really gotten serious about those exercises and had any results? also, has anyone tried the spray for their throat? i've heard it recommended, and i've been using it, but i can't really tell if it helps or not. thanks.</t>
        </is>
      </c>
      <c r="D8557" t="n">
        <v>3</v>
      </c>
      <c r="E8557" t="n">
        <v>5</v>
      </c>
      <c r="F8557">
        <f>HYPERLINK("https://www.reddit.com/r/GERD/comments/hh5a6v/elsdiaphramcore_strengthening_bakingsodaphwater/")</f>
        <v/>
      </c>
      <c r="G8557" t="inlineStr">
        <is>
          <t>2020-06-27 17:50:34</t>
        </is>
      </c>
      <c r="H8557" t="inlineStr"/>
    </row>
    <row r="8558">
      <c r="A8558" t="inlineStr">
        <is>
          <t>hh5a8e</t>
        </is>
      </c>
      <c r="B8558" t="inlineStr">
        <is>
          <t>LPR/GERD and swollen lymph nodes</t>
        </is>
      </c>
      <c r="C8558" t="inlineStr">
        <is>
          <t>Can LPR or GERD cause swollen lymph nodes in neck? I have noticed some swollen lymph nodes about 7 months ago in the cervical region which haven’t changed in size.</t>
        </is>
      </c>
      <c r="D8558" t="n">
        <v>2</v>
      </c>
      <c r="E8558" t="n">
        <v>5</v>
      </c>
      <c r="F8558">
        <f>HYPERLINK("https://www.reddit.com/r/GERD/comments/hh5a8e/lprgerd_and_swollen_lymph_nodes/")</f>
        <v/>
      </c>
      <c r="G8558" t="inlineStr">
        <is>
          <t>2020-06-27 17:50:39</t>
        </is>
      </c>
      <c r="H8558" t="inlineStr"/>
    </row>
    <row r="8559">
      <c r="A8559" t="inlineStr">
        <is>
          <t>hh5j1e</t>
        </is>
      </c>
      <c r="B8559" t="inlineStr">
        <is>
          <t>Generic prescription meds</t>
        </is>
      </c>
      <c r="C8559" t="inlineStr">
        <is>
          <t>This might sound silly but I feel like my meds aren’t working like they did before the dosage was changed. I was taking 20mg of pantoprazole every morning and last month it was upped to 40mg so I took two of the pills I had at the time and within a week I started to feel better. 
When I got my prescription refilled about 2 wks later they changed the dosage to one 40 mg pill every morning, so different pill and manufacturer. Since the change, my symptoms have worsened. I cannot get my GERD under control with 40 mg of pantoprazole in the morning and 20 mg of famotidine at bedtime. This seems like a lot of meds with little relief. Am I crazy to believe that it could be the effectiveness of the different prescription? Has anyone had this experience?</t>
        </is>
      </c>
      <c r="D8559" t="n">
        <v>1</v>
      </c>
      <c r="E8559" t="n">
        <v>2</v>
      </c>
      <c r="F8559">
        <f>HYPERLINK("https://www.reddit.com/r/GERD/comments/hh5j1e/generic_prescription_meds/")</f>
        <v/>
      </c>
      <c r="G8559" t="inlineStr">
        <is>
          <t>2020-06-27 18:07:25</t>
        </is>
      </c>
      <c r="H8559" t="inlineStr"/>
    </row>
    <row r="8560">
      <c r="A8560" t="inlineStr">
        <is>
          <t>hh5msr</t>
        </is>
      </c>
      <c r="B8560" t="inlineStr">
        <is>
          <t>Try eating this!</t>
        </is>
      </c>
      <c r="C8560" t="inlineStr">
        <is>
          <t>-Cut up apples (real small)
/Oats/
Dates/
small amount of coconut sugar/
nut milk (cashew milk I used) 
 For the dates.... I used an RX bar and broke it up it had almonds that were half soft (which was nice), stay clear of any blueberries or other things in there, try to find a plain bar with no berries. 
(Dry oats... I have had issues with premixed packets)
Heat in microwave for 2 - 2.5 mins</t>
        </is>
      </c>
      <c r="D8560" t="n">
        <v>4</v>
      </c>
      <c r="E8560" t="n">
        <v>5</v>
      </c>
      <c r="F8560">
        <f>HYPERLINK("https://www.reddit.com/r/GERD/comments/hh5msr/try_eating_this/")</f>
        <v/>
      </c>
      <c r="G8560" t="inlineStr">
        <is>
          <t>2020-06-27 18:14:51</t>
        </is>
      </c>
      <c r="H8560" t="inlineStr"/>
    </row>
    <row r="8561">
      <c r="A8561" t="inlineStr">
        <is>
          <t>hh8shd</t>
        </is>
      </c>
      <c r="B8561" t="inlineStr">
        <is>
          <t>Anybody NOT taking PPI for reflux ?</t>
        </is>
      </c>
      <c r="C8561" t="inlineStr">
        <is>
          <t>Hi 
Ive been getting GERD daily for the last 3 months. My symptoms are: sour taste in mouth upon waking up ( promptly disappears when I brush), constant need to burp, tasting food in burps, feeling of food coming up into throat.. mucus in throat 
I'm having a hard time controlling trigger foods...I'm kind of a stressed out parent and so my way of destressing is by eating junk food...I cheat by then taking 2 spoonfuls of gaviscon advance at night. It lasts only 2-3 hours max.
Is it a bad idea not to take PPIs? Sorry but they have so many side effects that's why I'm not sure whether the cure is better than the illness...</t>
        </is>
      </c>
      <c r="D8561" t="n">
        <v>3</v>
      </c>
      <c r="E8561" t="n">
        <v>33</v>
      </c>
      <c r="F8561">
        <f>HYPERLINK("https://www.reddit.com/r/GERD/comments/hh8shd/anybody_not_taking_ppi_for_reflux/")</f>
        <v/>
      </c>
      <c r="G8561" t="inlineStr">
        <is>
          <t>2020-06-27 22:08:37</t>
        </is>
      </c>
      <c r="H8561" t="inlineStr"/>
    </row>
    <row r="8562">
      <c r="A8562" t="inlineStr">
        <is>
          <t>hh90q5</t>
        </is>
      </c>
      <c r="B8562" t="inlineStr">
        <is>
          <t>My monthly GERD attack</t>
        </is>
      </c>
      <c r="C8562" t="inlineStr">
        <is>
          <t>Every month, or every two-three weeks depending, I seem to have a bad bout of GERD constant lump in throat, burning, uncomfortableness and feel like I’m gonna constantly puke... why does this happen?!
It’s like clock work, I feel great then suddenly
It hits me out of no where and lasts from 1-5 days</t>
        </is>
      </c>
      <c r="D8562" t="n">
        <v>2</v>
      </c>
      <c r="E8562" t="n">
        <v>3</v>
      </c>
      <c r="F8562">
        <f>HYPERLINK("https://www.reddit.com/r/GERD/comments/hh90q5/my_monthly_gerd_attack/")</f>
        <v/>
      </c>
      <c r="G8562" t="inlineStr">
        <is>
          <t>2020-06-27 22:27:17</t>
        </is>
      </c>
      <c r="H8562" t="inlineStr"/>
    </row>
    <row r="8563">
      <c r="A8563" t="inlineStr">
        <is>
          <t>hhbgle</t>
        </is>
      </c>
      <c r="B8563" t="inlineStr">
        <is>
          <t>Reminder of a good post</t>
        </is>
      </c>
      <c r="C8563" t="inlineStr">
        <is>
          <t>I stumbled upon this post from 5 years ago, and I just wanted to link it here because I think that it‘s really well written and helpful.
[https://www.reddit.com/r/GERD/comments/2ytu42/curing\_gerd\_step\_1\_thorough\_chewing\_less\_liquid/](https://www.reddit.com/r/GERD/comments/2ytu42/curing_gerd_step_1_thorough_chewing_less_liquid/)</t>
        </is>
      </c>
      <c r="D8563" t="n">
        <v>1</v>
      </c>
      <c r="E8563" t="n">
        <v>0</v>
      </c>
      <c r="F8563">
        <f>HYPERLINK("https://www.reddit.com/r/GERD/comments/hhbgle/reminder_of_a_good_post/")</f>
        <v/>
      </c>
      <c r="G8563" t="inlineStr">
        <is>
          <t>2020-06-28 02:20:57</t>
        </is>
      </c>
      <c r="H8563" t="inlineStr"/>
    </row>
    <row r="8564">
      <c r="A8564" t="inlineStr">
        <is>
          <t>hhbi09</t>
        </is>
      </c>
      <c r="B8564" t="inlineStr">
        <is>
          <t>SOFT DRINKS</t>
        </is>
      </c>
      <c r="C8564" t="inlineStr">
        <is>
          <t>So can anyone of you drink softdrinks with no repercussions?</t>
        </is>
      </c>
      <c r="D8564" t="n">
        <v>1</v>
      </c>
      <c r="E8564" t="n">
        <v>9</v>
      </c>
      <c r="F8564">
        <f>HYPERLINK("https://www.reddit.com/r/GERD/comments/hhbi09/soft_drinks/")</f>
        <v/>
      </c>
      <c r="G8564" t="inlineStr">
        <is>
          <t>2020-06-28 02:24:40</t>
        </is>
      </c>
      <c r="H8564" t="inlineStr"/>
    </row>
    <row r="8565">
      <c r="A8565" t="inlineStr">
        <is>
          <t>hhcyry</t>
        </is>
      </c>
      <c r="B8565" t="inlineStr">
        <is>
          <t>I got an acid reflux diagnosis. What's next?</t>
        </is>
      </c>
      <c r="C8565" t="inlineStr">
        <is>
          <t>I'm 35yo.  I've had a ton of unresolved health symptoms for years, and I've been going down the list for most likely to least likely at the recommendation of my various doctors. 
Gastroenterology was very low down on the list. I am much gassier than most people, but I don't really have any notable pain/constipation from it. While I occasionally burp up a flavor, it's more been more awkward than concerning. Since my main symptoms are fatigue and a variety of autonomic dysfunction type issues and not obviously gut in nature, my doctor told me we're not likely to find anything very relevant to my main problems, and I agreed.
Well, he put me on a low FODMAPs diet and ordered a scope and EGD. I got diagnosed with acid reflux, and he ordered a follow-up gastric emptying study.
Also, my fatigue symptoms and other weird autonomic dysfunction symptoms vanished with the low FODMAP diet.
So, I'm trying to process how all this fits together. I'm not obese, but I am on an SSRI. I have completed 2 pregnancies, and I'm on a wait list to see a rheumatologist about possible connective tissue disorders. My dad has bad acid reflux himself and sleeps on a slanted bed. I ordered a giant wedge pillow to see if I can pull the recline off that way, as I woke up this morning burping up a storm and struggling to stop. The nurse who told me the diagnosis said there was a medication I should be taking for it, but my doctor hasn't actually prescribed me anything yet. I don't smoke or drink alcohol, and I have only one cup of coffee a day.
What else should I know/do? How might this all fit together? Does it fit together? Any recommendations?</t>
        </is>
      </c>
      <c r="D8565" t="n">
        <v>1</v>
      </c>
      <c r="E8565" t="n">
        <v>1</v>
      </c>
      <c r="F8565">
        <f>HYPERLINK("https://www.reddit.com/r/GERD/comments/hhcyry/i_got_an_acid_reflux_diagnosis_whats_next/")</f>
        <v/>
      </c>
      <c r="G8565" t="inlineStr">
        <is>
          <t>2020-06-28 04:38:00</t>
        </is>
      </c>
      <c r="H8565" t="inlineStr"/>
    </row>
    <row r="8566">
      <c r="A8566" t="inlineStr">
        <is>
          <t>hhd0zn</t>
        </is>
      </c>
      <c r="B8566" t="inlineStr">
        <is>
          <t>3 days straight of dull burning in my stomach help</t>
        </is>
      </c>
      <c r="C8566" t="inlineStr">
        <is>
          <t>Since February of this year I have had really bad dsyphagia which my doctor assumed was connected to me having gerd. I choked on a piece of meat and almost died.  At the time I had no symptoms of gerd and assumed my dysphagia was caused by the trauma of me almost chocking to death. Recently I began to have small acidic vomit in the middle of the night/day and consistent burping but I thought nothing of it just something I ate. 
 3 Days ago everything changed, I had a lot of discomfort from a dull burning sensation on my stomach, a lot of burping and acid reach my throat. I ate 2 antiacid tabs but 5 hours went by and the burning sensation still didn't go away. Earlier that day I also ate bad Gauc so I either I have something like food poisoning or my conclusion I had gerd . I spent this day (friday) fully awake except for 3 hours that I passed out and then woke up to the same burning sensation. 
 Saturday I spent most of my day at my house doing nothing my lack of sleep :(. I called my doctor and told her everything I just described she gave me a prescription for Famotidine and I have an appointment with her Monday. I took my prescription as soon as I got it and maybe 30 mins later I felt some decent relief. I again passed out for 3 hours and woke up at 10:30. Btw I had no appetite Saturday so I ate nothing.
  I wanted to stay positive though so I walk for 20mins and then did yoga. Great way to calm your mind from all the anxiety. Also my mom made me a ginger cinnamon tea with bahaka leaves surprisingly this tea has been the best instant relief I have gotten yet. But it doesn't last too long but still worth recommending to y'all. 
 Too bad the burning sensation happened again and I have had zero sleep tonight and the lack of sleep is really getting to me :(. It's currently 6 am . So I decided to take my prescription and see if I get some sleep. 
 I may sound calm in my post but really I'm scared. I don't want to scare my family I'm only 24 and this experience has made me feel nauseous and weak. I want to sleep! I have had almost non stop burning sensation from my stomach.  my docs appointment is Monday but from reading sub there is no cure except surgery? I'm sorry for my ranting I just needed to express my self for a moment. My mental dont
 I wanted ask how do you deal with gerd? Tips? Medication wise are PPI worth taking? Any other medication I should talk to my doc about? Is surgery the best option? How do you sleep with Gerd and the burning sensation? Any articles worth mentioning? Is it normal to have this burning sensation even though I haven't eaten anything? (only water)
Side note looking through YouTube Gerd videos seems like there are a lot of snake oil cures anyone else seen those comments/videos. Stay safe y'all</t>
        </is>
      </c>
      <c r="D8566" t="n">
        <v>1</v>
      </c>
      <c r="E8566" t="n">
        <v>3</v>
      </c>
      <c r="F8566">
        <f>HYPERLINK("https://www.reddit.com/r/GERD/comments/hhd0zn/3_days_straight_of_dull_burning_in_my_stomach_help/")</f>
        <v/>
      </c>
      <c r="G8566" t="inlineStr">
        <is>
          <t>2020-06-28 04:43:21</t>
        </is>
      </c>
      <c r="H8566" t="inlineStr"/>
    </row>
    <row r="8567">
      <c r="A8567" t="inlineStr">
        <is>
          <t>hhfrfx</t>
        </is>
      </c>
      <c r="B8567" t="inlineStr">
        <is>
          <t>Unrelenting Belching, please help me.</t>
        </is>
      </c>
      <c r="C8567" t="inlineStr">
        <is>
          <t>I'm struggling guys, I need some ideas on treatment.
I'm 24 years old. Every day, 24/7, Burps that just feel like a jet engine's air stream coming out of my mouth, over and over again. I don't know where all of this air comes from but its so uncomfortable. I can't work out anymore because it interrupts it. I've had GERD for 5-7 years now and its been manageable with PPI's but lately (this entire past month), its been worse. I've started a new job and moved to a new city so I am wondering if I'm more stressed than usual, though I feel completely stress-free aside from my stomach problems.
Eating sometimes helps it, and sometimes makes it worse. Heartburn medicine makes it not burn but also seems to make me burp more. I get weird specific spots of pressure too, primarily in my stomach area and also my lower left abdomen. 
Last year during a bout of IBS I went for a bunch of testing including bloodwork, barium CT scan, and endoscopy/colonoscopy, all leading to just an IBS diagnosis. I've also had my appendix removed a couple years ago. 
I've tried: Low FODMAP diet, PPI's, Histamine blockers, simethicone, probiotics. I can't pinpoint what foods trigger it, it seems completely random. 
Like I said, the heartburn is treatable but it seems that the gas never goes away. 
Does anyone have any tips?</t>
        </is>
      </c>
      <c r="D8567" t="n">
        <v>1</v>
      </c>
      <c r="E8567" t="n">
        <v>2</v>
      </c>
      <c r="F8567">
        <f>HYPERLINK("https://www.reddit.com/r/GERD/comments/hhfrfx/unrelenting_belching_please_help_me/")</f>
        <v/>
      </c>
      <c r="G8567" t="inlineStr">
        <is>
          <t>2020-06-28 07:56:34</t>
        </is>
      </c>
      <c r="H8567" t="inlineStr"/>
    </row>
    <row r="8568">
      <c r="A8568" t="inlineStr">
        <is>
          <t>hhfrq1</t>
        </is>
      </c>
      <c r="B8568" t="inlineStr">
        <is>
          <t>Changes in smell</t>
        </is>
      </c>
      <c r="C8568" t="inlineStr">
        <is>
          <t>I was recently put on 40mg omeprazole twice a day. I noticed my sense of smell is completely changed now. I’m extremely sensitive to certain smells. Has anyone experienced this? Does it ever come back to normal? Any idea what causes this?
I’m on a strict LPR diet plus the meds for 3 months. I’m almost done with month one. 
Praying every day this cures me.</t>
        </is>
      </c>
      <c r="D8568" t="n">
        <v>1</v>
      </c>
      <c r="E8568" t="n">
        <v>0</v>
      </c>
      <c r="F8568">
        <f>HYPERLINK("https://www.reddit.com/r/GERD/comments/hhfrq1/changes_in_smell/")</f>
        <v/>
      </c>
      <c r="G8568" t="inlineStr">
        <is>
          <t>2020-06-28 07:57:03</t>
        </is>
      </c>
      <c r="H8568" t="inlineStr"/>
    </row>
    <row r="8569">
      <c r="A8569" t="inlineStr">
        <is>
          <t>hhgdh1</t>
        </is>
      </c>
      <c r="B8569" t="inlineStr">
        <is>
          <t>Going to bed hungry</t>
        </is>
      </c>
      <c r="C8569" t="inlineStr">
        <is>
          <t>Does going to bed hungry cause acid reflux in the morning? Because even when I eat late at night, I still get acid reflux in the mornings. 
Feel like I can’t win unless I take antacids or PPI.</t>
        </is>
      </c>
      <c r="D8569" t="n">
        <v>1</v>
      </c>
      <c r="E8569" t="n">
        <v>2</v>
      </c>
      <c r="F8569">
        <f>HYPERLINK("https://www.reddit.com/r/GERD/comments/hhgdh1/going_to_bed_hungry/")</f>
        <v/>
      </c>
      <c r="G8569" t="inlineStr">
        <is>
          <t>2020-06-28 08:32:09</t>
        </is>
      </c>
      <c r="H8569" t="inlineStr"/>
    </row>
    <row r="8570">
      <c r="A8570" t="inlineStr">
        <is>
          <t>hhgdy9</t>
        </is>
      </c>
      <c r="B8570" t="inlineStr">
        <is>
          <t>Anyone just have thick mucus?</t>
        </is>
      </c>
      <c r="C8570" t="inlineStr">
        <is>
          <t>Hi everyone,
I’ve basically only had thick mucus for about 4 months now. Started as a sore throat but quickly moved to just constant mucus in the back of my throat.  No other symptoms at all.
I’ve been on nexium for 10 weeks and have been taking gaviscon advance for 2 weeks to no avail.
Anyone else having/had a similar experience?</t>
        </is>
      </c>
      <c r="D8570" t="n">
        <v>1</v>
      </c>
      <c r="E8570" t="n">
        <v>32</v>
      </c>
      <c r="F8570">
        <f>HYPERLINK("https://www.reddit.com/r/GERD/comments/hhgdy9/anyone_just_have_thick_mucus/")</f>
        <v/>
      </c>
      <c r="G8570" t="inlineStr">
        <is>
          <t>2020-06-28 08:32:52</t>
        </is>
      </c>
      <c r="H8570" t="inlineStr"/>
    </row>
    <row r="8571">
      <c r="A8571" t="inlineStr">
        <is>
          <t>hhh6kz</t>
        </is>
      </c>
      <c r="B8571" t="inlineStr">
        <is>
          <t>I'mTrying</t>
        </is>
      </c>
      <c r="C8571" t="inlineStr">
        <is>
          <t>So, have had GERD since my last pregnancy 27 years ago.
I've been on different meds and tried different diets.  Some diets have worked but were unsustainable like the 30 Day Green Smoothie Cleanse.
Last year my salivary glands grew painfully huge.  Drs had no idea what was happening.
This year half my larynx became paralyzed.  Still no diagnosis.
Two weeks ago I asked my dr for some meds.  These seem to be working.  My glands have gotten smaller tho still painful. My sinuses are clearing up as is my skin.  My nights are much better.
I'm still coughing alot so I'm going to try a bland diet.
There go the tomatoes, garlic and beans I love.  The high fibre bread and berries.
We now have white bread, kefir and yogurt.  Trying ACV as well.
I am excited tho.  Crossing my fingers.</t>
        </is>
      </c>
      <c r="D8571" t="n">
        <v>3</v>
      </c>
      <c r="E8571" t="n">
        <v>10</v>
      </c>
      <c r="F8571">
        <f>HYPERLINK("https://www.reddit.com/r/GERD/comments/hhh6kz/imtrying/")</f>
        <v/>
      </c>
      <c r="G8571" t="inlineStr">
        <is>
          <t>2020-06-28 09:18:47</t>
        </is>
      </c>
      <c r="H8571" t="inlineStr"/>
    </row>
    <row r="8572">
      <c r="A8572" t="inlineStr">
        <is>
          <t>hhi2a8</t>
        </is>
      </c>
      <c r="B8572" t="inlineStr">
        <is>
          <t>Anyone ever had their esophagus stretched?</t>
        </is>
      </c>
      <c r="C8572" t="inlineStr">
        <is>
          <t>I go see my GI Specialist next Thursday. I have multiple issues with my GI tract, from literally my mouth to my, yeah. Well one big thing that happens every so often is I have difficulty swallowing. Just now, I was trying to eat pizza and it’s literally like I can’t swallow, so I have to spit my food out. It’s fucking disgusting. I’ve gotten to where I don’t eat in public because I’m constantly having to spit out food. I count my chews, take small bites, lather it in sauce, no luck. I’m thinking he will bring up stretching my esophagus, I was wondering if anyone here has experienced this and how did it go?? I’m pretty nervous about it lol.</t>
        </is>
      </c>
      <c r="D8572" t="n">
        <v>1</v>
      </c>
      <c r="E8572" t="n">
        <v>7</v>
      </c>
      <c r="F8572">
        <f>HYPERLINK("https://www.reddit.com/r/GERD/comments/hhi2a8/anyone_ever_had_their_esophagus_stretched/")</f>
        <v/>
      </c>
      <c r="G8572" t="inlineStr">
        <is>
          <t>2020-06-28 10:07:59</t>
        </is>
      </c>
      <c r="H8572" t="inlineStr"/>
    </row>
    <row r="8573">
      <c r="A8573" t="inlineStr">
        <is>
          <t>hhif1j</t>
        </is>
      </c>
      <c r="B8573" t="inlineStr">
        <is>
          <t>PPIs not helping regurgitation? What's going on?</t>
        </is>
      </c>
      <c r="C8573" t="inlineStr">
        <is>
          <t>After every meal, I still find myself burping and belching up food and acid that tastes like what I ate, up to like 3 hours later. I have faithfully been taking PPIs and carafate for months, and following the diet relatively well, but it hasn't helped too much. I'm still regurgitating, still short of breath, still have sinusitis. I had an EGD done, and they said it looked ok besides some mild redness in the stomach itself, still waiting on biopsy results back before he gives me a manometry and ph test. 
I'm just wondering why those two meds aren't stopping my regurgitation.</t>
        </is>
      </c>
      <c r="D8573" t="n">
        <v>3</v>
      </c>
      <c r="E8573" t="n">
        <v>9</v>
      </c>
      <c r="F8573">
        <f>HYPERLINK("https://www.reddit.com/r/GERD/comments/hhif1j/ppis_not_helping_regurgitation_whats_going_on/")</f>
        <v/>
      </c>
      <c r="G8573" t="inlineStr">
        <is>
          <t>2020-06-28 10:26:55</t>
        </is>
      </c>
      <c r="H8573" t="inlineStr"/>
    </row>
    <row r="8574">
      <c r="A8574" t="inlineStr">
        <is>
          <t>hhim2r</t>
        </is>
      </c>
      <c r="B8574" t="inlineStr">
        <is>
          <t>PPI and Alcohol - What's the consensus?</t>
        </is>
      </c>
      <c r="C8574" t="inlineStr">
        <is>
          <t>Any alcoholics here taking PPIs?</t>
        </is>
      </c>
      <c r="D8574" t="n">
        <v>3</v>
      </c>
      <c r="E8574" t="n">
        <v>8</v>
      </c>
      <c r="F8574">
        <f>HYPERLINK("https://www.reddit.com/r/GERD/comments/hhim2r/ppi_and_alcohol_whats_the_consensus/")</f>
        <v/>
      </c>
      <c r="G8574" t="inlineStr">
        <is>
          <t>2020-06-28 10:37:27</t>
        </is>
      </c>
      <c r="H8574" t="inlineStr"/>
    </row>
    <row r="8575">
      <c r="A8575" t="inlineStr">
        <is>
          <t>hhio4n</t>
        </is>
      </c>
      <c r="B8575" t="inlineStr">
        <is>
          <t>rib cage pain?</t>
        </is>
      </c>
      <c r="C8575" t="inlineStr">
        <is>
          <t>over the last few months its been getting worst. my ribs hurt or if i burp i get serious back pain. does anyone else get this?</t>
        </is>
      </c>
      <c r="D8575" t="n">
        <v>1</v>
      </c>
      <c r="E8575" t="n">
        <v>4</v>
      </c>
      <c r="F8575">
        <f>HYPERLINK("https://www.reddit.com/r/GERD/comments/hhio4n/rib_cage_pain/")</f>
        <v/>
      </c>
      <c r="G8575" t="inlineStr">
        <is>
          <t>2020-06-28 10:40:34</t>
        </is>
      </c>
      <c r="H8575" t="inlineStr"/>
    </row>
    <row r="8576">
      <c r="A8576" t="inlineStr">
        <is>
          <t>hhjx7d</t>
        </is>
      </c>
      <c r="B8576" t="inlineStr">
        <is>
          <t>Anyone start coughing badly when they laugh hard.</t>
        </is>
      </c>
      <c r="C8576" t="inlineStr">
        <is>
          <t>I like to have a fun time and my boyfriend always makes me laugh so hard. But then I get in a coughing fit and I think it’s a matter of the right situation until  it will be so bad that it will make me puke. It hasn’t happened yet but I came close to it a couple times.
Anyone else?</t>
        </is>
      </c>
      <c r="D8576" t="n">
        <v>1</v>
      </c>
      <c r="E8576" t="n">
        <v>2</v>
      </c>
      <c r="F8576">
        <f>HYPERLINK("https://www.reddit.com/r/GERD/comments/hhjx7d/anyone_start_coughing_badly_when_they_laugh_hard/")</f>
        <v/>
      </c>
      <c r="G8576" t="inlineStr">
        <is>
          <t>2020-06-28 11:48:21</t>
        </is>
      </c>
      <c r="H8576" t="inlineStr"/>
    </row>
    <row r="8577">
      <c r="A8577" t="inlineStr">
        <is>
          <t>hhjz48</t>
        </is>
      </c>
      <c r="B8577" t="inlineStr">
        <is>
          <t>I don't want to have to take medications long-term</t>
        </is>
      </c>
      <c r="C8577" t="inlineStr">
        <is>
          <t>Hi everyone, I (20F) started experiencing acid reflux symptoms around 4 months ago. I was on 20 mg omeprazole once daily for 30 days but it didn't work. Then my doctor prescribed me Mylanta liquid form, and it has helped a bit but I still experience symptoms every day, some days worse than others. I am vegan so I eat pretty clean, and I have been avoiding eating 3-4 hours before going to bed. I will be getting an endoscopy in the coming weeks, but I'm scared that my GI doctor will tell me to take PPIs or some other medication long-term. I have heard about the negative effects of taking it for the long run and I would really like to avoid that because I'm only 20. Does anyone here have any advice?
Are there any natural remedies that have worked for people? I heard that drinking aloe vera, eating ginger, etc. may be possible solutions.</t>
        </is>
      </c>
      <c r="D8577" t="n">
        <v>1</v>
      </c>
      <c r="E8577" t="n">
        <v>6</v>
      </c>
      <c r="F8577">
        <f>HYPERLINK("https://www.reddit.com/r/GERD/comments/hhjz48/i_dont_want_to_have_to_take_medications_longterm/")</f>
        <v/>
      </c>
      <c r="G8577" t="inlineStr">
        <is>
          <t>2020-06-28 11:51:15</t>
        </is>
      </c>
      <c r="H8577" t="inlineStr"/>
    </row>
    <row r="8578">
      <c r="A8578" t="inlineStr">
        <is>
          <t>hhknju</t>
        </is>
      </c>
      <c r="B8578" t="inlineStr">
        <is>
          <t>Hey Kind People Of /r/Gerd. I think my shortness of breath could be caused by GERD and I wanted your opinion!</t>
        </is>
      </c>
      <c r="C8578" t="inlineStr">
        <is>
          <t>**Backstory:**
For years I've suffered with unknown Fatigue, no idea what is is, maybe unrelated.
Back in October, I eat a Large Pizza to myself, I felt absolutely stuffed, apart from this time the bloating didn't stop, and I had extreme bloating and then back pain and discomfort, it turns out I had got Gastritis (potentially)
Anyway, Gastritis was horrendous, and I had many upper GI issues, constant Nausea and Burning Pains and also Acid Reflux.
Most of my Upper GI problems went after a month or two, but from this experience I developed IBS-C, I also still got some of my Upper GI issues and one of them was sadly GERD which I now suffer from quite commonly though for me its usually rather mild.
Its worth noting during my Gastritis I was on Omeprazole for sometime, but I decided to come off as they were causing more problems then they were solving. Also I've had a colonoscopy and nothing bad was found.
**Current Issues:**
So back in March as Coronavirus was kicking off, I had a large pizza (again) and a few days later, I got bloating and then an odd symptom, tightness of breath / shortness of breath. I don't physically remember having Acid Reflux around this time, but to be honest it probably happened when I was asleep.
I presumed due to the Coronavirus issue, that maybe I had that! It went away after about a week.
Then guess what, I had a large pizza again on Wednesday.. and had bloating issues a day or two after like before and then shortness of breath came back again! I'm currently struggling with it now.
My Sp02 is normal, and it feels like there is a discomfort at the bottom of my throat like the start of a sore throat, but its not really developing, if I breathe in there is a heaviness to my breath, I suffer with Asthma and it feels like bad asthma. Taking my inhaler does offer some short term relief but doesn't do much.
I think I'm starting to realize that these pizzas are a trigger, I'm potentially thinking cheese is an issue for me, its causing the bloating and then causing ACID reflux potentially when sleeping, this is causing inflammation in the throat or lungs which is causing this sensation.
Also, I have a pain behind my middle chest bone, if I push on it I can feel the pain, but apart from that its just a mild ache.
Could I be correct? Whats your views?</t>
        </is>
      </c>
      <c r="D8578" t="n">
        <v>2</v>
      </c>
      <c r="E8578" t="n">
        <v>19</v>
      </c>
      <c r="F8578">
        <f>HYPERLINK("https://www.reddit.com/r/GERD/comments/hhknju/hey_kind_people_of_rgerd_i_think_my_shortness_of/")</f>
        <v/>
      </c>
      <c r="G8578" t="inlineStr">
        <is>
          <t>2020-06-28 12:26:59</t>
        </is>
      </c>
      <c r="H8578" t="inlineStr"/>
    </row>
    <row r="8579">
      <c r="A8579" t="inlineStr">
        <is>
          <t>hhl4by</t>
        </is>
      </c>
      <c r="B8579" t="inlineStr">
        <is>
          <t>SIBO Testing</t>
        </is>
      </c>
      <c r="C8579" t="inlineStr">
        <is>
          <t>After reading some of y'alls posts I looked into SIBO and wonder if that could be a cause of my acid reflux. Thus far I have changed my diet/habits considerably with some improvement here and there, and have an endoscopy scheduled in a couple weeks. I'm concerned I have it because before these more recent reflux issues, I had diarrhea and stomach discomfort/indigestion on and off for months. This subsided for the most part but I think it was the result of sort of bombing my system with ciprofloxacine while I was doing field work in Madagascar-- I kept getting some kind of bug. I read that heavy antibiotic use can understandably cause imbalances in gut bacteria and lead to SIBO.
My first question is, is SIBO something that like, a holistic doctor is more likely to treat? As a scientist I've always been kinda skeptical of holistic medicine but, given my current experience where I mentioned the diarrhea and all these other symptoms that I realize now may be consistent with SIBO without a doctor even mentioning that possibility is a little frustrating. My treatment thus far has felt more along the lines of throwing drugs at the problem, akin to throwing shit against the wall to see what sticks. I'd really just rather that my treatment involves, I don't know, the scientific method to figure things out? Especially when an alternative cause of GERD could cause my reflux to become worse with use of the PPIs I was given? Sorry for the rant. 
Other questions: for those of you that have been diagnosed with SIBO, how did you go about this? Did you get this test from a gastroenterologist or your primary care physician? Did insurance cover it? How was it treated and was it effective? Have probiotics helped? Thanks ahead for any advice.</t>
        </is>
      </c>
      <c r="D8579" t="n">
        <v>1</v>
      </c>
      <c r="E8579" t="n">
        <v>0</v>
      </c>
      <c r="F8579">
        <f>HYPERLINK("https://www.reddit.com/r/GERD/comments/hhl4by/sibo_testing/")</f>
        <v/>
      </c>
      <c r="G8579" t="inlineStr">
        <is>
          <t>2020-06-28 12:52:26</t>
        </is>
      </c>
      <c r="H8579" t="inlineStr"/>
    </row>
    <row r="8580">
      <c r="A8580" t="inlineStr">
        <is>
          <t>hhlklx</t>
        </is>
      </c>
      <c r="B8580" t="inlineStr">
        <is>
          <t>This might help you with your gerd</t>
        </is>
      </c>
      <c r="C8580" t="inlineStr">
        <is>
          <t>Idk if it’s okay to post links here, but it’s nothing but cabbage juice, just without actually making the cabbage juice, I would never ever take time out of my day to make messy cabbage juice &amp;amp; it also stinks up your house for an entire day. Saw these juice pouches on amazon, it’s supposed to be 100% cabbage juice with no additives, the taste is gassly &amp;amp; I probably couldn’t drink it without downing it really quickly while holding my nose &amp;amp; breath. I’ve been drinking it for a few days, I’ve had significant less regurgitation &amp;amp; LPR overall. It isn’t enough for me to say since it’s been only 3 days but just thought I’d try to help in some way. 
If you can find another brand that’s on you, but this is the best option I found so far. 
The main reason Im drinking this is to attempt to heal my stomach, not sure if it needs healing but might as well try, I had endoscopes with biopsies that we’re all clean, but still my LPR never went away.</t>
        </is>
      </c>
      <c r="D8580" t="n">
        <v>0</v>
      </c>
      <c r="E8580" t="n">
        <v>1</v>
      </c>
      <c r="F8580">
        <f>HYPERLINK("https://www.reddit.com/r/GERD/comments/hhlklx/this_might_help_you_with_your_gerd/")</f>
        <v/>
      </c>
      <c r="G8580" t="inlineStr">
        <is>
          <t>2020-06-28 13:17:11</t>
        </is>
      </c>
      <c r="H8580" t="inlineStr"/>
    </row>
    <row r="8581">
      <c r="A8581" t="inlineStr">
        <is>
          <t>hhmcex</t>
        </is>
      </c>
      <c r="B8581" t="inlineStr">
        <is>
          <t>Best unsalted crackers for acid reflux preferably organic/gluten and wheat free</t>
        </is>
      </c>
      <c r="C8581" t="inlineStr">
        <is>
          <t>Best unsalted crackers for acid reflux preferably organic/gluten and wheat free</t>
        </is>
      </c>
      <c r="D8581" t="n">
        <v>2</v>
      </c>
      <c r="E8581" t="n">
        <v>0</v>
      </c>
      <c r="F8581">
        <f>HYPERLINK("https://www.reddit.com/r/GERD/comments/hhmcex/best_unsalted_crackers_for_acid_reflux_preferably/")</f>
        <v/>
      </c>
      <c r="G8581" t="inlineStr">
        <is>
          <t>2020-06-28 14:00:36</t>
        </is>
      </c>
      <c r="H8581" t="inlineStr"/>
    </row>
    <row r="8582">
      <c r="A8582" t="inlineStr">
        <is>
          <t>hhnmov</t>
        </is>
      </c>
      <c r="B8582" t="inlineStr">
        <is>
          <t>Bad smell in nose caused by reflux?</t>
        </is>
      </c>
      <c r="C8582" t="inlineStr">
        <is>
          <t>The other day I noticed a weird smell in my nose. It smells like ammonia or something and is only in one nostril. I have LPR and my symptoms have been worse than usual lately (very sore throat, coughing/choking on acid, hoarse voice, etc.). Is this something that can be caused by reflux?</t>
        </is>
      </c>
      <c r="D8582" t="n">
        <v>6</v>
      </c>
      <c r="E8582" t="n">
        <v>3</v>
      </c>
      <c r="F8582">
        <f>HYPERLINK("https://www.reddit.com/r/GERD/comments/hhnmov/bad_smell_in_nose_caused_by_reflux/")</f>
        <v/>
      </c>
      <c r="G8582" t="inlineStr">
        <is>
          <t>2020-06-28 15:13:50</t>
        </is>
      </c>
      <c r="H8582" t="inlineStr"/>
    </row>
    <row r="8583">
      <c r="A8583" t="inlineStr">
        <is>
          <t>hho1qb</t>
        </is>
      </c>
      <c r="B8583" t="inlineStr">
        <is>
          <t>What test diagnoses a weak LES specifically?</t>
        </is>
      </c>
      <c r="C8583" t="inlineStr">
        <is>
          <t>Is there a test they can take to see exactly how strong my LES is?</t>
        </is>
      </c>
      <c r="D8583" t="n">
        <v>3</v>
      </c>
      <c r="E8583" t="n">
        <v>9</v>
      </c>
      <c r="F8583">
        <f>HYPERLINK("https://www.reddit.com/r/GERD/comments/hho1qb/what_test_diagnoses_a_weak_les_specifically/")</f>
        <v/>
      </c>
      <c r="G8583" t="inlineStr">
        <is>
          <t>2020-06-28 15:38:25</t>
        </is>
      </c>
      <c r="H8583" t="inlineStr"/>
    </row>
    <row r="8584">
      <c r="A8584" t="inlineStr">
        <is>
          <t>hhph61</t>
        </is>
      </c>
      <c r="B8584" t="inlineStr">
        <is>
          <t>Does anybody else feel like they have a twisted hose inside?</t>
        </is>
      </c>
      <c r="C8584" t="inlineStr">
        <is>
          <t>Does that make sense to anyone?
I have severe anxiety and with the anxiety, even thought I’m a bit better, I still have intense acid reflux. I went to a GI specialist to make sure I don’t have anything more serious and he prescribed me omeprazole.
My heartburn has subsided, but lately I’ve been feeling a lot of pressure on my diaphragm. I feel like my esophagus is a twister hose and it’s somewhat painful. Does anyone else have this feeling?</t>
        </is>
      </c>
      <c r="D8584" t="n">
        <v>3</v>
      </c>
      <c r="E8584" t="n">
        <v>3</v>
      </c>
      <c r="F8584">
        <f>HYPERLINK("https://www.reddit.com/r/GERD/comments/hhph61/does_anybody_else_feel_like_they_have_a_twisted/")</f>
        <v/>
      </c>
      <c r="G8584" t="inlineStr">
        <is>
          <t>2020-06-28 17:07:49</t>
        </is>
      </c>
      <c r="H8584" t="inlineStr"/>
    </row>
    <row r="8585">
      <c r="A8585" t="inlineStr">
        <is>
          <t>hhq5h2</t>
        </is>
      </c>
      <c r="B8585" t="inlineStr">
        <is>
          <t>Taking pylera</t>
        </is>
      </c>
      <c r="C8585" t="inlineStr">
        <is>
          <t>Im on the 7th day using pylera and i cant take it anymore , its so fucking hard to keep taking this shit and somedays i just think about letting go and just live with this virus without living in hell for the rest of the treatment.  Has anyone took it before and had the same experience ??</t>
        </is>
      </c>
      <c r="D8585" t="n">
        <v>1</v>
      </c>
      <c r="E8585" t="n">
        <v>4</v>
      </c>
      <c r="F8585">
        <f>HYPERLINK("https://www.reddit.com/r/GERD/comments/hhq5h2/taking_pylera/")</f>
        <v/>
      </c>
      <c r="G8585" t="inlineStr">
        <is>
          <t>2020-06-28 17:50:50</t>
        </is>
      </c>
      <c r="H8585" t="inlineStr"/>
    </row>
    <row r="8586">
      <c r="A8586" t="inlineStr">
        <is>
          <t>hhs6sp</t>
        </is>
      </c>
      <c r="B8586" t="inlineStr">
        <is>
          <t>Any solution/treatment for excess saliva?</t>
        </is>
      </c>
      <c r="C8586" t="inlineStr">
        <is>
          <t>Has anyone had luck reducing excess saliva? It interferes with my ability to talk and I’ve starting drooling when I sleep. I have a dr appointment coming up and would like to talk about treatment options, if there are any.</t>
        </is>
      </c>
      <c r="D8586" t="n">
        <v>2</v>
      </c>
      <c r="E8586" t="n">
        <v>0</v>
      </c>
      <c r="F8586">
        <f>HYPERLINK("https://www.reddit.com/r/GERD/comments/hhs6sp/any_solutiontreatment_for_excess_saliva/")</f>
        <v/>
      </c>
      <c r="G8586" t="inlineStr">
        <is>
          <t>2020-06-28 20:08:34</t>
        </is>
      </c>
      <c r="H8586" t="inlineStr"/>
    </row>
    <row r="8587">
      <c r="A8587" t="inlineStr">
        <is>
          <t>hhs88g</t>
        </is>
      </c>
      <c r="B8587" t="inlineStr">
        <is>
          <t>Is it possible to have h pylori with no stomach pain?</t>
        </is>
      </c>
      <c r="C8587" t="inlineStr">
        <is>
          <t>I’m trying sooooo hard to find the root of my LPR. I wonder if it’s possible that I’ve permanently fucked up my esophagus from smoking weed (which I quit months ago). But still, I have not found the source of my problems. 
I’m a 26 year old male, definitely not overweight. I’ve always eaten pretty healthy, except for smashing tons of food then laying horizontal on the couch (which I don’t do anymore). 
I feel like I’m hyper analyzing everything that my body experiences, down to a super limited acid friendly diet. But some reading got me wondering about some of you guys who experience LPR and GERD from h pylori. And I know I don’t have stomach pain or pooping issues - but is it possible I could still have h pylori?</t>
        </is>
      </c>
      <c r="D8587" t="n">
        <v>2</v>
      </c>
      <c r="E8587" t="n">
        <v>1</v>
      </c>
      <c r="F8587">
        <f>HYPERLINK("https://www.reddit.com/r/GERD/comments/hhs88g/is_it_possible_to_have_h_pylori_with_no_stomach/")</f>
        <v/>
      </c>
      <c r="G8587" t="inlineStr">
        <is>
          <t>2020-06-28 20:11:22</t>
        </is>
      </c>
      <c r="H8587" t="inlineStr"/>
    </row>
    <row r="8588">
      <c r="A8588" t="inlineStr">
        <is>
          <t>hhsavs</t>
        </is>
      </c>
      <c r="B8588" t="inlineStr">
        <is>
          <t>constant bloating and fullness</t>
        </is>
      </c>
      <c r="C8588" t="inlineStr">
        <is>
          <t>hello! i’m 22 and have been dealing with what i think is gerd for around 4 months now, and along with thick mucus, i’ve developed the fun new symptom of being so uncomfortably bloated all the time. i haven’t been to the doctor yet, and i’m considering going soon, but i’m wondering if any of you have gotten your bloating under control? have ppi’s or h2 blockers helped your bloating? i’m scared to go to the doctor for fear ppi’s will make it worse, as that’s what i often here, but i don’t hear much about h2 blockers, so i’m curious.</t>
        </is>
      </c>
      <c r="D8588" t="n">
        <v>1</v>
      </c>
      <c r="E8588" t="n">
        <v>6</v>
      </c>
      <c r="F8588">
        <f>HYPERLINK("https://www.reddit.com/r/GERD/comments/hhsavs/constant_bloating_and_fullness/")</f>
        <v/>
      </c>
      <c r="G8588" t="inlineStr">
        <is>
          <t>2020-06-28 20:16:27</t>
        </is>
      </c>
      <c r="H8588" t="inlineStr"/>
    </row>
    <row r="8589">
      <c r="A8589" t="inlineStr">
        <is>
          <t>hhsm1v</t>
        </is>
      </c>
      <c r="B8589" t="inlineStr">
        <is>
          <t>Gas under ribcage</t>
        </is>
      </c>
      <c r="C8589" t="inlineStr">
        <is>
          <t>This is weird but I feel like there is air under my left rib especially when I push under my left rib cage I hear some sound like trapped air or liquid has anyone had this?
I asked the doctor and he did not give me an answer</t>
        </is>
      </c>
      <c r="D8589" t="n">
        <v>1</v>
      </c>
      <c r="E8589" t="n">
        <v>3</v>
      </c>
      <c r="F8589">
        <f>HYPERLINK("https://www.reddit.com/r/GERD/comments/hhsm1v/gas_under_ribcage/")</f>
        <v/>
      </c>
      <c r="G8589" t="inlineStr">
        <is>
          <t>2020-06-28 20:38:29</t>
        </is>
      </c>
      <c r="H8589" t="inlineStr"/>
    </row>
    <row r="8590">
      <c r="A8590" t="inlineStr">
        <is>
          <t>hhtunc</t>
        </is>
      </c>
      <c r="B8590" t="inlineStr">
        <is>
          <t>it's not worth it!!!!</t>
        </is>
      </c>
      <c r="C8590" t="inlineStr">
        <is>
          <t>the chips weren't worth it. the beer wasn't worth it. the f*cling delicious bean dip wasn't worth it nor was the buffalo cauliflower dip 😭 my god, what was I thinking?! 
PSA - don't be me. if you're feeling better and think you can splurge, do it very very lightly and splurge with like, a sip of beer or one single chip. 
side note: just threw up. I haven't thrown up since being diagnosed a year ago. can throwing up worsen GERD? all that acid coming up my throat makes me nervous. but lord do I feel better now!
back to bland diet here I come!!</t>
        </is>
      </c>
      <c r="D8590" t="n">
        <v>1</v>
      </c>
      <c r="E8590" t="n">
        <v>27</v>
      </c>
      <c r="F8590">
        <f>HYPERLINK("https://www.reddit.com/r/GERD/comments/hhtunc/its_not_worth_it/")</f>
        <v/>
      </c>
      <c r="G8590" t="inlineStr">
        <is>
          <t>2020-06-28 22:12:04</t>
        </is>
      </c>
      <c r="H8590" t="inlineStr"/>
    </row>
    <row r="8591">
      <c r="A8591" t="inlineStr">
        <is>
          <t>hhwra3</t>
        </is>
      </c>
      <c r="B8591" t="inlineStr">
        <is>
          <t>Do I have Gerd or is it something worse?</t>
        </is>
      </c>
      <c r="C8591" t="inlineStr">
        <is>
          <t>15m it started a few months ago, I got really bad heartburn and it stopped for a few weeks and then I started to get the feeling of food stuck in my throat, and then It gets brung back up to high up in my throat, I also have constant burping, and always feel the need to burp and there’s always a feeling of food or something stuck in my throat.</t>
        </is>
      </c>
      <c r="D8591" t="n">
        <v>1</v>
      </c>
      <c r="E8591" t="n">
        <v>0</v>
      </c>
      <c r="F8591">
        <f>HYPERLINK("https://www.reddit.com/r/GERD/comments/hhwra3/do_i_have_gerd_or_is_it_something_worse/")</f>
        <v/>
      </c>
      <c r="G8591" t="inlineStr">
        <is>
          <t>2020-06-29 02:26:07</t>
        </is>
      </c>
      <c r="H8591" t="inlineStr"/>
    </row>
    <row r="8592">
      <c r="A8592" t="inlineStr">
        <is>
          <t>hhx207</t>
        </is>
      </c>
      <c r="B8592" t="inlineStr">
        <is>
          <t>Can Hiatal Hernia / Gerd symptoms go away</t>
        </is>
      </c>
      <c r="C8592" t="inlineStr">
        <is>
          <t>Hi everyone,
I won’t bore you all with the details but basically I have a small hiatal hernia, I’m 32 and experiencing acid in throat, nausea, extreme neck tightness, ear burning, dry mouth, burping, constipation and hiccups.
I vommitted start of April and been suffering since then. Recently got a GI scope which confirmed a small HH and stomach infmlamtion (no H Pylori)
I get some relief from 40mg of PPI per day. Also I get that my LES is damaged and that’s what’s causing a lot of the problem but my question is can the LES heal itself if I stay on an extended course of the PPIs? Do PPIs actually work in calming the underlying problem down?
I’m worried that I take these PPIs for another 2 weeks and at the end of the course I’m back to square one because of the hyperacidity from coming off the PPIs? 
I’m 32 and don’t fancy staying on these meds long term. 
Any feedback would be great!</t>
        </is>
      </c>
      <c r="D8592" t="n">
        <v>1</v>
      </c>
      <c r="E8592" t="n">
        <v>1</v>
      </c>
      <c r="F8592">
        <f>HYPERLINK("https://www.reddit.com/r/GERD/comments/hhx207/can_hiatal_hernia_gerd_symptoms_go_away/")</f>
        <v/>
      </c>
      <c r="G8592" t="inlineStr">
        <is>
          <t>2020-06-29 02:52:51</t>
        </is>
      </c>
      <c r="H8592" t="inlineStr"/>
    </row>
    <row r="8593">
      <c r="A8593" t="inlineStr">
        <is>
          <t>hhxmp9</t>
        </is>
      </c>
      <c r="B8593" t="inlineStr">
        <is>
          <t>Does eating eggs give you chest pain</t>
        </is>
      </c>
      <c r="C8593" t="inlineStr">
        <is>
          <t>Hi, yall I started to eggs on a daily basis as its a good source of nutrition I was wondering if you guys would get any negative effect when eating eggs. right now my heart feels tight/burning sensation the effects occur when I'm going to sleep even though  I would eat them around 4-5 pm and I sleep at 12 pm.</t>
        </is>
      </c>
      <c r="D8593" t="n">
        <v>1</v>
      </c>
      <c r="E8593" t="n">
        <v>2</v>
      </c>
      <c r="F8593">
        <f>HYPERLINK("https://www.reddit.com/r/GERD/comments/hhxmp9/does_eating_eggs_give_you_chest_pain/")</f>
        <v/>
      </c>
      <c r="G8593" t="inlineStr">
        <is>
          <t>2020-06-29 03:44:30</t>
        </is>
      </c>
      <c r="H8593" t="inlineStr"/>
    </row>
    <row r="8594">
      <c r="A8594" t="inlineStr">
        <is>
          <t>hhxvl4</t>
        </is>
      </c>
      <c r="B8594" t="inlineStr">
        <is>
          <t>Swollen lymph nodes and Tight feeling in neck and throat?</t>
        </is>
      </c>
      <c r="C8594" t="inlineStr">
        <is>
          <t>Hello All! Does anyone else suffer at all with these symptoms?</t>
        </is>
      </c>
      <c r="D8594" t="n">
        <v>1</v>
      </c>
      <c r="E8594" t="n">
        <v>6</v>
      </c>
      <c r="F8594">
        <f>HYPERLINK("https://www.reddit.com/r/GERD/comments/hhxvl4/swollen_lymph_nodes_and_tight_feeling_in_neck_and/")</f>
        <v/>
      </c>
      <c r="G8594" t="inlineStr">
        <is>
          <t>2020-06-29 04:05:30</t>
        </is>
      </c>
      <c r="H8594" t="inlineStr"/>
    </row>
    <row r="8595">
      <c r="A8595" t="inlineStr">
        <is>
          <t>hhylq1</t>
        </is>
      </c>
      <c r="B8595" t="inlineStr">
        <is>
          <t>H Pylori research articles from 2020</t>
        </is>
      </c>
      <c r="C8595" t="inlineStr">
        <is>
          <t>I’ve had H pylori for five years and been thru many treatments. So I’m wondering if anyone here has seen any new articles especially those stressing susceptibility testing? 
Again, h pylori susceptibility testing articles from verified medical sources such as Pubmed.
Thanks</t>
        </is>
      </c>
      <c r="D8595" t="n">
        <v>1</v>
      </c>
      <c r="E8595" t="n">
        <v>8</v>
      </c>
      <c r="F8595">
        <f>HYPERLINK("https://www.reddit.com/r/GERD/comments/hhylq1/h_pylori_research_articles_from_2020/")</f>
        <v/>
      </c>
      <c r="G8595" t="inlineStr">
        <is>
          <t>2020-06-29 05:03:06</t>
        </is>
      </c>
      <c r="H8595" t="inlineStr"/>
    </row>
    <row r="8596">
      <c r="A8596" t="inlineStr">
        <is>
          <t>hi01rd</t>
        </is>
      </c>
      <c r="B8596" t="inlineStr">
        <is>
          <t>I think I have it please help me , I don't know what to do</t>
        </is>
      </c>
      <c r="C8596" t="inlineStr">
        <is>
          <t>This is a long post
I am 25 years old, during my teenage years I used to have an upset stomach whenever I get stressed or eat some food that I haven't tried before, it was very sensitive. I do not know what miracle happened but I got cured. I wrote it down in case this affects my current condition.
Then last March it all started as a heartburn. I cant sleep. I bought some over the counter antacids with no avail so I went to a doctor. He did an endoscopy and found acute gastritis and slight gastric ulcer. He gave medicines, I was okay for a time but here we go again. Last week I went to another doctor and only gave me some antacid and a pro kinetic agent. It relieves me for a few hours but the dull ache comes back. 
What I usually feel is a dull ache, specifically on my left side of the upper abdominal area where the organ is but sometimes there are slight pricking pains. Also I experience recurrent dull ache on the right side area  and sometimes there's a pricking pain there. I also here gurgling noises on the left side area which freaks me out. Sometimes I also feel some pulsating movement which will leave a dull/sometimes burning ache afterwards. 
Then I burp a lot and fart a lot. I even hear whenever trapped gas circulates usually in the lower abdominal area. I usually feel a trapped gas in the lower right side next to the hip bone. It freaks me out when it can't get out. Is this part of this illness or this is a whole other thing? When will I know that it is very excessive even for a person that has gerd ?
Then whenever the acid comes up, it is the worst. While it is good to practice a good posture, a simple bend brings the acid up and my throat is usually on fire. I have to take an antacid to be able to sleep. I do not want to depend on antacid to have comfort on sleeping so please give a better and organic alternative.
I am about to finish the prescribed meds but I don't see any changes. 
**Questions**
What is the most important food I need to include in my diet?  I am drinking hot ginger ale every now and then. I have yogurt and probiotics (yakult) but whenever my stools get hard it is hard to pass gas. 
What tests/diagnostics did you guys undergo when you were diagnosed with gerd?
Based on my symptoms, do I have it? How worse are my symptoms?
Today I got excited and ate a bigger portion than i usually do, I experienced shortness of breath, dizziness, tingling sensations on the tips of my fingers and toes, i felt light headed and it seemed that my knees and elbows felt weak. Is that still gerd? should i consult my doctor for other illness? 
I rarely experience a day without the dull ache in my stomach even under meds, will this be constant if a person has gerd? 
I am hoping for your advises, Thank you in advance</t>
        </is>
      </c>
      <c r="D8596" t="n">
        <v>1</v>
      </c>
      <c r="E8596" t="n">
        <v>2</v>
      </c>
      <c r="F8596">
        <f>HYPERLINK("https://www.reddit.com/r/GERD/comments/hi01rd/i_think_i_have_it_please_help_me_i_dont_know_what/")</f>
        <v/>
      </c>
      <c r="G8596" t="inlineStr">
        <is>
          <t>2020-06-29 06:41:29</t>
        </is>
      </c>
      <c r="H8596" t="inlineStr"/>
    </row>
    <row r="8597">
      <c r="A8597" t="inlineStr">
        <is>
          <t>hi05ip</t>
        </is>
      </c>
      <c r="B8597" t="inlineStr">
        <is>
          <t>Why aren't surgeries for severe GERD more common?</t>
        </is>
      </c>
      <c r="C8597" t="inlineStr">
        <is>
          <t>I have read about so many people taking PPIs or other unhealthy meds for years, changing their lifestyle dramatically and still suffering from reflux. Which all combined makes them very dissatisfied with life.  
I have seen reports that modern surgeries for reflux are really effective and well-established, and the recovery is supposedly fast. They seem to be pretty much the only permament "physical" fix, that allows you to live your life to the fullest after you recover. 
Therefore, why so many people suffer years and years without going through one? Is it because of the cost, the fear or the possible complications? 
Maybe I am too young to understand something, I'm 21 and have had symptoms of GERD for about 2 weeks now. Although it is a bit scary, I still feel like I would rather just go through that surgery than have to sufffer like that for the rest of my life, if it doesn't go away somehow.</t>
        </is>
      </c>
      <c r="D8597" t="n">
        <v>1</v>
      </c>
      <c r="E8597" t="n">
        <v>39</v>
      </c>
      <c r="F8597">
        <f>HYPERLINK("https://www.reddit.com/r/GERD/comments/hi05ip/why_arent_surgeries_for_severe_gerd_more_common/")</f>
        <v/>
      </c>
      <c r="G8597" t="inlineStr">
        <is>
          <t>2020-06-29 06:47:55</t>
        </is>
      </c>
      <c r="H8597" t="inlineStr"/>
    </row>
    <row r="8598">
      <c r="A8598" t="inlineStr">
        <is>
          <t>hi0gnw</t>
        </is>
      </c>
      <c r="B8598" t="inlineStr">
        <is>
          <t>MAJOR taste and smell changes</t>
        </is>
      </c>
      <c r="C8598" t="inlineStr">
        <is>
          <t>I currently have a sudden onset of taste and smell changes. Everything smells extremely intense (and bad). Also, my sense of taste has also been majorly impacted. Even bland meals like oatmeal taste terrible. I tried eating a banana and it made me gag. I’m terrified about what might be going on. 
Only change I made was increasing my dosage of omeprazole to 40mg in am and 40mg in pm. I have also been religious with my LPR diet. 
Could this be something else? Has anyone experienced this?!</t>
        </is>
      </c>
      <c r="D8598" t="n">
        <v>1</v>
      </c>
      <c r="E8598" t="n">
        <v>11</v>
      </c>
      <c r="F8598">
        <f>HYPERLINK("https://www.reddit.com/r/GERD/comments/hi0gnw/major_taste_and_smell_changes/")</f>
        <v/>
      </c>
      <c r="G8598" t="inlineStr">
        <is>
          <t>2020-06-29 07:06:23</t>
        </is>
      </c>
      <c r="H8598" t="inlineStr"/>
    </row>
    <row r="8599">
      <c r="A8599" t="inlineStr">
        <is>
          <t>hi0lyf</t>
        </is>
      </c>
      <c r="B8599" t="inlineStr">
        <is>
          <t>Anyone else get a burning feeling in their stomach even when not refluxing?</t>
        </is>
      </c>
      <c r="C8599" t="inlineStr">
        <is>
          <t>I assume I have LPR/Silent reflux, but lot of times Ill get this burning acid feeling in my stomach even when i'm not refluxing, anyone else get that? what's up with that?</t>
        </is>
      </c>
      <c r="D8599" t="n">
        <v>1</v>
      </c>
      <c r="E8599" t="n">
        <v>5</v>
      </c>
      <c r="F8599">
        <f>HYPERLINK("https://www.reddit.com/r/GERD/comments/hi0lyf/anyone_else_get_a_burning_feeling_in_their/")</f>
        <v/>
      </c>
      <c r="G8599" t="inlineStr">
        <is>
          <t>2020-06-29 07:14:58</t>
        </is>
      </c>
      <c r="H8599" t="inlineStr"/>
    </row>
    <row r="8600">
      <c r="A8600" t="inlineStr">
        <is>
          <t>hi0n0m</t>
        </is>
      </c>
      <c r="B8600" t="inlineStr">
        <is>
          <t>Questions about my experience with lansoprazole</t>
        </is>
      </c>
      <c r="C8600" t="inlineStr">
        <is>
          <t>So my doc said to take lansoprazole 15mg twice a day before dinner and breakfast....I started with just before dinner and it worked great for a few days, but then this morning I got this burning feeling of stomach acid in my stomach so I decided to start taking it before breakfast as well as the doc said lol.
So question is why did it work so well before and now its not? Did I build a tolerance to it already?</t>
        </is>
      </c>
      <c r="D8600" t="n">
        <v>1</v>
      </c>
      <c r="E8600" t="n">
        <v>2</v>
      </c>
      <c r="F8600">
        <f>HYPERLINK("https://www.reddit.com/r/GERD/comments/hi0n0m/questions_about_my_experience_with_lansoprazole/")</f>
        <v/>
      </c>
      <c r="G8600" t="inlineStr">
        <is>
          <t>2020-06-29 07:16:38</t>
        </is>
      </c>
      <c r="H8600" t="inlineStr"/>
    </row>
    <row r="8601">
      <c r="A8601" t="inlineStr">
        <is>
          <t>hi1c6u</t>
        </is>
      </c>
      <c r="B8601" t="inlineStr">
        <is>
          <t>If you have a success story, please don't leave this sub without posting it :)</t>
        </is>
      </c>
      <c r="C8601" t="inlineStr">
        <is>
          <t>Many people on this subreddit are at the end of their wits trying to live with their GERD/LPR, and many others have finally reasoned with their conditions to a point where they can call it *success*. 
We all benefit from sharing our positive experiences and wisdom, so let's make sure we give back to this little community when we finally get there.</t>
        </is>
      </c>
      <c r="D8601" t="n">
        <v>2</v>
      </c>
      <c r="E8601" t="n">
        <v>26</v>
      </c>
      <c r="F8601">
        <f>HYPERLINK("https://www.reddit.com/r/GERD/comments/hi1c6u/if_you_have_a_success_story_please_dont_leave/")</f>
        <v/>
      </c>
      <c r="G8601" t="inlineStr">
        <is>
          <t>2020-06-29 07:56:52</t>
        </is>
      </c>
      <c r="H8601" t="inlineStr"/>
    </row>
    <row r="8602">
      <c r="A8602" t="inlineStr">
        <is>
          <t>hi1im0</t>
        </is>
      </c>
      <c r="B8602" t="inlineStr">
        <is>
          <t>Anxiety, Slippery elm, Omeprazole and exercise.</t>
        </is>
      </c>
      <c r="C8602" t="inlineStr">
        <is>
          <t>Hi everyone, 
I started getting symptoms a month ago when one night it felt like my heart suddenly dropped, my chest was tight and a started severly panicking. Upon going to the emergency room, they checked my heart rate with an ECG and did a blood test. It all came back normal and they sent me on my way even though i was still having pain in my chest. 
Over the next 2 weeks i just assumed it was really bad indegestion and that it would go away eventually. In this time i was so uncomfortably most minutes of the day and had trouble sleeping and intense heartburn. About a couple weeks in i woke up at about 5 in the morning and ran to the bathroom and took a huge (upset stomach kinda) shit and instantly felt a lot better. However over the next week i still felt a little tighness in my chest and experienced constant belching and farting. One day i sort of had enough and forced my self to dry heave a few times wich releaved the constant pain in my chest.
Despite this my heartburn and reflux was still there and through research i figured it was GERD. Since we are in a lockdown i could only speak to a doctor over the phone which is useless as its really not the same as seeing a doc in person. Also my GP surgery sucks and am in the process of regestering to another one. The doc i spoke to felt like she wasnt really listening and just spouted out a generic resposne to someone with heart burn (dont eat too late blah blah) and prescribed my with Omeprazole. I took this once and never again. My heart was beating fast all night, and even when it wasnt it still felt like it. I felt sick and my anxiety went through the roof. 
I think what bought this whole thing on relies on 2 things.
1) Major anxiety due to covid and global lockdown and plans i had for moving abroad for a year this month that obviously had to be halted. 
2) I went from working a very active bar job to being furloughed and literally just lying in bed doing nothing for 3 months. Which i know is stupid and i should have atleast gone for walks to get fresh air and keep anxiety in check. Also depressed late night snacking etc. 
I have also been reading about this GERD bullshit for too long and it isnt helping with my anxiety and panic attacks. A panic attack which I had on thrusday night which was one of the worst in my life which meant i barely slept and woke up with absolutely no energy and my appetite just vanished and i havent really eaten in the last 3 days which has led to me feeling weak and foggy and again not doing wonders for my anxiety.
I have started to take 1 slippery elm capsule a day around mid afternoon for a couple days now and it makes me feel way better than i did on that PPI, so i think i will stick with taking that daily whilst trying to eat and get my energy back and try get daily exercise (even if it is just a walk) and see if those small lifestyle changes may help with GERD symptoms.
In terms of anxiety i got a prescription for sertraline which is an SSRI however i am a little reluctant to start taking them straight away as i know from previous experience and from others that for the first couple of weeks makes your anxiety worse before it gets better which i dont know if i want to risk right now, or perhaps since i have bad anxiety i may aswell take them and deal with it for a couple of weeks.
I also am going to try see a doctor this week and see if perhaps i could book a test to see if i actually have GERD and maybe speaking to a proffesional may help me feel better.
&amp;amp;#x200B;
Thats it, i guess i dont really have specific quesitons but just wanted to share my experience and what im doing for it and hopefully i'll keep this post updated. and if you have any advice that would be great.
Thanks for taking the time to read everyone.</t>
        </is>
      </c>
      <c r="D8602" t="n">
        <v>2</v>
      </c>
      <c r="E8602" t="n">
        <v>4</v>
      </c>
      <c r="F8602">
        <f>HYPERLINK("https://www.reddit.com/r/GERD/comments/hi1im0/anxiety_slippery_elm_omeprazole_and_exercise/")</f>
        <v/>
      </c>
      <c r="G8602" t="inlineStr">
        <is>
          <t>2020-06-29 08:06:37</t>
        </is>
      </c>
      <c r="H8602" t="inlineStr"/>
    </row>
    <row r="8603">
      <c r="A8603" t="inlineStr">
        <is>
          <t>hi2kvl</t>
        </is>
      </c>
      <c r="B8603" t="inlineStr">
        <is>
          <t>LPR/GERD</t>
        </is>
      </c>
      <c r="C8603" t="inlineStr">
        <is>
          <t>Looking to hear from people who might have experienced the same things or something similar. 
Does anybody feel like in order to be able to eat solid foods you have to chew a TON in order to be able to swallow it? I always feel like with solids I am drinking a lot when I eat and chewing a ton, even smaller bites to be able to swallow my food. It is super annoying and I’m curious if anyone else feels this way as well. 
I had a scope done about 2 months ago and they dilated a part of my esophagus &amp;amp; also found evidence of inflammation in a few different areas. I was told to take 40mg of Pepcid a day but so far I have had no luck.</t>
        </is>
      </c>
      <c r="D8603" t="n">
        <v>2</v>
      </c>
      <c r="E8603" t="n">
        <v>0</v>
      </c>
      <c r="F8603">
        <f>HYPERLINK("https://www.reddit.com/r/GERD/comments/hi2kvl/lprgerd/")</f>
        <v/>
      </c>
      <c r="G8603" t="inlineStr">
        <is>
          <t>2020-06-29 09:04:05</t>
        </is>
      </c>
      <c r="H8603" t="inlineStr"/>
    </row>
    <row r="8604">
      <c r="A8604" t="inlineStr">
        <is>
          <t>hi32ys</t>
        </is>
      </c>
      <c r="B8604" t="inlineStr">
        <is>
          <t>Waking up with a sore throat?</t>
        </is>
      </c>
      <c r="C8604" t="inlineStr">
        <is>
          <t>So I woke up today and all of a sudden I had a sore throat. My GERD greatly improved when I was taking nexium (I was taking it for 3 weeks) 
but I stopped taking it 3 days ago because I wanted to see if I can live without them, i was good without the nexium for those 3 days but I woke up this morning and now have a sore throat. Any idea why? Was it because I stopped taking nexium?</t>
        </is>
      </c>
      <c r="D8604" t="n">
        <v>2</v>
      </c>
      <c r="E8604" t="n">
        <v>3</v>
      </c>
      <c r="F8604">
        <f>HYPERLINK("https://www.reddit.com/r/GERD/comments/hi32ys/waking_up_with_a_sore_throat/")</f>
        <v/>
      </c>
      <c r="G8604" t="inlineStr">
        <is>
          <t>2020-06-29 09:30:09</t>
        </is>
      </c>
      <c r="H8604" t="inlineStr"/>
    </row>
    <row r="8605">
      <c r="A8605" t="inlineStr">
        <is>
          <t>hi3oc2</t>
        </is>
      </c>
      <c r="B8605" t="inlineStr">
        <is>
          <t>Dose anyone have any recommendations?</t>
        </is>
      </c>
      <c r="C8605" t="inlineStr">
        <is>
          <t>I already take omeprazol and I want to get off of Zantac dose anyone have any recommendations of what I can use to replace it?has anyone tried Prilosec? Dose it work?</t>
        </is>
      </c>
      <c r="D8605" t="n">
        <v>3</v>
      </c>
      <c r="E8605" t="n">
        <v>2</v>
      </c>
      <c r="F8605">
        <f>HYPERLINK("https://www.reddit.com/r/GERD/comments/hi3oc2/dose_anyone_have_any_recommendations/")</f>
        <v/>
      </c>
      <c r="G8605" t="inlineStr">
        <is>
          <t>2020-06-29 09:59:54</t>
        </is>
      </c>
      <c r="H8605" t="inlineStr"/>
    </row>
    <row r="8606">
      <c r="A8606" t="inlineStr">
        <is>
          <t>hi4ogw</t>
        </is>
      </c>
      <c r="B8606" t="inlineStr">
        <is>
          <t>Nexium OTC for more than 14 Days</t>
        </is>
      </c>
      <c r="C8606" t="inlineStr">
        <is>
          <t>So I stupidly took 7 days of a 14-Day course of Nexium OTC about 2 weeks ago. Had a lot going on and forgot 2 days in a row so I just stopped.
Well of course now my heartburn is back about 2 weeks later.
So would it be safe to take a full 14-day course of Nexium? I know on the bottle it says not to take more than a 14-Day course once every 4 months. So I don't want to do something  stupid, but just wondering if I should finish off the 7 days worth I had left or go ahead and do a full 14 day course at this point?</t>
        </is>
      </c>
      <c r="D8606" t="n">
        <v>1</v>
      </c>
      <c r="E8606" t="n">
        <v>2</v>
      </c>
      <c r="F8606">
        <f>HYPERLINK("https://www.reddit.com/r/GERD/comments/hi4ogw/nexium_otc_for_more_than_14_days/")</f>
        <v/>
      </c>
      <c r="G8606" t="inlineStr">
        <is>
          <t>2020-06-29 10:47:48</t>
        </is>
      </c>
      <c r="H8606" t="inlineStr"/>
    </row>
    <row r="8607">
      <c r="A8607" t="inlineStr">
        <is>
          <t>hi4rif</t>
        </is>
      </c>
      <c r="B8607" t="inlineStr">
        <is>
          <t>Tomorrow is my endoscopy</t>
        </is>
      </c>
      <c r="C8607" t="inlineStr">
        <is>
          <t>Unfortunately I’m kind of anxious, since my first endoscopy I had sedation and not anesthesia I was mostly awake at first and it was very disturbing.
Now the doctor re assured me he will be using propofol, I’m even paying extra for it but still
I’m a bit anxious, less than 12 hours till my endoscopy</t>
        </is>
      </c>
      <c r="D8607" t="n">
        <v>1</v>
      </c>
      <c r="E8607" t="n">
        <v>26</v>
      </c>
      <c r="F8607">
        <f>HYPERLINK("https://www.reddit.com/r/GERD/comments/hi4rif/tomorrow_is_my_endoscopy/")</f>
        <v/>
      </c>
      <c r="G8607" t="inlineStr">
        <is>
          <t>2020-06-29 10:51:57</t>
        </is>
      </c>
      <c r="H8607" t="inlineStr"/>
    </row>
    <row r="8608">
      <c r="A8608" t="inlineStr">
        <is>
          <t>hi5qsj</t>
        </is>
      </c>
      <c r="B8608" t="inlineStr">
        <is>
          <t>Do I need to taper off rabeprazole or stopping directly should be fine ?</t>
        </is>
      </c>
      <c r="C8608" t="inlineStr">
        <is>
          <t>Had severe acidity and was prescribed pantoprazole 40mg for 20 days, Didnt really work well and then was prescribed rabeprazole(worked like a charm) capsules 20 mg 2x a day for 15 days followed by 1x a day for 15 days. Today is my last dose. Should I be okay or will I have a rebound. My doctor says its too short of a period and nothing of that sort should happen but all the posts here are making me think otherwise</t>
        </is>
      </c>
      <c r="D8608" t="n">
        <v>1</v>
      </c>
      <c r="E8608" t="n">
        <v>3</v>
      </c>
      <c r="F8608">
        <f>HYPERLINK("https://www.reddit.com/r/GERD/comments/hi5qsj/do_i_need_to_taper_off_rabeprazole_or_stopping/")</f>
        <v/>
      </c>
      <c r="G8608" t="inlineStr">
        <is>
          <t>2020-06-29 11:38:37</t>
        </is>
      </c>
      <c r="H8608" t="inlineStr"/>
    </row>
    <row r="8609">
      <c r="A8609" t="inlineStr">
        <is>
          <t>hi6ldw</t>
        </is>
      </c>
      <c r="B8609" t="inlineStr">
        <is>
          <t>My acid reflux story.</t>
        </is>
      </c>
      <c r="C8609" t="inlineStr">
        <is>
          <t>Im 24. , 5,3. , Mexican.
Back in march when covid happened, i started to get small cough in my throat at first i didint think anything about it. Overtime it go worse in april as the cough became more severe. Thinking i had some kind of strep throat. I set up a web meeting with urgent care and they perscibed me with steroids for my throat. prednisone.
It didnt work. Then went to get some antibiotics to see if i have some kind of throat infection. The antibiotics didnt work. So in may i finally set up a meeting with a local clinic after i couldnt breath while i was sleeping to see whats wrong. I told them what my symptoms were of constant coughing and spitting whiteish gray clear flem. They told me it was acid reflux. They gave me some omeprazole and sent me out rhe door. I took the omeprazole for 8 days. But doing so i developed night sweats, panic attacks and palpitations. It was terrible. I called the clinic and told the doctor about my symptoms with omeprazole and told me to stop taking them. I felt horrible for 2 weeks after stopping. I then went back to the clinic about what happened and asked if they can do a blood test and thyroid panel. Everything came out ok but my coughing and phlegm persisited. So the doctor recommended me to go ENT. 
I went to the ENT on june 2 , i told what my symptoms were and didnt even do a larynoscopy. They just persrcibed me with a bottle of famotinide since i told the doc of what happened when i took omeprazole.
He also told me to start eating non fat foods, sleep on an incline and to not eat anything after 7pm.
I have not eaten fat, spicy foods. I have started taking some herbalife suppliments and drink formula 1 smoothie every morning and have sleeped on an incline for the entire month. But im too damn scared of taking famotinide because of what happened with omeprazole. But now as of june 29 i have developed a facial pain and pain in my stomach when im on an empty stomach or trying ro sleep. Aswell as presssure on my head and ears when im waking up. I need some help dealing with this acid reflux because i seriously cant take it anymore. 😔
Edit: forgot to say i got tested for covid and do not have it. Also have i have lost 16 pounds since may 17th. Was 165lb to 149lb. I have not exercised at all just been eating non acidic foods, veggies the herbalife suppliments and formula 1 smoothie.</t>
        </is>
      </c>
      <c r="D8609" t="n">
        <v>4</v>
      </c>
      <c r="E8609" t="n">
        <v>41</v>
      </c>
      <c r="F8609">
        <f>HYPERLINK("https://www.reddit.com/r/GERD/comments/hi6ldw/my_acid_reflux_story/")</f>
        <v/>
      </c>
      <c r="G8609" t="inlineStr">
        <is>
          <t>2020-06-29 12:19:28</t>
        </is>
      </c>
      <c r="H8609" t="inlineStr"/>
    </row>
    <row r="8610">
      <c r="A8610" t="inlineStr">
        <is>
          <t>hi6qna</t>
        </is>
      </c>
      <c r="B8610" t="inlineStr">
        <is>
          <t>Gaviscon advanced instead of PPIs</t>
        </is>
      </c>
      <c r="C8610" t="inlineStr">
        <is>
          <t>Hi, 
I’ve had long term reflux for a while now and I’m on lansoprazole 30 mg a day but I’ve been concerned with the long term side effects of taking these drugs. I’ve spoke to my doctor about my concerns and she totally agrees with me, I try to take them when I get symptoms or every other day. But I was researching and came across Gaviscon Advanced (UK edition) which is safe to take long term due to not containing aluminium. My question is would it be possible to come off PPIs and use Gaviscon Advanced instead, I would feel a lot better using it as there are no major long term effect of using it. We need acid in our stomachs to absorb nutrients and to properly digest our food, PPIs completely stop acid in the stomach which is not a good idea. Gaviscon seems to create a barrier and in my eyes doesn’t seem as risky. 
Any guidance would be great thank you :)</t>
        </is>
      </c>
      <c r="D8610" t="n">
        <v>2</v>
      </c>
      <c r="E8610" t="n">
        <v>27</v>
      </c>
      <c r="F8610">
        <f>HYPERLINK("https://www.reddit.com/r/GERD/comments/hi6qna/gaviscon_advanced_instead_of_ppis/")</f>
        <v/>
      </c>
      <c r="G8610" t="inlineStr">
        <is>
          <t>2020-06-29 12:26:22</t>
        </is>
      </c>
      <c r="H8610" t="inlineStr"/>
    </row>
    <row r="8611">
      <c r="A8611" t="inlineStr">
        <is>
          <t>hi8efo</t>
        </is>
      </c>
      <c r="B8611" t="inlineStr">
        <is>
          <t>LARYNGOPHARYNGEAL GERD- SILENT (SINGERS'?) REFLUX</t>
        </is>
      </c>
      <c r="C8611" t="inlineStr">
        <is>
          <t>So that was the Otolaryngologist diagnosis and my voice teacher said 16oz of celery juice a day..
I will try it and report back any other takers or experience?
It sucks I am a singer and it attacks me in the middle of a song.. 20 minutes after eating
An hour after matcha tea ( so not supposed to do caffeine now! 
I fancy a green juice fast .. any experience with that..
When I want toeat breakfast because that's what doc said I get so queazy in my lower tummy.. I think i am in trouble.
Booked Primary Doc, called gastroenterologist. 
MUST HAVE A SHIFT.!
LOOKING FOR A MIRACLE -ANY OFFERS?
TA!</t>
        </is>
      </c>
      <c r="D8611" t="n">
        <v>3</v>
      </c>
      <c r="E8611" t="n">
        <v>4</v>
      </c>
      <c r="F8611">
        <f>HYPERLINK("https://www.reddit.com/r/GERD/comments/hi8efo/laryngopharyngeal_gerd_silent_singers_reflux/")</f>
        <v/>
      </c>
      <c r="G8611" t="inlineStr">
        <is>
          <t>2020-06-29 13:46:16</t>
        </is>
      </c>
      <c r="H8611" t="inlineStr"/>
    </row>
    <row r="8612">
      <c r="A8612" t="inlineStr">
        <is>
          <t>hi8ncy</t>
        </is>
      </c>
      <c r="B8612" t="inlineStr">
        <is>
          <t>Seroquel and GERD?</t>
        </is>
      </c>
      <c r="C8612" t="inlineStr">
        <is>
          <t>Anyone taking seroquel have acid reflux/GERD? I’ve been on seroquel for about half a year with no problems, but recently I started to have really horrible GERD problems. I’ve had horrible heartburn, stomach pain, sore throat, and just pain almost everywhere for more than a month now. I’ve been on Pepcid and two different PPIs and nothing’s given me any relief. Would stopping seroquel help? I hate feeling like this and the heart attack-like chest pain just makes my already bad anxiety worse.</t>
        </is>
      </c>
      <c r="D8612" t="n">
        <v>2</v>
      </c>
      <c r="E8612" t="n">
        <v>2</v>
      </c>
      <c r="F8612">
        <f>HYPERLINK("https://www.reddit.com/r/GERD/comments/hi8ncy/seroquel_and_gerd/")</f>
        <v/>
      </c>
      <c r="G8612" t="inlineStr">
        <is>
          <t>2020-06-29 13:58:10</t>
        </is>
      </c>
      <c r="H8612" t="inlineStr"/>
    </row>
    <row r="8613">
      <c r="A8613" t="inlineStr">
        <is>
          <t>hi8ykc</t>
        </is>
      </c>
      <c r="B8613" t="inlineStr">
        <is>
          <t>Low Ferritin</t>
        </is>
      </c>
      <c r="C8613" t="inlineStr">
        <is>
          <t>Been diagnosed with GERD for over a year, just got around to seeing a GI doc, my primary ordered bloodwork and ferritin is very low. His office called to see if my GI discussed it with me, which she didn’t, but they said it is something the GI needs to talk about. Kind of weird. Has anyone else experienced low ferritin with GERD, and what was the outcome? Been on omeprazole for over a year as well. I’m a pretty healthy 21 year old female.</t>
        </is>
      </c>
      <c r="D8613" t="n">
        <v>1</v>
      </c>
      <c r="E8613" t="n">
        <v>5</v>
      </c>
      <c r="F8613">
        <f>HYPERLINK("https://www.reddit.com/r/GERD/comments/hi8ykc/low_ferritin/")</f>
        <v/>
      </c>
      <c r="G8613" t="inlineStr">
        <is>
          <t>2020-06-29 14:13:46</t>
        </is>
      </c>
      <c r="H8613" t="inlineStr"/>
    </row>
    <row r="8614">
      <c r="A8614" t="inlineStr">
        <is>
          <t>hi99qv</t>
        </is>
      </c>
      <c r="B8614" t="inlineStr">
        <is>
          <t>Anyone else have issues with seat belts?</t>
        </is>
      </c>
      <c r="C8614" t="inlineStr">
        <is>
          <t>I've been having pretty severe reflux symptoms for a few months now. On 2 PPIs a day and waiting for an endoscopy (long delayed because of covid). I'm sure anxiety has played a part making it worse too but is definitely not the main factor. I was just wondering if anyone else noticed a really strong reaction to any chest pressure. From hugging, to sunglasses dangling over my chest. The most noticeable is with a seat belt, it makes me extremely irritated and have a weird kind of tension pain. Has stopped me driving a few times. Anyone else notice this?
&amp;amp;#x200B;
Stay safe</t>
        </is>
      </c>
      <c r="D8614" t="n">
        <v>1</v>
      </c>
      <c r="E8614" t="n">
        <v>2</v>
      </c>
      <c r="F8614">
        <f>HYPERLINK("https://www.reddit.com/r/GERD/comments/hi99qv/anyone_else_have_issues_with_seat_belts/")</f>
        <v/>
      </c>
      <c r="G8614" t="inlineStr">
        <is>
          <t>2020-06-29 14:29:14</t>
        </is>
      </c>
      <c r="H8614" t="inlineStr"/>
    </row>
    <row r="8615">
      <c r="A8615" t="inlineStr">
        <is>
          <t>hi9a6p</t>
        </is>
      </c>
      <c r="B8615" t="inlineStr">
        <is>
          <t>Endoscopy costs $500 should I just go to the ER?</t>
        </is>
      </c>
      <c r="C8615" t="inlineStr">
        <is>
          <t>I can't pay for that and I just started pooping blood. I can't afford it and my GERD is only getting worse. Any free resources I could possibly go to in the USA to have my stomach problems examined or am I just doomed.
&amp;amp;#x200B;
I HATE THE USA</t>
        </is>
      </c>
      <c r="D8615" t="n">
        <v>2</v>
      </c>
      <c r="E8615" t="n">
        <v>37</v>
      </c>
      <c r="F8615">
        <f>HYPERLINK("https://www.reddit.com/r/GERD/comments/hi9a6p/endoscopy_costs_500_should_i_just_go_to_the_er/")</f>
        <v/>
      </c>
      <c r="G8615" t="inlineStr">
        <is>
          <t>2020-06-29 14:29:50</t>
        </is>
      </c>
      <c r="H8615" t="inlineStr"/>
    </row>
    <row r="8616">
      <c r="A8616" t="inlineStr">
        <is>
          <t>hi9lne</t>
        </is>
      </c>
      <c r="B8616" t="inlineStr">
        <is>
          <t>Does anyone else have a burp that sounds like a hiccup?</t>
        </is>
      </c>
      <c r="C8616" t="inlineStr">
        <is>
          <t>My mother has GERD but I’m not sure about myself. When I was a child I had scary painful chest pains which the doctor diagnosed as “growing pains”. I would sit still for hours because moving made the pain worse. I was also frequently regurgitating little pieces of food after eating throughout the day (I didn’t realize this wasn’t normal). Both of those stopped eventually as I got older. Now, the only strange symptom I have is a burp that sounds like a high pitched hiccup. I get it every day but it is not painful. When I google it, I’m led to a bunch of GERD pages. Does anyone here have a weird hiccup-like burp?</t>
        </is>
      </c>
      <c r="D8616" t="n">
        <v>1</v>
      </c>
      <c r="E8616" t="n">
        <v>1</v>
      </c>
      <c r="F8616">
        <f>HYPERLINK("https://www.reddit.com/r/GERD/comments/hi9lne/does_anyone_else_have_a_burp_that_sounds_like_a/")</f>
        <v/>
      </c>
      <c r="G8616" t="inlineStr">
        <is>
          <t>2020-06-29 14:45:55</t>
        </is>
      </c>
      <c r="H8616" t="inlineStr"/>
    </row>
    <row r="8617">
      <c r="A8617" t="inlineStr">
        <is>
          <t>hi9m5y</t>
        </is>
      </c>
      <c r="B8617" t="inlineStr">
        <is>
          <t>Dad's success story</t>
        </is>
      </c>
      <c r="C8617" t="inlineStr">
        <is>
          <t>So, I just joined for myself the other day, but I saw that there's a shortage of stories on positive outcomes, so I'm sharing my dad's story.
Dad is in his early 70s. I'm not sure when he got diagnosed with acid reflux, but it's been a few decades at least.
Anyway, he worked with a bunch of people who had it. When he got the diagnosis, they calmly told him he had two options:
* Take a medication
* Slant the bed to sleep on an incline
Dad disliked unnecessary medication, so he slanted the bed. Initially, he just bought some concrete blocks and shoved them under the legs on one end of the bed to make a 12" difference. Mom disapproved because she couldn't handle the incline.
So, he made it a smaller incline that she could handle, and that was enough for him to function comfortable again.
Now, there have been a lot of iterations of the bed slant over the years. At times, he used textbooks piled up. At times, he and Mom simply slept in different bed. Currently, they sleep on two adjacent XL twins on a single king frame, and he has two 5/8" wood boards on the frame with a block between to create the incline, and his twin mattress is on top of that.
He's doing great for symptom management. He still drinks his daily morning coffee. He still enjoys whatever he feels like eating for the most part. He can also handle a few nights without the incline for vacations. His acid reflux is rarely brought up, and I generally forget he has it until I'm in their bedroom for some reason and see the bed.
So, he has a happy story, and from what I could tell, his coworkers did too. He told me my diagnosis is "no big deal" outside that I need to take it seriously and get my bed on an incline.
Having grown up with him, it's a bit surprising to see how much others are struggling, and I'm definitely more nervous regarding what my own journey will look like, but Dad is proof that good outcomes are possible.</t>
        </is>
      </c>
      <c r="D8617" t="n">
        <v>1</v>
      </c>
      <c r="E8617" t="n">
        <v>2</v>
      </c>
      <c r="F8617">
        <f>HYPERLINK("https://www.reddit.com/r/GERD/comments/hi9m5y/dads_success_story/")</f>
        <v/>
      </c>
      <c r="G8617" t="inlineStr">
        <is>
          <t>2020-06-29 14:46:35</t>
        </is>
      </c>
      <c r="H8617" t="inlineStr"/>
    </row>
    <row r="8618">
      <c r="A8618" t="inlineStr">
        <is>
          <t>hi9qon</t>
        </is>
      </c>
      <c r="B8618" t="inlineStr">
        <is>
          <t>New to Gerd - Can you have GERD without heartburn?</t>
        </is>
      </c>
      <c r="C8618" t="inlineStr">
        <is>
          <t>I originally posted under r/histamineintolerance but after some advice, I thought I'd post my symptoms here as well.  The symptoms I have been struggling with are throat tightness, lump in throat, pretty substantial nose congestion (not stuffy as in mucus but just dry and inflamed), from time to time I'll get this weird sour taste in my mouth, and lastly I'll do what I call a "hiccup-burp" during eating and afterward (not sure how much burping is considered excessive?).
The symptoms I DON'T have are heart burn, nausea, wheezing, throat soreness, vomiting, chest pain.
While I've struggled with this for over a year, I've noticed over the past few months that  these symptoms seem to transition from moderate to mild, and even temporarily disappear, once I've eaten  something (and this could be anything).  Especially today because I was  attempting to fast, my throat was tight/had a lump and my nose was  stuffy, once I had lunch the tightness/lump was gone.
Because I thought this was a histamine intolerance, I've eliminated various foods and still seem to have sporadic symptoms.  I did notice that when I ate consistently poorly (i.e. lots of ice cream), I seemed to have less symptoms.
Someone mentioned that I might have hypochlorhydria, so I started taking HCL Pepsin capsules this week to test it out.  It's too soon to tell, but when I have taken them, I still don't get heartburn.
I am otherwise very healthy (I don't smoke/drink, healthy weight, etc.) and this is the first consistent physical health issue I've ever had.
I have a few questions but because GERD is so new to me, I don't quite know what those questions are or where to start..  if that makes sense!
I've read online and the symptoms of low stomach acid and too much stomach acid seem similar; is there are way to tell if you have too much or too little?
Could I have GERD without heartburn?
What caused your GERD?
Really any tips or suggestions would be greatly appreciated!</t>
        </is>
      </c>
      <c r="D8618" t="n">
        <v>2</v>
      </c>
      <c r="E8618" t="n">
        <v>14</v>
      </c>
      <c r="F8618">
        <f>HYPERLINK("https://www.reddit.com/r/GERD/comments/hi9qon/new_to_gerd_can_you_have_gerd_without_heartburn/")</f>
        <v/>
      </c>
      <c r="G8618" t="inlineStr">
        <is>
          <t>2020-06-29 14:52:59</t>
        </is>
      </c>
      <c r="H8618" t="inlineStr"/>
    </row>
    <row r="8619">
      <c r="A8619" t="inlineStr">
        <is>
          <t>hi9xo6</t>
        </is>
      </c>
      <c r="B8619" t="inlineStr">
        <is>
          <t>[Mod Approved] Healthcare Experiences and Attitudes Survey - research opportunity for US adults</t>
        </is>
      </c>
      <c r="C8619" t="inlineStr">
        <is>
          <t>A professor at East Tennessee State University is conducting a study on life experiences and attitudes towards healthcare. We are interested in collecting information from anyone over the age of 18 who is currently living in the United States. As this survey is interested in topics such as unpleasant experiences with healthcare, discrimination, and trauma history, you may be asked sensitive questions related to these topics. If at any point you feel discomfort or are distressed by the survey questions, appropriate resources are provided below and will be made available to you at the end of the study as well. **If you are over 18 and living in the United States, you are eligible to participate.** We are hopeful that this research will allow us to better understand how attitudes towards and experiences with healthcare can impact use of satisfaction with medical services. The survey should take less than 30 minutes to complete, but you can save your place and come back to it several times if needed. If at any time you wish to discontinue participation, you may exit and leave the survey. If you have any questions or concerns about this study, please feel free to contact the principal investigator, Julia Dodd, PhD, at doddjc@etsu.edu. Thank you for considering participating in this research.  
Please click the following link if you wish to be taken to the survey:  
[https://etsuredcap.etsu.edu/surveys/?s=L4WMXRKX73 ](https://etsuredcap.etsu.edu/surveys/?s=L4WMXRKX73)  
Resources that may be of interest: 
* Crisis Hotline: 1-800-273-8255  
* Crisis Text Line: Text CONNECT to 741741  
* Gay, Lesbian, Bisexual and Transgender National Hotline: 888-843-4564  
* National Sexual Assault Hotline: 800-656-4673  
* National Alliance on Mental Illness: 800-950-6264</t>
        </is>
      </c>
      <c r="D8619" t="n">
        <v>1</v>
      </c>
      <c r="E8619" t="n">
        <v>2</v>
      </c>
      <c r="F8619">
        <f>HYPERLINK("https://www.reddit.com/r/GERD/comments/hi9xo6/mod_approved_healthcare_experiences_and_attitudes/")</f>
        <v/>
      </c>
      <c r="G8619" t="inlineStr">
        <is>
          <t>2020-06-29 15:02:47</t>
        </is>
      </c>
      <c r="H8619" t="inlineStr"/>
    </row>
    <row r="8620">
      <c r="A8620" t="inlineStr">
        <is>
          <t>hiaa8u</t>
        </is>
      </c>
      <c r="B8620" t="inlineStr">
        <is>
          <t>Dexilansprazole and chest pain/tightness</t>
        </is>
      </c>
      <c r="C8620" t="inlineStr">
        <is>
          <t>Hello! I have been taking dexilant since February and I am a 22 yo male 160 lbs. Dexilant was working great to get rid of my regurgitation and acid reflux but the past two weeks I have experienced chest discomfort/tightness. Could this be from the dexilant? I also thought it may be anxiety related but it's very uncomfortable.</t>
        </is>
      </c>
      <c r="D8620" t="n">
        <v>1</v>
      </c>
      <c r="E8620" t="n">
        <v>4</v>
      </c>
      <c r="F8620">
        <f>HYPERLINK("https://www.reddit.com/r/GERD/comments/hiaa8u/dexilansprazole_and_chest_paintightness/")</f>
        <v/>
      </c>
      <c r="G8620" t="inlineStr">
        <is>
          <t>2020-06-29 15:21:23</t>
        </is>
      </c>
      <c r="H8620" t="inlineStr"/>
    </row>
    <row r="8621">
      <c r="A8621" t="inlineStr">
        <is>
          <t>hiaizj</t>
        </is>
      </c>
      <c r="B8621" t="inlineStr">
        <is>
          <t>LPR Or Esophagitis or Stomach ulcer</t>
        </is>
      </c>
      <c r="C8621" t="inlineStr">
        <is>
          <t>I’m a twenty four year old male who has been suffering from throat/breastbone issues for the past three months. I have good days and bad days. I used gaviscon advance uk to relieve the Pepsin in my throat  but it doesn’t make any difference to the chest pin I have. I suffer from pinching pain in the right side of my oesophagus that radiates to the ribs. I also suffer from the feeling of inflamed throat on one side that feels almost connected to the breastbone pain. 
Any ideas if PPIs would work? Or any help in general?</t>
        </is>
      </c>
      <c r="D8621" t="n">
        <v>1</v>
      </c>
      <c r="E8621" t="n">
        <v>5</v>
      </c>
      <c r="F8621">
        <f>HYPERLINK("https://www.reddit.com/r/GERD/comments/hiaizj/lpr_or_esophagitis_or_stomach_ulcer/")</f>
        <v/>
      </c>
      <c r="G8621" t="inlineStr">
        <is>
          <t>2020-06-29 15:34:29</t>
        </is>
      </c>
      <c r="H8621" t="inlineStr"/>
    </row>
    <row r="8622">
      <c r="A8622" t="inlineStr">
        <is>
          <t>hibeus</t>
        </is>
      </c>
      <c r="B8622" t="inlineStr">
        <is>
          <t>What set off your GERD?</t>
        </is>
      </c>
      <c r="C8622" t="inlineStr">
        <is>
          <t>Mine came from an upper respiratory infection and / or the antibiotics and steroids I took to heal it. Now I have a hiatal hernia. What about yours?</t>
        </is>
      </c>
      <c r="D8622" t="n">
        <v>1</v>
      </c>
      <c r="E8622" t="n">
        <v>9</v>
      </c>
      <c r="F8622">
        <f>HYPERLINK("https://www.reddit.com/r/GERD/comments/hibeus/what_set_off_your_gerd/")</f>
        <v/>
      </c>
      <c r="G8622" t="inlineStr">
        <is>
          <t>2020-06-29 16:23:53</t>
        </is>
      </c>
      <c r="H8622" t="inlineStr"/>
    </row>
    <row r="8623">
      <c r="A8623" t="inlineStr">
        <is>
          <t>hibhlk</t>
        </is>
      </c>
      <c r="B8623" t="inlineStr">
        <is>
          <t>Endoscopy next week -stop meds?</t>
        </is>
      </c>
      <c r="C8623" t="inlineStr">
        <is>
          <t>I have an endoscopy next Wednesday. I'm waiting for my doctor's response, but wondering if I should stop taking my PPI. I'm on 80mg of it right now.</t>
        </is>
      </c>
      <c r="D8623" t="n">
        <v>1</v>
      </c>
      <c r="E8623" t="n">
        <v>8</v>
      </c>
      <c r="F8623">
        <f>HYPERLINK("https://www.reddit.com/r/GERD/comments/hibhlk/endoscopy_next_week_stop_meds/")</f>
        <v/>
      </c>
      <c r="G8623" t="inlineStr">
        <is>
          <t>2020-06-29 16:28:16</t>
        </is>
      </c>
      <c r="H8623" t="inlineStr"/>
    </row>
    <row r="8624">
      <c r="A8624" t="inlineStr">
        <is>
          <t>hicgvw</t>
        </is>
      </c>
      <c r="B8624" t="inlineStr">
        <is>
          <t>Having LPR/GERD are you at high risk with covid-19 ?</t>
        </is>
      </c>
      <c r="C8624" t="inlineStr">
        <is>
          <t>3 months ago I started feeling chest pain, sore throat or lump in my throat, back pain, burping, bloating and occasionally ear pain.  These are the symptoms I have. And with covid-19 I'm so scared and get nervous a lot. 
Has anyone with LPR/GERD survived covid-19.</t>
        </is>
      </c>
      <c r="D8624" t="n">
        <v>1</v>
      </c>
      <c r="E8624" t="n">
        <v>3</v>
      </c>
      <c r="F8624">
        <f>HYPERLINK("https://www.reddit.com/r/GERD/comments/hicgvw/having_lprgerd_are_you_at_high_risk_with_covid19/")</f>
        <v/>
      </c>
      <c r="G8624" t="inlineStr">
        <is>
          <t>2020-06-29 17:27:18</t>
        </is>
      </c>
      <c r="H8624" t="inlineStr"/>
    </row>
    <row r="8625">
      <c r="A8625" t="inlineStr">
        <is>
          <t>hicjvi</t>
        </is>
      </c>
      <c r="B8625" t="inlineStr">
        <is>
          <t>Could LPR make it difficult to speak?</t>
        </is>
      </c>
      <c r="C8625" t="inlineStr">
        <is>
          <t>Not diagnosed but pretty sure I have LPR. At first I had something like a stutter but then it just became difficult to speak. When I do speak it comes out in a very deep voice. Could this be due to LPR?</t>
        </is>
      </c>
      <c r="D8625" t="n">
        <v>1</v>
      </c>
      <c r="E8625" t="n">
        <v>2</v>
      </c>
      <c r="F8625">
        <f>HYPERLINK("https://www.reddit.com/r/GERD/comments/hicjvi/could_lpr_make_it_difficult_to_speak/")</f>
        <v/>
      </c>
      <c r="G8625" t="inlineStr">
        <is>
          <t>2020-06-29 17:32:13</t>
        </is>
      </c>
      <c r="H8625" t="inlineStr"/>
    </row>
    <row r="8626">
      <c r="A8626" t="inlineStr">
        <is>
          <t>hid3lw</t>
        </is>
      </c>
      <c r="B8626" t="inlineStr">
        <is>
          <t>Chest tightness / trouble breathing more specifically at night.</t>
        </is>
      </c>
      <c r="C8626" t="inlineStr">
        <is>
          <t>So, around October/November I started getting a burning sensation in my stomach (I was extremely stressed and all I lived off of was coffee and junk food when starting a business.) 
I had heard the terms like GERD and stomach ulcers, I thought maybe I gave myself a stomach ulcer. During this time my boss also somehow ended up getting gastritis and my manager/sister told me it was from her not taking care of herself in a sense where all she did was drink, smoke, caffeine and eat binge diet. Junk food then no food and just Liquor and coffee for days. 
Eventually my self diagnosed “ulcer” went away about January ish. 
About late April / May I was drinking a lot of coffee again, had a spicy food binge for about a week (not intentionally), and making home made smoothies where lemon and lime was the base because I love sour, was really stressed, and it came back WORSE.
After looking up a bunch of feelings and exactly where it was hurting i decided it was definitely an ulcer it had to be. 
I’ve been taking it easy, it’s been feeling better I’ve had one or two days where it’s been a little uncomfortable but generally speaking it’s been better as long as I stay away from too much coffee, citrus, and spicy food, &amp;amp; liquor. 
Been doing a lot of dairy and it helps. For about two weeks now I’ve felt the need to clear my throat a lot, every couple minuets just constant throat clearing like I have something in my throat or some liquid stuck in my throat. 
{ side note****** This week My sister / old manager became sick this week. Turns out she has gastritis. She was vomiting and very very ill just like my boss. I mention this because I don’t know if it could all be connected as these ulcers/GERD/gastritis keep getting tossed around in the same things online. Maybe a bacteria? We were always busy- it’s possible maybe one of us had the bacteria and we all shared food or a drink or something and swapped the bacteria? }
And finally if you’ve made it this far about Friday I’ve felt a lot of like chest tightness and especially now it’s getting hard to breathe specifically at night idk if I’m just panicking a little and it’s making it worse but there’s so much tightness and pressure in my chest, and it’s a symptom of LRP I guess- and somehow the bad acid from my stomach went up my esophagus? Maybe? Possibly? Although my throat doesn’t burn and the only real symptoms which are dead on though is the new sudden constant throat clearing and the chest tightness.  But my stomach doesn’t really burn because I’ve been eating to kinda avoid that feeling (this morning however I didn’t eat for a few hours and had some coffee as we deep cleaned and it was irritated but I ate like 20 crackers really quick and it felt better and I was all good) but no ulcer irritation now- and never really any throat irritation however I’ve had a lot of hiccups and as I write this I guess I did have a weird burp where I felt hot liquid kinda come up my stomach/chest (sorry for the tmi visual) but it doesn’t burn or anything. Or maybe this is what it is- but I’ve also had that thing every once in a while you know a couple times a year where you kinda burp hot spicy liquid and it burns your throat and kinda stays there? But this isn’t that- it’s just like hot liquid I guess.. here and there. 
I’m freaking out and honestly having a panic attack right now I hope someone can actually understand this or make sense of it. I’m freaking out because I know I 99.9% feel like I don’t have Covid or anything, me and my boyfriend / grandma and grandpa have been at home pretty much for 3 months very very very diligent and there’s also no way after all of my precautions and being OD af about it to keep them safe that I’d be the only one feeling not ok at this point and it’s just the chest- like I’m not sick it’s just my chest but it feels weird that this could all be caused from an ulcer? Idk. 
Could I have LRP now too? Do I have GERD or just an ulcer or is it the same or do I have gastric. Wtffff is going on. I want to cry right now</t>
        </is>
      </c>
      <c r="D8626" t="n">
        <v>1</v>
      </c>
      <c r="E8626" t="n">
        <v>10</v>
      </c>
      <c r="F8626">
        <f>HYPERLINK("https://www.reddit.com/r/GERD/comments/hid3lw/chest_tightness_trouble_breathing_more/")</f>
        <v/>
      </c>
      <c r="G8626" t="inlineStr">
        <is>
          <t>2020-06-29 18:05:46</t>
        </is>
      </c>
      <c r="H8626" t="inlineStr"/>
    </row>
    <row r="8627">
      <c r="A8627" t="inlineStr">
        <is>
          <t>hidxx7</t>
        </is>
      </c>
      <c r="B8627" t="inlineStr">
        <is>
          <t>Any suggestions for chest tightness/pain?</t>
        </is>
      </c>
      <c r="C8627" t="inlineStr">
        <is>
          <t>I've had bad regurgitation and acid reflux for years and started dexilant in February. I all of a sudden started experiencing chest tightness and pains which leads to anxiety and more chest pains. I never knew this was also a symptom, how can I stop it? Begging for help!!</t>
        </is>
      </c>
      <c r="D8627" t="n">
        <v>1</v>
      </c>
      <c r="E8627" t="n">
        <v>2</v>
      </c>
      <c r="F8627">
        <f>HYPERLINK("https://www.reddit.com/r/GERD/comments/hidxx7/any_suggestions_for_chest_tightnesspain/")</f>
        <v/>
      </c>
      <c r="G8627" t="inlineStr">
        <is>
          <t>2020-06-29 18:58:03</t>
        </is>
      </c>
      <c r="H8627" t="inlineStr"/>
    </row>
    <row r="8628">
      <c r="A8628" t="inlineStr">
        <is>
          <t>hie01c</t>
        </is>
      </c>
      <c r="B8628" t="inlineStr">
        <is>
          <t>Switching between PPIs</t>
        </is>
      </c>
      <c r="C8628" t="inlineStr">
        <is>
          <t>hello! about four weeks ago i took omeprazole 2x20mg a day for two weeks, in which i still had some bloating and shortness of breath, so my doctor suggested i switch over to try dexilant for 2 weeks. dexilant was honestly a dream because i had zero symptoms while on it and finally felt normal again. since i was feeling better, my doctor said that i should try switching back to omeprazole because it’s less strong and i could try to eventually stop taking PPIs. so i started my omeprazole 2x20mg again and it’s been 3 days, but i’ve generally been feeling more stomach discomfort now, like there’s a slight burning sensation in my stomach. is this normal for switching between PPIs and my stomach just trying to adjust? should i go back and get dexilant again (it’s about 3x the price of omeprazole though ):) i wanted to try tapering off PPIs so i tried to skip my 20mg omeprazole this morning but i felt the burning and chickened out and ate it in the end. i’ll probably be seeing a GI on 13 july so i don’t know if i should just suck it up and get back on dexilant until then or just try to stick with omeprazole and hope my symptoms don’t come back...</t>
        </is>
      </c>
      <c r="D8628" t="n">
        <v>1</v>
      </c>
      <c r="E8628" t="n">
        <v>2</v>
      </c>
      <c r="F8628">
        <f>HYPERLINK("https://www.reddit.com/r/GERD/comments/hie01c/switching_between_ppis/")</f>
        <v/>
      </c>
      <c r="G8628" t="inlineStr">
        <is>
          <t>2020-06-29 19:01:31</t>
        </is>
      </c>
      <c r="H8628" t="inlineStr"/>
    </row>
    <row r="8629">
      <c r="A8629" t="inlineStr">
        <is>
          <t>hif68f</t>
        </is>
      </c>
      <c r="B8629" t="inlineStr">
        <is>
          <t>peanut butter makes it like 10x harder to swallow the following day. Anyone else?</t>
        </is>
      </c>
      <c r="C8629" t="inlineStr">
        <is>
          <t>If I eat peanut butter, the next day I'll have to swallow each bite of food two times to get it into my stomach.</t>
        </is>
      </c>
      <c r="D8629" t="n">
        <v>1</v>
      </c>
      <c r="E8629" t="n">
        <v>8</v>
      </c>
      <c r="F8629">
        <f>HYPERLINK("https://www.reddit.com/r/GERD/comments/hif68f/peanut_butter_makes_it_like_10x_harder_to_swallow/")</f>
        <v/>
      </c>
      <c r="G8629" t="inlineStr">
        <is>
          <t>2020-06-29 20:16:13</t>
        </is>
      </c>
      <c r="H8629" t="inlineStr"/>
    </row>
    <row r="8630">
      <c r="A8630" t="inlineStr">
        <is>
          <t>hih1ib</t>
        </is>
      </c>
      <c r="B8630" t="inlineStr">
        <is>
          <t>Endoscopy &amp;amp; colonoscopy: Severe GERD no symptoms</t>
        </is>
      </c>
      <c r="C8630" t="inlineStr">
        <is>
          <t>Hey Lovely people. I had a colonoscopy and endoscopy performed to see if I had celiacs, and my doctor said that I have quite severe GERD as well as a Grade II Hiatal Hernia. 
I don't have any symptoms of GERD as far as I'm concerned (bad breath?) which is lucky. 
Has anyone had the same, what was your experience and treatment?
I've already got an appointment to see my doctor, But am curious to hear others experiences :)</t>
        </is>
      </c>
      <c r="D8630" t="n">
        <v>1</v>
      </c>
      <c r="E8630" t="n">
        <v>0</v>
      </c>
      <c r="F8630">
        <f>HYPERLINK("https://www.reddit.com/r/GERD/comments/hih1ib/endoscopy_colonoscopy_severe_gerd_no_symptoms/")</f>
        <v/>
      </c>
      <c r="G8630" t="inlineStr">
        <is>
          <t>2020-06-29 22:26:03</t>
        </is>
      </c>
      <c r="H8630" t="inlineStr"/>
    </row>
    <row r="8631">
      <c r="A8631" t="inlineStr">
        <is>
          <t>hijkmn</t>
        </is>
      </c>
      <c r="B8631" t="inlineStr">
        <is>
          <t>Supplements / vitamins with PPI</t>
        </is>
      </c>
      <c r="C8631" t="inlineStr">
        <is>
          <t>I know PPI can deplete your system of certain vitamins - do you take any supplements while on them? B12? Probiotic? I worried about destroying my gut flora even more. Thanks</t>
        </is>
      </c>
      <c r="D8631" t="n">
        <v>1</v>
      </c>
      <c r="E8631" t="n">
        <v>3</v>
      </c>
      <c r="F8631">
        <f>HYPERLINK("https://www.reddit.com/r/GERD/comments/hijkmn/supplements_vitamins_with_ppi/")</f>
        <v/>
      </c>
      <c r="G8631" t="inlineStr">
        <is>
          <t>2020-06-30 01:50:52</t>
        </is>
      </c>
      <c r="H8631" t="inlineStr"/>
    </row>
    <row r="8632">
      <c r="A8632" t="inlineStr">
        <is>
          <t>hijnih</t>
        </is>
      </c>
      <c r="B8632" t="inlineStr">
        <is>
          <t>Will a damaged esophagus ever return to normal?</t>
        </is>
      </c>
      <c r="C8632" t="inlineStr">
        <is>
          <t>Once you get LPR, can you cure it? Will proper lifestyle changes and Gaviscon etc. actually fix everything? Or will I be this way forever. 
I’m struggling with shortness of breath, and when I drink something triggering I’ll be feeling it for literally 2-3 weeks afterward. It’s awful. I guess I have questions for someone else who has dealt with this :/</t>
        </is>
      </c>
      <c r="D8632" t="n">
        <v>1</v>
      </c>
      <c r="E8632" t="n">
        <v>10</v>
      </c>
      <c r="F8632">
        <f>HYPERLINK("https://www.reddit.com/r/GERD/comments/hijnih/will_a_damaged_esophagus_ever_return_to_normal/")</f>
        <v/>
      </c>
      <c r="G8632" t="inlineStr">
        <is>
          <t>2020-06-30 01:57:43</t>
        </is>
      </c>
      <c r="H8632" t="inlineStr"/>
    </row>
    <row r="8633">
      <c r="A8633" t="inlineStr">
        <is>
          <t>hijspe</t>
        </is>
      </c>
      <c r="B8633" t="inlineStr">
        <is>
          <t>GERD and issues gaining weight</t>
        </is>
      </c>
      <c r="C8633" t="inlineStr">
        <is>
          <t>Hello everyone! I am new to this subreddit, so this is my first post here.
I didn't know I had a hiatal hernia and GERD untill September 2018, though, if I think hard enough, I know I've experienced symptoms way earlier in my life. Things that stand out for me the most were:
-occasionally not being able to fall asleep due to having such a severely "dry" throat, that it felt like I ha an open wound and the dryness did not disappear when drinking water or tea
-I struggled with drinking milk since I was about 14 yo. I could drink less and less of it and upon drinking it, I would be stuck with severe stomach cramps for about 2 hours. Like seriously, as an 'cacao addict', I would just lay down on my bed, sometimes pity-cry and wait for it to pass. Every. Single. Day. Lactose milk did not help. Milk with 1.5 fat instead of 3.5 did not help. (Now I drink milk with 0.5 fat and it was honestly a life changer for me)
-I could not eat ice cream. At the time I didn't know how to explain it, but I just didn't want it, I suddenly started seeing it as something yucky. It must have occurred like 3 summers in a row when my family (parents, my brother and I) went to the seaside and we constantly got into a fight over this. They felt like if everyone ate ice cream except for me, other people would see it as if they were neglecting me. Stupid, right? But my family took this for real and my parents kinda "blackmailed" me and guilt tripped me into eating it ("if you're not gonna eat it, none of us will, because of you") and as a result I was constantly feeling disgusted and heavy (like... I could not do anything other than lay down).
I know that these symptoms are alarming, at least from what I know now. However, at the time they didn't see them that way. So anyway, that was my struggle until the summer of 2018. It was June when I first started feeling nauseous. No other symptoms, just whenever I ate anything or even drank a glass of water in the morning, I experienced that vomitty motion in my stomach. Like... I would vomit without anything coming out, basically. I thought it was just me being picky with my food (I've always had that happen when I found something in my mouth while chewing that I did not want to eat - so, a piece if a bone, a weird texture, whatever). But then a month later this got increasingly frequent and annoying. About twice I actually vomitted.
So yea, I went to a doctor. Mine was gone at the time so I had to make an appointment with a different one an I am so lucky they were this kind and immediately concluded that this was worth going to gastro. At first she suspected that since I'm the type of a person who worries a lot, that maybe I scarred my stomach with all the stress. Which, I thought was very probable. So I got some rather mild pills to neutralize the acid in my stomach to help me heal the alleged scars. It didn't really help too much. I could feel some sort of a relief, but it still wasn't it.
Fast-forward a month or 2, I finally had my gastro and was diagnosed with a hiatal hernia and GERD when I was 18yo.
This is where my weight struggle truly begins. Usually people would have issues losing weight, but I'm the exact opposite and since no one talks about this, I thought I'd be the first one to break the silence.
I've always been a skiny girl, but prior to my issues, I managed to get to a perfectly healthy weight for my height, which was about 52-54kgs. When I started taking certain pills that were prescribed for my stomach, something changed though. Like many people with a hernia and GERD, I struggle with not being able to eat much. I feel disgusted by greasy food. And since I had to start eating diet food prepared for me at the dorm, I was often disgusted by that food as well. It was dry, without any flavour to it. I would eat (dry) chicken breasts 5 times a week. I'd rarely get anything proper with it. Sometimes for dinner I'd just get a small chicken breast which they told me to eat with some bread.
So I don't know which of these things or if maybe all of them contributed to what happened, but in a short period of time, I lost a lot of weight. I was then somewhere between 45-46kgs. It's not the worst weight possible, but for an 18/19yo who was skinny even before losing all that weight and only measured around 160cm... It was a big change. I would suddenly start noticing ribs on my chest, my tiny neck, how much I shrunk in general and couldn't properly fit in some of my jeans even.
I started forcing myself with food to gain some of the weight. However, and issue that I keep facing is that I feel very food after eating basically nothing. Before all this, I could eat a whole pizza, now I struggle eating half of it when I eat it. Actually, the other day I could only eat 2 pieces and the third one I had to force it down my throat. At the same time, after eating I can go for 6 hours or more without eating again, cause I just don't feel hungry and am disgusted by the mere thought of food.
So all this has broight me to where I am today. I'm constantly somewhere between 47 and 48kgs, unable to reach that very desired number 50. I cannot make any sort of progress and am feeling stuck. I'd like to add, that I spoke to my GP about the weight issues and we did some tests and everything came back normal. So I have a reason to blame my stomach for the issues that I have. If there's anyone out there maybe, who feels the same way, I just want to tell you that you are not alone. I wish I had someone to lean on a year ago, but I didn't and I still don't. So today I decided to be a shoulder someone else can lean on if you feel like you need help.
Thank you to everyone who took time to read this massive post and I apologise for all the spelling mistakes (typing on the phone isn't easy hahah).</t>
        </is>
      </c>
      <c r="D8633" t="n">
        <v>1</v>
      </c>
      <c r="E8633" t="n">
        <v>2</v>
      </c>
      <c r="F8633">
        <f>HYPERLINK("https://www.reddit.com/r/GERD/comments/hijspe/gerd_and_issues_gaining_weight/")</f>
        <v/>
      </c>
      <c r="G8633" t="inlineStr">
        <is>
          <t>2020-06-30 02:09:29</t>
        </is>
      </c>
      <c r="H8633" t="inlineStr"/>
    </row>
    <row r="8634">
      <c r="A8634" t="inlineStr">
        <is>
          <t>hijwzg</t>
        </is>
      </c>
      <c r="B8634" t="inlineStr">
        <is>
          <t>GERD/GASTRITIS POSITIVE UPDATE!!</t>
        </is>
      </c>
      <c r="C8634" t="inlineStr">
        <is>
          <t>Hi everyone, hope you are all doing really well. I have been wanting to get to this stage to be able to make a positive and semi success story update!! I know how hopeless one can feel when suffering from this invisible disease. And I promised myself that once I started seeing positive results I would make an update to help those out there that are struggling, especially because many people that tend to make progress or recovery do not leave many messages on here.
Quick background: 10 weeks ago I mixed painkillers with Gin cocktails. Bad move. I woke up in the middle of the night with the worst pain in my stomach ever! It felt like a torch was set on fire and nothing was ever going to put out that fire. I did not sleep for over 24 hours, and was in excruciating pain for 3 days straight and cried myself to exhaustion. Upon further research I came to conclude that I must have gastritis and combined with mild acid reflux I suffered for 2 years.
I dived deep into research trying to figure out how to heal myself naturally and tried and tested a bunch of stuff that didn't yield amazing results, and the problem was I wanted results FAST. Now, you must accept that this will be a journey and it will not heal in a couple of days or weeks. It requires constant attention and diligence, and also a positive mindset. if you spiral into anxiety and depression it only makes things worse!
My stomach seemed to calm down a bit after a week but I cut out everything. I was still in pain but nothing like the first 3 days! no coffee, tea, fizzy drinks, tomatoes, onion, garlic, processed foods, gluten, dairy etc etc... this is the hardest part. But you gotta do it! You can't have your cake and eat it too. you must accept you fucked up, you are now sick and you need to create the perfect environment for your body to heal! So here are my suggestions that is working for me so far 10 weeks into my journey:
&amp;amp;#x200B;
1. stop being pessimistic. distract yourself with new hobbies or things to do and keep saying to yourself 'this too shall pass'
2. when you wake up in the morning drink a room temperature filtered glass of water. followed by an organic banana or papaya and you must chew everything you eat very very very really well. this part is so important. start digestion in your mouth by breaking down your food so your stomach doesn't have to do all the hard work for you! so stop eating like a pig and take your time with your food. this will coat your stomach lining first thing in the morning.
3. go for daily walks, especially after every meal to allow for food to pass your stomach and it is healthy for you.
4. I have invested in good quality probiotics. do your research, read reviews and talk to the health shop workers for the best antibiotic resistant gut building probiotic.
5. I take Licorice root extract tablets 15minutes before lunch and dinner. this allows a nice coating to form in my stomach before I eat food. and during my food I take digestive enzyme pills to help me digest properly. after my food is finished I take a couple of chewable papaya enzymes.
6. I swear by smoothies, that shit will change your life! my smoothies are the exact same every single day: banana, blueberries, spinach, collagen powder, linseed powder, chia seeds, teaspoon New Zealand Manuka honey, coconut water, coconut milk, a little bit almond butter. you must invest in a good quality collagen and preferably Manuka honey as these help with creating barrier in your stomach and gut lining between bacteria and protection. especially if you have H. Pylori infection.
7. for the first 5 weeks I ate very bland. smoothies, gluten free toast, chicken breast, organic tuna in olive oil in a can, avocado, bananas, boiled sweet potatoes, and a little bit broccoli. I always had a little tablespoon of sauerkraut for pre-biotic purposes with my meals. u need to build up your gut flora! after 5th week I started introducing a little bit more food. I had a blood test done to check for food intolerances and I am dairy lactose intolerant, and reactive to cashews and kale! so I highly recommend finding an online source to do a quick at home food test. very well worth it !
8. now I can tolerate good quality vegan cheese, organic red meat and chicken thighs, lentil chips.. but I am careful to chew extremely well and never ever eat to the point of feeling full. I don't use spices other than salt and some mixed herbs. I don't use sauces. and to be honest with you, silver lining, my skin is bloody glowing, my hair and nails are growing and strong! 
9. yes it does suck to not be able to have coffee, chocolate, sauces and alcohol right now, and still testing out foods to see what I can tolerate etc but I don't push the boundaries. but I am learning to make better choices for my health. last night I made tuna pita bread pizza for dinner: I used organic can of tuna, and cooked some zucchini on the pan as the topping of my pizza with Violife vegan cheese sparingly and herbs. so you can find ways to enjoy life while healing! but the other day I had coconut ice-cream sweetened with agave, and it did not agree with me, I had a sore tummy and diarrhoea for a few hours but I ate mashed potatoes and a banana straight away. it eased my symptoms. so still trying out a few things!
10. I eat very very slowly, chew my food really well, and take my supplements religiously. no questions or ifs and buts. I take what I need to work with me, I don't care what people think. my husband tries to understand but he doesn't fully. only someone suffering can understand your pain. so do not be ashamed, or pressured. do what u gotta do for however long it takes. and once u start feeling better, for the love of god, please don't go fucking it up by eating spicy fatty shitty food. learn from your mistakes.
11. I should also mention that I have had a video consultation with a gastro specialist. because it was during lockdown quarantine, I couldn't go in to physically see a doctor. he said my symptoms are Gerd and put me on Proton Pump inhibitors but I know how bad those pills can be and I felt like absolute shit on them for 4 days so I cut them out and felt better immediately. he also said I have Gerd, but I know I have something wrong with my stomach more than my oesophagus. I will go for an endoscopy eventually because I am curious to see what is happening inside my stomach. 
12. along with my gut supplements, I also take good quality vitamin C, B12, vitamin D3 With K2 drops, fish oils. I am going to introduce magnesium as well.
13. I am getting a stool test for H Pylori this week, hoping that I don't have it. but I have been taking Mastik Gum tablets every night for the last 5 weeks to naturally kill an infection so hoping they have helped, otherwise might have to go on antibiotics. I will update on this when I have more info myself.
14. do not eat dinners late, eat at least 2.5 hours before bed time and please go for an at least 15minute walk to digest after dinner! 
15. sleep slightly elevated by stuffing your pillows against your bed frame, this helps a ton! I do not sleep on my side, at first it was hard but now I can't imagine sleeping flat down or on my side. I feel better sleeping this way!
okay, so this is all I wanted to type for now! there is hope if you are diligent, and invest your money into good quality foods and supplements. remember that our bodies WANT TO HEAL! we just need to create the right environment for it :) I am not where I want to be still, but I am thankful for this journey waking me the fuck up to my health, and teaching me valuable lessons, I have learnt compassion, empathy and patience because of this. and my health is number 1! I will do whatever it takes to heal and here to provide support and stay positive together.</t>
        </is>
      </c>
      <c r="D8634" t="n">
        <v>1</v>
      </c>
      <c r="E8634" t="n">
        <v>21</v>
      </c>
      <c r="F8634">
        <f>HYPERLINK("https://www.reddit.com/r/GERD/comments/hijwzg/gerdgastritis_positive_update/")</f>
        <v/>
      </c>
      <c r="G8634" t="inlineStr">
        <is>
          <t>2020-06-30 02:19:27</t>
        </is>
      </c>
      <c r="H8634" t="inlineStr"/>
    </row>
    <row r="8635">
      <c r="A8635" t="inlineStr">
        <is>
          <t>hijy2b</t>
        </is>
      </c>
      <c r="B8635" t="inlineStr">
        <is>
          <t>How should I take 60 mg of omeprazole for GERD?</t>
        </is>
      </c>
      <c r="C8635" t="inlineStr">
        <is>
          <t>Do I take it once before breakfast? Or do i divide the dose and take 40mg before breakfast and 20mg before dinner?</t>
        </is>
      </c>
      <c r="D8635" t="n">
        <v>1</v>
      </c>
      <c r="E8635" t="n">
        <v>3</v>
      </c>
      <c r="F8635">
        <f>HYPERLINK("https://www.reddit.com/r/GERD/comments/hijy2b/how_should_i_take_60_mg_of_omeprazole_for_gerd/")</f>
        <v/>
      </c>
      <c r="G8635" t="inlineStr">
        <is>
          <t>2020-06-30 02:21:45</t>
        </is>
      </c>
      <c r="H8635" t="inlineStr"/>
    </row>
    <row r="8636">
      <c r="A8636" t="inlineStr">
        <is>
          <t>hik23y</t>
        </is>
      </c>
      <c r="B8636" t="inlineStr">
        <is>
          <t>long time lurker</t>
        </is>
      </c>
      <c r="C8636" t="inlineStr">
        <is>
          <t>apologies if this post is a mess or whiny or anything i’m writing this super late at night and super tired and fed up rn lol. 
i’m 19(M), no weight issues or smoking prior to this. i’ve been lurking here for a little over a month or so and now finally deciding to post. since around the second week of may, i’ve been having issues with lpr/gerd my symptoms include:
- acid reflux (this hasn’t really happened since i started the low acid diet/first PPI)
- sore throat in the morning (has been controlled 50% by angling my pillows)
- feeling need to regurgitate food in order to swallow better
- thicker spit/post nasal drip (been dealing with pnd for a few years though, nothing new)
- sweet saliva
- the jaw popping before this might be related to this is heard????
- the biggest one, trouble swallowing/shitty globus sensation which only mostly ends whenever i burp
earlier on cheat days i ate tomato based foods, fatty dinners, potato chips and even chocolate all of which were getting harder to swallow normally. i became suspicious that i had gerd after i ate pizza one night and felt violently sick, i also wasn’t able to finish it that too bc of the globus. after that, i started reading more and more about gerd and kinda self diagnosed myself with it. since the 18th of may, i pretty much fixed up my diet and stopped eating trigger stuff and while the worst of the reflux and calmed down (last time i ate a potential??? trigger it only caused sore throat instead of full on reflux) and the shortness of breath is pretty much completely gone. yet the throat tightness is still here, even with my diet:
breakfast:
- mostly oatmeal w/ cinnamon and raisin (used to eat w/ bananas but i get a weird slightly itchy sensation with them now when i haven’t before???)
- frosted mini wheats (when oatmeals not available)
dinner
- non-fried chicken with plain white rice
- vanilla muscle milk (usually as a filler before dinner)
since the first dinner has been getting especially tiring to swallow, ive been drinking muscle milk instead more and more as its own meal.
late last month i took PPIs for the two week period (omeprazole) and it worked on the non lpr symptoms somewhat?? (it was definitely too early to tell) i ended up going off of them for awhile bc i feared of the ever so dreaded rebound. but on the 17th i managed to get a teleheath session done w/ a doctor who officially diagnosed me with acid reflux and put me on the slightly stronger pantoprazole which seems to be doing almost about the same as the last PPI, but this time i dont want to get off of it as i heard these kinda things take at least 3-4 weeks for stuff like the les to heal. 
my biggest question here right now is how long do i have to deal w the swallow issue and everything else (or at least how can i take care of this shit) bc the whole thing’s been pretty tiring for me, ive been losing quite a few pounds and energy from this (especially bad as i was planning to bulk this summer) and the health anxiety/hypochondria attacks (before this, i only had a completely unrelated attack in march) ive been having as a result of the choking feeling hasnt made shit better, with even something simple like rice i chew for minutes on end. i’m not sure whether its an h-pylori, excess acid or even a (god forbid) hiatal hernia situation (though not sure since my chest hasnt had any issues yet)
i just want to be able to go back to living my regular life and help get my body back on track and to miss out of stuff like thanksgiving or christmas bc of this shit would really ruin me and i also want to be free from this forever, no bandaid diet cures, no feeling of choking and no surgeries (the potential complications and not being able to vomit scare the hell out of me).</t>
        </is>
      </c>
      <c r="D8636" t="n">
        <v>1</v>
      </c>
      <c r="E8636" t="n">
        <v>2</v>
      </c>
      <c r="F8636">
        <f>HYPERLINK("https://www.reddit.com/r/GERD/comments/hik23y/long_time_lurker/")</f>
        <v/>
      </c>
      <c r="G8636" t="inlineStr">
        <is>
          <t>2020-06-30 02:30:52</t>
        </is>
      </c>
      <c r="H8636" t="inlineStr"/>
    </row>
    <row r="8637">
      <c r="A8637" t="inlineStr">
        <is>
          <t>hilxpq</t>
        </is>
      </c>
      <c r="B8637" t="inlineStr">
        <is>
          <t>Seeking Advice</t>
        </is>
      </c>
      <c r="C8637" t="inlineStr">
        <is>
          <t>Hi everyone and thanks for reading.
I am 26, physically fit, and male. I have had GERD for a few years now, but the symptoms have blown up these past few months. My family has a history of GERD. Over the past week I’ve felt nauseous, very lightheaded, and generally unwell (waves of chills/headaches) after I eat. These symptoms generally go away after a few hours but recur when I eat again. I get flair ups of heart burn, which are the easiest symptoms to handle. Every morning this past week, I woke up trembling and vomited pure foamy acid after several minutes of heaving (recently with trace amounts of blood).
I had an endo done last year and they found nothing. I’m in the process of completely revamping my diet. The past week has just been congee, ginger tea, apples and bananas, but my symptoms are not improving.
I don’t drink alcohol anymore but I have been smoking weed daily for about 2 years. I sleep with an elevated pillow which sorta helps the feeling of heartburn when I sleep but doesn’t prevent me from needing to vomit in he morning.
I am allergic to PPI and h2 blockers don't seem to do anything to alleviate my symptoms.
I was hoping someone here might have experience with harsher than normal symptoms and would be willing to share some advice. I’m desperate!</t>
        </is>
      </c>
      <c r="D8637" t="n">
        <v>1</v>
      </c>
      <c r="E8637" t="n">
        <v>0</v>
      </c>
      <c r="F8637">
        <f>HYPERLINK("https://www.reddit.com/r/GERD/comments/hilxpq/seeking_advice/")</f>
        <v/>
      </c>
      <c r="G8637" t="inlineStr">
        <is>
          <t>2020-06-30 04:55:22</t>
        </is>
      </c>
      <c r="H8637" t="inlineStr"/>
    </row>
    <row r="8638">
      <c r="A8638" t="inlineStr">
        <is>
          <t>hilz5p</t>
        </is>
      </c>
      <c r="B8638" t="inlineStr">
        <is>
          <t>New to GERD in general: do any of you get dizzy because of GERD?</t>
        </is>
      </c>
      <c r="C8638" t="inlineStr">
        <is>
          <t>Hey all! Like the title says, I'm new to the GERD scene. I just got my diagnosis about a month ago. I just wanted to ask: do you any of you feel dizzy because of GERD? I'm having some bouts of intense dizziness and I'm wondering if it is caused by this!</t>
        </is>
      </c>
      <c r="D8638" t="n">
        <v>1</v>
      </c>
      <c r="E8638" t="n">
        <v>6</v>
      </c>
      <c r="F8638">
        <f>HYPERLINK("https://www.reddit.com/r/GERD/comments/hilz5p/new_to_gerd_in_general_do_any_of_you_get_dizzy/")</f>
        <v/>
      </c>
      <c r="G8638" t="inlineStr">
        <is>
          <t>2020-06-30 04:58:12</t>
        </is>
      </c>
      <c r="H8638" t="inlineStr"/>
    </row>
    <row r="8639">
      <c r="A8639" t="inlineStr">
        <is>
          <t>hin5wl</t>
        </is>
      </c>
      <c r="B8639" t="inlineStr">
        <is>
          <t>Everything tastes disgusting?</t>
        </is>
      </c>
      <c r="C8639" t="inlineStr">
        <is>
          <t>Hey guys, first post here. I have had sinus problems for the last year that cause me to have frequent headaches, so I went to the doctor and he prescribed me a nasal steroid. It got rid of the headaches, but after a few days I developed this disgusting taste in the back of my throat that I initially associated with garlic/burnt coffee but now I can recognize it as something like bile. Everything I eat has a gross taste for the first few bites. Particularly crackers/bland foods. It’s been going on for a couple of weeks and is obviously associated with my gut as I burp constantly when I eat. Does anyone know how to get rid of the nasty taste long term? It’s every day.</t>
        </is>
      </c>
      <c r="D8639" t="n">
        <v>1</v>
      </c>
      <c r="E8639" t="n">
        <v>1</v>
      </c>
      <c r="F8639">
        <f>HYPERLINK("https://www.reddit.com/r/GERD/comments/hin5wl/everything_tastes_disgusting/")</f>
        <v/>
      </c>
      <c r="G8639" t="inlineStr">
        <is>
          <t>2020-06-30 06:16:59</t>
        </is>
      </c>
      <c r="H8639" t="inlineStr"/>
    </row>
    <row r="8640">
      <c r="A8640" t="inlineStr">
        <is>
          <t>hin5x5</t>
        </is>
      </c>
      <c r="B8640" t="inlineStr">
        <is>
          <t>Gin and ???</t>
        </is>
      </c>
      <c r="C8640" t="inlineStr">
        <is>
          <t>I've got gin, need something to mix it with that will cause the least amount of acidity in my stomach, any suggestions?</t>
        </is>
      </c>
      <c r="D8640" t="n">
        <v>1</v>
      </c>
      <c r="E8640" t="n">
        <v>11</v>
      </c>
      <c r="F8640">
        <f>HYPERLINK("https://www.reddit.com/r/GERD/comments/hin5x5/gin_and/")</f>
        <v/>
      </c>
      <c r="G8640" t="inlineStr">
        <is>
          <t>2020-06-30 06:17:00</t>
        </is>
      </c>
      <c r="H8640" t="inlineStr"/>
    </row>
    <row r="8641">
      <c r="A8641" t="inlineStr">
        <is>
          <t>hir69a</t>
        </is>
      </c>
      <c r="B8641" t="inlineStr">
        <is>
          <t>New to GERD</t>
        </is>
      </c>
      <c r="C8641" t="inlineStr">
        <is>
          <t>Was diagnosed and have been taking prilosec for five days, to little help. I'm curious how the symptoms manifest for you all - mine has very little burning/acidic sensation. It throbs/pulses all day just under my sternum and I feel so bloated in my upper abdomen all the time I might pop.</t>
        </is>
      </c>
      <c r="D8641" t="n">
        <v>2</v>
      </c>
      <c r="E8641" t="n">
        <v>2</v>
      </c>
      <c r="F8641">
        <f>HYPERLINK("https://www.reddit.com/r/GERD/comments/hir69a/new_to_gerd/")</f>
        <v/>
      </c>
      <c r="G8641" t="inlineStr">
        <is>
          <t>2020-06-30 09:54:34</t>
        </is>
      </c>
      <c r="H8641" t="inlineStr"/>
    </row>
    <row r="8642">
      <c r="A8642" t="inlineStr">
        <is>
          <t>hiro2v</t>
        </is>
      </c>
      <c r="B8642" t="inlineStr">
        <is>
          <t>Do you believe we are underestimating stress?</t>
        </is>
      </c>
      <c r="C8642" t="inlineStr">
        <is>
          <t>First of all, GERD is very real. I'm suffering for more than 3 years, and there are people suffering for many more.
Since joining this sub, I have noticed many posts corellating GERD with symptoms like headaches, rapid heart rate, dizziness, fatigue etc, which are all common symptoms of stress/panic attacks. I despise doctors that blame all GERD-symptoms to stress and call it a day, but are we maybe at the other end of the spectrum? Are we blaming GERD for things it can't cause and completely dismiss stress? Would acknowledging stress make our GERD, and in extension our lives, a little easier?
 I would like to hear your opinions since you all are fellow sufferers!
(Sorry for reposting, I initially made a mistake at the title)</t>
        </is>
      </c>
      <c r="D8642" t="n">
        <v>1</v>
      </c>
      <c r="E8642" t="n">
        <v>6</v>
      </c>
      <c r="F8642">
        <f>HYPERLINK("https://www.reddit.com/r/GERD/comments/hiro2v/do_you_believe_we_are_underestimating_stress/")</f>
        <v/>
      </c>
      <c r="G8642" t="inlineStr">
        <is>
          <t>2020-06-30 10:19:06</t>
        </is>
      </c>
      <c r="H8642" t="inlineStr"/>
    </row>
    <row r="8643">
      <c r="A8643" t="inlineStr">
        <is>
          <t>hish8l</t>
        </is>
      </c>
      <c r="B8643" t="inlineStr">
        <is>
          <t>Gerd or Hiatal Hernia?</t>
        </is>
      </c>
      <c r="C8643" t="inlineStr">
        <is>
          <t>Hi all,
I have frequent acid reflux, bloating and chest pains however non of this is as worrisome as the difficulty in breathing i experience when i sleep on my back ( i prefer this position because i am correcting years of bad posture).
Could this be GERD or HH? What distinctive factor can separate them? I know HH is very likely to lead to GERD but GERD does not lead to HH.
I need some help! I don't have money for endoscopy to diagnose GERD but I know some of you with experience can easily tell the difference.
Thanks</t>
        </is>
      </c>
      <c r="D8643" t="n">
        <v>2</v>
      </c>
      <c r="E8643" t="n">
        <v>0</v>
      </c>
      <c r="F8643">
        <f>HYPERLINK("https://www.reddit.com/r/GERD/comments/hish8l/gerd_or_hiatal_hernia/")</f>
        <v/>
      </c>
      <c r="G8643" t="inlineStr">
        <is>
          <t>2020-06-30 10:59:02</t>
        </is>
      </c>
      <c r="H8643" t="inlineStr"/>
    </row>
    <row r="8644">
      <c r="A8644" t="inlineStr">
        <is>
          <t>hit3v0</t>
        </is>
      </c>
      <c r="B8644" t="inlineStr">
        <is>
          <t>This question is for women with Gastritis/Gerd. Does your symptoms increase when it's that time of the month?</t>
        </is>
      </c>
      <c r="C8644" t="inlineStr">
        <is>
          <t>I've been struggling with my first flare up since the end of March and a lot has improved. The only issue that's left is the heaviness on the chest, I'm trying my best to figure out why I can't get it to go. Do you find that your symptoms increases a great deal when it's that time of the month?</t>
        </is>
      </c>
      <c r="D8644" t="n">
        <v>3</v>
      </c>
      <c r="E8644" t="n">
        <v>38</v>
      </c>
      <c r="F8644">
        <f>HYPERLINK("https://www.reddit.com/r/GERD/comments/hit3v0/this_question_is_for_women_with_gastritisgerd/")</f>
        <v/>
      </c>
      <c r="G8644" t="inlineStr">
        <is>
          <t>2020-06-30 11:29:26</t>
        </is>
      </c>
      <c r="H8644" t="inlineStr"/>
    </row>
    <row r="8645">
      <c r="A8645" t="inlineStr">
        <is>
          <t>hito53</t>
        </is>
      </c>
      <c r="B8645" t="inlineStr">
        <is>
          <t>Literal Acid reflux</t>
        </is>
      </c>
      <c r="C8645" t="inlineStr">
        <is>
          <t>Have any of you experienced waking up suddenly in the middle of the night and throw up only little drops of stomach acid? Or at least that’s what I think it is, no food just little drops of clear liquid, happened to me 3 times already</t>
        </is>
      </c>
      <c r="D8645" t="n">
        <v>1</v>
      </c>
      <c r="E8645" t="n">
        <v>2</v>
      </c>
      <c r="F8645">
        <f>HYPERLINK("https://www.reddit.com/r/GERD/comments/hito53/literal_acid_reflux/")</f>
        <v/>
      </c>
      <c r="G8645" t="inlineStr">
        <is>
          <t>2020-06-30 11:56:47</t>
        </is>
      </c>
      <c r="H8645" t="inlineStr"/>
    </row>
    <row r="8646">
      <c r="A8646" t="inlineStr">
        <is>
          <t>hity46</t>
        </is>
      </c>
      <c r="B8646" t="inlineStr">
        <is>
          <t>What is this pain in the middle of my chest?</t>
        </is>
      </c>
      <c r="C8646" t="inlineStr">
        <is>
          <t>Occasionally I’ve been experiencing chest pain in the middle of my chest when I swallow saliva mostly, sometimes drinks and food.
Today I did my endoscopy the doctor said nothing is wrong, all seems normal and I don’t suffer from GERD or anything.
He took biopsy as well, results in 10-15 days.
Now I got back home after not feeling this for a week, I ate and since I was on anesthesia I fell asleep on my stomach and after waking up I started feeling it again and it hurts when I swallow food or drink now
What could be the cause?</t>
        </is>
      </c>
      <c r="D8646" t="n">
        <v>1</v>
      </c>
      <c r="E8646" t="n">
        <v>3</v>
      </c>
      <c r="F8646">
        <f>HYPERLINK("https://www.reddit.com/r/GERD/comments/hity46/what_is_this_pain_in_the_middle_of_my_chest/")</f>
        <v/>
      </c>
      <c r="G8646" t="inlineStr">
        <is>
          <t>2020-06-30 12:09:52</t>
        </is>
      </c>
      <c r="H8646" t="inlineStr"/>
    </row>
    <row r="8647">
      <c r="A8647" t="inlineStr">
        <is>
          <t>hiu8ba</t>
        </is>
      </c>
      <c r="B8647" t="inlineStr">
        <is>
          <t>Iberogast vs zantac?</t>
        </is>
      </c>
      <c r="C8647" t="inlineStr">
        <is>
          <t>Guys what's better for trapped gas/ lots of burping</t>
        </is>
      </c>
      <c r="D8647" t="n">
        <v>1</v>
      </c>
      <c r="E8647" t="n">
        <v>12</v>
      </c>
      <c r="F8647">
        <f>HYPERLINK("https://www.reddit.com/r/GERD/comments/hiu8ba/iberogast_vs_zantac/")</f>
        <v/>
      </c>
      <c r="G8647" t="inlineStr">
        <is>
          <t>2020-06-30 12:23:43</t>
        </is>
      </c>
      <c r="H8647" t="inlineStr"/>
    </row>
    <row r="8648">
      <c r="A8648" t="inlineStr">
        <is>
          <t>hiuev7</t>
        </is>
      </c>
      <c r="B8648" t="inlineStr">
        <is>
          <t>H. Pylori positive</t>
        </is>
      </c>
      <c r="C8648" t="inlineStr">
        <is>
          <t>Hi everyone.
Ever since having flu like symptoms back in January, I’ve been dealing with some bad internal dizziness and squeezing head pressure/ear pressure.
I have no cough or fever but major congestion in my head/nose along with some facial tightness as well.  Doctors have considered ear infection, sinusitis, migraines etc.
That being said, along with these symptoms, the last major one I developed is GI issues:
-bloating
-indigestion 
-feeling full with a few bites
So I went back to the doctors office recently and got a stool test, and tested positive for H. pylori...
I was wondering can H. Pylori not only be the cause of my GI issues but also my original symptoms post flu? (head pressure, white mucus from nose, sinus, internal dizziness etc)
I have suffered from migraines all my life and I’m not sure if there’s a correlation between H. pylori and what I’m dealing with right now? This type of head pressure feels different from a sharp, throbbing migraine
Or is the H. Pylori/GI issues most likely seperate from my head issues?
Any advice would be awesome.
5’6 
29 yrs old
Male
172 lbs</t>
        </is>
      </c>
      <c r="D8648" t="n">
        <v>2</v>
      </c>
      <c r="E8648" t="n">
        <v>5</v>
      </c>
      <c r="F8648">
        <f>HYPERLINK("https://www.reddit.com/r/GERD/comments/hiuev7/h_pylori_positive/")</f>
        <v/>
      </c>
      <c r="G8648" t="inlineStr">
        <is>
          <t>2020-06-30 12:32:37</t>
        </is>
      </c>
      <c r="H8648" t="inlineStr"/>
    </row>
    <row r="8649">
      <c r="A8649" t="inlineStr">
        <is>
          <t>hiuo2h</t>
        </is>
      </c>
      <c r="B8649" t="inlineStr">
        <is>
          <t>Dexilant and anxiety??</t>
        </is>
      </c>
      <c r="C8649" t="inlineStr">
        <is>
          <t>Hey all, It's me again, The man that's been coming on here to vent about my journey of GERD/Esophagitis the past month. 
I can say that the 3 weeks I've taken Dexilant have done wonders for my esophagus.
Haven't felt that slime feeling in my throat, Globus sensation has been weakened, And I'm eating more food and maintaining my normal body weight again. 
But this has all come at a price maybe worse than the esophagitis and that's my mind. 
The past week I've been struggling with soul crushing anxiety that's made it so i can barely leave my house (Not like i would wanna go out even feeling 100% because of a Covid outbreak in my area lmao)
I'm still experiencing TERRIBLE bouts of nausea, And they seem to get better only to get worse again. 
Yesterday was the worst i felt in weeks, But that might very well be due to the fact i decided it would be a great idea to polish off an entire cheese pizza all by myself...Not my brightest moment. 
However, It seems like these waves of nausea I'm feeling are only worsened by my head always fearing the worst. 
When i go outside all i can think is "What happens if i have a flare up out here" and on top of my already existing GERD (Which just doesn't seem like Dexilant treated that at all) my anxiety of the "What if's" makes me feel even worse and I'm really having a hard time dealing with it.
Talked to a doctor last night over the phone and he seemed really confused as to why i was put on Dexilant with the symptoms that i have. 
He prescribed me Pariet to take (WHICH DOESN'T HAVE NAUSEA AS A LEADING SIDE EFFECT LETS FREAKING GO!) and a very small dose of some mental medication to take that i can't quite remember the name of off the top of my head and I'm honestly too lazy to grab it atm lol.
As a Tldr sorta thing, Do you guys think i should finish my course of Dexilant since i only have a week left or just switch to the Pariet tomorrow?
Like i said, The Dexilant has helped in some regards but the fact I'm still feeling nauseous after this long has driven me a bit crazy. 
Worth another week of nausea and anxiety or just toss it and start the Pariet?
Thanks in advance to anybody willing to sit here and read the ramblings of a stranger and shoot some advice.</t>
        </is>
      </c>
      <c r="D8649" t="n">
        <v>2</v>
      </c>
      <c r="E8649" t="n">
        <v>7</v>
      </c>
      <c r="F8649">
        <f>HYPERLINK("https://www.reddit.com/r/GERD/comments/hiuo2h/dexilant_and_anxiety/")</f>
        <v/>
      </c>
      <c r="G8649" t="inlineStr">
        <is>
          <t>2020-06-30 12:45:09</t>
        </is>
      </c>
      <c r="H8649" t="inlineStr"/>
    </row>
    <row r="8650">
      <c r="A8650" t="inlineStr">
        <is>
          <t>hiwak6</t>
        </is>
      </c>
      <c r="B8650" t="inlineStr">
        <is>
          <t>Pain when swallowing on the chest after an endoscopy?</t>
        </is>
      </c>
      <c r="C8650" t="inlineStr">
        <is>
          <t>Alongside sore and dry throat, did you experience chest pain when you swallow or eat food after an endoscopy? if so how long did it last?</t>
        </is>
      </c>
      <c r="D8650" t="n">
        <v>1</v>
      </c>
      <c r="E8650" t="n">
        <v>1</v>
      </c>
      <c r="F8650">
        <f>HYPERLINK("https://www.reddit.com/r/GERD/comments/hiwak6/pain_when_swallowing_on_the_chest_after_an/")</f>
        <v/>
      </c>
      <c r="G8650" t="inlineStr">
        <is>
          <t>2020-06-30 14:05:37</t>
        </is>
      </c>
      <c r="H8650" t="inlineStr"/>
    </row>
    <row r="8651">
      <c r="A8651" t="inlineStr">
        <is>
          <t>hiwq50</t>
        </is>
      </c>
      <c r="B8651" t="inlineStr">
        <is>
          <t>Anyone who suffers with Shortness of breath / dyspnea commonly, do you have any tips to help?</t>
        </is>
      </c>
      <c r="C8651" t="inlineStr">
        <is>
          <t>So follow up to my last post for around 4 or 5 days now I’ve suffered with shortness of breath and I’m 80% sure it’s due to acid reflux.
Currently my throat feels sore and tingly and a bit hoarse and it feels like I have bad asthma and I cannot take full breaths, my sp02 is normal.
This all occurred after I was stupid and eat a large Pizza last week, after this I had terrible bloating for a few days, following this I had shortness of breath which I believe was caused by the bloating and upper gastric issues.
I believe what’s happened is my throat has been burned by a lot of excessive acid and also I’ve breathed in some of the acid into the lungs causing this.
I had this before back in March and it lasted around 1-2 weeks and then went away. I’m hoping this may occur again.
I do drink a lot of caffeine and wonder if this maybe making the situation worse ?  
Does anyone who suffers with this have any pro tips or advice to help relieve the symptoms ? Or is it a case of just suck it up and deal with it? :(</t>
        </is>
      </c>
      <c r="D8651" t="n">
        <v>3</v>
      </c>
      <c r="E8651" t="n">
        <v>13</v>
      </c>
      <c r="F8651">
        <f>HYPERLINK("https://www.reddit.com/r/GERD/comments/hiwq50/anyone_who_suffers_with_shortness_of_breath/")</f>
        <v/>
      </c>
      <c r="G8651" t="inlineStr">
        <is>
          <t>2020-06-30 14:28:49</t>
        </is>
      </c>
      <c r="H8651" t="inlineStr"/>
    </row>
    <row r="8652">
      <c r="A8652" t="inlineStr">
        <is>
          <t>hiybyz</t>
        </is>
      </c>
      <c r="B8652" t="inlineStr">
        <is>
          <t>Has anyone gotten the stomach surgery?</t>
        </is>
      </c>
      <c r="C8652" t="inlineStr">
        <is>
          <t>I cant handle the diet also I think gerd gave me asthma. I'm just not strong enough. I wanna hear from people who got the survey did it work are you happy with it?</t>
        </is>
      </c>
      <c r="D8652" t="n">
        <v>1</v>
      </c>
      <c r="E8652" t="n">
        <v>7</v>
      </c>
      <c r="F8652">
        <f>HYPERLINK("https://www.reddit.com/r/GERD/comments/hiybyz/has_anyone_gotten_the_stomach_surgery/")</f>
        <v/>
      </c>
      <c r="G8652" t="inlineStr">
        <is>
          <t>2020-06-30 15:58:53</t>
        </is>
      </c>
      <c r="H8652" t="inlineStr"/>
    </row>
    <row r="8653">
      <c r="A8653" t="inlineStr">
        <is>
          <t>hiyd9e</t>
        </is>
      </c>
      <c r="B8653" t="inlineStr">
        <is>
          <t>How can I stop regurgitating liquids?</t>
        </is>
      </c>
      <c r="C8653" t="inlineStr">
        <is>
          <t>Ate some soup, regurgitated a couple times afterwards. Drinking water always seems to regurgitate. Then comes the burning back of the throat. 
Any tips? Or am I broken lol</t>
        </is>
      </c>
      <c r="D8653" t="n">
        <v>1</v>
      </c>
      <c r="E8653" t="n">
        <v>7</v>
      </c>
      <c r="F8653">
        <f>HYPERLINK("https://www.reddit.com/r/GERD/comments/hiyd9e/how_can_i_stop_regurgitating_liquids/")</f>
        <v/>
      </c>
      <c r="G8653" t="inlineStr">
        <is>
          <t>2020-06-30 16:00:55</t>
        </is>
      </c>
      <c r="H8653" t="inlineStr"/>
    </row>
    <row r="8654">
      <c r="A8654" t="inlineStr">
        <is>
          <t>hiywlh</t>
        </is>
      </c>
      <c r="B8654" t="inlineStr">
        <is>
          <t>(22 Y.O) Recently dealing with GERD due to Accutane. Been having constant difficulty swallowing episodes daily for 2 weeks now. Having Health anxiety isn’t helping either. Any tips please?</t>
        </is>
      </c>
      <c r="C8654" t="inlineStr">
        <is>
          <t xml:space="preserve">
Hi, so I started getting bad GERD due to Accutane. I stopped around 2 weeks ago due to having  a really bad acid reflux episode which irritated my throat for three days. After that happen I began dealing with globus sensation episodes multiple times a day for more than a week now. I would get those moments on Accutane as well but it wasn’t daily like it is now.
Sometimes i get it at night and it makes it so difficult to sleep because I can’t even swallow my own saliva, I also get it when working out too. At first I thought it was just anxiety because it would go away after a while but now I’m realizing it could be because of GERD. I made an appointment with my doctor about it but it’s in two weeks.
So my question is is there anything I can do for now to help it? And is this a bad sign because I get the throat closing feeling multiple times a day now? I’ve started to get more panic attacks as well which i never dealt with before. Thank you in advance!</t>
        </is>
      </c>
      <c r="D8654" t="n">
        <v>1</v>
      </c>
      <c r="E8654" t="n">
        <v>0</v>
      </c>
      <c r="F8654">
        <f>HYPERLINK("https://www.reddit.com/r/GERD/comments/hiywlh/22_yo_recently_dealing_with_gerd_due_to_accutane/")</f>
        <v/>
      </c>
      <c r="G8654" t="inlineStr">
        <is>
          <t>2020-06-30 16:32:15</t>
        </is>
      </c>
      <c r="H8654" t="inlineStr"/>
    </row>
    <row r="8655">
      <c r="A8655" t="inlineStr">
        <is>
          <t>hizloe</t>
        </is>
      </c>
      <c r="B8655" t="inlineStr">
        <is>
          <t>What surgery is better for LPR/Silent reflux, especially asthma-like symptoms.</t>
        </is>
      </c>
      <c r="C8655" t="inlineStr">
        <is>
          <t>Linx, TIF, Nissen? For those who suffer/ed with LPR/Silent reflux type symptoms, or asthma-like symptoms, and got surgery, what works best?</t>
        </is>
      </c>
      <c r="D8655" t="n">
        <v>1</v>
      </c>
      <c r="E8655" t="n">
        <v>6</v>
      </c>
      <c r="F8655">
        <f>HYPERLINK("https://www.reddit.com/r/GERD/comments/hizloe/what_surgery_is_better_for_lprsilent_reflux/")</f>
        <v/>
      </c>
      <c r="G8655" t="inlineStr">
        <is>
          <t>2020-06-30 17:15:04</t>
        </is>
      </c>
      <c r="H8655" t="inlineStr"/>
    </row>
    <row r="8656">
      <c r="A8656" t="inlineStr">
        <is>
          <t>hj0mm3</t>
        </is>
      </c>
      <c r="B8656" t="inlineStr">
        <is>
          <t>Is my logic messed up here?</t>
        </is>
      </c>
      <c r="C8656" t="inlineStr">
        <is>
          <t>I am having the 24 hour PH test soon, and I had this messed up thought come out of nowhere that I can't shake. I have dealt with so many other failed tests in my pursuit to find out what the source of my problems are (makes sense in retrospect bc they weren't causing my condition to begin with) that I was thinking, to minimize the risk of a false negative on this PH test, I could just royally fuck up my eating for the day of the test and maybe the day before. 
Huge meals, off limits foods, etc, in order to make absolutely sure that my PH test records the symptoms I know I can trigger, specifically regurgitation. Now I have been faithfully following the Acid Watchers diet by Dr. Aviv for a bit now, and I don't want that to skew my results. What do you all think?</t>
        </is>
      </c>
      <c r="D8656" t="n">
        <v>1</v>
      </c>
      <c r="E8656" t="n">
        <v>11</v>
      </c>
      <c r="F8656">
        <f>HYPERLINK("https://www.reddit.com/r/GERD/comments/hj0mm3/is_my_logic_messed_up_here/")</f>
        <v/>
      </c>
      <c r="G8656" t="inlineStr">
        <is>
          <t>2020-06-30 18:21:10</t>
        </is>
      </c>
      <c r="H8656" t="inlineStr"/>
    </row>
    <row r="8657">
      <c r="A8657" t="inlineStr">
        <is>
          <t>hj10jl</t>
        </is>
      </c>
      <c r="B8657" t="inlineStr">
        <is>
          <t>Seriously considering surgery Urh</t>
        </is>
      </c>
      <c r="C8657" t="inlineStr">
        <is>
          <t>Okay so I’ve been off work since last September dealing with anxity and depression and being in therapy. I’ve mentioned to my doctor again about my throat problems in January he gave me ppi nothing, then I tried two different antacids nothing, two different nose sprays nothing, I’m on Effexor for stress nothing helping with that for gerd. 
It hard to work bc I’m constantly clearing my throat or it gets hard for me to talk with customers. I’ve worked retail and call Center and hosting. I want to finish school for dental reception but how can I get a job with this issues answering phone calls all day. I had a hard time at the call Center bc customers said I sounded sick or they couldn’t hear me. And I have a very hoarse voice I’ve made several post but I’m seriously thinking of have gerd surgery and voice surgery like how can I hold a job in public with this when km constantly clearing my throat. I’m at a point I don’t care how much they coast. I have a hard time keeping friends too or even dating with this I just hate it at this point and paying for surgery seems like id go for it if it helps. And I believe this all started when I was on accutane about 15 years ago. I’ve never had it before :(</t>
        </is>
      </c>
      <c r="D8657" t="n">
        <v>1</v>
      </c>
      <c r="E8657" t="n">
        <v>3</v>
      </c>
      <c r="F8657">
        <f>HYPERLINK("https://www.reddit.com/r/GERD/comments/hj10jl/seriously_considering_surgery_urh/")</f>
        <v/>
      </c>
      <c r="G8657" t="inlineStr">
        <is>
          <t>2020-06-30 18:46:53</t>
        </is>
      </c>
      <c r="H8657" t="inlineStr"/>
    </row>
    <row r="8658">
      <c r="A8658" t="inlineStr">
        <is>
          <t>hj1wex</t>
        </is>
      </c>
      <c r="B8658" t="inlineStr">
        <is>
          <t>Endoscopy today. Still Lost. Can anyone relate and advice would be appreciated.</t>
        </is>
      </c>
      <c r="C8658" t="inlineStr">
        <is>
          <t>I posted here a couple weeks ago.(I think) about my situation. Well today I had my endoscopy. I was told my husband was going to be called and told the results and have things explained to him they didn't . I was also told that I was going to talk to my GI after and was going to be explained everything after I woke up. She didn't. I was starting to wake up and the nurse that was at the recovery room was telling me I needed to wake up bc I needed to leave. I asked her if everything was OK and she said that she gave me papers that said what it was. I really had to pee so she helped me get to the restroom then rushed me out of there to get picked up. So the paper work has pictures and it says LA grade A reflux esophagitis. Also that three biopsies were taken and that if i don't  hear from my doctor in 10 days to call. I have to take famotidine 40 which I told her that I didn'thave a good experience with and sulfacrate. I called her office bc I am having pain with food going into my stomach that is causing back pain and her assistant just kept talking over me and said the meds she gave me, the famitodine and sulfacrate would help with that? I couldn'teven ask about the result when she rushed me off the phone. (I hate the doctors where I live. Worst state ever!) 
So I am still lost. Does that mean I have gerd? Or is it caused by something else? I never had issues with heartburn  prior to the severe  allergic reaction to the antibiotic the beginning of April where I had to go to the ER. No sore throat no throat clearing no chest pains. I don't have a gallbladder so I don't eat fatty food or fried or dairy ect. I don't  drink soda or eat candy really (which now I wish I would have) I worked out 5 days out of the week. Not like heavy lifting bc i have degenerative disk disease but worked out. I don't even know where to start with eliminating trigger foods bc I  never had issues with that and some like dairy/ fatty whatever stopped in 2016 bc of my gallbladder. All the bland food I am eating sometimes sits ok and other times doesn't in my stomach and I feel the acid in my stomach and burning in my throat and mouth. Its either light or bad burning but its constant. 
Can anyone relate by any chance?
Can anyone recommend what to eat? I am 5ft 0 in and I use to weight 119 but fit and now today they weighed me and I'm at 100.3....I feel so self conscious. thought I was finally maintaining my weight bc i felt like I was eating a bit more even if it is bland but those thoughts were shattered. Would dairy free protein be safe for me? 
Any advice would be really appreciated.....I feel so down....</t>
        </is>
      </c>
      <c r="D8658" t="n">
        <v>1</v>
      </c>
      <c r="E8658" t="n">
        <v>9</v>
      </c>
      <c r="F8658">
        <f>HYPERLINK("https://www.reddit.com/r/GERD/comments/hj1wex/endoscopy_today_still_lost_can_anyone_relate_and/")</f>
        <v/>
      </c>
      <c r="G8658" t="inlineStr">
        <is>
          <t>2020-06-30 19:47:10</t>
        </is>
      </c>
      <c r="H8658" t="inlineStr"/>
    </row>
    <row r="8659">
      <c r="A8659" t="inlineStr">
        <is>
          <t>hj3svl</t>
        </is>
      </c>
      <c r="B8659" t="inlineStr">
        <is>
          <t>Suggestions</t>
        </is>
      </c>
      <c r="C8659" t="inlineStr">
        <is>
          <t>My whole life my digestion has been perfect, no problems, I could eat whatever I want whenever, not even a little heartburn. But about 2 years ago I got hard into vaping, which I continued with for a couple months...and this seemed to really take a toll on my digestion, plus a lot of stress I was dealing with at that time and a couple of panic attacks didn't help. 
I'm 25, healthy weight and have had GERD every day for about 2 years now. Haven't gone a second without constant chest pains, trouble breathing, migraines and constant gas and bloating..My whole digestive system feels so inflamed, I wake up in the mornings and my whole chest is just sore. It feels as though I might have some erosions, because it's a constant thing. Some Foods make it worse of course, but the chest pressure is always there no matter what..
Things I've tried:
\- Esomeprazole once a day for 2 weeks 
\- Esomeprazole twice a day for 2 weeks (neither of these really helped and quite honestly they slowed my digestion and lot and caused a lot of bloating, but the burning was reduced, especially after eating)
\- Famotidine 20mg twice a day (Helped tremendously)
\- Quit vaping about 2 years ago, haven't touched it since.
\- Stopped eating spicy foods and carbonated beverages/excess sugars
\- Drink less water with meals and chew my food thoroughly before swallowing
My current Regimen/diet:  \* I'm not taking any medications as of right now, not even antacids/tums ect. I'm just trying to see where I'm at baseline. 
I've been trying out this diet for about 3 weeks now.  It's  very very limited, almost anything causes me reflux, even before I switched to filtered water, my tap water was causing me severe refluxand bloating, so I'm trying to keep my diet very plain. Kind of a mix of low acid/low FODMAP/low glycemic. I fast for about 4 hours before bed, and I fast for 4 hours after waking up, So I only have about an 8 hour window of eating. The fasting has helped TREMENDOUSLY. More than anything else. I feel great in the mornings, significantly less chest pressure and reflux. Then I usually have a snack, just a banana with a glass of plain unsweetened almond milk and 2 tbsp organic peanut butter (this snack does cause me a little reflux, but not much compared to other things). then about 3 hours later I have a meal --&amp;gt; 1 plain chicken breast broiled, with 1/2 cup canned unsalted plain lentils and some steamed carrots (hardly any reflux with this meal). then about 2 hours later i'll have a smoothie with 1 banana, almond milk about a cup of blueberries, some strawberries and flax seeds (not much reflux if any). I warm this up a little in the microwave as it seems to be better for my digestion. Then about 2 hours later I'll have a snack of Chobani nonfat greek yogurt (blueberry flavored) and another 2 tbsp peanut butter and just some almond milk. and that's my last meal of the day. then about 4-5 hours later i'll take some gaviscon advanced before bed to coat the esophagus. The yogurt seems to really calm my digestion as I've noticed, when I eat yogurt at night I always wake up with less reflux. Also I drink at least 2 Liters of water a day, usually around 2.5L filtered.
This diet has definitely helped, but not as much as I thought it would. I still don't feel as though my esophagus is healing. And I know it's been 3 weeks and that's not much time to tell yet. The diet has helped a lot don't get me wrong but i still go through the day with that severe chest pain, the acidic feeling in my throat is greatly reduced though. The diet is 6 days a week, on the 7th day I give myself a cheat day where I just eat as usual, whatever I want. It gives me a lott of motivation to keep going with the diet, but I might have to remove this and have the diet 7 days a week. 
Things I've been thinking of trying: Might take out the cheat day??? But my diet is so strict to begin with I don't know if I could do that. Never tried raising the head of my bed so I might add that on. also heard drinking chamomile tea helps, so i might drink a cup before bed. also probiotics, been wanting to try these, I'm thinking of incorporating some kefir milk or kefir coconut water to the diet and if this doesn't work add in probiotic pills. and give those a chance for a couple weeks. and I want to start working out soon, which is why i'm eating a lot of foods with high protein. and of course if all this fails, I will add the PPI's back on for about 8 weeks, as this is how long it takes to heal esophagus usually. 
My question is what do you guys think of this diet and this plan, is there anything I should change and add to it, or any suggestions at all? I'll take anything lol.</t>
        </is>
      </c>
      <c r="D8659" t="n">
        <v>1</v>
      </c>
      <c r="E8659" t="n">
        <v>9</v>
      </c>
      <c r="F8659">
        <f>HYPERLINK("https://www.reddit.com/r/GERD/comments/hj3svl/suggestions/")</f>
        <v/>
      </c>
      <c r="G8659" t="inlineStr">
        <is>
          <t>2020-06-30 22:01:58</t>
        </is>
      </c>
      <c r="H8659" t="inlineStr"/>
    </row>
    <row r="8660">
      <c r="A8660" t="inlineStr">
        <is>
          <t>hj3xrt</t>
        </is>
      </c>
      <c r="B8660" t="inlineStr">
        <is>
          <t>Bad breathe taste in mouth? Tight throat and pain when swallowing.</t>
        </is>
      </c>
      <c r="C8660" t="inlineStr">
        <is>
          <t>So since yesterday I've been feeling a bit of a tight throat and pain whenever I swallow. Almost as id my tonsils are inflamed or my esophagus. Also when I swallow I feel a slight bumpy like pain. I have been eating like shit this past month but today went grocery shopping and learned how to cook some healthy meals for myself. Could this be acid reflux related? The bad taste wont go away even after brushing my teeth and as of now it tastes like a more foul version of what I just ate.</t>
        </is>
      </c>
      <c r="D8660" t="n">
        <v>1</v>
      </c>
      <c r="E8660" t="n">
        <v>0</v>
      </c>
      <c r="F8660">
        <f>HYPERLINK("https://www.reddit.com/r/GERD/comments/hj3xrt/bad_breathe_taste_in_mouth_tight_throat_and_pain/")</f>
        <v/>
      </c>
      <c r="G8660" t="inlineStr">
        <is>
          <t>2020-06-30 22:12:08</t>
        </is>
      </c>
      <c r="H8660" t="inlineStr"/>
    </row>
    <row r="8661">
      <c r="A8661" t="inlineStr">
        <is>
          <t>hj45za</t>
        </is>
      </c>
      <c r="B8661" t="inlineStr">
        <is>
          <t>Can a PPI cause/worsen heartburn?</t>
        </is>
      </c>
      <c r="C8661" t="inlineStr">
        <is>
          <t>About a week ago I was prescribed Omeprazole. Within a few days, I started experiencing heartburn much more frequently and painful that before. Are PPIs known to do this?</t>
        </is>
      </c>
      <c r="D8661" t="n">
        <v>1</v>
      </c>
      <c r="E8661" t="n">
        <v>8</v>
      </c>
      <c r="F8661">
        <f>HYPERLINK("https://www.reddit.com/r/GERD/comments/hj45za/can_a_ppi_causeworsen_heartburn/")</f>
        <v/>
      </c>
      <c r="G8661" t="inlineStr">
        <is>
          <t>2020-06-30 22:29:04</t>
        </is>
      </c>
      <c r="H8661" t="inlineStr"/>
    </row>
    <row r="8662">
      <c r="A8662" t="inlineStr">
        <is>
          <t>hj5fz2</t>
        </is>
      </c>
      <c r="B8662" t="inlineStr">
        <is>
          <t>Empty stomach heartburn</t>
        </is>
      </c>
      <c r="C8662" t="inlineStr">
        <is>
          <t>Anyone get heartburn on empty stomach that is relived by eating something? 
How are we supposed to avoid eating 3 hours before going to sleep? By that time my heartburn is just starting. I need to eat something before going sleep, but can't wait more than something like 1 hour or heartburn starts and can't sleep like that. 
I have been doing this for a while but I am getting awake with heartburn after 3-4 hours sleeping EVERY SINGLE DAY. I have to eat something, wait a little and go rest again. I am sleeping on 2 parts basically. 
Have tried all conventional medications (omeprazole and ranitidine), neither work. 
I am thinking about nissen fundoplication as ultimate solution but wanted to know if anyone have this same problem and maybe some tricks to handle it meanwhile?</t>
        </is>
      </c>
      <c r="D8662" t="n">
        <v>1</v>
      </c>
      <c r="E8662" t="n">
        <v>4</v>
      </c>
      <c r="F8662">
        <f>HYPERLINK("https://www.reddit.com/r/GERD/comments/hj5fz2/empty_stomach_heartburn/")</f>
        <v/>
      </c>
      <c r="G8662" t="inlineStr">
        <is>
          <t>2020-07-01 00:08:48</t>
        </is>
      </c>
      <c r="H8662" t="inlineStr"/>
    </row>
    <row r="8663">
      <c r="A8663" t="inlineStr">
        <is>
          <t>hj7tpo</t>
        </is>
      </c>
      <c r="B8663" t="inlineStr">
        <is>
          <t>Coffee</t>
        </is>
      </c>
      <c r="C8663" t="inlineStr">
        <is>
          <t>I’m still learning and adjusting my diet to minimize symptoms. That being said, I haven’t had a coffee in 3 days cause I read somewhere briefly that it is something I need to avoid. When looking deeper into it, I got a lot of conflicting information. Anyone have advice/experience with this?</t>
        </is>
      </c>
      <c r="D8663" t="n">
        <v>1</v>
      </c>
      <c r="E8663" t="n">
        <v>8</v>
      </c>
      <c r="F8663">
        <f>HYPERLINK("https://www.reddit.com/r/GERD/comments/hj7tpo/coffee/")</f>
        <v/>
      </c>
      <c r="G8663" t="inlineStr">
        <is>
          <t>2020-07-01 03:39:00</t>
        </is>
      </c>
      <c r="H8663" t="inlineStr"/>
    </row>
    <row r="8664">
      <c r="A8664" t="inlineStr">
        <is>
          <t>hj937d</t>
        </is>
      </c>
      <c r="B8664" t="inlineStr">
        <is>
          <t>Anyone have better luck with pantaprazole vs Omeprazole?</t>
        </is>
      </c>
      <c r="C8664" t="inlineStr">
        <is>
          <t>So scared to take this morning.  Omeprazole had me so dizzy, like out of body 1 week in. 40mg</t>
        </is>
      </c>
      <c r="D8664" t="n">
        <v>1</v>
      </c>
      <c r="E8664" t="n">
        <v>10</v>
      </c>
      <c r="F8664">
        <f>HYPERLINK("https://www.reddit.com/r/GERD/comments/hj937d/anyone_have_better_luck_with_pantaprazole_vs/")</f>
        <v/>
      </c>
      <c r="G8664" t="inlineStr">
        <is>
          <t>2020-07-01 05:17:46</t>
        </is>
      </c>
      <c r="H8664" t="inlineStr"/>
    </row>
    <row r="8665">
      <c r="A8665" t="inlineStr">
        <is>
          <t>hj97vr</t>
        </is>
      </c>
      <c r="B8665" t="inlineStr">
        <is>
          <t>Exercise making symptoms worse</t>
        </is>
      </c>
      <c r="C8665" t="inlineStr">
        <is>
          <t>Does anyone else get symptoms during or after exercise. I've had this happen to me for a while now, makes it harder to stay in shape when you feel like shit after it</t>
        </is>
      </c>
      <c r="D8665" t="n">
        <v>1</v>
      </c>
      <c r="E8665" t="n">
        <v>6</v>
      </c>
      <c r="F8665">
        <f>HYPERLINK("https://www.reddit.com/r/GERD/comments/hj97vr/exercise_making_symptoms_worse/")</f>
        <v/>
      </c>
      <c r="G8665" t="inlineStr">
        <is>
          <t>2020-07-01 05:27:04</t>
        </is>
      </c>
      <c r="H8665" t="inlineStr"/>
    </row>
    <row r="8666">
      <c r="A8666" t="inlineStr">
        <is>
          <t>hjalzu</t>
        </is>
      </c>
      <c r="B8666" t="inlineStr">
        <is>
          <t>Sucralfate</t>
        </is>
      </c>
      <c r="C8666" t="inlineStr">
        <is>
          <t>Has anyone taken this med to help heal the throat and esophagus with a bad flare up? I was just prescribed it bc I haven’t been able to calm my reflux in a few weeks and it’s left my throat and esophagus in so much pain. The doc said I would drink this 4 times a day for two wks. I also asked if getting a different manufactured pill (happened when I got a refill of pantoprazole) could change the efficacy and she said absolutely so this change may have triggered my symptoms. Going back to two 20 mg pills instead of the big 40mg pill in the morning.</t>
        </is>
      </c>
      <c r="D8666" t="n">
        <v>1</v>
      </c>
      <c r="E8666" t="n">
        <v>10</v>
      </c>
      <c r="F8666">
        <f>HYPERLINK("https://www.reddit.com/r/GERD/comments/hjalzu/sucralfate/")</f>
        <v/>
      </c>
      <c r="G8666" t="inlineStr">
        <is>
          <t>2020-07-01 06:54:10</t>
        </is>
      </c>
      <c r="H8666" t="inlineStr"/>
    </row>
    <row r="8667">
      <c r="A8667" t="inlineStr">
        <is>
          <t>hjbpym</t>
        </is>
      </c>
      <c r="B8667" t="inlineStr">
        <is>
          <t>Gaviscon Advanced UK making my LPR to flare up.</t>
        </is>
      </c>
      <c r="C8667" t="inlineStr">
        <is>
          <t>Ever since I started using 1tsp of Gaviscon after meals and before bed two days ago, my LPR has been going crazy. Any tips? Have you guys experienced this?</t>
        </is>
      </c>
      <c r="D8667" t="n">
        <v>1</v>
      </c>
      <c r="E8667" t="n">
        <v>18</v>
      </c>
      <c r="F8667">
        <f>HYPERLINK("https://www.reddit.com/r/GERD/comments/hjbpym/gaviscon_advanced_uk_making_my_lpr_to_flare_up/")</f>
        <v/>
      </c>
      <c r="G8667" t="inlineStr">
        <is>
          <t>2020-07-01 07:52:49</t>
        </is>
      </c>
      <c r="H8667" t="inlineStr"/>
    </row>
    <row r="8668">
      <c r="A8668" t="inlineStr">
        <is>
          <t>hje292</t>
        </is>
      </c>
      <c r="B8668" t="inlineStr">
        <is>
          <t>Substitute for carafate?</t>
        </is>
      </c>
      <c r="C8668" t="inlineStr">
        <is>
          <t>My insurance decided to no longer cover the liquid carafate I was on and now I’m in misery. Carafate was my holy grail saving grace with this disease and now I am back to square one. I’ve had a sore throat for over a week now and I’m on my knees ready to give up at this point. I’ve been taking cocktails of different medicines trying to mend the pain, but nothing is working. My doctor had zero suggestions or alternatives which just made me feel more defeated. All he said was maybe I needed another endoscopy......great
Any advice, maybe specifically from LPR sufferers?</t>
        </is>
      </c>
      <c r="D8668" t="n">
        <v>1</v>
      </c>
      <c r="E8668" t="n">
        <v>7</v>
      </c>
      <c r="F8668">
        <f>HYPERLINK("https://www.reddit.com/r/GERD/comments/hje292/substitute_for_carafate/")</f>
        <v/>
      </c>
      <c r="G8668" t="inlineStr">
        <is>
          <t>2020-07-01 09:51:49</t>
        </is>
      </c>
      <c r="H8668" t="inlineStr"/>
    </row>
    <row r="8669">
      <c r="A8669" t="inlineStr">
        <is>
          <t>hjglzf</t>
        </is>
      </c>
      <c r="B8669" t="inlineStr">
        <is>
          <t>How do you ignore the comments you get about sudden weight loss?</t>
        </is>
      </c>
      <c r="C8669" t="inlineStr">
        <is>
          <t>I will preface this by saying that I have an eating disorder so that can be the main factor of why I lose weight. However people in my real life don't know about it + there are times when I'm eating healthily, not counting calories or intentionally trying to lose weight but because my acid reflux is so bad, I have to eat foods that are typically low calorie (because they're low in fat or I just eat very small amounts of very specific foods that don't cause me to regurgitate)
However the comments are very annoying(and triggering but I understand that that's my own responsibility to deal with since people don't know about my mental health issues). Some people saying I look good, some saying I look sick(understandably so). Some giving me unsolicited advice about what I should do to fix my acid reflux issues/how to gain weight when I'm pretty sure I know my body better and what works for me and what doesn't.</t>
        </is>
      </c>
      <c r="D8669" t="n">
        <v>1</v>
      </c>
      <c r="E8669" t="n">
        <v>8</v>
      </c>
      <c r="F8669">
        <f>HYPERLINK("https://www.reddit.com/r/GERD/comments/hjglzf/how_do_you_ignore_the_comments_you_get_about/")</f>
        <v/>
      </c>
      <c r="G8669" t="inlineStr">
        <is>
          <t>2020-07-01 11:59:50</t>
        </is>
      </c>
      <c r="H8669" t="inlineStr"/>
    </row>
    <row r="8670">
      <c r="A8670" t="inlineStr">
        <is>
          <t>hjgnyu</t>
        </is>
      </c>
      <c r="B8670" t="inlineStr">
        <is>
          <t>i'm the krazy kat</t>
        </is>
      </c>
      <c r="C8670" t="inlineStr">
        <is>
          <t>crazy</t>
        </is>
      </c>
      <c r="D8670" t="n">
        <v>1</v>
      </c>
      <c r="E8670" t="n">
        <v>3</v>
      </c>
      <c r="F8670">
        <f>HYPERLINK("https://www.reddit.com/r/GERD/comments/hjgnyu/im_the_krazy_kat/")</f>
        <v/>
      </c>
      <c r="G8670" t="inlineStr">
        <is>
          <t>2020-07-01 12:02:23</t>
        </is>
      </c>
      <c r="H8670" t="inlineStr"/>
    </row>
    <row r="8671">
      <c r="A8671" t="inlineStr">
        <is>
          <t>hjhv02</t>
        </is>
      </c>
      <c r="B8671" t="inlineStr">
        <is>
          <t>My burp is stuck (???)</t>
        </is>
      </c>
      <c r="C8671" t="inlineStr">
        <is>
          <t>Hi! I’ll start off by saying I’ve developed GERD after 7 years of bulimia(1 year purge free!). My biggest symptom is the feeling of getting a “burp stuck” in my chest and not being able to get it out without some of my food coming back up. I lean forward, sometimes even have someone hit my back, I such in a ton of air to get it all out, I chug water, etc. and it is still SO HARD TO DO. If I have an empty stomach and I need to burp, straight acid comes up and my chest/throat burns so bad that I have to stop what I’m doing to get through the pain of it. I haven’t seen much said about this in the research I’ve done, but has anyone else experienced this?</t>
        </is>
      </c>
      <c r="D8671" t="n">
        <v>1</v>
      </c>
      <c r="E8671" t="n">
        <v>6</v>
      </c>
      <c r="F8671">
        <f>HYPERLINK("https://www.reddit.com/r/GERD/comments/hjhv02/my_burp_is_stuck/")</f>
        <v/>
      </c>
      <c r="G8671" t="inlineStr">
        <is>
          <t>2020-07-01 13:02:53</t>
        </is>
      </c>
      <c r="H8671" t="inlineStr"/>
    </row>
    <row r="8672">
      <c r="A8672" t="inlineStr">
        <is>
          <t>hjk1mh</t>
        </is>
      </c>
      <c r="B8672" t="inlineStr">
        <is>
          <t>Difficulty Breathing After Eating?</t>
        </is>
      </c>
      <c r="C8672" t="inlineStr">
        <is>
          <t>I experience this sometimes, even when eating food that’s non allergy, low histamine, super safe. 
It eventually subsides. It gets alleviated when i burp; pressure on diaphragm? Could it be emotional?</t>
        </is>
      </c>
      <c r="D8672" t="n">
        <v>1</v>
      </c>
      <c r="E8672" t="n">
        <v>2</v>
      </c>
      <c r="F8672">
        <f>HYPERLINK("https://www.reddit.com/r/GERD/comments/hjk1mh/difficulty_breathing_after_eating/")</f>
        <v/>
      </c>
      <c r="G8672" t="inlineStr">
        <is>
          <t>2020-07-01 14:55:30</t>
        </is>
      </c>
      <c r="H8672" t="inlineStr"/>
    </row>
    <row r="8673">
      <c r="A8673" t="inlineStr">
        <is>
          <t>hjlg19</t>
        </is>
      </c>
      <c r="B8673" t="inlineStr">
        <is>
          <t>Acide Reflux Worse while on a Diet</t>
        </is>
      </c>
      <c r="C8673" t="inlineStr">
        <is>
          <t>Anyone experience bad acid reflux when beginning a diet/weight loss routine? I figured it's time to lose the quarantine weight and started a diet 3 days ago. I use to battle bad acid reflux when my anxiety was high or during stressful periods at work. I took up yoga/meditation and my acid reflux was at a minimum for the past year.  
It's my third day on the diet and my acid reflux is back in full force and gradually got worse the healthier I eat. Are my next steps to do an elimination diet to see what foods are causing this? Any tips?</t>
        </is>
      </c>
      <c r="D8673" t="n">
        <v>1</v>
      </c>
      <c r="E8673" t="n">
        <v>2</v>
      </c>
      <c r="F8673">
        <f>HYPERLINK("https://www.reddit.com/r/GERD/comments/hjlg19/acide_reflux_worse_while_on_a_diet/")</f>
        <v/>
      </c>
      <c r="G8673" t="inlineStr">
        <is>
          <t>2020-07-01 16:11:09</t>
        </is>
      </c>
      <c r="H8673" t="inlineStr"/>
    </row>
    <row r="8674">
      <c r="A8674" t="inlineStr">
        <is>
          <t>hjlxow</t>
        </is>
      </c>
      <c r="B8674" t="inlineStr">
        <is>
          <t>Does anyone else have sinus problems?</t>
        </is>
      </c>
      <c r="C8674" t="inlineStr">
        <is>
          <t>Since my symptoms started, I’ve had unrelenting clogged sinuses. My nose will sometimes make a whistling nose while breathing. Does anyone else here get sinus problems? I haven’t seen too much about this symptom.</t>
        </is>
      </c>
      <c r="D8674" t="n">
        <v>1</v>
      </c>
      <c r="E8674" t="n">
        <v>27</v>
      </c>
      <c r="F8674">
        <f>HYPERLINK("https://www.reddit.com/r/GERD/comments/hjlxow/does_anyone_else_have_sinus_problems/")</f>
        <v/>
      </c>
      <c r="G8674" t="inlineStr">
        <is>
          <t>2020-07-01 16:39:00</t>
        </is>
      </c>
      <c r="H8674" t="inlineStr"/>
    </row>
    <row r="8675">
      <c r="A8675" t="inlineStr">
        <is>
          <t>hjm0vl</t>
        </is>
      </c>
      <c r="B8675" t="inlineStr">
        <is>
          <t>Think I've got GERD/LPR</t>
        </is>
      </c>
      <c r="C8675" t="inlineStr">
        <is>
          <t>Going to see an ENT doctor tomorrow so hopefully will get some clarity. I'm making lifestyle changes and taking 40mg omeprazole daily (3 weeks) which has reduced symptoms a bit. I'm eating smaller meals, chewing food properly, avoiding slouching, trigger foods and fluids with meals. I don't eat anything 3-4 hours before sleeping. I've lost 7kg and walking hour + daily. I've elevated my bed and sleep on left hand side.
I eat local honey for hayfever &amp;amp; beconase if bad. I'm meditating for anxiety. The issue for me is I have untreated mental health issues and I had to cancel talking therapies, because I lost my voice. When I look at the risk factors for GERD/LPR- I tick so many boxes.
Being an ex-smoker and overweight. Other lifestyle habits I had like high-fat diet, heavy coffee drinker, anxiety, heavy weight-lifting at times, bad posture &amp;amp; eating habits. I'm trying not to hate myself right now because of this. I keep thinking about how this was preventable. The important thing is I'm changing now. I try to stay positive- this is treatable and isn't life ruining. 
My symptoms:
Vocal fatigue
Hoarse Voice
Burning in throat  (especially under jaw)
Sore throat
Sour taste in mouth
Pain in ears
Neck pain
Difficulty breathing
Globus sensation
Diurnal &amp;amp; nocturnal symptoms</t>
        </is>
      </c>
      <c r="D8675" t="n">
        <v>1</v>
      </c>
      <c r="E8675" t="n">
        <v>2</v>
      </c>
      <c r="F8675">
        <f>HYPERLINK("https://www.reddit.com/r/GERD/comments/hjm0vl/think_ive_got_gerdlpr/")</f>
        <v/>
      </c>
      <c r="G8675" t="inlineStr">
        <is>
          <t>2020-07-01 16:44:12</t>
        </is>
      </c>
      <c r="H8675" t="inlineStr"/>
    </row>
    <row r="8676">
      <c r="A8676" t="inlineStr">
        <is>
          <t>hjmb01</t>
        </is>
      </c>
      <c r="B8676" t="inlineStr">
        <is>
          <t>I got my result of endo and gastro scopy. Please read this!</t>
        </is>
      </c>
      <c r="C8676" t="inlineStr">
        <is>
          <t>Dear Colleague,
 Patient has appeared for oesophago gastro-duodenococopy.  Hereby research findings.
 Complaints: belching and shortness of breath
 Time out procedure: No ICD, No pacemaker and no anticoagulation.
 Leek indication: xylocaine 1cee1spray.
 Smooth introduction of endoscope along normal larynx and pharynx into the esophagus.  No abnormalities are seen on the mucous membrane of the esophagus.  Mucous membrane and diaphragm transition are located at 40cm.  Mucous membrane transition is perfect and shows no abnormalities.  In the stomach, normal corpus folds.  No abnormalities on the mucous membrane of the antrum corpus and fundus, in particular no evidence of erosions and or ulcers.  The pylorus is symmetrical and easy to pass.  We arrive in a beautiful bulbus with normal mucous membrane.  Also in the duodenum normal villi with normal church ring folds.  In the stomach in retroversion no deviations from angulus.  Hiatus connects to the scope.
Conclusion: No abnormalities are seen in gastro duo endoscopy.
What should i do now ? What should be my next step. I'm tired of excessive burping or stuck burping which makes me breathless.</t>
        </is>
      </c>
      <c r="D8676" t="n">
        <v>1</v>
      </c>
      <c r="E8676" t="n">
        <v>20</v>
      </c>
      <c r="F8676">
        <f>HYPERLINK("https://www.reddit.com/r/GERD/comments/hjmb01/i_got_my_result_of_endo_and_gastro_scopy_please/")</f>
        <v/>
      </c>
      <c r="G8676" t="inlineStr">
        <is>
          <t>2020-07-01 17:01:05</t>
        </is>
      </c>
      <c r="H8676" t="inlineStr"/>
    </row>
    <row r="8677">
      <c r="A8677" t="inlineStr">
        <is>
          <t>hjngji</t>
        </is>
      </c>
      <c r="B8677" t="inlineStr">
        <is>
          <t>Acid reflux relief? Please help!</t>
        </is>
      </c>
      <c r="C8677" t="inlineStr">
        <is>
          <t>A little history: 26/m and for most part, I've never had issues with food, I could always eat whatever I wanted whenever I wanted and be fine!  Things have changed, over the last 3 months I've started to get heartburn, I Believe it to be somewhat stress/anxiety caused due to the pandemic.
I'm just looking for tips and relief, I'll spend 3-4 days straight with heartburn, and when I dont have that I'm constantly burping with a sore throat, and tasting acid throughout the day, it is driving me bonkers.  I used to do intermittent fasting, have stopped recently due to this to try and split my meals up.  No specific foods seem to help, I've cut out alcohol and coffee all together and any kind of tums/anti heartburn medicine/apple cider vinegar aren't helping a whole lot.
Got a doctor's appointment but that's a week or so out, any ideas for some relief?</t>
        </is>
      </c>
      <c r="D8677" t="n">
        <v>1</v>
      </c>
      <c r="E8677" t="n">
        <v>4</v>
      </c>
      <c r="F8677">
        <f>HYPERLINK("https://www.reddit.com/r/GERD/comments/hjngji/acid_reflux_relief_please_help/")</f>
        <v/>
      </c>
      <c r="G8677" t="inlineStr">
        <is>
          <t>2020-07-01 18:10:56</t>
        </is>
      </c>
      <c r="H8677" t="inlineStr"/>
    </row>
    <row r="8678">
      <c r="A8678" t="inlineStr">
        <is>
          <t>hjnu5s</t>
        </is>
      </c>
      <c r="B8678" t="inlineStr">
        <is>
          <t>Have PPIs actually helped anyone through a flare?</t>
        </is>
      </c>
      <c r="C8678" t="inlineStr">
        <is>
          <t>I'm having constant sometimes horrible pain in my chest in throat despite taking Pepcid twice a day and only eating plain food like quinoa all day. It's a terrible experience and has been like this on and off for weeks. 
At this point I am considering taking omeprazole even though I am terrified of the side effects and becoming reliant on it and have been reading about everyone's negative experiences on here.
Has anyone been able to successfully use omeprazole to control a flare and then wean off of it? Did you have side effects? Any other advice I can try?</t>
        </is>
      </c>
      <c r="D8678" t="n">
        <v>1</v>
      </c>
      <c r="E8678" t="n">
        <v>3</v>
      </c>
      <c r="F8678">
        <f>HYPERLINK("https://www.reddit.com/r/GERD/comments/hjnu5s/have_ppis_actually_helped_anyone_through_a_flare/")</f>
        <v/>
      </c>
      <c r="G8678" t="inlineStr">
        <is>
          <t>2020-07-01 18:34:34</t>
        </is>
      </c>
      <c r="H8678" t="inlineStr"/>
    </row>
    <row r="8679">
      <c r="A8679" t="inlineStr">
        <is>
          <t>hjo6gd</t>
        </is>
      </c>
      <c r="B8679" t="inlineStr">
        <is>
          <t>Having my first endoscopy next week. What did yours uncover?</t>
        </is>
      </c>
      <c r="C8679" t="inlineStr">
        <is>
          <t>I (25F) am scheduled for my first endoscopy next week. I keep going back and forth on whether I should follow through with it because it will cost me $1400 (out of the $6000 total, yay America). But ultimately, I believe it will give me peace of mind and help me figure out what is going on.
Background:
I used to be bulimic for a couple years in college and would force myself to throw up multiple times a day.... I also suffer from severe anxiety and IBS. I am an opera singer as well. I have been taking 40mg omeprozale or pantoprazole in the morning for years now as well as 40mg Pepcid at night. 
Symptoms (ongoing for over a year):
Frequent gnawing burning in upper left stomach. Sometimes the pain is intense enough to need a heating pad. 
Taste of bile coming up my throat especially after exercise. The most disgusting bitter taste ever. Usually accompanied with nausea and occasional vomiting just bile (no food). 
Feeling like there is a "hole" in my stomach sometimes. If I drink something super cold or hot I can feel the liquid physically travel down my throat down and until it splashes in my stomach. I know that sounds really weird. 
Went to the ENT a couple months ago for sinus complaint and while scoping my nasal cavities and throat she said I had severely inflamed larynx and looked like Laryngopharyngeal Reflux (LPR).
I am nervous about the endoscopy but ready to hopefully get some definite answers and relief. 
What did your endoscopy uncover and what was your treatment?</t>
        </is>
      </c>
      <c r="D8679" t="n">
        <v>1</v>
      </c>
      <c r="E8679" t="n">
        <v>8</v>
      </c>
      <c r="F8679">
        <f>HYPERLINK("https://www.reddit.com/r/GERD/comments/hjo6gd/having_my_first_endoscopy_next_week_what_did/")</f>
        <v/>
      </c>
      <c r="G8679" t="inlineStr">
        <is>
          <t>2020-07-01 18:56:39</t>
        </is>
      </c>
      <c r="H8679" t="inlineStr"/>
    </row>
    <row r="8680">
      <c r="A8680" t="inlineStr">
        <is>
          <t>hjollb</t>
        </is>
      </c>
      <c r="B8680" t="inlineStr">
        <is>
          <t>Is acid reflux normally this bad, or did I wake up severely nauseous and shaking for a different reason?</t>
        </is>
      </c>
      <c r="C8680" t="inlineStr">
        <is>
          <t>I have had acid reflux issues in the past, but they have not been chronic and usually are isolated incidents.  Last night was easily the worst one I had.  I went to a steakhouse for a work dinner, and this was a late dinner (around 7pm).  I had a 14-oz steak, a generous serving of fries on the side, a couple of pieces of bread and a shrimp cocktail, as well as 2 glasses of red wine.  This isn’t really that much on paper, but I am a skinny guy and this really filled me up.  I was still absolutely stuffed when I went to bed at 11pm, and I was thinking of sleeping propped up, but I decided to lay down flat because “I’ll probably be fine.”
Well, not an hour later, I wake up so nauseous that I have to get out of bed and go sit in the bathroom.  I was cold from my air conditioner, but absolutely sweating at the same time, and I was positive I was going to vomit.  My hands were shaking and numb, and it was overall a terrible feeling.  I sat there feeling like I was going to hurl any second until it FINALLY passed.  I was able to go back to sleep sitting up, but then of course I woke up again a couple of hours later and burned and tasted and felt bile in my throat.  I had also had pasta with tomato sauce for lunch and a cup of coffee in the afternoon, which does not make for a good combination.  
I have been going through some minor life issues lately, and I did have a dream relating to these issues before I woke up sick, so I don’t know whether it was truly reflux or it was actually anxiety from the dream.  But I could taste my dinner every time I burped, and it was literally impossible to sleep lying down for the rest of the night after that.  Anyway, is it this bad for you guys if you eat like that before you sleep?  I’m not even diagnosed or a chronic sufferer, so I shouldn’t really be on this thread I guess, but I’m trying to decipher what last night could have been.  I thought maybe it was food poisoning from the seafood, but my coworkers said they were fine, so I eliminated that right away.</t>
        </is>
      </c>
      <c r="D8680" t="n">
        <v>1</v>
      </c>
      <c r="E8680" t="n">
        <v>9</v>
      </c>
      <c r="F8680">
        <f>HYPERLINK("https://www.reddit.com/r/GERD/comments/hjollb/is_acid_reflux_normally_this_bad_or_did_i_wake_up/")</f>
        <v/>
      </c>
      <c r="G8680" t="inlineStr">
        <is>
          <t>2020-07-01 19:25:32</t>
        </is>
      </c>
      <c r="H8680" t="inlineStr"/>
    </row>
    <row r="8681">
      <c r="A8681" t="inlineStr">
        <is>
          <t>hjouy7</t>
        </is>
      </c>
      <c r="B8681" t="inlineStr">
        <is>
          <t>To those who have breathing difficulties from reflux, do steroid inhalers help you at all?</t>
        </is>
      </c>
      <c r="C8681" t="inlineStr">
        <is>
          <t>Do long term, asthma corticosteroid inhalers help you guys at all with your breathing difficulties from reflux?</t>
        </is>
      </c>
      <c r="D8681" t="n">
        <v>1</v>
      </c>
      <c r="E8681" t="n">
        <v>8</v>
      </c>
      <c r="F8681">
        <f>HYPERLINK("https://www.reddit.com/r/GERD/comments/hjouy7/to_those_who_have_breathing_difficulties_from/")</f>
        <v/>
      </c>
      <c r="G8681" t="inlineStr">
        <is>
          <t>2020-07-01 19:43:54</t>
        </is>
      </c>
      <c r="H8681" t="inlineStr"/>
    </row>
    <row r="8682">
      <c r="A8682" t="inlineStr">
        <is>
          <t>hjs2wj</t>
        </is>
      </c>
      <c r="B8682" t="inlineStr">
        <is>
          <t>I keep having waterbrash!</t>
        </is>
      </c>
      <c r="C8682" t="inlineStr">
        <is>
          <t>Last week or so I keep having severe waterbrash my mouth is very dry but having a lot of waterbrash how do I get rid?</t>
        </is>
      </c>
      <c r="D8682" t="n">
        <v>1</v>
      </c>
      <c r="E8682" t="n">
        <v>0</v>
      </c>
      <c r="F8682">
        <f>HYPERLINK("https://www.reddit.com/r/GERD/comments/hjs2wj/i_keep_having_waterbrash/")</f>
        <v/>
      </c>
      <c r="G8682" t="inlineStr">
        <is>
          <t>2020-07-01 23:47:12</t>
        </is>
      </c>
      <c r="H8682" t="inlineStr"/>
    </row>
    <row r="8683">
      <c r="A8683" t="inlineStr">
        <is>
          <t>hjsa3y</t>
        </is>
      </c>
      <c r="B8683" t="inlineStr">
        <is>
          <t>Iron deficiency after PPI use? Getting surgery?</t>
        </is>
      </c>
      <c r="C8683" t="inlineStr">
        <is>
          <t>Hey guys, first post here. 
I’m wondering if any of you have suffered from an iron deficiency after long term use of PPI medication? And for those who’ve had the surgery to fix a relaxed valve, how did you convince your doctors that you needed it?
Back story:
- I’m a 21 year old female
- suffered from reflux for 7 and a half years
- been on and off PPI medication for 6 and a half years
- don’t smoke and occasionally drink
- I’m fairly slim, so I’m not overweight 
- don’t have a hiatal hernia 
- I know what foods trigger me but I’ve definitely had reflux episodes where I haven’t eaten anything ‘triggering’ yet have still had reflux 
- was diagnosed with Barrett’s Oesophagus when I was 15 but was cleared 6 months later 
- have tried (I think) every type of PPI medication and none have completely relieved my symptoms 
Amongst this I’ve suffered from a post nasal drip for 3 years that hasn’t gone away after numerous nasal sprays and a few round of antibiotics. 
Now with the iron deficiency (without anemia) I just don’t know what to do. I eat meat most days, don’t cut out any food groups, take a high dosage iron supplement and still my iron is low! 
I’m in the process of trying to get on the public waiting list (Australia) to have an endoscopy to check on everything, and am on a health care plan with my doctor to see a dietitian to make sure I’m eating the best I can. 
If any of you have had the surgery or suffered from iron deficiency as a result of PPI medication please comment the details of getting diagnosed or approved to have the surgery and how long it took and the cost (if there was a cost). Thanks :)</t>
        </is>
      </c>
      <c r="D8683" t="n">
        <v>1</v>
      </c>
      <c r="E8683" t="n">
        <v>6</v>
      </c>
      <c r="F8683">
        <f>HYPERLINK("https://www.reddit.com/r/GERD/comments/hjsa3y/iron_deficiency_after_ppi_use_getting_surgery/")</f>
        <v/>
      </c>
      <c r="G8683" t="inlineStr">
        <is>
          <t>2020-07-02 00:03:25</t>
        </is>
      </c>
      <c r="H8683" t="inlineStr"/>
    </row>
    <row r="8684">
      <c r="A8684" t="inlineStr">
        <is>
          <t>hjsx4t</t>
        </is>
      </c>
      <c r="B8684" t="inlineStr">
        <is>
          <t>No alcohol and no smoking temporary or forever?</t>
        </is>
      </c>
      <c r="C8684" t="inlineStr">
        <is>
          <t>On the acid watching diet by Dr. Aviv and two of the principles are no alcohol and no smoking. I don’t smoke cigarettes but I do fancy the occasional joint and drinking is really the only activity to do with friends in a small town. I know this isn’t really a sensical question as I know Gerd/Lpr can be cured, but I’m really in the mood for success stories ☺️ a week into the diet and my symptoms are basically the same but hopes are still up 🙂 any info is appreciated</t>
        </is>
      </c>
      <c r="D8684" t="n">
        <v>1</v>
      </c>
      <c r="E8684" t="n">
        <v>4</v>
      </c>
      <c r="F8684">
        <f>HYPERLINK("https://www.reddit.com/r/GERD/comments/hjsx4t/no_alcohol_and_no_smoking_temporary_or_forever/")</f>
        <v/>
      </c>
      <c r="G8684" t="inlineStr">
        <is>
          <t>2020-07-02 00:58:14</t>
        </is>
      </c>
      <c r="H8684" t="inlineStr"/>
    </row>
    <row r="8685">
      <c r="A8685" t="inlineStr">
        <is>
          <t>hjwekn</t>
        </is>
      </c>
      <c r="B8685" t="inlineStr">
        <is>
          <t>Does anyone wake up with sore throat/esophagus and a cough?</t>
        </is>
      </c>
      <c r="C8685" t="inlineStr">
        <is>
          <t>I wake up and it feels like I’ve smoked 2 packs of cigarettes or I have a chest cold. Lately my reflux has been bad where I have a cough most of the day. But, waking up really sucks and it takes about an hour or 2 of being up for my esophagus to feel better.</t>
        </is>
      </c>
      <c r="D8685" t="n">
        <v>1</v>
      </c>
      <c r="E8685" t="n">
        <v>12</v>
      </c>
      <c r="F8685">
        <f>HYPERLINK("https://www.reddit.com/r/GERD/comments/hjwekn/does_anyone_wake_up_with_sore_throatesophagus_and/")</f>
        <v/>
      </c>
      <c r="G8685" t="inlineStr">
        <is>
          <t>2020-07-02 05:49:33</t>
        </is>
      </c>
      <c r="H8685" t="inlineStr"/>
    </row>
    <row r="8686">
      <c r="A8686" t="inlineStr">
        <is>
          <t>hjwm8u</t>
        </is>
      </c>
      <c r="B8686" t="inlineStr">
        <is>
          <t>Partial fundoplication complications?</t>
        </is>
      </c>
      <c r="C8686" t="inlineStr">
        <is>
          <t>for those  who have had this surgery did you have any complications afterwards? I worry about swallowing and the ability to throw up if needed.  The surgeon will also fix a hiatal hernia but says this procedure is also necessary. Thank you for any feed back.</t>
        </is>
      </c>
      <c r="D8686" t="n">
        <v>1</v>
      </c>
      <c r="E8686" t="n">
        <v>4</v>
      </c>
      <c r="F8686">
        <f>HYPERLINK("https://www.reddit.com/r/GERD/comments/hjwm8u/partial_fundoplication_complications/")</f>
        <v/>
      </c>
      <c r="G8686" t="inlineStr">
        <is>
          <t>2020-07-02 06:03:37</t>
        </is>
      </c>
      <c r="H8686" t="inlineStr"/>
    </row>
    <row r="8687">
      <c r="A8687" t="inlineStr">
        <is>
          <t>hjwn5w</t>
        </is>
      </c>
      <c r="B8687" t="inlineStr">
        <is>
          <t>acid reflux for 3 months but endoscopy normal</t>
        </is>
      </c>
      <c r="C8687" t="inlineStr">
        <is>
          <t>It all started over 3 months ago with a lump sensation, quickly progressed to acid reflux every evening and then after starting on 20mg Omeprazole(telephone gastritis diagnostic by a nurse) it just got worst.  After 1 month of being on 20mg Omeprazole I was having acid reflux symptoms 24hours and lost a lot of weight and was just really in a bad mental state. After that my GP decided to change to Esomeprazol 40mg/day(again just a telephone consultation) and sent me for blood test(came clear) and an endoscopy(which I had today).  I was still having symptoms even on Esomperazol 40mg/day but after a month and a bit I was having less and less to the point that I was actually feeling normal. After I finished a 2 months course of 40mg/day they switched to 20mg/day, symptoms started to come back after 2 days, my normality was over once again(only 2 weeks of feeling good). 
Also in the same time my stool color has changed from normal to yellow and it's been like that for 3 months now. I am still waiting for elastase results to see if I am producing less enzymes. 
Today at the endoscopy, to my surprise everything came back normal. No hiatal hernia, no erosion(I am constantly on PPIs though I am still feeling the burn after lowering my dose) . 
I've tried changing diets, I've quit smoking/alcohol, no spicy foods, very little junk food mostly only home cooking with lots of veggies. 
My GP is a bit useless, I  have to suggest to him what tests I should do and he doesn't really follow up with anything and doesn't give any advice, just prescribes pills.
Honestly the yellow stool worries me more than the acid reflux at the moment. 
Wondering if anyone had something similar, could it be an allergy or something like an immune condition that can affect both the bowels and the Upper GI?</t>
        </is>
      </c>
      <c r="D8687" t="n">
        <v>1</v>
      </c>
      <c r="E8687" t="n">
        <v>7</v>
      </c>
      <c r="F8687">
        <f>HYPERLINK("https://www.reddit.com/r/GERD/comments/hjwn5w/acid_reflux_for_3_months_but_endoscopy_normal/")</f>
        <v/>
      </c>
      <c r="G8687" t="inlineStr">
        <is>
          <t>2020-07-02 06:05:20</t>
        </is>
      </c>
      <c r="H8687" t="inlineStr"/>
    </row>
    <row r="8688">
      <c r="A8688" t="inlineStr">
        <is>
          <t>hjwozm</t>
        </is>
      </c>
      <c r="B8688" t="inlineStr">
        <is>
          <t>Looking for stories from those who have had a Linx or have anecdotal info on that surgery</t>
        </is>
      </c>
      <c r="C8688" t="inlineStr">
        <is>
          <t>Has anyone here had Linx or know someone who has or as spoken to their dr about it? Looking for any anecdotal stories. Thanks!
I also have a hiatal hernia so would love info from those that had a hernia and had Linx.</t>
        </is>
      </c>
      <c r="D8688" t="n">
        <v>1</v>
      </c>
      <c r="E8688" t="n">
        <v>6</v>
      </c>
      <c r="F8688">
        <f>HYPERLINK("https://www.reddit.com/r/GERD/comments/hjwozm/looking_for_stories_from_those_who_have_had_a/")</f>
        <v/>
      </c>
      <c r="G8688" t="inlineStr">
        <is>
          <t>2020-07-02 06:08:27</t>
        </is>
      </c>
      <c r="H8688" t="inlineStr"/>
    </row>
    <row r="8689">
      <c r="A8689" t="inlineStr">
        <is>
          <t>hjwttb</t>
        </is>
      </c>
      <c r="B8689" t="inlineStr">
        <is>
          <t>Singular (Montelukast) - Trigger?</t>
        </is>
      </c>
      <c r="C8689" t="inlineStr">
        <is>
          <t>Trying to figure out my triggers.
Does anyone here take (or used to take) Montelukast? If so, has anyone seen that as a trigger? Google says heartburn and stomach upset is a common side effect.
Currently dealing with chest pain/tightness every now and then and inflamed esophagus.</t>
        </is>
      </c>
      <c r="D8689" t="n">
        <v>1</v>
      </c>
      <c r="E8689" t="n">
        <v>8</v>
      </c>
      <c r="F8689">
        <f>HYPERLINK("https://www.reddit.com/r/GERD/comments/hjwttb/singular_montelukast_trigger/")</f>
        <v/>
      </c>
      <c r="G8689" t="inlineStr">
        <is>
          <t>2020-07-02 06:17:19</t>
        </is>
      </c>
      <c r="H8689" t="inlineStr"/>
    </row>
    <row r="8690">
      <c r="A8690" t="inlineStr">
        <is>
          <t>hjxavp</t>
        </is>
      </c>
      <c r="B8690" t="inlineStr">
        <is>
          <t>What helps constipation if you have GERD and IBS?</t>
        </is>
      </c>
      <c r="C8690" t="inlineStr">
        <is>
          <t>Are there any natural things I can try? I have tried Citrucel but it just made me more constipated and bloated. I don't think fiber supplements are for me and Citrucel was supposed to be the most gentle on your stomach.
Has any GERD sufferers had any luck with decaf coffee?</t>
        </is>
      </c>
      <c r="D8690" t="n">
        <v>1</v>
      </c>
      <c r="E8690" t="n">
        <v>12</v>
      </c>
      <c r="F8690">
        <f>HYPERLINK("https://www.reddit.com/r/GERD/comments/hjxavp/what_helps_constipation_if_you_have_gerd_and_ibs/")</f>
        <v/>
      </c>
      <c r="G8690" t="inlineStr">
        <is>
          <t>2020-07-02 06:46:52</t>
        </is>
      </c>
      <c r="H8690" t="inlineStr"/>
    </row>
    <row r="8691">
      <c r="A8691" t="inlineStr">
        <is>
          <t>hjy85p</t>
        </is>
      </c>
      <c r="B8691" t="inlineStr">
        <is>
          <t>Weeks of having intermittent chest pain, but last week was terrible: Am I Normal?</t>
        </is>
      </c>
      <c r="C8691" t="inlineStr">
        <is>
          <t>So It was about two month ago that I felt something is off, I didn't know what it was and it was not serious, it was usually at the bed time when lying, where I felt a volume of gas is going to burst like a balloon. I would rush to sit and then I would again lie. 
I have a history of panic attacks. these attacks came back one month ago and from then everything is getting worse daily. in the last week I have had at least 4-5 long episodes of heartburn I guess (for a few hours each one). I feared like hell something is wrong with my heart, but as I was experiencing it for so long I somehow concluded that it can't be my heart otherwise I'd be dead or something by now. I also had ECG and Echocardiography done two years ago because my panic attacks started then, they were all normal then. I haven't visited a cardiologist since then.   
Simultaneously I had a muscle strain, so panic attack + GERD + muscle strain is essentially affecting my life daily. from my stomach to my chest and clavicle and arms, there is always a stabbing pain or sharp pain somewhere.  it usually feels like a sharp and short pain or grip or a sense of bubbles inside my chest and when I lie, it gets worse and I feel like a balloon of gas is going to explode and I feel a rush to burp frequently and sit. 
Saturday I'm going to see a Doctor to discuss my situation. since today I have started taking Omeprazole 20 once in a day.  
Honestly I feel like I'm doomed and I'm going to die. I feel that finally one of these episodes of chest pain will be cardiac and I'll die. I know if feels ridiculous but that's how I feel. 
Is there anybody who's going through something similar?</t>
        </is>
      </c>
      <c r="D8691" t="n">
        <v>1</v>
      </c>
      <c r="E8691" t="n">
        <v>9</v>
      </c>
      <c r="F8691">
        <f>HYPERLINK("https://www.reddit.com/r/GERD/comments/hjy85p/weeks_of_having_intermittent_chest_pain_but_last/")</f>
        <v/>
      </c>
      <c r="G8691" t="inlineStr">
        <is>
          <t>2020-07-02 07:40:43</t>
        </is>
      </c>
      <c r="H8691" t="inlineStr"/>
    </row>
    <row r="8692">
      <c r="A8692" t="inlineStr">
        <is>
          <t>hjzcri</t>
        </is>
      </c>
      <c r="B8692" t="inlineStr">
        <is>
          <t>Bowel Cleanout</t>
        </is>
      </c>
      <c r="C8692" t="inlineStr">
        <is>
          <t>Ok, I’m currently looking in to what might be causing my GERD, and the first thing the GI doc wants me to do is a clean out (they X-rayed and my intestines are pretty full of stool). I’m pretty nervous for this, I have OCD and anxiety and the thought of having clear liquid for poop is terrifying, plus I’m worried I won’t be able to take that much miralax in that amount of time. I’ve had 10+ food poisoning instances, and a 2 month long bout of diarrhea, doing this willingly to myself is really scary. Any of you had a bowel clean out, and if so, what was it like, how did it go, and any tips for making it less unpleasant?</t>
        </is>
      </c>
      <c r="D8692" t="n">
        <v>1</v>
      </c>
      <c r="E8692" t="n">
        <v>6</v>
      </c>
      <c r="F8692">
        <f>HYPERLINK("https://www.reddit.com/r/GERD/comments/hjzcri/bowel_cleanout/")</f>
        <v/>
      </c>
      <c r="G8692" t="inlineStr">
        <is>
          <t>2020-07-02 08:43:34</t>
        </is>
      </c>
      <c r="H8692" t="inlineStr"/>
    </row>
    <row r="8693">
      <c r="A8693" t="inlineStr">
        <is>
          <t>hjzg46</t>
        </is>
      </c>
      <c r="B8693" t="inlineStr">
        <is>
          <t>This sub has been so useful</t>
        </is>
      </c>
      <c r="C8693" t="inlineStr">
        <is>
          <t>I just can’t say enough how the information here has been much better than my doctors could explain, or treat and I’ve learned and I’m feeling so much better thanks to all of you</t>
        </is>
      </c>
      <c r="D8693" t="n">
        <v>1</v>
      </c>
      <c r="E8693" t="n">
        <v>16</v>
      </c>
      <c r="F8693">
        <f>HYPERLINK("https://www.reddit.com/r/GERD/comments/hjzg46/this_sub_has_been_so_useful/")</f>
        <v/>
      </c>
      <c r="G8693" t="inlineStr">
        <is>
          <t>2020-07-02 08:48:41</t>
        </is>
      </c>
      <c r="H8693" t="inlineStr"/>
    </row>
    <row r="8694">
      <c r="A8694" t="inlineStr">
        <is>
          <t>hjzrg5</t>
        </is>
      </c>
      <c r="B8694" t="inlineStr">
        <is>
          <t>Does eating more slowly help?</t>
        </is>
      </c>
      <c r="C8694" t="inlineStr">
        <is>
          <t>Moderating diet and portion size but still end up
with a phlegmy cough after eating every single time.</t>
        </is>
      </c>
      <c r="D8694" t="n">
        <v>1</v>
      </c>
      <c r="E8694" t="n">
        <v>1</v>
      </c>
      <c r="F8694">
        <f>HYPERLINK("https://www.reddit.com/r/GERD/comments/hjzrg5/does_eating_more_slowly_help/")</f>
        <v/>
      </c>
      <c r="G8694" t="inlineStr">
        <is>
          <t>2020-07-02 09:05:46</t>
        </is>
      </c>
      <c r="H8694" t="inlineStr"/>
    </row>
    <row r="8695">
      <c r="A8695" t="inlineStr">
        <is>
          <t>hk0y3x</t>
        </is>
      </c>
      <c r="B8695" t="inlineStr">
        <is>
          <t>Does anyone ever have the taste of blood coming up?</t>
        </is>
      </c>
      <c r="C8695" t="inlineStr">
        <is>
          <t>Lately I’ll either have a cough or some heavy hiccups and sometimes I’ll feel blood come up into my mouth and I’ll get that strong metallic taste. Do I need to be concerned about this or is it normal w the GERD?</t>
        </is>
      </c>
      <c r="D8695" t="n">
        <v>1</v>
      </c>
      <c r="E8695" t="n">
        <v>7</v>
      </c>
      <c r="F8695">
        <f>HYPERLINK("https://www.reddit.com/r/GERD/comments/hk0y3x/does_anyone_ever_have_the_taste_of_blood_coming_up/")</f>
        <v/>
      </c>
      <c r="G8695" t="inlineStr">
        <is>
          <t>2020-07-02 10:09:03</t>
        </is>
      </c>
      <c r="H8695" t="inlineStr"/>
    </row>
    <row r="8696">
      <c r="A8696" t="inlineStr">
        <is>
          <t>hk1fo6</t>
        </is>
      </c>
      <c r="B8696" t="inlineStr">
        <is>
          <t>I'm scared. I have trapped air in my throat and feels like I'm suffocating. Burping helps but then it comes back. What's going on?</t>
        </is>
      </c>
      <c r="C8696" t="inlineStr">
        <is>
          <t>Hoping someone can help me here.
I have been feeling this trapped air feeling in my throat that makes me feel like I'm suffocating. If I force myself to burp, it goes away and the suffocating feeling seems to get better. But after a short while, the trapped air feeling seems to return again. I've also been dealing with bloating/gas issues as well (trying to get them under control with diet but it's been a challenge).
Does anyone know what's going on to make me feel suffocating/short of breath? What can I do to make this go away? I can make an appointment with a gastroenterologist if needed but I wanted to start here and see if anyone had any OTC remedies or foods to avoid that may help this issue resolve on its own. Thanks in advance!!!</t>
        </is>
      </c>
      <c r="D8696" t="n">
        <v>1</v>
      </c>
      <c r="E8696" t="n">
        <v>5</v>
      </c>
      <c r="F8696">
        <f>HYPERLINK("https://www.reddit.com/r/GERD/comments/hk1fo6/im_scared_i_have_trapped_air_in_my_throat_and/")</f>
        <v/>
      </c>
      <c r="G8696" t="inlineStr">
        <is>
          <t>2020-07-02 10:34:27</t>
        </is>
      </c>
      <c r="H8696" t="inlineStr"/>
    </row>
    <row r="8697">
      <c r="A8697" t="inlineStr">
        <is>
          <t>hk1y9g</t>
        </is>
      </c>
      <c r="B8697" t="inlineStr">
        <is>
          <t>Do you get Headache and earache ?</t>
        </is>
      </c>
      <c r="C8697" t="inlineStr">
        <is>
          <t>I don’t if i’m going through a flare up but I don’t feel heartburn which usually the first symptom but I’m getting a bad headache and earache do and nausea 
Do you get these symptoms through a flare ?</t>
        </is>
      </c>
      <c r="D8697" t="n">
        <v>1</v>
      </c>
      <c r="E8697" t="n">
        <v>2</v>
      </c>
      <c r="F8697">
        <f>HYPERLINK("https://www.reddit.com/r/GERD/comments/hk1y9g/do_you_get_headache_and_earache/")</f>
        <v/>
      </c>
      <c r="G8697" t="inlineStr">
        <is>
          <t>2020-07-02 11:01:36</t>
        </is>
      </c>
      <c r="H8697" t="inlineStr"/>
    </row>
    <row r="8698">
      <c r="A8698" t="inlineStr">
        <is>
          <t>hk2bwb</t>
        </is>
      </c>
      <c r="B8698" t="inlineStr">
        <is>
          <t>Chest pain</t>
        </is>
      </c>
      <c r="C8698" t="inlineStr">
        <is>
          <t>I was told I have GERD, and I feel pain in my chest. The doctor told me it has nothing to do with GERD! is that true? I am starting to get worried</t>
        </is>
      </c>
      <c r="D8698" t="n">
        <v>1</v>
      </c>
      <c r="E8698" t="n">
        <v>6</v>
      </c>
      <c r="F8698">
        <f>HYPERLINK("https://www.reddit.com/r/GERD/comments/hk2bwb/chest_pain/")</f>
        <v/>
      </c>
      <c r="G8698" t="inlineStr">
        <is>
          <t>2020-07-02 11:21:18</t>
        </is>
      </c>
      <c r="H8698" t="inlineStr"/>
    </row>
    <row r="8699">
      <c r="A8699" t="inlineStr">
        <is>
          <t>hk2j57</t>
        </is>
      </c>
      <c r="B8699" t="inlineStr">
        <is>
          <t>Has anyone else experienced little/no relief after diet and lifestyle changes?</t>
        </is>
      </c>
      <c r="C8699" t="inlineStr">
        <is>
          <t>To preface this, I was diagnosed last year with GERD after my GI doctor saw mild esophageal tissue damage during an endoscopy. My main symptoms are nausea, loss of appetite/early satiety, sore throat, the occasional chest tightness, and abdominal cramps/bloating (I have also been diagnosed with IBS). My nausea has been almost chronic and quite severe for the past year, and I usually get full after a few bites of food, so I decided my doctor was bonkers and tried to find other solutions other than PPIs or acid reduction. After finding this subreddit, however, I decided I might as well try the Acid Watcher diet (and the corresponding lifestyle modifications— no food 3 hrs before bed, sleeping on left side, walks after meals, small meals/more frequent snacks, no water with meals), since it seems like a number of people on here have similar symptoms and have found relief through certain modifications. It’s been three weeks, though, and I’ve also added the UK Gaviscon to my arsenal, and, despite adhering quite strictly to the recommendations, I haven’t noticed any clear improvement. I’m still almost always nauseous and it’s still been difficult to make myself eat. The only foods I’ve found it helpful to avoid are fatty ones, but I didn’t eat much of those before anyway. I’m nearly underweight as is, and I don’t smoke or drink alcohol or coffee, and I’m starting to feel a little hopeless. 
Has anyone else had a similar experience? Is 3 weeks just not long enough to tell? I just moved to a new country and will be looking for new doctors— is there anything I should push them to test me for?</t>
        </is>
      </c>
      <c r="D8699" t="n">
        <v>1</v>
      </c>
      <c r="E8699" t="n">
        <v>12</v>
      </c>
      <c r="F8699">
        <f>HYPERLINK("https://www.reddit.com/r/GERD/comments/hk2j57/has_anyone_else_experienced_littleno_relief_after/")</f>
        <v/>
      </c>
      <c r="G8699" t="inlineStr">
        <is>
          <t>2020-07-02 11:31:39</t>
        </is>
      </c>
      <c r="H8699" t="inlineStr"/>
    </row>
    <row r="8700">
      <c r="A8700" t="inlineStr">
        <is>
          <t>hk3d1j</t>
        </is>
      </c>
      <c r="B8700" t="inlineStr">
        <is>
          <t>Having little energy.</t>
        </is>
      </c>
      <c r="C8700" t="inlineStr">
        <is>
          <t>Does famotidine or acid reflux cuase having low energy? I work in janitoral services and before i got diagnosed i could usually finish my job with still having energy to do things in the afternoon. But now i fell more exhuasted after finishing. Is there something i can take that wont affect my acid reflux and still have energy like coffee used to do?</t>
        </is>
      </c>
      <c r="D8700" t="n">
        <v>1</v>
      </c>
      <c r="E8700" t="n">
        <v>5</v>
      </c>
      <c r="F8700">
        <f>HYPERLINK("https://www.reddit.com/r/GERD/comments/hk3d1j/having_little_energy/")</f>
        <v/>
      </c>
      <c r="G8700" t="inlineStr">
        <is>
          <t>2020-07-02 12:16:14</t>
        </is>
      </c>
      <c r="H8700" t="inlineStr"/>
    </row>
    <row r="8701">
      <c r="A8701" t="inlineStr">
        <is>
          <t>hk3m76</t>
        </is>
      </c>
      <c r="B8701" t="inlineStr">
        <is>
          <t>Tightness In Throat</t>
        </is>
      </c>
      <c r="C8701" t="inlineStr">
        <is>
          <t>Hello, I am an 18 yr old male and the last few months I have been noticing some tightness or some kind of choking feeling in my throat/neck. In the left corner below my jaw I have also noticed a swollen lymph node around where the tight feeling is. My left ear has also seemed achey and full recently. I may also have Lpr or gerd and I do have health anxiety. I am wondering if this sounds more like a reflux problem or something more serious like a lymphoma or maybe something else. Please help if you can relate!</t>
        </is>
      </c>
      <c r="D8701" t="n">
        <v>1</v>
      </c>
      <c r="E8701" t="n">
        <v>11</v>
      </c>
      <c r="F8701">
        <f>HYPERLINK("https://www.reddit.com/r/GERD/comments/hk3m76/tightness_in_throat/")</f>
        <v/>
      </c>
      <c r="G8701" t="inlineStr">
        <is>
          <t>2020-07-02 12:29:51</t>
        </is>
      </c>
      <c r="H8701" t="inlineStr"/>
    </row>
    <row r="8702">
      <c r="A8702" t="inlineStr">
        <is>
          <t>hk3ob9</t>
        </is>
      </c>
      <c r="B8702" t="inlineStr">
        <is>
          <t>How to Wean Off Omeprazole?</t>
        </is>
      </c>
      <c r="C8702" t="inlineStr">
        <is>
          <t>Hi All,
I’m in the process of weaning off Omeprazole. I did 40mg a day (20mg in the morning, 20mg in the evening) for about 10 weeks. My symptoms are not 100% gone but i want to find a more natural approach to fixing my problem.
What’s the best way to get off this without causing acid rebound?</t>
        </is>
      </c>
      <c r="D8702" t="n">
        <v>1</v>
      </c>
      <c r="E8702" t="n">
        <v>3</v>
      </c>
      <c r="F8702">
        <f>HYPERLINK("https://www.reddit.com/r/GERD/comments/hk3ob9/how_to_wean_off_omeprazole/")</f>
        <v/>
      </c>
      <c r="G8702" t="inlineStr">
        <is>
          <t>2020-07-02 12:32:54</t>
        </is>
      </c>
      <c r="H8702" t="inlineStr"/>
    </row>
    <row r="8703">
      <c r="A8703" t="inlineStr">
        <is>
          <t>hk4m7z</t>
        </is>
      </c>
      <c r="B8703" t="inlineStr">
        <is>
          <t>Stomach contractions at night = sign of GERD or not?</t>
        </is>
      </c>
      <c r="C8703" t="inlineStr">
        <is>
          <t>I've got insomnia and I often wake up at night. Then I turn a couple times and start getting stomach pain. When I feel my stomach, it's contracting when that happens. Sound familiar to anyone?</t>
        </is>
      </c>
      <c r="D8703" t="n">
        <v>1</v>
      </c>
      <c r="E8703" t="n">
        <v>1</v>
      </c>
      <c r="F8703">
        <f>HYPERLINK("https://www.reddit.com/r/GERD/comments/hk4m7z/stomach_contractions_at_night_sign_of_gerd_or_not/")</f>
        <v/>
      </c>
      <c r="G8703" t="inlineStr">
        <is>
          <t>2020-07-02 13:22:00</t>
        </is>
      </c>
      <c r="H8703" t="inlineStr"/>
    </row>
    <row r="8704">
      <c r="A8704" t="inlineStr">
        <is>
          <t>hk5575</t>
        </is>
      </c>
      <c r="B8704" t="inlineStr">
        <is>
          <t>Who everyone Who had surgery please answer my questions</t>
        </is>
      </c>
      <c r="C8704" t="inlineStr">
        <is>
          <t>I know its a lot of questions but please bear with me
1- what surgery did you have ?
2-do you still get nauseous if yes how many times does it happen in a week 
3-do you eat/drink whatever you want
4- do you still do any of the things that are used to do before surgery for GERD like sleeping incline , waiting three hours after sleeping to lay down 
5- do you still get any of GERD symptoms if yes what is it and how many times does it happen in a week 
6- what are the long term side effects of the surgery and if you could turn back time would you do it again?
Is there a sub in reddit for GERD surgery ?i’m thinking of making one to hear success stories and people can talk about side effects and what can you do about them</t>
        </is>
      </c>
      <c r="D8704" t="n">
        <v>1</v>
      </c>
      <c r="E8704" t="n">
        <v>0</v>
      </c>
      <c r="F8704">
        <f>HYPERLINK("https://www.reddit.com/r/GERD/comments/hk5575/who_everyone_who_had_surgery_please_answer_my/")</f>
        <v/>
      </c>
      <c r="G8704" t="inlineStr">
        <is>
          <t>2020-07-02 13:50:42</t>
        </is>
      </c>
      <c r="H8704" t="inlineStr"/>
    </row>
    <row r="8705">
      <c r="A8705" t="inlineStr">
        <is>
          <t>hk567a</t>
        </is>
      </c>
      <c r="B8705" t="inlineStr">
        <is>
          <t>Everyone who had the surgery please answer my questions</t>
        </is>
      </c>
      <c r="C8705" t="inlineStr">
        <is>
          <t>I know its a lot of questions but please bear with me
1- what surgery did you have ?
2-do you still get nauseous if yes how many times does it happen in a week 
3-do you eat/drink whatever you want
4- do you still do any of the things that are used to do before surgery for GERD like sleeping incline , waiting three hours after sleeping to lay down 
5- do you still get any of GERD symptoms if yes what is it and how many times does it happen in a week 
6- what are the long term side effects of the surgery and if you could turn back time would you do it again?
Is there a sub in reddit for GERD surgery ?i’m thinking of making one to hear success stories and people can talk about side effects and what can you do about them</t>
        </is>
      </c>
      <c r="D8705" t="n">
        <v>1</v>
      </c>
      <c r="E8705" t="n">
        <v>5</v>
      </c>
      <c r="F8705">
        <f>HYPERLINK("https://www.reddit.com/r/GERD/comments/hk567a/everyone_who_had_the_surgery_please_answer_my/")</f>
        <v/>
      </c>
      <c r="G8705" t="inlineStr">
        <is>
          <t>2020-07-02 13:52:12</t>
        </is>
      </c>
      <c r="H8705" t="inlineStr"/>
    </row>
    <row r="8706">
      <c r="A8706" t="inlineStr">
        <is>
          <t>hk5c2x</t>
        </is>
      </c>
      <c r="B8706" t="inlineStr">
        <is>
          <t>Scary GERD episode in the middle of the night</t>
        </is>
      </c>
      <c r="C8706" t="inlineStr">
        <is>
          <t>Hi there, I'm new to this community.
The other night my boyfriend woke up around 2 AM and was suffocating for ~15 seconds and then he started burping repeatedly. Finally he was able to breathe and speak again, and he said that he had stomach acid in his throat and mouth. 
This was a very scary experience for both of us and neither of us knew what it was. He says that this has happened to him before to a lesser extent. I researched it and came across this subreddit.
We picked up some Tums and mouthwash in case this happens again, but if anyone has any tips or advice on how to prevent this it would be appreciated.
Thanks!</t>
        </is>
      </c>
      <c r="D8706" t="n">
        <v>1</v>
      </c>
      <c r="E8706" t="n">
        <v>5</v>
      </c>
      <c r="F8706">
        <f>HYPERLINK("https://www.reddit.com/r/GERD/comments/hk5c2x/scary_gerd_episode_in_the_middle_of_the_night/")</f>
        <v/>
      </c>
      <c r="G8706" t="inlineStr">
        <is>
          <t>2020-07-02 14:01:14</t>
        </is>
      </c>
      <c r="H8706" t="inlineStr"/>
    </row>
    <row r="8707">
      <c r="A8707" t="inlineStr">
        <is>
          <t>hk5d4d</t>
        </is>
      </c>
      <c r="B8707" t="inlineStr">
        <is>
          <t>Where are your throat pains located?</t>
        </is>
      </c>
      <c r="C8707" t="inlineStr">
        <is>
          <t>Anyone with LPR / gerd have throat pains? If so what does it feel like and where is it located? Has anyone had any sharp and throbbing pains near the adam’s apple area?</t>
        </is>
      </c>
      <c r="D8707" t="n">
        <v>1</v>
      </c>
      <c r="E8707" t="n">
        <v>4</v>
      </c>
      <c r="F8707">
        <f>HYPERLINK("https://www.reddit.com/r/GERD/comments/hk5d4d/where_are_your_throat_pains_located/")</f>
        <v/>
      </c>
      <c r="G8707" t="inlineStr">
        <is>
          <t>2020-07-02 14:02:42</t>
        </is>
      </c>
      <c r="H8707" t="inlineStr"/>
    </row>
    <row r="8708">
      <c r="A8708" t="inlineStr">
        <is>
          <t>hk5e1o</t>
        </is>
      </c>
      <c r="B8708" t="inlineStr">
        <is>
          <t>Do you guys feel a tightness on the base of the left side of your neck after eating?</t>
        </is>
      </c>
      <c r="C8708" t="inlineStr">
        <is>
          <t>I haven't been diagnosed, but have had several symptoms for years now and suspect that I may have acid reflux. They've gotten better after losing 25 lbs, but I still experience wet coughing after eating, excessive throat clearing, slight nausea at night, a sour taste in my mouth often, and a tight feeling on the bottom of the left side of my neck. Could this be related to acid reflux? Do you guys experience this?</t>
        </is>
      </c>
      <c r="D8708" t="n">
        <v>1</v>
      </c>
      <c r="E8708" t="n">
        <v>2</v>
      </c>
      <c r="F8708">
        <f>HYPERLINK("https://www.reddit.com/r/GERD/comments/hk5e1o/do_you_guys_feel_a_tightness_on_the_base_of_the/")</f>
        <v/>
      </c>
      <c r="G8708" t="inlineStr">
        <is>
          <t>2020-07-02 14:04:01</t>
        </is>
      </c>
      <c r="H8708" t="inlineStr"/>
    </row>
    <row r="8709">
      <c r="A8709" t="inlineStr">
        <is>
          <t>hk5ll2</t>
        </is>
      </c>
      <c r="B8709" t="inlineStr">
        <is>
          <t>With the globus sensation, does anyone also get a weird feeling in their chest?</t>
        </is>
      </c>
      <c r="C8709" t="inlineStr">
        <is>
          <t>I’ve had the globus sensation off and on since April now — first time for me, and it’s awful! But I’m also feeling a weird feeling in my left chest area. Almost like something is stuck there? My left ear also has a little pressure. I’m not sick, but I do have sinus issues year round. I’m not sure if this is from my GERD or possible allergy stuff ugh!</t>
        </is>
      </c>
      <c r="D8709" t="n">
        <v>1</v>
      </c>
      <c r="E8709" t="n">
        <v>1</v>
      </c>
      <c r="F8709">
        <f>HYPERLINK("https://www.reddit.com/r/GERD/comments/hk5ll2/with_the_globus_sensation_does_anyone_also_get_a/")</f>
        <v/>
      </c>
      <c r="G8709" t="inlineStr">
        <is>
          <t>2020-07-02 14:14:51</t>
        </is>
      </c>
      <c r="H8709" t="inlineStr"/>
    </row>
    <row r="8710">
      <c r="A8710" t="inlineStr">
        <is>
          <t>hk5twg</t>
        </is>
      </c>
      <c r="B8710" t="inlineStr">
        <is>
          <t>Anyone else burp up foam?</t>
        </is>
      </c>
      <c r="C8710" t="inlineStr">
        <is>
          <t>I sometimes feel pressure in my throat and it’s like a burp but foam comes up.</t>
        </is>
      </c>
      <c r="D8710" t="n">
        <v>1</v>
      </c>
      <c r="E8710" t="n">
        <v>1</v>
      </c>
      <c r="F8710">
        <f>HYPERLINK("https://www.reddit.com/r/GERD/comments/hk5twg/anyone_else_burp_up_foam/")</f>
        <v/>
      </c>
      <c r="G8710" t="inlineStr">
        <is>
          <t>2020-07-02 14:26:53</t>
        </is>
      </c>
      <c r="H8710" t="inlineStr"/>
    </row>
    <row r="8711">
      <c r="A8711" t="inlineStr">
        <is>
          <t>hk6dyi</t>
        </is>
      </c>
      <c r="B8711" t="inlineStr">
        <is>
          <t>Anyone got this after a shoulder injury?</t>
        </is>
      </c>
      <c r="C8711" t="inlineStr">
        <is>
          <t>I’ve had reflux for many years but very manageable. Maybe once bad flare up once a month. 
I’m 33 and quite over weight. 
Early last year I did something to my shoulder while playing tennis. Couldn’t lift my arm up beyond 90 degrees. After a 2 weeks and no improvement, I went to seek treatment at various places. Went to an orthopedic and got a steroid jab, went to physio clinic and got some stretches and exercises done. It didn’t help. 
I then went to a chiropractor and he said it’s a misaligned collar bone and cracked it back in place. Pain all gone instantly. Awesome but then a week later I woke up mid sleep to puke what felt like a lot of acid. I got the LPR breathing issues shortly after. Sometimes it feels like the left side of my neck is tight too. 
Went to an ENT and he gave me anti acids for swollen vocal cords but he was more interested in it being sleep apnea. Now months later I’m on CPAP, gaviscon advance, anti acids and there’s barely any improvements. 
It just crossed my mind this could all be related to my shoulder issue. Wanted to know if anyone had anything similar or has any medical insight.</t>
        </is>
      </c>
      <c r="D8711" t="n">
        <v>1</v>
      </c>
      <c r="E8711" t="n">
        <v>0</v>
      </c>
      <c r="F8711">
        <f>HYPERLINK("https://www.reddit.com/r/GERD/comments/hk6dyi/anyone_got_this_after_a_shoulder_injury/")</f>
        <v/>
      </c>
      <c r="G8711" t="inlineStr">
        <is>
          <t>2020-07-02 14:56:45</t>
        </is>
      </c>
      <c r="H8711" t="inlineStr"/>
    </row>
    <row r="8712">
      <c r="A8712" t="inlineStr">
        <is>
          <t>hk6i26</t>
        </is>
      </c>
      <c r="B8712" t="inlineStr">
        <is>
          <t>My eyes hurt all the time, please help.</t>
        </is>
      </c>
      <c r="C8712" t="inlineStr">
        <is>
          <t>I have GERD and Laryngopharyngeal reflux, everytime I eat anything my eyes sting and hurt, they feel like they’re on fire, I get light sensitivity from watching the tv and they get very dry. I’ve used lubricating eye drop and eye ointments, I’ve been on gaviscon and omeprazole for months but my eyes still hurt. I know it’s not eye strain because I’ve cut down on screen time a lot. I’ve been for an opthamaology and two eye tests they say my eyes are fine, but the pain won’t go away. Could I have ocular surface disease?</t>
        </is>
      </c>
      <c r="D8712" t="n">
        <v>1</v>
      </c>
      <c r="E8712" t="n">
        <v>1</v>
      </c>
      <c r="F8712">
        <f>HYPERLINK("https://www.reddit.com/r/GERD/comments/hk6i26/my_eyes_hurt_all_the_time_please_help/")</f>
        <v/>
      </c>
      <c r="G8712" t="inlineStr">
        <is>
          <t>2020-07-02 15:02:52</t>
        </is>
      </c>
      <c r="H8712" t="inlineStr"/>
    </row>
    <row r="8713">
      <c r="A8713" t="inlineStr">
        <is>
          <t>hk87fq</t>
        </is>
      </c>
      <c r="B8713" t="inlineStr">
        <is>
          <t>Easy snack/protein bar suggestions?</t>
        </is>
      </c>
      <c r="C8713" t="inlineStr">
        <is>
          <t>I'm at work all day and don't have time to sit down and eat a meal.
Any ideas for easy portable (ideally one-handed) snacks that I can quickly eat while on the run?
Ideally I'd like to find a protein bar that doesn't burn my chest lol.</t>
        </is>
      </c>
      <c r="D8713" t="n">
        <v>1</v>
      </c>
      <c r="E8713" t="n">
        <v>8</v>
      </c>
      <c r="F8713">
        <f>HYPERLINK("https://www.reddit.com/r/GERD/comments/hk87fq/easy_snackprotein_bar_suggestions/")</f>
        <v/>
      </c>
      <c r="G8713" t="inlineStr">
        <is>
          <t>2020-07-02 16:38:23</t>
        </is>
      </c>
      <c r="H8713" t="inlineStr"/>
    </row>
    <row r="8714">
      <c r="A8714" t="inlineStr">
        <is>
          <t>hk882h</t>
        </is>
      </c>
      <c r="B8714" t="inlineStr">
        <is>
          <t>Pantoprazole - Good/Bad, helps/No help?</t>
        </is>
      </c>
      <c r="C8714" t="inlineStr">
        <is>
          <t>Anyone taken this before?
Did it help ? My Dr is telling me to take 20mg of this in the morning and then 20mg of pepcid 20 mg before bed.
Any side effects or bad experiences?</t>
        </is>
      </c>
      <c r="D8714" t="n">
        <v>1</v>
      </c>
      <c r="E8714" t="n">
        <v>1</v>
      </c>
      <c r="F8714">
        <f>HYPERLINK("https://www.reddit.com/r/GERD/comments/hk882h/pantoprazole_goodbad_helpsno_help/")</f>
        <v/>
      </c>
      <c r="G8714" t="inlineStr">
        <is>
          <t>2020-07-02 16:39:23</t>
        </is>
      </c>
      <c r="H8714" t="inlineStr"/>
    </row>
    <row r="8715">
      <c r="A8715" t="inlineStr">
        <is>
          <t>hk8k3n</t>
        </is>
      </c>
      <c r="B8715" t="inlineStr">
        <is>
          <t>Rant + Experience?</t>
        </is>
      </c>
      <c r="C8715" t="inlineStr">
        <is>
          <t>Hi, I’m pretty new to reddit and I must say this subreddit was at the top of my list to join.
I’m 22, (from the UK) and have had GERD for half of my life. I’ve taken lansoprazole, omeprazole, ranitidine, esomeprazole(which I assume is just the same), basically I have taken everything. I’ve also had endoscopies, bacteria tests, ultrasounds, gastrin level tests, other blood tests, THERAPY, literally everything they have thrown at me, and here I am sitting in bed with a burning stomach and a fear of lying down to finally sleep. 
First of all, I just really wanted to rant (sorry, you can skip to the next paragraph). I’m so angry that half my life has passed me by, and the whole time I’ve been limiting everything I eat, anxious to eat out, getting stomach pains from sitting too long, not sleeping enough, every little thing! And yet, no doctor has ever suggested surgery to me. I’ve changed my eating habits and done everything I can, but it seems as though it’s a mechanical issue... I’m so worried that all these years of waiting and taking potentially damaging medications has done way too much harm. They would even suggest a known cancer-causing drug (ranitidine) when I have family history of cancer, before recommending surgery. I’ve needed blood transfusions for vitamin deficiencies, had depression and hair loss... I can honestly trace it all back to when I first started the PPIs. The UK system of seeing a different doctor every time hasn’t helped at all either.
Basically, I really wish for an end to this GERD, as I’m sure many of you on here do too. I’ve been weaning off my PPIs because I don’t want to be reliant on them for my entire life, and honestly they make my regurgitation worse with constant waterbrash, even though my stomach burns without them (even with gaviscon). Are there any other long time sufferers here? I find it so worrying that most I know have only been on the medication for a few months, and yet here I am with 11 years under my belt. What to do when all hope is lost?
Also thank you so much for this subreddit. So much useful info I’ve never been given over my 11 years of going through it all. I wish everyone health and recovery.</t>
        </is>
      </c>
      <c r="D8715" t="n">
        <v>1</v>
      </c>
      <c r="E8715" t="n">
        <v>3</v>
      </c>
      <c r="F8715">
        <f>HYPERLINK("https://www.reddit.com/r/GERD/comments/hk8k3n/rant_experience/")</f>
        <v/>
      </c>
      <c r="G8715" t="inlineStr">
        <is>
          <t>2020-07-02 16:59:18</t>
        </is>
      </c>
      <c r="H8715" t="inlineStr"/>
    </row>
    <row r="8716">
      <c r="A8716" t="inlineStr">
        <is>
          <t>hk92nu</t>
        </is>
      </c>
      <c r="B8716" t="inlineStr">
        <is>
          <t>GERD and Asthma related?</t>
        </is>
      </c>
      <c r="C8716" t="inlineStr">
        <is>
          <t>Looking for some information. I've been battling repository issues for 3 months now. Currently being treated for asthma and bad acid reflux, so am wondering if anyone has been down this path before? My symptoms (chest/breathing issues) seem to flare up when I eat heavily or too frequently. I've yet to feel 100% in the last 3 months. The best description I have is chest congestion. As if my chest area is weak.</t>
        </is>
      </c>
      <c r="D8716" t="n">
        <v>1</v>
      </c>
      <c r="E8716" t="n">
        <v>9</v>
      </c>
      <c r="F8716">
        <f>HYPERLINK("https://www.reddit.com/r/GERD/comments/hk92nu/gerd_and_asthma_related/")</f>
        <v/>
      </c>
      <c r="G8716" t="inlineStr">
        <is>
          <t>2020-07-02 17:30:22</t>
        </is>
      </c>
      <c r="H8716" t="inlineStr"/>
    </row>
    <row r="8717">
      <c r="A8717" t="inlineStr">
        <is>
          <t>hk9jq6</t>
        </is>
      </c>
      <c r="B8717" t="inlineStr">
        <is>
          <t>To those of you who went through the LINX surgery with hiatal hernia repair, did you experience gas/discomfort problems after eating?</t>
        </is>
      </c>
      <c r="C8717" t="inlineStr">
        <is>
          <t>I went through the surgery about a month ago. Fixed a Type 3 mixed hiatal hernia and implanted the LINX device. Most problems besides trouble swallowing have gone away. One thing I’ve noticed, especially after eating, is bad gas and mild pain/discomfort in the mid to lower abdomen and lower back (not as much in the back). It feels like gas at least, but not a lot of flatulence. Lasts usually 20-30 minutes after eating. Sometimes it’s hard to stand all the way up straight though standing/sitting up in a chair or bed helps. Did anyone else experience this? What did you do to help?</t>
        </is>
      </c>
      <c r="D8717" t="n">
        <v>1</v>
      </c>
      <c r="E8717" t="n">
        <v>1</v>
      </c>
      <c r="F8717">
        <f>HYPERLINK("https://www.reddit.com/r/GERD/comments/hk9jq6/to_those_of_you_who_went_through_the_linx_surgery/")</f>
        <v/>
      </c>
      <c r="G8717" t="inlineStr">
        <is>
          <t>2020-07-02 17:59:49</t>
        </is>
      </c>
      <c r="H8717" t="inlineStr"/>
    </row>
    <row r="8718">
      <c r="A8718" t="inlineStr">
        <is>
          <t>hk9qs5</t>
        </is>
      </c>
      <c r="B8718" t="inlineStr">
        <is>
          <t>Horrible Breath, Please Help</t>
        </is>
      </c>
      <c r="C8718" t="inlineStr">
        <is>
          <t>I’ve had silent reflux since I was a child (I now realize it was silent reflux; for a long time I thought it was post nasal drip). My reflux symptoms aren’t typical. I sleep fine. I have heartburn daily but it’s very minimal and unnoticeable a lot of times. However, one thing that has been consistent is my bad breath and the constant need to get rid of thick mucus in my throat. I think the acid is also slowly eroding my teeth. I’ve been to doctors and they don’t seem to know how to fix this. Any suggestions?</t>
        </is>
      </c>
      <c r="D8718" t="n">
        <v>1</v>
      </c>
      <c r="E8718" t="n">
        <v>9</v>
      </c>
      <c r="F8718">
        <f>HYPERLINK("https://www.reddit.com/r/GERD/comments/hk9qs5/horrible_breath_please_help/")</f>
        <v/>
      </c>
      <c r="G8718" t="inlineStr">
        <is>
          <t>2020-07-02 18:11:55</t>
        </is>
      </c>
      <c r="H8718" t="inlineStr"/>
    </row>
    <row r="8719">
      <c r="A8719" t="inlineStr">
        <is>
          <t>hk9zm1</t>
        </is>
      </c>
      <c r="B8719" t="inlineStr">
        <is>
          <t>Metoclopramide?</t>
        </is>
      </c>
      <c r="C8719" t="inlineStr">
        <is>
          <t>I have been prescribed Metoclopramide by the hospital doctor after I had an endoscopy to diagnose weight loss, reflux and constant nausea over the last 6 months. Endoscopy came back clear so they’re doing a barium swallow and put me on Metoclopramide. I’m absolutely terrified to take it, as I’ve heard it has absolutely horrendous side effects. I emailed my doctor and asked to be out on something else- I’ve heard it can induce suicidal thoughts, anxiety attacks, other horrible symptoms that can last days or weeks, and even permanent muscle spasms. Does anyone have any experience taking it? I’m afraid my doctor will ask me to try it out, I already suffer from severe anxiety and I’m scared to take it!</t>
        </is>
      </c>
      <c r="D8719" t="n">
        <v>1</v>
      </c>
      <c r="E8719" t="n">
        <v>1</v>
      </c>
      <c r="F8719">
        <f>HYPERLINK("https://www.reddit.com/r/GERD/comments/hk9zm1/metoclopramide/")</f>
        <v/>
      </c>
      <c r="G8719" t="inlineStr">
        <is>
          <t>2020-07-02 18:27:26</t>
        </is>
      </c>
      <c r="H8719" t="inlineStr"/>
    </row>
    <row r="8720">
      <c r="A8720" t="inlineStr">
        <is>
          <t>hka1da</t>
        </is>
      </c>
      <c r="B8720" t="inlineStr">
        <is>
          <t>PH Bravo results!</t>
        </is>
      </c>
      <c r="C8720" t="inlineStr">
        <is>
          <t>Just got off the phone with my GI and they're finally referring me to surgery, have to make an appointment with the surgeon tomorrow.
**Results** 
First day: 94 reflux events longer than 5 minutes, DeMeester Score = 54
Second day: 71 reflux events longer than 5 minutes,  DeMeester Score = 51
She said anything over a score of 14 indicates reflux, and she labelled mine as severe reflux.
&amp;amp;#x200B;
It was a nightmare going off PPIs, H2's, antacids, and Gaviscon for so long and my teeth/lungs/esophagus are still hurting, but it is so nice to be validated and get to move on to the 'Fix It' stage of this.
Thank you all for posting your stories and solutions here, this sub has been invaluable to me.  I will keep posting my experience here.  Keep hope, do the tests, there's a light at the end of the tunnel!
My GERD/regurgitation issues started an entire year ago after a bout of violent vomiting, before that i had had an hour or two of heartburn maybe once a year, if that.</t>
        </is>
      </c>
      <c r="D8720" t="n">
        <v>1</v>
      </c>
      <c r="E8720" t="n">
        <v>9</v>
      </c>
      <c r="F8720">
        <f>HYPERLINK("https://www.reddit.com/r/GERD/comments/hka1da/ph_bravo_results/")</f>
        <v/>
      </c>
      <c r="G8720" t="inlineStr">
        <is>
          <t>2020-07-02 18:30:37</t>
        </is>
      </c>
      <c r="H8720" t="inlineStr"/>
    </row>
    <row r="8721">
      <c r="A8721" t="inlineStr">
        <is>
          <t>hkafgf</t>
        </is>
      </c>
      <c r="B8721" t="inlineStr">
        <is>
          <t>Anyone else experience being unable to keep food down related to changes in your daily routine?</t>
        </is>
      </c>
      <c r="C8721" t="inlineStr">
        <is>
          <t>Kind of self explanatory, but when I moved back to my apartment that first weekend I threw up after every meal. Today I started a new job and puked this morning and after work when I ate. I’ve been to my Ent and my gastro and they’re both confused and have just narrowed it down to  my GERD/silent reflux and ibs.  I don’t feel “sick” or have any other symptoms. This happened back in January too. Every thing I look up about GERD mentions nausea but can vomiting be a part of it? I feel like I’m a baby spitting up</t>
        </is>
      </c>
      <c r="D8721" t="n">
        <v>1</v>
      </c>
      <c r="E8721" t="n">
        <v>0</v>
      </c>
      <c r="F8721">
        <f>HYPERLINK("https://www.reddit.com/r/GERD/comments/hkafgf/anyone_else_experience_being_unable_to_keep_food/")</f>
        <v/>
      </c>
      <c r="G8721" t="inlineStr">
        <is>
          <t>2020-07-02 18:55:55</t>
        </is>
      </c>
      <c r="H8721" t="inlineStr"/>
    </row>
    <row r="8722">
      <c r="A8722" t="inlineStr">
        <is>
          <t>hkb0k2</t>
        </is>
      </c>
      <c r="B8722" t="inlineStr">
        <is>
          <t>Terrified of COIVD and GERD/LPR mimic it too well.</t>
        </is>
      </c>
      <c r="C8722" t="inlineStr">
        <is>
          <t>Hate the fact that LPR and heart burn mimic a whole pandemic! So stressed, probably not helping the LPR, any advice? What does your LPR feel like? Whats the difference between that and what the coivd-sore-throat feels like?</t>
        </is>
      </c>
      <c r="D8722" t="n">
        <v>1</v>
      </c>
      <c r="E8722" t="n">
        <v>10</v>
      </c>
      <c r="F8722">
        <f>HYPERLINK("https://www.reddit.com/r/GERD/comments/hkb0k2/terrified_of_coivd_and_gerdlpr_mimic_it_too_well/")</f>
        <v/>
      </c>
      <c r="G8722" t="inlineStr">
        <is>
          <t>2020-07-02 19:33:38</t>
        </is>
      </c>
      <c r="H8722" t="inlineStr"/>
    </row>
    <row r="8723">
      <c r="A8723" t="inlineStr">
        <is>
          <t>hkbyy9</t>
        </is>
      </c>
      <c r="B8723" t="inlineStr">
        <is>
          <t>LPR reflux</t>
        </is>
      </c>
      <c r="C8723" t="inlineStr">
        <is>
          <t>hi. i am just 19 and i think i have LPR, i got an endoscopy done which revealed no esophagitis but i still reflux acid into my throat and i feel it come up to my ears, i also have post nasal drip. what should i do i am really confused? is surgery an option for me? i need to be able to study properly and this does not let me do that. please help!</t>
        </is>
      </c>
      <c r="D8723" t="n">
        <v>1</v>
      </c>
      <c r="E8723" t="n">
        <v>1</v>
      </c>
      <c r="F8723">
        <f>HYPERLINK("https://www.reddit.com/r/GERD/comments/hkbyy9/lpr_reflux/")</f>
        <v/>
      </c>
      <c r="G8723" t="inlineStr">
        <is>
          <t>2020-07-02 20:40:19</t>
        </is>
      </c>
      <c r="H8723" t="inlineStr"/>
    </row>
    <row r="8724">
      <c r="A8724" t="inlineStr">
        <is>
          <t>hkc2r3</t>
        </is>
      </c>
      <c r="B8724" t="inlineStr">
        <is>
          <t>Hey my fellow chest pain that's worst when lying down people, how do you get relief?</t>
        </is>
      </c>
      <c r="C8724" t="inlineStr">
        <is>
          <t>Been dealing with chest tightness and shooting pains for weeks now and what feels like heart palpitations, stopped taking my dexilansprazole but haven't had a chance to call gastro but got a physical to make sure it wasn't something else. I don't eat until the end of the day so I don't have pain during the day but when it comes to trying to get to sleep I just can't get over the pain. I'm even lucky as fuck and have an adjustable base bed so I'll go to sleep sitting up but it still bothers me.</t>
        </is>
      </c>
      <c r="D8724" t="n">
        <v>1</v>
      </c>
      <c r="E8724" t="n">
        <v>2</v>
      </c>
      <c r="F8724">
        <f>HYPERLINK("https://www.reddit.com/r/GERD/comments/hkc2r3/hey_my_fellow_chest_pain_thats_worst_when_lying/")</f>
        <v/>
      </c>
      <c r="G8724" t="inlineStr">
        <is>
          <t>2020-07-02 20:48:12</t>
        </is>
      </c>
      <c r="H8724" t="inlineStr"/>
    </row>
    <row r="8725">
      <c r="A8725" t="inlineStr">
        <is>
          <t>hkcarb</t>
        </is>
      </c>
      <c r="B8725" t="inlineStr">
        <is>
          <t>How to eat enough food with Acid reflux/LPR?</t>
        </is>
      </c>
      <c r="C8725" t="inlineStr">
        <is>
          <t>I'm really struggling because when I have the sensation of food/lump in my throat, it becomes really hard to eat... Do you guys just force the food down regardless of if it feels like you cant take another bite?
I've lost 10 pounds already in the past 1.5 weeks and I was already underweight before this. I'm worried I'm not getting enough nutrients but it feels impossible to eat enough to gain weight back.
Any input is really appreciated...Thank you.</t>
        </is>
      </c>
      <c r="D8725" t="n">
        <v>1</v>
      </c>
      <c r="E8725" t="n">
        <v>6</v>
      </c>
      <c r="F8725">
        <f>HYPERLINK("https://www.reddit.com/r/GERD/comments/hkcarb/how_to_eat_enough_food_with_acid_refluxlpr/")</f>
        <v/>
      </c>
      <c r="G8725" t="inlineStr">
        <is>
          <t>2020-07-02 21:04:39</t>
        </is>
      </c>
      <c r="H8725" t="inlineStr"/>
    </row>
    <row r="8726">
      <c r="A8726" t="inlineStr">
        <is>
          <t>hkch0g</t>
        </is>
      </c>
      <c r="B8726" t="inlineStr">
        <is>
          <t>Horrible heart burn and throat burning</t>
        </is>
      </c>
      <c r="C8726" t="inlineStr">
        <is>
          <t>What would be the best for immediate relief im miserable right now my chest feels like its on fire</t>
        </is>
      </c>
      <c r="D8726" t="n">
        <v>1</v>
      </c>
      <c r="E8726" t="n">
        <v>5</v>
      </c>
      <c r="F8726">
        <f>HYPERLINK("https://www.reddit.com/r/GERD/comments/hkch0g/horrible_heart_burn_and_throat_burning/")</f>
        <v/>
      </c>
      <c r="G8726" t="inlineStr">
        <is>
          <t>2020-07-02 21:17:28</t>
        </is>
      </c>
      <c r="H8726" t="inlineStr"/>
    </row>
    <row r="8727">
      <c r="A8727" t="inlineStr">
        <is>
          <t>hkcpn2</t>
        </is>
      </c>
      <c r="B8727" t="inlineStr">
        <is>
          <t>I was prescribed Pantoprazole for my acid reflux. Can this have a negative effect if I drink alcohol</t>
        </is>
      </c>
      <c r="C8727" t="inlineStr">
        <is>
          <t>Soon 4th of july is coming and I plan to drink, however I’m cautious due to seeing alcohol interactions with this drug are something to avoid according to google. However, this is seen no where else. Any idea??</t>
        </is>
      </c>
      <c r="D8727" t="n">
        <v>1</v>
      </c>
      <c r="E8727" t="n">
        <v>6</v>
      </c>
      <c r="F8727">
        <f>HYPERLINK("https://www.reddit.com/r/GERD/comments/hkcpn2/i_was_prescribed_pantoprazole_for_my_acid_reflux/")</f>
        <v/>
      </c>
      <c r="G8727" t="inlineStr">
        <is>
          <t>2020-07-02 21:34:39</t>
        </is>
      </c>
      <c r="H8727" t="inlineStr"/>
    </row>
    <row r="8728">
      <c r="A8728" t="inlineStr">
        <is>
          <t>hkda7f</t>
        </is>
      </c>
      <c r="B8728" t="inlineStr">
        <is>
          <t>I am suffering from OCD taking medication from 7 years now GERD. Does it effect my kidney..</t>
        </is>
      </c>
      <c r="C8728" t="inlineStr">
        <is>
          <t>I am a OCD from 20 years started medication  7 years back.  Now suffering from GERD 2years... My concern is 1) Does it effect my kidneys 2) After leaving  tablets how many days takes for relieving from digestive disorder. 3) Anybody suffering past 5 years..</t>
        </is>
      </c>
      <c r="D8728" t="n">
        <v>1</v>
      </c>
      <c r="E8728" t="n">
        <v>1</v>
      </c>
      <c r="F8728">
        <f>HYPERLINK("https://www.reddit.com/r/GERD/comments/hkda7f/i_am_suffering_from_ocd_taking_medication_from_7/")</f>
        <v/>
      </c>
      <c r="G8728" t="inlineStr">
        <is>
          <t>2020-07-02 22:18:29</t>
        </is>
      </c>
      <c r="H8728" t="inlineStr"/>
    </row>
    <row r="8729">
      <c r="A8729" t="inlineStr">
        <is>
          <t>hkdz9l</t>
        </is>
      </c>
      <c r="B8729" t="inlineStr">
        <is>
          <t>Advice for mild symptoms?</t>
        </is>
      </c>
      <c r="C8729" t="inlineStr">
        <is>
          <t>Hey, everyone! I very rarely (less than monthly) get noteworthy pain or nausea, but every single morning I wake up with a sour taste in my mouth and mild burning at the base of my throat. It often comes back midday after a meal. I didn't realize I might have GERD until my dentist commented on the acid damage to my teeth. I've seen a doctor who told me to get an h. pylori test (it was negative) and otherwise kind of shrugged me off. I've since learned GERD runs in my family.
How common is it to have these symptoms every day? How worried should I be about damage to my esophagus given that I'm not having more uncomfortable symptoms? I am very reluctant to seek medical treatment right now (due to COVID).
I eat pretty healthy, am not overweight, and get at least a short run every day... not sure where to begin.</t>
        </is>
      </c>
      <c r="D8729" t="n">
        <v>1</v>
      </c>
      <c r="E8729" t="n">
        <v>1</v>
      </c>
      <c r="F8729">
        <f>HYPERLINK("https://www.reddit.com/r/GERD/comments/hkdz9l/advice_for_mild_symptoms/")</f>
        <v/>
      </c>
      <c r="G8729" t="inlineStr">
        <is>
          <t>2020-07-02 23:16:32</t>
        </is>
      </c>
      <c r="H8729" t="inlineStr"/>
    </row>
    <row r="8730">
      <c r="A8730" t="inlineStr">
        <is>
          <t>hkeopt</t>
        </is>
      </c>
      <c r="B8730" t="inlineStr">
        <is>
          <t>Constant burping</t>
        </is>
      </c>
      <c r="C8730" t="inlineStr">
        <is>
          <t>Does anyone here recovered from their constant burping? How did you recovered?
23F I've been constantly burping for almost 2months now. It doesn't happen when i'm laying down or sleeping or sitting in comfortable position. But when I stood up upon sitting or laying down, I get this pressure on my stomach that needs to be released. Or even when I'm out and moving too much.
I've been to 2 doctors. They said it was GERD. And it was because of acid. I don't have any heartburn, chest pain, regurgitations, etc. 
Btw, I'm always hungry and I have loud stomach noises. My doctor put me in Pantoprazole, Domperidone and, Antibiotic incase I have bad bacteria. 
If you experienced this it would be a great help if you hand me some advices thank you very much. I'm really bothered by it.</t>
        </is>
      </c>
      <c r="D8730" t="n">
        <v>1</v>
      </c>
      <c r="E8730" t="n">
        <v>4</v>
      </c>
      <c r="F8730">
        <f>HYPERLINK("https://www.reddit.com/r/GERD/comments/hkeopt/constant_burping/")</f>
        <v/>
      </c>
      <c r="G8730" t="inlineStr">
        <is>
          <t>2020-07-03 00:20:27</t>
        </is>
      </c>
      <c r="H8730" t="inlineStr"/>
    </row>
    <row r="8731">
      <c r="A8731" t="inlineStr">
        <is>
          <t>hkfa3n</t>
        </is>
      </c>
      <c r="B8731" t="inlineStr">
        <is>
          <t>Does anyone get the "lump in throat" feeling for a long time (months)?</t>
        </is>
      </c>
      <c r="C8731" t="inlineStr">
        <is>
          <t>Just wondering if this is a symptom of GERD/LPR that people experience.
It's not completely constant. It may be there in the morning, diminish in the afternoon, then come back late in the evening. Sometimes it's accompanied by dry throat or a sore throat.
Anyone get this for long periods? Thanks.</t>
        </is>
      </c>
      <c r="D8731" t="n">
        <v>1</v>
      </c>
      <c r="E8731" t="n">
        <v>3</v>
      </c>
      <c r="F8731">
        <f>HYPERLINK("https://www.reddit.com/r/GERD/comments/hkfa3n/does_anyone_get_the_lump_in_throat_feeling_for_a/")</f>
        <v/>
      </c>
      <c r="G8731" t="inlineStr">
        <is>
          <t>2020-07-03 01:16:40</t>
        </is>
      </c>
      <c r="H8731" t="inlineStr"/>
    </row>
    <row r="8732">
      <c r="A8732" t="inlineStr">
        <is>
          <t>hkfsvb</t>
        </is>
      </c>
      <c r="B8732" t="inlineStr">
        <is>
          <t>Well it's 5am...</t>
        </is>
      </c>
      <c r="C8732" t="inlineStr">
        <is>
          <t>This is the third night I'm unable to sleep.
I didn't eat before going to bed and my bed is raised in recommended fashion. Yet I've waken up a couple times.
- Tight/dry throat
- Heavy chest
- Throbbing pain in abdomen
- Shoulder pain as well
- Anxiety?
- And this overwhelming feeling of having to go to the bathroom.
This sucks... Is it GERD? is it heart related? Something else?.. idk. Sucks because I've had similar experiences with GERD before.</t>
        </is>
      </c>
      <c r="D8732" t="n">
        <v>1</v>
      </c>
      <c r="E8732" t="n">
        <v>9</v>
      </c>
      <c r="F8732">
        <f>HYPERLINK("https://www.reddit.com/r/GERD/comments/hkfsvb/well_its_5am/")</f>
        <v/>
      </c>
      <c r="G8732" t="inlineStr">
        <is>
          <t>2020-07-03 02:06:54</t>
        </is>
      </c>
      <c r="H8732" t="inlineStr"/>
    </row>
    <row r="8733">
      <c r="A8733" t="inlineStr">
        <is>
          <t>hkg603</t>
        </is>
      </c>
      <c r="B8733" t="inlineStr">
        <is>
          <t>Please Help. I need opinions. I Have No One.</t>
        </is>
      </c>
      <c r="C8733" t="inlineStr">
        <is>
          <t>Hello Everyone I'm new here . I'm really young and no one understands how to help me. 
I've had reflux now for about 3 years. First it was just acid but a year later it turned into bile as well. In these past 3 years I've experienced burning chest pain, and regurgitation every single day non stop. My first endoscopy showed inflammation and my second endoscopy showed that I got worse and my esophagus is extremely irritated. They also saw in that one a big pool of bile and lots of stomach ulcers. No matter what I eat, I still feel burning pain. I've tried every diet from the acid reflux diet, a liquid diet, frutarian diet, paleo, keto, just everything. And ive done it for months for each one with no results. PPIs dont work on me, they make me worst. (Tried all of them as well). And for the bile, Ive tried all the bile binders as well as the natural supplements like psyllium husk. Please, I don't know what to do anymore and at this point im considering surgery but I'm scared because I ask my parents all the time if I should get it, and they just tell me to go ahead and get more cuts on my body (that it'll make me look bad). Btw, I've had my gallbladder removed like 4 years ago thats why they say that. But because of this disease I stopped working and going to college. It's extremely painful and I just need opinions. What should I do? Should I get surgery ? Im scared the surgery will make me worse.</t>
        </is>
      </c>
      <c r="D8733" t="n">
        <v>1</v>
      </c>
      <c r="E8733" t="n">
        <v>17</v>
      </c>
      <c r="F8733">
        <f>HYPERLINK("https://www.reddit.com/r/GERD/comments/hkg603/please_help_i_need_opinions_i_have_no_one/")</f>
        <v/>
      </c>
      <c r="G8733" t="inlineStr">
        <is>
          <t>2020-07-03 02:40:12</t>
        </is>
      </c>
      <c r="H8733" t="inlineStr"/>
    </row>
    <row r="8734">
      <c r="A8734" t="inlineStr">
        <is>
          <t>hkh9kn</t>
        </is>
      </c>
      <c r="B8734" t="inlineStr">
        <is>
          <t>Post Op Nausea</t>
        </is>
      </c>
      <c r="C8734" t="inlineStr">
        <is>
          <t>I'm 6 months post op after a Toupet fundoplication and have had no symptoms of reflux but I have been struggling with severe nausea. I have spoken to my surgeon about it and have been given a couple of different meds but I'm wondering if anyone else has had a similar experience?</t>
        </is>
      </c>
      <c r="D8734" t="n">
        <v>1</v>
      </c>
      <c r="E8734" t="n">
        <v>4</v>
      </c>
      <c r="F8734">
        <f>HYPERLINK("https://www.reddit.com/r/GERD/comments/hkh9kn/post_op_nausea/")</f>
        <v/>
      </c>
      <c r="G8734" t="inlineStr">
        <is>
          <t>2020-07-03 04:15:17</t>
        </is>
      </c>
      <c r="H8734" t="inlineStr"/>
    </row>
    <row r="8735">
      <c r="A8735" t="inlineStr">
        <is>
          <t>hkhz9v</t>
        </is>
      </c>
      <c r="B8735" t="inlineStr">
        <is>
          <t>Gas stuck in stomach, I have to force burps in order to he able to breath because those stuck burps make me feel breathless.</t>
        </is>
      </c>
      <c r="C8735" t="inlineStr">
        <is>
          <t>As the title says... Anyone on the same boat? What has helps and what should i do.</t>
        </is>
      </c>
      <c r="D8735" t="n">
        <v>1</v>
      </c>
      <c r="E8735" t="n">
        <v>39</v>
      </c>
      <c r="F8735">
        <f>HYPERLINK("https://www.reddit.com/r/GERD/comments/hkhz9v/gas_stuck_in_stomach_i_have_to_force_burps_in/")</f>
        <v/>
      </c>
      <c r="G8735" t="inlineStr">
        <is>
          <t>2020-07-03 05:12:22</t>
        </is>
      </c>
      <c r="H8735" t="inlineStr"/>
    </row>
    <row r="8736">
      <c r="A8736" t="inlineStr">
        <is>
          <t>hki17t</t>
        </is>
      </c>
      <c r="B8736" t="inlineStr">
        <is>
          <t>Does anyone else get irritation at the corners of their mouth/angular cheilitis during a flare up?</t>
        </is>
      </c>
      <c r="C8736" t="inlineStr">
        <is>
          <t>I have literally no other explanation for why I would get angular cheilitis. My dental hygiene is 100% fine, and I have no other underlying health issues except my GERD. I had gotten rid of the cheilitis for several months but once I started having a reflux flare up the cheilitis returned. I’ve seen so many doctors and none of them have linked (not that I’ve outright asked) it so I don’t even know if it’s possible to be the cause. I get sore spots in my mouth and a sore throat frequently during a flare up too so I figure if it can cause that then why can’t it irritate the corners of my mouth. But I was just wondering if anyone else has experienced the same thing? I can’t stand dealing with it</t>
        </is>
      </c>
      <c r="D8736" t="n">
        <v>1</v>
      </c>
      <c r="E8736" t="n">
        <v>4</v>
      </c>
      <c r="F8736">
        <f>HYPERLINK("https://www.reddit.com/r/GERD/comments/hki17t/does_anyone_else_get_irritation_at_the_corners_of/")</f>
        <v/>
      </c>
      <c r="G8736" t="inlineStr">
        <is>
          <t>2020-07-03 05:16:27</t>
        </is>
      </c>
      <c r="H8736" t="inlineStr"/>
    </row>
    <row r="8737">
      <c r="A8737" t="inlineStr">
        <is>
          <t>hki4ym</t>
        </is>
      </c>
      <c r="B8737" t="inlineStr">
        <is>
          <t>What helps with Morning Nausea/Reflux?</t>
        </is>
      </c>
      <c r="C8737" t="inlineStr">
        <is>
          <t>Hi all. I have been recently diagnosed with GERD, with nausea as my most prominent symptom. The nausea and reflux is the worst in the morning after lying down all night. I take my medication (nexium and Nizatidine) and eat a banana about 30 mins later, but it still takes a while for me to feel a bit better. Does anyone else get this and how do they deal with this? I have two pillows and have ordered a wedge pillow but waiting for it to come in. Thanks in Advance</t>
        </is>
      </c>
      <c r="D8737" t="n">
        <v>1</v>
      </c>
      <c r="E8737" t="n">
        <v>4</v>
      </c>
      <c r="F8737">
        <f>HYPERLINK("https://www.reddit.com/r/GERD/comments/hki4ym/what_helps_with_morning_nauseareflux/")</f>
        <v/>
      </c>
      <c r="G8737" t="inlineStr">
        <is>
          <t>2020-07-03 05:23:59</t>
        </is>
      </c>
      <c r="H8737" t="inlineStr"/>
    </row>
    <row r="8738">
      <c r="A8738" t="inlineStr">
        <is>
          <t>hkirk9</t>
        </is>
      </c>
      <c r="B8738" t="inlineStr">
        <is>
          <t>This is no way to live</t>
        </is>
      </c>
      <c r="C8738" t="inlineStr">
        <is>
          <t>Long story short, in July of 2018 I decided to take my health seriously, started intermittent fasting and lost over 90 pounds by May of 2019. May 15th 2019 I was out for a walk and started to feel nauseous and my heart was beating out of my chest. I went to the hospital and had a bunch of test done on my heart and everything passed with flying colours. I followed up with the doctor and told him about all the symptoms I've been experiencing (nauseous during exercise or just walking outside, constant need to clear my throat often, rapid heartbeat after eating, tenderness in upper abdomen and pain that radiates to the middle of my back, bloating after consuming anything...even water at times) and they prescribed a PPI. When that didn't work, they gave me Dexilant, which still did not resolve the situation. I had a scope done last week and doctor was unable to find anything that might be causing the symptoms. I've tried eliminating things from my diet that might be triggers and at one point I only consumed oatmeal. I really don't know what to do at this point. This has really had a negative effect on my quality of life.
Has anyone else been in this situation? What steps did you take to get better?</t>
        </is>
      </c>
      <c r="D8738" t="n">
        <v>1</v>
      </c>
      <c r="E8738" t="n">
        <v>2</v>
      </c>
      <c r="F8738">
        <f>HYPERLINK("https://www.reddit.com/r/GERD/comments/hkirk9/this_is_no_way_to_live/")</f>
        <v/>
      </c>
      <c r="G8738" t="inlineStr">
        <is>
          <t>2020-07-03 06:09:15</t>
        </is>
      </c>
      <c r="H8738" t="inlineStr"/>
    </row>
    <row r="8739">
      <c r="A8739" t="inlineStr">
        <is>
          <t>hkj6qx</t>
        </is>
      </c>
      <c r="B8739" t="inlineStr">
        <is>
          <t>i am the krazy kat</t>
        </is>
      </c>
      <c r="C8739" t="inlineStr">
        <is>
          <t>CRAZYY!</t>
        </is>
      </c>
      <c r="D8739" t="n">
        <v>1</v>
      </c>
      <c r="E8739" t="n">
        <v>0</v>
      </c>
      <c r="F8739">
        <f>HYPERLINK("https://www.reddit.com/r/GERD/comments/hkj6qx/i_am_the_krazy_kat/")</f>
        <v/>
      </c>
      <c r="G8739" t="inlineStr">
        <is>
          <t>2020-07-03 06:37:19</t>
        </is>
      </c>
      <c r="H8739" t="inlineStr"/>
    </row>
    <row r="8740">
      <c r="A8740" t="inlineStr">
        <is>
          <t>hkjfxw</t>
        </is>
      </c>
      <c r="B8740" t="inlineStr">
        <is>
          <t>Anyone get this?</t>
        </is>
      </c>
      <c r="C8740" t="inlineStr">
        <is>
          <t>Whenever my gerd is really acting up, it feels like ANYTHING exacerbates the symptoms, and I don’t mean just eating. Whenever I have a bad episode, of I cough, laugh, or even burp/shout, it feels like someone is sticking a knife in my back. Anyone else get something similar to this?</t>
        </is>
      </c>
      <c r="D8740" t="n">
        <v>1</v>
      </c>
      <c r="E8740" t="n">
        <v>0</v>
      </c>
      <c r="F8740">
        <f>HYPERLINK("https://www.reddit.com/r/GERD/comments/hkjfxw/anyone_get_this/")</f>
        <v/>
      </c>
      <c r="G8740" t="inlineStr">
        <is>
          <t>2020-07-03 06:53:59</t>
        </is>
      </c>
      <c r="H8740" t="inlineStr"/>
    </row>
    <row r="8741">
      <c r="A8741" t="inlineStr">
        <is>
          <t>hkk6eh</t>
        </is>
      </c>
      <c r="B8741" t="inlineStr">
        <is>
          <t>Chest pain and long burps are my only symptoms, need advice</t>
        </is>
      </c>
      <c r="C8741" t="inlineStr">
        <is>
          <t>I need advice, I been having these symptoms for 2 months. Pain in upper left chest, to the side and in my pectoral area. Sometimes down the side of my body as well. I also have really long burps.
Doctor says I have either acid reflux or costochronditis. I've been taking Omeprazole, sometimes it helps. There was a few days where I felt fine aside from some side effects like headaches but that could be from heading a football.
I've been bumped up from 20mg to 40mg, I'm also going try gaviscon (spelling?)
Does this sound like acid reflux, Should my stomach be hurting as well?</t>
        </is>
      </c>
      <c r="D8741" t="n">
        <v>1</v>
      </c>
      <c r="E8741" t="n">
        <v>0</v>
      </c>
      <c r="F8741">
        <f>HYPERLINK("https://www.reddit.com/r/GERD/comments/hkk6eh/chest_pain_and_long_burps_are_my_only_symptoms/")</f>
        <v/>
      </c>
      <c r="G8741" t="inlineStr">
        <is>
          <t>2020-07-03 07:38:38</t>
        </is>
      </c>
      <c r="H8741" t="inlineStr"/>
    </row>
    <row r="8742">
      <c r="A8742" t="inlineStr">
        <is>
          <t>hkm7db</t>
        </is>
      </c>
      <c r="B8742" t="inlineStr">
        <is>
          <t>What to drink.</t>
        </is>
      </c>
      <c r="C8742" t="inlineStr">
        <is>
          <t>I was wondering, I am suffering from GERD/Acid reflux. What type of juice can you drink. I only drink water and tea at night. I would like something fun and tasty to drink. I don’t mean alcohol cause I stopped that a while ago.</t>
        </is>
      </c>
      <c r="D8742" t="n">
        <v>1</v>
      </c>
      <c r="E8742" t="n">
        <v>8</v>
      </c>
      <c r="F8742">
        <f>HYPERLINK("https://www.reddit.com/r/GERD/comments/hkm7db/what_to_drink/")</f>
        <v/>
      </c>
      <c r="G8742" t="inlineStr">
        <is>
          <t>2020-07-03 09:33:06</t>
        </is>
      </c>
      <c r="H8742" t="inlineStr"/>
    </row>
    <row r="8743">
      <c r="A8743" t="inlineStr">
        <is>
          <t>hkmo4e</t>
        </is>
      </c>
      <c r="B8743" t="inlineStr">
        <is>
          <t>[Rant] This disease has taken away all joy of life</t>
        </is>
      </c>
      <c r="C8743" t="inlineStr">
        <is>
          <t>I've had GERD for about 7 years and it's only recently that it's accompanied by SIBO.
I stick to my diet, exercise, meditate, take my medicines do everything possible but still can't get one day relief.
Today was my birthday. I turned 28. After being on diet for si long, all I had was 5 potato chips and here I am having an insane headache and puking.
I feel so dejected! Will life be like this forever?
I know the answer is possibly yes but is there any light at the end of this blackhole?</t>
        </is>
      </c>
      <c r="D8743" t="n">
        <v>10</v>
      </c>
      <c r="E8743" t="n">
        <v>24</v>
      </c>
      <c r="F8743">
        <f>HYPERLINK("https://www.reddit.com/r/GERD/comments/hkmo4e/rant_this_disease_has_taken_away_all_joy_of_life/")</f>
        <v/>
      </c>
      <c r="G8743" t="inlineStr">
        <is>
          <t>2020-07-03 09:59:32</t>
        </is>
      </c>
      <c r="H8743" t="inlineStr"/>
    </row>
    <row r="8744">
      <c r="A8744" t="inlineStr">
        <is>
          <t>hkmy6n</t>
        </is>
      </c>
      <c r="B8744" t="inlineStr">
        <is>
          <t>13 years old inflammation</t>
        </is>
      </c>
      <c r="C8744" t="inlineStr">
        <is>
          <t>Hi Reddit I’m 13 and had a endoscopy about 4 months ago. I have gerd. My doctors said he found some minor inflammation that could be caused by gerd esophagitis or EOE because allergy cells were found.I was told to take ppi for 2 months then redo endoscopy. COVID happened and I couldn’t. What really is weird tho if that the ppis (medium 40mg 2 times a day) didn’t help. At all. My only symptoms are acid burps kinda like a burp but with some acid coming up. Could it just be that I have EOE?</t>
        </is>
      </c>
      <c r="D8744" t="n">
        <v>1</v>
      </c>
      <c r="E8744" t="n">
        <v>3</v>
      </c>
      <c r="F8744">
        <f>HYPERLINK("https://www.reddit.com/r/GERD/comments/hkmy6n/13_years_old_inflammation/")</f>
        <v/>
      </c>
      <c r="G8744" t="inlineStr">
        <is>
          <t>2020-07-03 10:14:46</t>
        </is>
      </c>
      <c r="H8744" t="inlineStr"/>
    </row>
    <row r="8745">
      <c r="A8745" t="inlineStr">
        <is>
          <t>hknfix</t>
        </is>
      </c>
      <c r="B8745" t="inlineStr">
        <is>
          <t>GERD with ulcer? *headdesk* Advice and general "buck up, little camper" motivational speeches needed.</t>
        </is>
      </c>
      <c r="C8745" t="inlineStr">
        <is>
          <t>Well, we've gone from typical GERD flare symptoms over 2 weeks to full-on stomach on fire 24/7 with pressure under my rib. My dr. thinks the inflammation is from an ulcer in addition to the worst GERD episode ever (yay!), and I'm on a fun, round-the-clock rotation of pantoprazole, Pepcid AC &amp;amp; sucralfate...scheduling meal times around pills is like planning a state dinner. If I have no relief in a few days I've got to go in for actual in-office tests...which I'm scared to death to do because I am in a HUGE virus hotspot with an at-risk child at home.
If you've experienced this little cup of joy before, how did you get through? Occasional reflux aside, I'm never sick, so feeling exhausted with pain and discomfort (not to mention off-the-charts  anxiety) is new to me...is it going to be better if I stick close to bed, rest like crazy and eat tiny, bland meals? Do I try heating or cooling packs for discomfort? Just looking for some relief. I'm doing all the other things...wedge pillow, eliminating potential triggers, etc. Someone please tell me that this shall pass, because right now I'm sitting in bed sipping weak tea like some sad Victorian invalid.</t>
        </is>
      </c>
      <c r="D8745" t="n">
        <v>2</v>
      </c>
      <c r="E8745" t="n">
        <v>7</v>
      </c>
      <c r="F8745">
        <f>HYPERLINK("https://www.reddit.com/r/GERD/comments/hknfix/gerd_with_ulcer_headdesk_advice_and_general_buck/")</f>
        <v/>
      </c>
      <c r="G8745" t="inlineStr">
        <is>
          <t>2020-07-03 10:41:21</t>
        </is>
      </c>
      <c r="H8745" t="inlineStr"/>
    </row>
    <row r="8746">
      <c r="A8746" t="inlineStr">
        <is>
          <t>hknkdb</t>
        </is>
      </c>
      <c r="B8746" t="inlineStr">
        <is>
          <t>Excessive Belching while sitting or standing</t>
        </is>
      </c>
      <c r="C8746" t="inlineStr">
        <is>
          <t>I've suffered from GERD for nearly 4 years and have tried literally everything to resolve it, which includes: Bravo PH Study, 2 upper GI's, PPI, etc. Consequently, three months ago I decided to visit a chiropractor in hopes of easing symptoms, however, the adjustments made things worst. Now, I'm belching around the clock, which is worst when I sit or stand.   
Any insight would be helpful???</t>
        </is>
      </c>
      <c r="D8746" t="n">
        <v>3</v>
      </c>
      <c r="E8746" t="n">
        <v>0</v>
      </c>
      <c r="F8746">
        <f>HYPERLINK("https://www.reddit.com/r/GERD/comments/hknkdb/excessive_belching_while_sitting_or_standing/")</f>
        <v/>
      </c>
      <c r="G8746" t="inlineStr">
        <is>
          <t>2020-07-03 10:48:52</t>
        </is>
      </c>
      <c r="H8746" t="inlineStr"/>
    </row>
    <row r="8747">
      <c r="A8747" t="inlineStr">
        <is>
          <t>hkooq6</t>
        </is>
      </c>
      <c r="B8747" t="inlineStr">
        <is>
          <t>Help, im keep losing weight!</t>
        </is>
      </c>
      <c r="C8747" t="inlineStr">
        <is>
          <t>Im 43 kgs now and im 170 cm tall. I suffer from strong nausea everday from gerd. Ppi makes it slightly better. I have now tried different diets, and tried eating as much as i could, even despite the nausea, i went gluten free. But i just lost even more weight, no matter how many times i ate. Even if i feel like it helped a little, i have eat eat carbs to not die from underweightness. I tried protein shakes and i just cant stomach them. They taste awful, and its not worth making myself throw up from them, only for 100 additional calories. I just don't know what to do.. What are some life hacks, or easy high calorie meals? Please help.. (im lactose intolerant)</t>
        </is>
      </c>
      <c r="D8747" t="n">
        <v>1</v>
      </c>
      <c r="E8747" t="n">
        <v>3</v>
      </c>
      <c r="F8747">
        <f>HYPERLINK("https://www.reddit.com/r/GERD/comments/hkooq6/help_im_keep_losing_weight/")</f>
        <v/>
      </c>
      <c r="G8747" t="inlineStr">
        <is>
          <t>2020-07-03 11:53:06</t>
        </is>
      </c>
      <c r="H8747" t="inlineStr"/>
    </row>
    <row r="8748">
      <c r="A8748" t="inlineStr">
        <is>
          <t>hkoskm</t>
        </is>
      </c>
      <c r="B8748" t="inlineStr">
        <is>
          <t>Why is Prilosec only supposed to be used for 14 days. I have read many people that are taking it daily.</t>
        </is>
      </c>
      <c r="C8748" t="inlineStr">
        <is>
          <t>Also, for most people, after 14 days do the main GERD symptoms go away?</t>
        </is>
      </c>
      <c r="D8748" t="n">
        <v>18</v>
      </c>
      <c r="E8748" t="n">
        <v>36</v>
      </c>
      <c r="F8748">
        <f>HYPERLINK("https://www.reddit.com/r/GERD/comments/hkoskm/why_is_prilosec_only_supposed_to_be_used_for_14/")</f>
        <v/>
      </c>
      <c r="G8748" t="inlineStr">
        <is>
          <t>2020-07-03 11:59:17</t>
        </is>
      </c>
      <c r="H8748" t="inlineStr"/>
    </row>
    <row r="8749">
      <c r="A8749" t="inlineStr">
        <is>
          <t>hkpl3d</t>
        </is>
      </c>
      <c r="B8749" t="inlineStr">
        <is>
          <t>PPIs did way more harm than good</t>
        </is>
      </c>
      <c r="C8749" t="inlineStr">
        <is>
          <t>Made a post here a few days ago when i started to get some significant anxiety from what i believed to be the Dexilant PPI i was on. 
Since then i changed PPI for 2 days to Pariet and noticed my anxiety get to levels i simply couldn't manage anymore. 
I talked with my doctor and he said i should try coming off PPI and now my anxiety is to a level i never thought possible. 
The nausea episodes are some of the most intense i ever had and my body is basically shaking in constant panic. 
I'd honestly rather feel the way i did when i was gagging every morning because as is my nausea is worse than ever and my body and mind couldn't feel worse. 
I started to have some mild anxiety and panic issues a few days into my 1st PPI a number of weeks ago but over the weeks it has just gotten worse and worse to a point where i had a nervous breakdown and i can barely leave my house. 
Guess i should've just changed some diet habits and popped plenty of TUMS or Gaviscon over being put on PPI meds. 
Has anybody else suffered from anxiety this bad from PPI meds or am i completely alone on this? 
Thankfully i have some anxiety meds to help get me through the day if i didn't have those i would be screwed.</t>
        </is>
      </c>
      <c r="D8749" t="n">
        <v>1</v>
      </c>
      <c r="E8749" t="n">
        <v>7</v>
      </c>
      <c r="F8749">
        <f>HYPERLINK("https://www.reddit.com/r/GERD/comments/hkpl3d/ppis_did_way_more_harm_than_good/")</f>
        <v/>
      </c>
      <c r="G8749" t="inlineStr">
        <is>
          <t>2020-07-03 12:44:37</t>
        </is>
      </c>
      <c r="H8749" t="inlineStr"/>
    </row>
    <row r="8750">
      <c r="A8750" t="inlineStr">
        <is>
          <t>hkplrd</t>
        </is>
      </c>
      <c r="B8750" t="inlineStr">
        <is>
          <t>Will I ever be able to enjoy drinking again?</t>
        </is>
      </c>
      <c r="C8750" t="inlineStr">
        <is>
          <t>I’m 23 years old and recently got diagnosed with GERD. Before this, I used to love drinking, from going out to breweries and bars with friends to experimenting with making mixed drinks at home. Right before I was diagnosed, I spent about $150 on a new cocktail mixing set, alcohol, and mixers. I have barely touched it at all because I’ve found that drinking triggers that terrible globus/lump in throat feeling for me. 
In my college years, I would typically have 6-10 drinks in one night. Looking back, this was terrible for my body and I wonder if that played a part in eventually causing my GERD. 
Anyway, since my diagnosis about a month ago, I’ve completely quit alcohol, caving in and having a drink maybe every 1-2 months for a special occasion. 
**I’m looking for success stories — has anyone recovered from GERD to a point where they can drink moderately?** I’m talking about maybe having a 2-3 beers at a brewery, having a few glasses of wine at a fancy restaurant during dinner, etc. These are some of the things I hope I can get back to if/when I recover from this.
I’m currently taking Omeprazole 20mg once daily but it hasn’t helped much. My primary care physician has referred me to a gastroenterologist and upped my dosage for 20mg twice daily.</t>
        </is>
      </c>
      <c r="D8750" t="n">
        <v>2</v>
      </c>
      <c r="E8750" t="n">
        <v>9</v>
      </c>
      <c r="F8750">
        <f>HYPERLINK("https://www.reddit.com/r/GERD/comments/hkplrd/will_i_ever_be_able_to_enjoy_drinking_again/")</f>
        <v/>
      </c>
      <c r="G8750" t="inlineStr">
        <is>
          <t>2020-07-03 12:45:46</t>
        </is>
      </c>
      <c r="H8750" t="inlineStr"/>
    </row>
    <row r="8751">
      <c r="A8751" t="inlineStr">
        <is>
          <t>hkpscz</t>
        </is>
      </c>
      <c r="B8751" t="inlineStr">
        <is>
          <t>How does Greek/Mediterranean food affect you guys?</t>
        </is>
      </c>
      <c r="C8751" t="inlineStr">
        <is>
          <t>Following the Acid Watchers diet but family is going to be eating food from a Mediterranean place, I was wondering how you guys do with food like Gyros, lamb, pita bread, kabobs, etc. Greek/Mediterranean food. Is there something in that vein that will work for me or will anything there break the diet?</t>
        </is>
      </c>
      <c r="D8751" t="n">
        <v>2</v>
      </c>
      <c r="E8751" t="n">
        <v>3</v>
      </c>
      <c r="F8751">
        <f>HYPERLINK("https://www.reddit.com/r/GERD/comments/hkpscz/how_does_greekmediterranean_food_affect_you_guys/")</f>
        <v/>
      </c>
      <c r="G8751" t="inlineStr">
        <is>
          <t>2020-07-03 12:56:34</t>
        </is>
      </c>
      <c r="H8751" t="inlineStr"/>
    </row>
    <row r="8752">
      <c r="A8752" t="inlineStr">
        <is>
          <t>hkqp77</t>
        </is>
      </c>
      <c r="B8752" t="inlineStr">
        <is>
          <t>GERD, IBS, Post basal drip, allergies</t>
        </is>
      </c>
      <c r="C8752" t="inlineStr">
        <is>
          <t>Anyone else have it all? Constant post nasal drip and sore throat. Not much more than that. No stuffy nose aside from it being a little hard to take a deep inhale on one nostril. I went to ENT and was told I have allergic rhinitis and reflux. I don’t really get much burning at all. The only real GERD symptoms I get are the throat irritation and constant post nasal drip. I’ve just noticed some IBS symptoms over the last 6 months or so though. Anyone have it all and to you find there to be a pattern or relation to them?</t>
        </is>
      </c>
      <c r="D8752" t="n">
        <v>3</v>
      </c>
      <c r="E8752" t="n">
        <v>12</v>
      </c>
      <c r="F8752">
        <f>HYPERLINK("https://www.reddit.com/r/GERD/comments/hkqp77/gerd_ibs_post_basal_drip_allergies/")</f>
        <v/>
      </c>
      <c r="G8752" t="inlineStr">
        <is>
          <t>2020-07-03 13:50:07</t>
        </is>
      </c>
      <c r="H8752" t="inlineStr"/>
    </row>
    <row r="8753">
      <c r="A8753" t="inlineStr">
        <is>
          <t>hkr0wk</t>
        </is>
      </c>
      <c r="B8753" t="inlineStr">
        <is>
          <t>Can't tell is constant belching is Gerd or something else.</t>
        </is>
      </c>
      <c r="C8753" t="inlineStr">
        <is>
          <t>Over the course of a year I have been having more and more belching episodes. At first it was random but then became more periodic. I initially thought it was nothing but as time went on I started to get discomfort in my throat from belching so much(several hundred times per day). I also started getting infrequent heartburn which was exasperated by the belching. I cut out my morning coffee which has SIGNIFICANTLY helped and I no longer have any periodic heartburn but I still belch several time throughout the day and have slight discomfort in my throat. The discomfort is not heartburn but it doesn't feel right. I have noticed that eating raw ginger helps to completely eliminate the discomfort. Also, right after I eat or drink anything I will immediately belch. Even a cup of water in the morning will cause me to belch. 
&amp;amp;#x200B;</t>
        </is>
      </c>
      <c r="D8753" t="n">
        <v>3</v>
      </c>
      <c r="E8753" t="n">
        <v>3</v>
      </c>
      <c r="F8753">
        <f>HYPERLINK("https://www.reddit.com/r/GERD/comments/hkr0wk/cant_tell_is_constant_belching_is_gerd_or/")</f>
        <v/>
      </c>
      <c r="G8753" t="inlineStr">
        <is>
          <t>2020-07-03 14:09:33</t>
        </is>
      </c>
      <c r="H8753" t="inlineStr"/>
    </row>
    <row r="8754">
      <c r="A8754" t="inlineStr">
        <is>
          <t>hkrqbi</t>
        </is>
      </c>
      <c r="B8754" t="inlineStr">
        <is>
          <t>GERD and Fiber supplements</t>
        </is>
      </c>
      <c r="C8754" t="inlineStr">
        <is>
          <t>Hello Reddit! So real quick.. I've been taking pepcid for the past week and some change, 10mg. Has helped tremendously since I've been experience minor symptoms of acid reflux. (Maybe not so minor) The symptoms included minor heart burn, indigestion and occasional mucus waking up after eating late. Has anyone taken fiber supplements to assist with GERD symptoms. Are they any help? Thanks for your time!</t>
        </is>
      </c>
      <c r="D8754" t="n">
        <v>1</v>
      </c>
      <c r="E8754" t="n">
        <v>0</v>
      </c>
      <c r="F8754">
        <f>HYPERLINK("https://www.reddit.com/r/GERD/comments/hkrqbi/gerd_and_fiber_supplements/")</f>
        <v/>
      </c>
      <c r="G8754" t="inlineStr">
        <is>
          <t>2020-07-03 14:52:10</t>
        </is>
      </c>
      <c r="H8754" t="inlineStr"/>
    </row>
    <row r="8755">
      <c r="A8755" t="inlineStr">
        <is>
          <t>hks5k1</t>
        </is>
      </c>
      <c r="B8755" t="inlineStr">
        <is>
          <t>Taking PPI's daily?</t>
        </is>
      </c>
      <c r="C8755" t="inlineStr">
        <is>
          <t>Someone posted asking about this already today, but I am curious about this myself. About a year and a half ago, my GERD was getting a little worse, so I took Prevacid. Like most PPI's I think it said to take daily for 14 days. That's what I did, and I definitely saw an improvement. I stopped after the 14 days, and haven't taken any since. My GERD has never really been that bad, but I am wondering since I saw some people saying that the 14 day thing is just saying after 14 days go see a doctor. Does this mean it's okay to take it for an extended period of time, or even as I saw some people say they took it for decades? I really haven't done much research so I just don't know. Frankly like I said, my GERD isn't really that bad, but when it is bad I'll likely start taking it again since it actually helped quite a bit when I took it before.</t>
        </is>
      </c>
      <c r="D8755" t="n">
        <v>2</v>
      </c>
      <c r="E8755" t="n">
        <v>4</v>
      </c>
      <c r="F8755">
        <f>HYPERLINK("https://www.reddit.com/r/GERD/comments/hks5k1/taking_ppis_daily/")</f>
        <v/>
      </c>
      <c r="G8755" t="inlineStr">
        <is>
          <t>2020-07-03 15:17:54</t>
        </is>
      </c>
      <c r="H8755" t="inlineStr"/>
    </row>
    <row r="8756">
      <c r="A8756" t="inlineStr">
        <is>
          <t>hktw1d</t>
        </is>
      </c>
      <c r="B8756" t="inlineStr">
        <is>
          <t>Full meal plan</t>
        </is>
      </c>
      <c r="C8756" t="inlineStr">
        <is>
          <t>Hi
I’m running out of good things to eat that won’t cause symptoms
What do you guys usually eat all day
Things that don’t trigger me are almond milk ,chicken breast , rice , peanut butter and honey on toast ,banana , avocado and I think thats it</t>
        </is>
      </c>
      <c r="D8756" t="n">
        <v>1</v>
      </c>
      <c r="E8756" t="n">
        <v>4</v>
      </c>
      <c r="F8756">
        <f>HYPERLINK("https://www.reddit.com/r/GERD/comments/hktw1d/full_meal_plan/")</f>
        <v/>
      </c>
      <c r="G8756" t="inlineStr">
        <is>
          <t>2020-07-03 17:09:34</t>
        </is>
      </c>
      <c r="H8756" t="inlineStr"/>
    </row>
    <row r="8757">
      <c r="A8757" t="inlineStr">
        <is>
          <t>hku3c1</t>
        </is>
      </c>
      <c r="B8757" t="inlineStr">
        <is>
          <t>Just a rant</t>
        </is>
      </c>
      <c r="C8757" t="inlineStr">
        <is>
          <t>Hi
I just wanted vent its gonna be long 
but every night when I get my symptoms I feel very depressed and I need to get this of my chest 
I feel like I can’t take this disease anymore it doesn’t only effect your stomach it effects your whole body I feel like i’m weaker than I used to be my throat always hurts 
when i’m going through a flare up I get earache sinus 
And I have no energy and no one other than my mom understands 
Doctors just want me to take the ppi and leave they have no other solution 
Family and friends either don’t get it or feel like i’m exaggerating or I feel like they just don’t want to hear about it . I understand that you do want to hear me talk about gerd 24/7 but when I tell you I can’t eat this don’t give that look like oh here we go again i’m not making this shit up I have gerd and yes maybe I ate a piece a few days ago that doesn’t mean I don’t have gerd it means either I was feeling good that day or I caved into my craving or i’m not feeling good today
I need the surgery asap but I can’t do it until the virus is over and even then i’m not sure if I qualify or if its going to succeed + since the doctors don’t know shit here what are the tests that you had I’m gonna demand to have these test and pay for them I don’t have insurance but I don’t care about anything but gerd right now!</t>
        </is>
      </c>
      <c r="D8757" t="n">
        <v>3</v>
      </c>
      <c r="E8757" t="n">
        <v>2</v>
      </c>
      <c r="F8757">
        <f>HYPERLINK("https://www.reddit.com/r/GERD/comments/hku3c1/just_a_rant/")</f>
        <v/>
      </c>
      <c r="G8757" t="inlineStr">
        <is>
          <t>2020-07-03 17:24:11</t>
        </is>
      </c>
      <c r="H8757" t="inlineStr"/>
    </row>
    <row r="8758">
      <c r="A8758" t="inlineStr">
        <is>
          <t>hkugpv</t>
        </is>
      </c>
      <c r="B8758" t="inlineStr">
        <is>
          <t>Home remedies for acid reflux</t>
        </is>
      </c>
      <c r="C8758" t="inlineStr">
        <is>
          <t xml:space="preserve">  [https://www.philahomeopathy.com/home-remedies-for-acid-reflux/](https://www.philahomeopathy.com/home-remedies-for-acid-reflux/) 
**Home remedies for acid reflux** are popular, affordable, and effective. Many people take gastroesophageal reflux disease aka GERD lightly, but if left untreated, it can lead to serious complications and can even increase your chances of cancer. It’s a fairly common condition, and in the US alone, it’s estimated that 1 in 5 adults suffer from this problem and can it can affect both men, women, and even children. If you’re suffering from this condition, you don’t have to pump your body full of allopathic drugs, which can, at times, cause side effects. There are various natural and **Home remedies for acid reflux** that can remedy your condition in a safe and holistic manner.
📷
## Acid Reflux – Definition
It’s a common condition that is characterized by heartburn, burning pain in your lower chest area. This occurs when your stomach acid flows back up into your food pipe. If you suffer from acid reflux more than two times a week, it’ll be diagnosed as gastroesophageal reflux disease (GERD). For effective treatment, many people see great results through **Home remedies for acid reflux**.
📷
### What Causes gastroesophageal reflux disease?
Hiatal hernia, a stomach abnormality, is one of the most common causes of acid reflux, and this happens when the LES and upper part of your stomach move above the diaphragm. The diaphragm is responsible for keeping the acid in your stomach. However, if you’re suffering from hiatal hernia, the acid can move upwards into your esophagus and lead to acid reflux symptoms. 
Some other common causes for acid reflux include
* Taking ibuprofen, aspirin, certain muscle relaxers, and some blood pressure medications
* Pregnancy can also put you on a higher risk for acid reflux
* [Smoking](https://philaquitsmoking.com/)
* Consuming particular beverages, tea, coffee, carbonated drinks, and alcohol can also lead to acid reflux
* Consuming certain food items such as onions, garlic, mint, chocolate, tomato, citrus, fatty or spicy food
* Eating close to bedtime
* [~~Being obese or overweigh~~](https://philaweighlossclinic.com/)t
* Lying down right after a meal
* Consuming large meals
You must stay away from all the above-mentioned factors to prevent acid reflux. Many people see excellent results through **natural remedies for acid reflux**.
### What Are The Symptoms Of Acid Reflux?
There are various symptoms of acid reflux, such as:
* Chronic sore throat, hoarseness, dry cough, and wheezing
* Weight loss for no apparent reason
* Nausea
* Hiccups
* Dysphagia- a sensation that food is stuck in the throat
* Burping
* Bloody vomiting
* Black or bloody stools
* Bloating
* Regurgitation
* Heartburn
## Home remedies for acid reflux – Natural Treatment
The category of home remedies for acid reflux includes acupuncture, homeopathy, [herbs](https://philaholisticclinic.com/herbal-medicine-herbalist-near-me/), and more
If you’re suffering from the above-mentioned symptoms, there are various **natural remedies for GERD** that can minimize the symptoms without any adverse effects in your body.
If you are looking for **relief for acid reflux**, you can use **natural remedies for GERD** that are not only safe and gentle, but their effectiveness is also backed by science. 
📷
### Baking Soda – most popular home remedy for acid reflux
Many people use [baking soda](https://www.healthline.com/health/gerd/baking-soda#takeaway) for the **natural treatment of acid reflux**. Baking soda can neutralize your stomach acid so that even if you have acid reflux, you won’t experience the burning sensation. If you want to use this **natural treatment for GERD**, combine 1 teaspoon of baking soda with 8 ounces of water, mix it well, and consume it. You can consume this home remedy whenever you experience acid reflux symptoms but don’t exceed more than 7 doses per day. Additionally, you must not use this **natural treatment of acid reflux** for more than a week as it can lead to symptoms like nausea and swelling.
### Fruits are important nutrients that are an essential part of home remedies for acid reflux
Certain [fruits like bananas](https://www.hopkinsmedicine.org/health/wellness-and-prevention/gerd-diet-foods-that-help-with-acid-reflux-heartburn) and apples can also be effective **Home remedies for acid reflux**. Bananas are potent in natural antacid properties that can counteract GERD. Daily consumption of bananas as a **natural treatment of acid reflux** can not only cure your current symptoms but also prevent future acid reflux symptoms. Apple is another fruit that’s an excellent **natural treatment for GERD**. If you want to prevent acid reflux flare-ups at night, consume an apple a few hours before you retire to bed. Other fruits that can be **Home remedies for acid reflux** include watermelon, cantaloupe, and honeydew. 
### Acupuncture – ancient Chinese home remedy for acid reflux
**Acupuncture for GERD** is one of the most effective alternative treatments for acid reflux. [Acupuncture](https://philaacupuncture.com/acid-reflux/) doesn’t just concentrate on your symptoms but the whole self. By placing very thin needles in particular points of your body, acupuncture can encourage your body’s natural healing system.
Research shows that **acupuncture for GERD** can enhance oesophageal function in GERD patients and reduce symptoms. In fact, many types of research show that **acupuncture for acid reflux** can be successful even when drugs fail. Acupuncture has no side effects, and in the hands of a trained practitioner, it’ll not cause any bleeding or bruising. Acupuncture can even be combined with other natural and **home remedies for acid reflux** to increase the chances of positive effects.
### Herbal Remedies for GERD – most popular home remedies for acid reflux
There are various **herbal remedies for GERD** that can provide relief from acid reflux symptoms in a safe and natural way. Some **herbal remedies for acid reflux** include aloe vera, ginger, and chamomile. Aloe vera is rich in calming properties and can reduce stomach irritation as well. You can also try ginger and chamomile tea, which are excellent in reducing heartburn symptoms. 
However, certain [herbs](https://philaacupuncture.com/chinese-herbal-medicine/) can counteract medications, so you must always consult a doctor or herbalist before trying these remedies.
### Homeopathic remedies for GERD – #1 home remedies for acid reflux
**Homeopathic remedies for acid reflux** can also provide relief without any adverse effects. Like other alternative medicine, homeopathy doesn’t just concentrate on your symptoms but your whole self. It doesn’t use any harmful chemicals and instead focuses on encouraging your body’s natural healing system. Homeopathy can not only remedy your current symptoms but prevent future problems as well.
Some common **homeopathic remedies for heartburn** include Carbo Vegetabilis, Lycopodium, Phosphorus, nux vomica, Robinia, Iris Versicolor, and natrum phosphorica. These remedies are often combined, and treatment can be personalized according to your particular condition. 
Homeopathy doesn’t have any known side effects making it suitable for every demographic. You can even combine **homeopathic remedies for acid reflux** with other natural and allopathic remedies to increase the chances of positive results.
## Conclusion
For the best results, start **natural treatment for GERD** as soon as possible. The above-mentioned **home remedies for acid reflux** can provide great results without the dangers of side effects. However, if you still don’t see any positive effects after trying them out, you must consult your doctor as it can be an indication of something more serious.
For professional treatment of acid reflux [contact our clinic](https://www.philahomeopathy.com/contact-us/) and schedule an appointment with Dr. Tsan for a comprehensive holistic evaluation</t>
        </is>
      </c>
      <c r="D8758" t="n">
        <v>0</v>
      </c>
      <c r="E8758" t="n">
        <v>1</v>
      </c>
      <c r="F8758">
        <f>HYPERLINK("https://www.reddit.com/r/GERD/comments/hkugpv/home_remedies_for_acid_reflux/")</f>
        <v/>
      </c>
      <c r="G8758" t="inlineStr">
        <is>
          <t>2020-07-03 17:50:37</t>
        </is>
      </c>
      <c r="H8758" t="inlineStr"/>
    </row>
    <row r="8759">
      <c r="A8759" t="inlineStr">
        <is>
          <t>hkunva</t>
        </is>
      </c>
      <c r="B8759" t="inlineStr">
        <is>
          <t>I need to get this of my chest</t>
        </is>
      </c>
      <c r="C8759" t="inlineStr">
        <is>
          <t>Hi
I just wanted vent its gonna be long 
but every night when I get my symptoms I feel very depressed and I need to get this of my chest 
I feel like I can’t take this disease anymore it doesn’t only effect your stomach it effects your whole body I feel like i’m weaker than I used to be my throat always hurts 
when i’m going through a flare up I get earache sinus 
And I have no energy and no one other than my mom understands 
Doctors just want me to take the ppi and leave they have no other solution 
Family and friends either don’t get it or feel like i’m exaggerating or I feel like they just don’t want to hear about it . I understand that you do want to hear me talk about gerd 24/7 but when I tell you I can’t eat this don’t give that look like oh here we go again i’m not making this shit up I have gerd and yes maybe I ate a piece a few days ago that doesn’t mean I don’t have gerd it means either I was feeling good that day or I caved into my craving or i’m not feeling good today
I need the surgery asap but I can’t do it until the virus is over and even then i’m not sure if I qualify or if its going to succeed + since the doctors don’t know shit here what are the tests that you had I’m gonna demand to have these test and pay for them I don’t have insurance but I don’t care about anything but gerd right now!</t>
        </is>
      </c>
      <c r="D8759" t="n">
        <v>6</v>
      </c>
      <c r="E8759" t="n">
        <v>22</v>
      </c>
      <c r="F8759">
        <f>HYPERLINK("https://www.reddit.com/r/GERD/comments/hkunva/i_need_to_get_this_of_my_chest/")</f>
        <v/>
      </c>
      <c r="G8759" t="inlineStr">
        <is>
          <t>2020-07-03 18:04:54</t>
        </is>
      </c>
      <c r="H8759" t="inlineStr"/>
    </row>
    <row r="8760">
      <c r="A8760" t="inlineStr">
        <is>
          <t>hkv47e</t>
        </is>
      </c>
      <c r="B8760" t="inlineStr">
        <is>
          <t>What Are The Symptoms of Acid Reflux?</t>
        </is>
      </c>
      <c r="C8760" t="inlineStr">
        <is>
          <t>It is widely agreed among physicians and medical paraprofessionals, that initial diagnosis, mostly by using a typical acid reflux symptoms questionnaire, is necessary to ensure the most effective and quick treatment for this condition. Approx 70% of the acid reflux diagnostics that are based on the presence of typical symptoms are accurate. Since acid reflux, also called GERD (gastroesophageal reflux disease), can cause patients a great deal of discomfort and result in severe complications, it is highly important to know how to identify its symptoms in order to quickly diagnose and treat it.  
The most common symptom of GERD is persistent heartburn. Heartburn is experienced as an unpleasant and painful burning sensation in the esophageal area. Other typical symptoms are as follows:  
1. Gastric regurgitation, which means an unrestricted reversed flow of gastric or esophageal contents into the throat. This gastric fluid can cause respiratory complications under certain conditions.  
2. Odynophagia, which means pain when swallowing.  
3. Dysphagia, which means difficulty swallowing, or the feeling of food stuck in the throat.  
In addition to the above, about 50% of all gastroesophageal reflux disease sufferers report the co-occurrence of sinonasal symptoms (i. e. symptoms pertaining to the nose and sinuses).  
Abnormal GERD symptoms include chronic wheezing and coughing (sometimes referred to as acid reflux related asthma, and are caused by the aspiration of gastric contents into the lungs area), spasmodic noncardiac chest pain and damage to the lungs, often followed by respiratory diseases such as pneumonia and asthma. Intense chest pain may closely resemble that of myocardial infarction that it has often been incorrectly interpreted as a heart attack. However, unlike the symptoms of gastroesophageal reflux disease, cardiovascular chest pain is usually aggravated during physical exercise.  
Finally, acid reflux can also harm the vocal cords (hoarseness, laryngitis, cancer), ears (otitis media), and teeth (enamel decay). Being able to identify those symptoms as GERD related is of great importance to your health and general well being and for the prevention of potential complications. Acid reflux symptoms might serve as evidence to severe overall internal imbalance. In addition to that, neglected gastroesophageal reflux disease can lead to significant physical discomfort and sometimes can result in chronic and even dangerous health conditions, such as esophageal cancer and pneumonia.
**This article is based on the book, "Heartburn No More" by Jeff Martin. Jeff is an author, researcher, nutritionist and health consultant who dedicated his life to creating the ultimate acid reflux solution guaranteed to permanently reverse the root cause of heartburn and acid reflux and naturally and dramatically improve the overall quality of your life,  without the use prescription medication and without any surgical procedures.** [Learn more by visiting his website.](https://healthyrex.com/probio-lite-review/)</t>
        </is>
      </c>
      <c r="D8760" t="n">
        <v>0</v>
      </c>
      <c r="E8760" t="n">
        <v>0</v>
      </c>
      <c r="F8760">
        <f>HYPERLINK("https://www.reddit.com/r/GERD/comments/hkv47e/what_are_the_symptoms_of_acid_reflux/")</f>
        <v/>
      </c>
      <c r="G8760" t="inlineStr">
        <is>
          <t>2020-07-03 18:38:20</t>
        </is>
      </c>
      <c r="H8760" t="inlineStr"/>
    </row>
    <row r="8761">
      <c r="A8761" t="inlineStr">
        <is>
          <t>hkvgop</t>
        </is>
      </c>
      <c r="B8761" t="inlineStr">
        <is>
          <t>never had a hangover</t>
        </is>
      </c>
      <c r="C8761" t="inlineStr">
        <is>
          <t>hey all, I was recently tentatively diagnosed (put on omeprazole for chronic sore throat but need to follow up). The more research I do, the more certain I am that GERD / LPR is what’s been causing my throat and voice problems, as well as some other symptoms I never considered being related.
One thing that occurred to me - I’ve never had a real hangover because any time I’ve tried to lay down/sleep when drunk, I’ve ended up throwing up everything in my stomach. Sometimes for hours. I’ve gotten better at figuring out my limits but it still happens a few times a year, and it’s always frustrated me that I couldn’t just “sleep it off” like my friends. Could this be related to GERD/ have any of y’all experienced this?</t>
        </is>
      </c>
      <c r="D8761" t="n">
        <v>2</v>
      </c>
      <c r="E8761" t="n">
        <v>0</v>
      </c>
      <c r="F8761">
        <f>HYPERLINK("https://www.reddit.com/r/GERD/comments/hkvgop/never_had_a_hangover/")</f>
        <v/>
      </c>
      <c r="G8761" t="inlineStr">
        <is>
          <t>2020-07-03 19:04:01</t>
        </is>
      </c>
      <c r="H8761" t="inlineStr"/>
    </row>
    <row r="8762">
      <c r="A8762" t="inlineStr">
        <is>
          <t>hkvygq</t>
        </is>
      </c>
      <c r="B8762" t="inlineStr">
        <is>
          <t>Ear infections, anyone?</t>
        </is>
      </c>
      <c r="C8762" t="inlineStr">
        <is>
          <t>Has anyone had their GERD or LPR trigger an ear infection? My issues usually stop at tinnitus, but now I definitely have an ear infection. I have an oral antibiotic Rx, but I’m really hoping I can get it under control with ear drops (I also have ear tubes, so it’s draining)... I can’t help thinking the oral antibiotic would ultimately make my reflux worse.</t>
        </is>
      </c>
      <c r="D8762" t="n">
        <v>1</v>
      </c>
      <c r="E8762" t="n">
        <v>2</v>
      </c>
      <c r="F8762">
        <f>HYPERLINK("https://www.reddit.com/r/GERD/comments/hkvygq/ear_infections_anyone/")</f>
        <v/>
      </c>
      <c r="G8762" t="inlineStr">
        <is>
          <t>2020-07-03 19:41:02</t>
        </is>
      </c>
      <c r="H8762" t="inlineStr"/>
    </row>
    <row r="8763">
      <c r="A8763" t="inlineStr">
        <is>
          <t>hkxb3k</t>
        </is>
      </c>
      <c r="B8763" t="inlineStr">
        <is>
          <t>Does GERD become a permanent thing?</t>
        </is>
      </c>
      <c r="C8763" t="inlineStr">
        <is>
          <t>I am curious if this passes eventually. I’m a senior college but probably my fresh n soph year I could always drink, smoke, eat most foods w/o too many issues, etc. Now it’s about 3 years later and I’m afraid to eat most foods or drinks without hiccups, indigestion, or heartburn. I really wish I could return to that same state and feel more alive. How could this have happened without having an allergy to food? Could it be just an excess of anxiety n stress that’s accumulated through the years? I would really love to go back to how I was.</t>
        </is>
      </c>
      <c r="D8763" t="n">
        <v>2</v>
      </c>
      <c r="E8763" t="n">
        <v>5</v>
      </c>
      <c r="F8763">
        <f>HYPERLINK("https://www.reddit.com/r/GERD/comments/hkxb3k/does_gerd_become_a_permanent_thing/")</f>
        <v/>
      </c>
      <c r="G8763" t="inlineStr">
        <is>
          <t>2020-07-03 21:23:33</t>
        </is>
      </c>
      <c r="H8763" t="inlineStr"/>
    </row>
    <row r="8764">
      <c r="A8764" t="inlineStr">
        <is>
          <t>hkxzoc</t>
        </is>
      </c>
      <c r="B8764" t="inlineStr">
        <is>
          <t>Was Gaviscon Advance discontinued?</t>
        </is>
      </c>
      <c r="C8764" t="inlineStr">
        <is>
          <t>It seems like it no longer exists on amazon.co.uk. Anybody have any ideas as to why?</t>
        </is>
      </c>
      <c r="D8764" t="n">
        <v>1</v>
      </c>
      <c r="E8764" t="n">
        <v>9</v>
      </c>
      <c r="F8764">
        <f>HYPERLINK("https://www.reddit.com/r/GERD/comments/hkxzoc/was_gaviscon_advance_discontinued/")</f>
        <v/>
      </c>
      <c r="G8764" t="inlineStr">
        <is>
          <t>2020-07-03 22:19:42</t>
        </is>
      </c>
      <c r="H8764" t="inlineStr"/>
    </row>
    <row r="8765">
      <c r="A8765" t="inlineStr">
        <is>
          <t>hky45a</t>
        </is>
      </c>
      <c r="B8765" t="inlineStr">
        <is>
          <t>fifteen years of gerd</t>
        </is>
      </c>
      <c r="C8765" t="inlineStr">
        <is>
          <t>I'm grateful for all your GERD stories so I thought I'd post mine.
Around fifteen years ago I watched the Korean version of Oldboy with some friends. We shared a delicious garlic pizza, and I lay down on the couch to enjoy the movie. Bad move. Afterward, it felt like something was stuck in my throat. For weeks. I have since learned that this is called globus sensation. My wedding was right around the corner. Friends and family gently insisted it was anxiety, but I was unconvinced. I didn't feel super stressed, and the "anxiety" went on for a long time. I ended up in the ER getting a barium swallow. Diagnosis - gerd.
The horrible globus sensation resolved but the heartburn persisted. I eventually got a scope and was tentatively diagnosed with EoE due to the increased eosinophils count. The literature is beyond me, but it seems like EoE and gerd are intimately intertwined, to the point where cause and effect cannot be untangled. No sign of Barrett's.
That led to a ten year odyssey of consistent but largely tolerable heartburn punctuated by some memorable nights. I took Tums, often once a day but sometimes as often as ten times. I started taking one before bed each night to keep the midnight burns at bay. I had Tums at my desk and in my car. I stashed some in my wife's glove box, no pun intended. There was one bottle upstairs, and another in the kitchen. When I traveled I'd pack a ziploc. I couldn't bear to be parted from my beloved Tums.
I am fit and my weight hasn't changed since college. I don't drink coffee. My alcohol intake is minimal. I often skip breakfast. I am not a picky eater. Actually, it would be accurate to say I barely care about food at all. My one vice is sugar. I love the stuff and I have a tendency to binge. Why worry when my metabolism can clearly handle it?
Anyway, I altered my diet, slowly eliminating foods which ignited the gerd. Donuts were out. Goodbye bananas. Chocolate was a problem. My old friend white bread had to go, along with many of my favorite desserts. Certain brands of bread seemed worse than others. I snacked on cantaloupe, which soothed my oft burning belly. Late night eating was out of the question.
I also experimented with omeprazole, which completely tamed the heartburn. What a joy! Zero side effects. Well, I suppose there was one minor side effect - I went up a number on the Bristol chart. On omeprazole I could roll back the clock and eat whatever I wanted, whenever I wanted. I did the occasional two week course, but the drug was so lovely I stretched it out to 90 days. My gastroenterologist was convinced the stuff was harmless. "I take it all the time", he said.
The studies are less emphatic. There are whispers that long term omeprazole use is associated with increased mortality and risk of dementia. Did I want to roll the dice? Other studies, like the excellent "Safety of Proton Pump Inhibitors Based on a Large, Multi-Year, Randomized Trial of Patients Receiving Rivaroxaban or Aspirin" were more soothing. My dreams were so big, was it worth the risk just to avoid my daily barrage of Tums?
My gastroenterologist retired and I found a new guy. New doc, new scope. EoE was still there, but somewhat reduced. Still no Barrett's. New guy said "You should try famotidine."
I've been popping the pepcid for a few weeks now. 20mg twice a day, first thing in the morning and last thing at night. Consistent with what I've read, it works quickly and seems to last for around 12 hours. I still take the occasional Tums and almost always take one before bed, when the morning pepcid has largely worn off. I might be able to avoid the Tums entirely with more diligent timing of the pepcid.
Not entirely sure what the future holds, but for the most part my gerd experience hasn't been that bad. I remember the shock and fear when I was diagnosed fifteen years ago. A little voice in my head told me I was too young, that it was an old man's problem. It was my fault. My body was weak. I was embarrassed and afraid.
Those fears were completely natural but time has washed them away. Gerd is not a death sentence, and at this point I've personally tried several different drugs that each did a decent job managing the symptoms. If my symptoms start to get out of control I can go back to the omeprazole. I try to remind myself that it could be much worse. I know many of you are suffering right now. I read when you post.
Hopefully my story will be of some interest to my fellow gerd warriors. Perhaps your symptoms can be controlled like mine. There are many treatments out there. Don't lose hope!</t>
        </is>
      </c>
      <c r="D8765" t="n">
        <v>1</v>
      </c>
      <c r="E8765" t="n">
        <v>6</v>
      </c>
      <c r="F8765">
        <f>HYPERLINK("https://www.reddit.com/r/GERD/comments/hky45a/fifteen_years_of_gerd/")</f>
        <v/>
      </c>
      <c r="G8765" t="inlineStr">
        <is>
          <t>2020-07-03 22:29:59</t>
        </is>
      </c>
      <c r="H8765" t="inlineStr"/>
    </row>
    <row r="8766">
      <c r="A8766" t="inlineStr">
        <is>
          <t>hkydvx</t>
        </is>
      </c>
      <c r="B8766" t="inlineStr">
        <is>
          <t>Taking 1 and a half Omeprazole and a famotidine, is it ok?</t>
        </is>
      </c>
      <c r="C8766" t="inlineStr">
        <is>
          <t>Asking because of concerns that I'm using too many antacids. Last three days have been hell  for my gerd and this morning I took half an Omeprazole, 5mg and another 10mg before dinner.  I've had to take famotidine last night because the Omeprazole doesn't seem to cut it much anymore.
General question of how many antacids is too much? There's just so much pain right now and I don't know what to do. Today I've taken :
2 tums 750mg each
Maalox, I think? Can't remember.
15mg Omeprazole
2 cups heartburn tea with licorice, slippery elm, marshmallow, chamomile, lemongrass
I'm wondering if it's fine to take a famotidine before bed tonight? Or is it dangerous in some way?</t>
        </is>
      </c>
      <c r="D8766" t="n">
        <v>1</v>
      </c>
      <c r="E8766" t="n">
        <v>4</v>
      </c>
      <c r="F8766">
        <f>HYPERLINK("https://www.reddit.com/r/GERD/comments/hkydvx/taking_1_and_a_half_omeprazole_and_a_famotidine/")</f>
        <v/>
      </c>
      <c r="G8766" t="inlineStr">
        <is>
          <t>2020-07-03 22:53:46</t>
        </is>
      </c>
      <c r="H8766" t="inlineStr"/>
    </row>
    <row r="8767">
      <c r="A8767" t="inlineStr">
        <is>
          <t>hkzc2d</t>
        </is>
      </c>
      <c r="B8767" t="inlineStr">
        <is>
          <t>Will I ever be able to eat certain foods again?</t>
        </is>
      </c>
      <c r="C8767" t="inlineStr">
        <is>
          <t>I’m going to start by noting that I have not been officially  diagnosed with GERD, but the symptoms are pretty much all there. 
I’ve only been experiencing severe symptoms for the past month or so. I’m determined to make it go away. I’m a healthy BMI, just started working out again, sleep elevated, rarely drink sodas or coffee, don’t smoke, hardly drink, don’t eat before bed and am starting a second 14-day pack of omeprazole, to which I plan to adhere to an almost fully alkaline diet during that time as well. 
The problem is I LOVE acidic foods. I could eat tomatoes everyday for the rest of my life. Oranges, lime, garlic, dark chocolate... love all that too. Also love red meat, which I know isn’t great for GERD either It’s not that I find Alkaline foods bad, it’s just that most of my favorites of some sort of highly acidic component. I guess I’m just worried that I won’t be able to eat my favorite foods any more without pain. 
Will this go away so I can enjoy those foods again?</t>
        </is>
      </c>
      <c r="D8767" t="n">
        <v>1</v>
      </c>
      <c r="E8767" t="n">
        <v>4</v>
      </c>
      <c r="F8767">
        <f>HYPERLINK("https://www.reddit.com/r/GERD/comments/hkzc2d/will_i_ever_be_able_to_eat_certain_foods_again/")</f>
        <v/>
      </c>
      <c r="G8767" t="inlineStr">
        <is>
          <t>2020-07-04 00:22:20</t>
        </is>
      </c>
      <c r="H8767" t="inlineStr"/>
    </row>
    <row r="8768">
      <c r="A8768" t="inlineStr">
        <is>
          <t>hkzgns</t>
        </is>
      </c>
      <c r="B8768" t="inlineStr">
        <is>
          <t>Random muscle twitches in legs and glutes after eating/drinking at times</t>
        </is>
      </c>
      <c r="C8768" t="inlineStr">
        <is>
          <t>anyone else get this? Its very sporadic, doesnt happen all the time. Almost exclusively when Im sitting and sometimes lying down. Never have the problems standing. Random warm sensations in legs and head at times too. One sided ear sensations, and full feelings (altho the full feelings have stopped). Heartburn isnt much of an issue but the sternum area I feel sensations after bigger meals and there is something there called the xiphoid process which I could feel somewhat, and notice sensations from there the past several weeks (I think rabeprazole has done its work in settling down the reflux). Globus sensation was bad to start but has been controlled, random jaw/neck discomfort at times tho
&amp;amp;#x200B;
Ive been on rabeprazole for 7 or so weeks now.</t>
        </is>
      </c>
      <c r="D8768" t="n">
        <v>1</v>
      </c>
      <c r="E8768" t="n">
        <v>7</v>
      </c>
      <c r="F8768">
        <f>HYPERLINK("https://www.reddit.com/r/GERD/comments/hkzgns/random_muscle_twitches_in_legs_and_glutes_after/")</f>
        <v/>
      </c>
      <c r="G8768" t="inlineStr">
        <is>
          <t>2020-07-04 00:34:30</t>
        </is>
      </c>
      <c r="H8768" t="inlineStr"/>
    </row>
    <row r="8769">
      <c r="A8769" t="inlineStr">
        <is>
          <t>hl0k3p</t>
        </is>
      </c>
      <c r="B8769" t="inlineStr">
        <is>
          <t>Need a little help here.</t>
        </is>
      </c>
      <c r="C8769" t="inlineStr">
        <is>
          <t>Idk if I have GERD or LPR  plus something else. but my symptoms are scaring me. 
Symptoms : difficulty swallowing not that bad really. 
Enlarged lymphnode or a bump.
Feeling of something In my throat 
Nasal congestion 
Post nasal drip
Clearing of the throat
Loss of appetite 
No throat pain. 
Weight loss. ( could be due to poor eating ; also had bad diarrhea/ my doc said stomach flu that’s when my loss of appetite came)
 My stools have been a light. 
 Idk what it is I’m kinda scared it could be cancer. I’m 21 idk how long I’ve been dealing with GERD or whatever. Idk if I developed something worse or I have just developed worse symptoms. My endoscopy looked good when I took that. I’m trying to get a ENT , my anxiety is at  all time highs even when I’m happy this is all all my mind.</t>
        </is>
      </c>
      <c r="D8769" t="n">
        <v>1</v>
      </c>
      <c r="E8769" t="n">
        <v>11</v>
      </c>
      <c r="F8769">
        <f>HYPERLINK("https://www.reddit.com/r/GERD/comments/hl0k3p/need_a_little_help_here/")</f>
        <v/>
      </c>
      <c r="G8769" t="inlineStr">
        <is>
          <t>2020-07-04 02:23:29</t>
        </is>
      </c>
      <c r="H8769" t="inlineStr"/>
    </row>
    <row r="8770">
      <c r="A8770" t="inlineStr">
        <is>
          <t>hl3k4e</t>
        </is>
      </c>
      <c r="B8770" t="inlineStr">
        <is>
          <t>Upper back pain</t>
        </is>
      </c>
      <c r="C8770" t="inlineStr">
        <is>
          <t>I know GERD can cause back pain, especially in between the shoulder blades. I keep getting this pain very often, like 24/7 without heartburn. I am diagnosed with GERD and my symptoms originally were horrible chest pains. I’ve been on PPIs for over a year now, mostly I would say they haven’t helped but eating better reduced the chest pain a fair bit. Now my main symptom is constant upper back pain, it’s all the time and doesn’t get worse or better after eating. I really can’t understand this, it started maybe a few months ago and hasn’t gone since. I don’t believe it’s muscle related since different positions and movements don’t aggravate or relieve the pain. 
I’ve read that gallbladder issues can cause back pain but I haven’t had any recent stomach pains and I can’t attribute the pain to one side of my body. This completely boggles me, I’m 21 and since my diagnosis have put so much advice into action to prevent reflux including trying so many different PPIs, since it started two years ago things have only gotten worse. I felt better when I ate like poorly and partied often at university, makes 0 sense.</t>
        </is>
      </c>
      <c r="D8770" t="n">
        <v>1</v>
      </c>
      <c r="E8770" t="n">
        <v>5</v>
      </c>
      <c r="F8770">
        <f>HYPERLINK("https://www.reddit.com/r/GERD/comments/hl3k4e/upper_back_pain/")</f>
        <v/>
      </c>
      <c r="G8770" t="inlineStr">
        <is>
          <t>2020-07-04 06:46:22</t>
        </is>
      </c>
      <c r="H8770" t="inlineStr"/>
    </row>
    <row r="8771">
      <c r="A8771" t="inlineStr">
        <is>
          <t>hl4pcs</t>
        </is>
      </c>
      <c r="B8771" t="inlineStr">
        <is>
          <t>Are GERD/LPR related to gastritis?</t>
        </is>
      </c>
      <c r="C8771" t="inlineStr">
        <is>
          <t>I deal with anxiety and panic attacks, so when I get anxious, my gastritis either gets flared or maybe it’s just the anxiety, but I get tightness/pressure at the top or my stomach. Does anyone else deal with this in conjunction of GERD/LPR?</t>
        </is>
      </c>
      <c r="D8771" t="n">
        <v>1</v>
      </c>
      <c r="E8771" t="n">
        <v>1</v>
      </c>
      <c r="F8771">
        <f>HYPERLINK("https://www.reddit.com/r/GERD/comments/hl4pcs/are_gerdlpr_related_to_gastritis/")</f>
        <v/>
      </c>
      <c r="G8771" t="inlineStr">
        <is>
          <t>2020-07-04 08:02:36</t>
        </is>
      </c>
      <c r="H8771" t="inlineStr"/>
    </row>
    <row r="8772">
      <c r="A8772" t="inlineStr">
        <is>
          <t>hl56py</t>
        </is>
      </c>
      <c r="B8772" t="inlineStr">
        <is>
          <t>LPR- only symptom is bad smell in nose</t>
        </is>
      </c>
      <c r="C8772" t="inlineStr">
        <is>
          <t>I have been diagnosed with LPR. Been religious with my diet, taking 40mg omeprazole twice a day. Everything has improved (almost completely resolved) except this horrible smell in my nose. 
Has anyone had this issue? Any remedies? The smell comes and goes. Also makes other things smell very intense or bad.</t>
        </is>
      </c>
      <c r="D8772" t="n">
        <v>1</v>
      </c>
      <c r="E8772" t="n">
        <v>1</v>
      </c>
      <c r="F8772">
        <f>HYPERLINK("https://www.reddit.com/r/GERD/comments/hl56py/lpr_only_symptom_is_bad_smell_in_nose/")</f>
        <v/>
      </c>
      <c r="G8772" t="inlineStr">
        <is>
          <t>2020-07-04 08:33:00</t>
        </is>
      </c>
      <c r="H8772" t="inlineStr"/>
    </row>
    <row r="8773">
      <c r="A8773" t="inlineStr">
        <is>
          <t>hl5wfe</t>
        </is>
      </c>
      <c r="B8773" t="inlineStr">
        <is>
          <t>Anyone suffering from long term swollen lymph nodes?</t>
        </is>
      </c>
      <c r="C8773" t="inlineStr">
        <is>
          <t>By long term, I mean 12months+. I got mine checked out a year ago and they were fine, but they’re still there.</t>
        </is>
      </c>
      <c r="D8773" t="n">
        <v>4</v>
      </c>
      <c r="E8773" t="n">
        <v>31</v>
      </c>
      <c r="F8773">
        <f>HYPERLINK("https://www.reddit.com/r/GERD/comments/hl5wfe/anyone_suffering_from_long_term_swollen_lymph/")</f>
        <v/>
      </c>
      <c r="G8773" t="inlineStr">
        <is>
          <t>2020-07-04 09:16:20</t>
        </is>
      </c>
      <c r="H8773" t="inlineStr"/>
    </row>
    <row r="8774">
      <c r="A8774" t="inlineStr">
        <is>
          <t>hl635j</t>
        </is>
      </c>
      <c r="B8774" t="inlineStr">
        <is>
          <t>GERD/ REFLUX</t>
        </is>
      </c>
      <c r="C8774" t="inlineStr">
        <is>
          <t>Out of interest, who experiences heartburn pretty much everyday, constantly?</t>
        </is>
      </c>
      <c r="D8774" t="n">
        <v>3</v>
      </c>
      <c r="E8774" t="n">
        <v>6</v>
      </c>
      <c r="F8774">
        <f>HYPERLINK("https://www.reddit.com/r/GERD/comments/hl635j/gerd_reflux/")</f>
        <v/>
      </c>
      <c r="G8774" t="inlineStr">
        <is>
          <t>2020-07-04 09:27:42</t>
        </is>
      </c>
      <c r="H8774" t="inlineStr"/>
    </row>
    <row r="8775">
      <c r="A8775" t="inlineStr">
        <is>
          <t>hl6nob</t>
        </is>
      </c>
      <c r="B8775" t="inlineStr">
        <is>
          <t>Baking soda &amp;amp; water</t>
        </is>
      </c>
      <c r="C8775" t="inlineStr">
        <is>
          <t>While reading posts on here, I thought I'd try the baking soda and water remedy as tums/gaviscon and other antacids don't really seem to work when I'm having a flare-up. It actually worked pretty well, did provide some relief. I tried 1/2 tsp in 4 oz of water. 
However, I could only stomach a couple gulps. The taste made me want to throw up and I had to stop. I bet if I drank more or could do it more often, it would help my symptoms a little bit. Anyone have recs for making the taste a little more bearable or do I just have to try to grin and bear it? Of course if I actually did vomit from the taste, that would be much worse for my reflux, so I'm reluctant to do it again!</t>
        </is>
      </c>
      <c r="D8775" t="n">
        <v>3</v>
      </c>
      <c r="E8775" t="n">
        <v>15</v>
      </c>
      <c r="F8775">
        <f>HYPERLINK("https://www.reddit.com/r/GERD/comments/hl6nob/baking_soda_water/")</f>
        <v/>
      </c>
      <c r="G8775" t="inlineStr">
        <is>
          <t>2020-07-04 10:02:03</t>
        </is>
      </c>
      <c r="H8775" t="inlineStr"/>
    </row>
    <row r="8776">
      <c r="A8776" t="inlineStr">
        <is>
          <t>hl6rqk</t>
        </is>
      </c>
      <c r="B8776" t="inlineStr">
        <is>
          <t>Unbearable stomach pangs always waking me up.</t>
        </is>
      </c>
      <c r="C8776" t="inlineStr">
        <is>
          <t>It feels like hunger pangs but way worse and I'm not hungry at all. The pain wakes me up and it's hard to fall back asleep until I try to go the bathroom.  It'll wake me up in the middle of the night and early in the morning with this pain. I wither in agony because of it and I want to eat less and less.</t>
        </is>
      </c>
      <c r="D8776" t="n">
        <v>8</v>
      </c>
      <c r="E8776" t="n">
        <v>5</v>
      </c>
      <c r="F8776">
        <f>HYPERLINK("https://www.reddit.com/r/GERD/comments/hl6rqk/unbearable_stomach_pangs_always_waking_me_up/")</f>
        <v/>
      </c>
      <c r="G8776" t="inlineStr">
        <is>
          <t>2020-07-04 10:08:39</t>
        </is>
      </c>
      <c r="H8776" t="inlineStr"/>
    </row>
    <row r="8777">
      <c r="A8777" t="inlineStr">
        <is>
          <t>hl77lo</t>
        </is>
      </c>
      <c r="B8777" t="inlineStr">
        <is>
          <t>GERD symptoms worse during pollen season?</t>
        </is>
      </c>
      <c r="C8777" t="inlineStr">
        <is>
          <t>Have you guys noticed that your GERD symptoms/flare ups are worse during pollen season ? I have a very bad pollen allergy and GERD, and for the past 2 years or so I noticed my reflux getting worse during summer months.</t>
        </is>
      </c>
      <c r="D8777" t="n">
        <v>2</v>
      </c>
      <c r="E8777" t="n">
        <v>7</v>
      </c>
      <c r="F8777">
        <f>HYPERLINK("https://www.reddit.com/r/GERD/comments/hl77lo/gerd_symptoms_worse_during_pollen_season/")</f>
        <v/>
      </c>
      <c r="G8777" t="inlineStr">
        <is>
          <t>2020-07-04 10:35:23</t>
        </is>
      </c>
      <c r="H8777" t="inlineStr"/>
    </row>
    <row r="8778">
      <c r="A8778" t="inlineStr">
        <is>
          <t>hl8rgz</t>
        </is>
      </c>
      <c r="B8778" t="inlineStr">
        <is>
          <t>Difficulty swallowing with acid reflux please help</t>
        </is>
      </c>
      <c r="C8778" t="inlineStr">
        <is>
          <t>I have been dealing with acid reflux for the past 9 months and the main symptom is inability to swallow.
I have had an endoscopy and I also have had a barium swallow in which they have come back normal. 
My symptoms are
Morning reflux coming out even on my pillow
Severe belching and gurgling noise 
A spasm like feeling when swallowing 
The actual inability to swallow sometimes almost like my throat muscle stopped working?
A heavy feeling in chest 
Sharp pain at the top of the stomach
My mouth always has a weird taste
As my tests have come back clear, the doctor has pretty much dismissed me and doesn’t really believe me. 
I have lost a whole ton of weight because I stopped eating for a period of time because my I couldn’t swallow without having a choking episode or worried I will choke. I took ppis for 2 months and it helped alot and stopped taking it because i thought it went and it suddenly came back. I have been on them again for a few weeks but still my symptoms have not gotten better.
I haven’t had proper solid food in so long!
I have cut out citrus and caffeine and fizzy drinks since 5 months ago. 
My current diet is liquid or soft food like mash or yogurt, which is not helping the weight loss. My quality of life has really dropped and my mental health is really starting to suffer. 
Another doctor said I could have a repeat endoscopy and have a bravo ph test to see if there is any acid reflux present that they cannot see by camera. However he said the wait for this is really long and as i am not seen as urgent i will be waiting a while.
I really don’t know what do anymore, i feel like nobody believes me and I know its there! I just want to go back to my normal life and be able to eat normal food and even go to a restaurant.
Has anybody experienced this? I feel so alone</t>
        </is>
      </c>
      <c r="D8778" t="n">
        <v>9</v>
      </c>
      <c r="E8778" t="n">
        <v>16</v>
      </c>
      <c r="F8778">
        <f>HYPERLINK("https://www.reddit.com/r/GERD/comments/hl8rgz/difficulty_swallowing_with_acid_reflux_please_help/")</f>
        <v/>
      </c>
      <c r="G8778" t="inlineStr">
        <is>
          <t>2020-07-04 12:06:56</t>
        </is>
      </c>
      <c r="H8778" t="inlineStr"/>
    </row>
    <row r="8779">
      <c r="A8779" t="inlineStr">
        <is>
          <t>hl9jv7</t>
        </is>
      </c>
      <c r="B8779" t="inlineStr">
        <is>
          <t>Effective?</t>
        </is>
      </c>
      <c r="C8779" t="inlineStr">
        <is>
          <t>I’m about to switch from Zantac over to pantoprazol and I want to know how effective it is compared to it I usually would take Zantac with omeprazol is it safe to take oneprazol with pantoprazol</t>
        </is>
      </c>
      <c r="D8779" t="n">
        <v>2</v>
      </c>
      <c r="E8779" t="n">
        <v>3</v>
      </c>
      <c r="F8779">
        <f>HYPERLINK("https://www.reddit.com/r/GERD/comments/hl9jv7/effective/")</f>
        <v/>
      </c>
      <c r="G8779" t="inlineStr">
        <is>
          <t>2020-07-04 12:55:18</t>
        </is>
      </c>
      <c r="H8779" t="inlineStr"/>
    </row>
    <row r="8780">
      <c r="A8780" t="inlineStr">
        <is>
          <t>hlaax9</t>
        </is>
      </c>
      <c r="B8780" t="inlineStr">
        <is>
          <t>My next attempt at tapering off PPI (omeprazole)</t>
        </is>
      </c>
      <c r="C8780" t="inlineStr">
        <is>
          <t>I have a small hiatal hernia and 24/7 heartburn unless I am on medication. Daily 20 mg omeprazole clears up all my symptoms, but I absolutely hate being on it.
I started daily PPI use when I was 16 years old following an endoscopic diagnosis of esophagitis shortly after my father died at age 49 of Barretts-induced esophageal cancer. (I had experienced heartburn my whole life to that point, even as a very young child).
I am now 34. Since starting daily PPI use, I have suffered severely low levels of vitamin B12 and vitamin D (improved with supplementation) and developed severe osteoporosis, which led to an L2 superior endplate compression fracture.
I have tried many times to taper off PPIs but have not succeeded. Famotidine helps, but even double doses (40 mg famotidine 2/day) did not stop horrendous breakthrough reflux.
I am new to this sub, and it is giving me hope. I ordered D-Limonene and some other herbals I've learned about here and elsewhere, and I plan on giving it another go next week. I have read many of your accounts of simply toughing it out and waiting up to 8+ weeks to see results. Here's hoping it works this time!
In addition to famotidine, I plan to take D-Limonene and Lily of the Desert Aloe Stomach Formula. Any other advice?</t>
        </is>
      </c>
      <c r="D8780" t="n">
        <v>10</v>
      </c>
      <c r="E8780" t="n">
        <v>43</v>
      </c>
      <c r="F8780">
        <f>HYPERLINK("https://www.reddit.com/r/GERD/comments/hlaax9/my_next_attempt_at_tapering_off_ppi_omeprazole/")</f>
        <v/>
      </c>
      <c r="G8780" t="inlineStr">
        <is>
          <t>2020-07-04 13:41:47</t>
        </is>
      </c>
      <c r="H8780" t="inlineStr"/>
    </row>
    <row r="8781">
      <c r="A8781" t="inlineStr">
        <is>
          <t>hlahqk</t>
        </is>
      </c>
      <c r="B8781" t="inlineStr">
        <is>
          <t>Melatonin for LPR?!</t>
        </is>
      </c>
      <c r="C8781" t="inlineStr">
        <is>
          <t>Has anyone heard about this working? I’ve heard it helps tighten up the LES.</t>
        </is>
      </c>
      <c r="D8781" t="n">
        <v>1</v>
      </c>
      <c r="E8781" t="n">
        <v>7</v>
      </c>
      <c r="F8781">
        <f>HYPERLINK("https://www.reddit.com/r/GERD/comments/hlahqk/melatonin_for_lpr/")</f>
        <v/>
      </c>
      <c r="G8781" t="inlineStr">
        <is>
          <t>2020-07-04 13:53:34</t>
        </is>
      </c>
      <c r="H8781" t="inlineStr"/>
    </row>
    <row r="8782">
      <c r="A8782" t="inlineStr">
        <is>
          <t>hlard0</t>
        </is>
      </c>
      <c r="B8782" t="inlineStr">
        <is>
          <t>I need your help. I was diagnosed with Gastritis and Gerd by a GI Doctor. After which my new GI thinks I only have functional reflux after reviewing report.</t>
        </is>
      </c>
      <c r="C8782" t="inlineStr">
        <is>
          <t>I am currently trying to wean off Nexium 20mg. Which I take every other day. I am down to two now. 
I did not take any today so tomorrow I take one and then Tuesday would be the last day of taking it. Some days I feel better when I am off it.
I am also on an anti depressant that was given to me by new GI. So hopefully that should kick in soon. I have tried to change diet to low acid but some foods can be trigger so it’s kind of hard. My question is 
Has anyone been through this and has gotten better?
What can I take like how I will be done with the Nexium after next Tuesday. My GI said I can now stop the Nexium completely once I can tolerate the anti depressant  5mg and continue to take 10mg antidepressant at night.
It’s as if I am having indigestion in my upper chest to my throat.Its hard to also get a burp. If I could just get rid of the acid reflux then I would not have the indigestion and the heartburn since the acid comes up. I have also lost weight and now have an elevated cholesterol.
Help please!</t>
        </is>
      </c>
      <c r="D8782" t="n">
        <v>3</v>
      </c>
      <c r="E8782" t="n">
        <v>2</v>
      </c>
      <c r="F8782">
        <f>HYPERLINK("https://www.reddit.com/r/GERD/comments/hlard0/i_need_your_help_i_was_diagnosed_with_gastritis/")</f>
        <v/>
      </c>
      <c r="G8782" t="inlineStr">
        <is>
          <t>2020-07-04 14:09:47</t>
        </is>
      </c>
      <c r="H8782" t="inlineStr"/>
    </row>
    <row r="8783">
      <c r="A8783" t="inlineStr">
        <is>
          <t>hlc0gk</t>
        </is>
      </c>
      <c r="B8783" t="inlineStr">
        <is>
          <t>how to cure feeling like food is stuck in throat? backed up? May try nexium again long term since I wasn't on it that long but it's hard since I feel like it's not the issue but I guess I can just try</t>
        </is>
      </c>
      <c r="C8783" t="inlineStr">
        <is>
          <t>Might try a strict diet again. Any advice? has anyone dealt with the feeling and has it caused sever distress and fatigue at times like you wish you can press an off switch? Just being honest so anybody out there can possibly relate. It all started over a month ago when a peace of tobbaco hit the back of my throat and a few days later that's when it started flairing but it has to be gone by now and just a coincidence.</t>
        </is>
      </c>
      <c r="D8783" t="n">
        <v>2</v>
      </c>
      <c r="E8783" t="n">
        <v>1</v>
      </c>
      <c r="F8783">
        <f>HYPERLINK("https://www.reddit.com/r/GERD/comments/hlc0gk/how_to_cure_feeling_like_food_is_stuck_in_throat/")</f>
        <v/>
      </c>
      <c r="G8783" t="inlineStr">
        <is>
          <t>2020-07-04 15:28:52</t>
        </is>
      </c>
      <c r="H8783" t="inlineStr"/>
    </row>
    <row r="8784">
      <c r="A8784" t="inlineStr">
        <is>
          <t>hlclna</t>
        </is>
      </c>
      <c r="B8784" t="inlineStr">
        <is>
          <t>GERD, Anxiety, or something else?</t>
        </is>
      </c>
      <c r="C8784" t="inlineStr">
        <is>
          <t>Is this anxiety, GERD, nerve issues or something else?
Long story short I’ve developed health anxiety (heart issues) over the past year which ruined my quality of life. I went from going to the gym everyday to being sedentary pretty much all of this past year. I was on Lexapro for 6 months, tapered off in March 2020 and began exercising again up until the pandemic. Fast forward to today I’ve had 6 EKGs, 2 ECGs, 1 stress test and a few blood checkups. All is normal. This past Sunday I had an appendectomy and I’m still struggling with a few physical issues. 
   - tingling left forearm and around left eye 
   - constant sore throat
   - chest pains 
   - odd chest pressure while driving 
   - pain in the middle upper back bascially on the spine 
   - pressure in the back in between shoulder blades
Any idea what this could be? Doctors don’t really have an idea but they obviously don’t think it’s cardiac related at all. 25 year old male so I also think I’m young for those sort of issues with no history of it and no drinking or smoking whatsoever. Appreciate you guys reading this.</t>
        </is>
      </c>
      <c r="D8784" t="n">
        <v>2</v>
      </c>
      <c r="E8784" t="n">
        <v>6</v>
      </c>
      <c r="F8784">
        <f>HYPERLINK("https://www.reddit.com/r/GERD/comments/hlclna/gerd_anxiety_or_something_else/")</f>
        <v/>
      </c>
      <c r="G8784" t="inlineStr">
        <is>
          <t>2020-07-04 16:09:21</t>
        </is>
      </c>
      <c r="H8784" t="inlineStr"/>
    </row>
    <row r="8785">
      <c r="A8785" t="inlineStr">
        <is>
          <t>hld2cx</t>
        </is>
      </c>
      <c r="B8785" t="inlineStr">
        <is>
          <t>Anyone else struggle when drinking alcohol?</t>
        </is>
      </c>
      <c r="C8785" t="inlineStr">
        <is>
          <t>So I’ve only had issues with GERD for a few years but this year I started to notice how drinking really makes me feel uncomfortable. I’m not going crazy with amounts either. I’m talking like one white claw or one shot of something. Every time I drink I just keep thinking about how I’m probably going to have to walk away from it for good very soon (and I’m still in my mid 20s)
Does anyone else struggle with this reality?</t>
        </is>
      </c>
      <c r="D8785" t="n">
        <v>2</v>
      </c>
      <c r="E8785" t="n">
        <v>22</v>
      </c>
      <c r="F8785">
        <f>HYPERLINK("https://www.reddit.com/r/GERD/comments/hld2cx/anyone_else_struggle_when_drinking_alcohol/")</f>
        <v/>
      </c>
      <c r="G8785" t="inlineStr">
        <is>
          <t>2020-07-04 16:41:32</t>
        </is>
      </c>
      <c r="H8785" t="inlineStr"/>
    </row>
    <row r="8786">
      <c r="A8786" t="inlineStr">
        <is>
          <t>hlez57</t>
        </is>
      </c>
      <c r="B8786" t="inlineStr">
        <is>
          <t>Acid Reflux - Foods to Avoid</t>
        </is>
      </c>
      <c r="C8786" t="inlineStr">
        <is>
          <t>What acid reflux food should I avoid? This is a [question most gastroesophageal reflux disease](https://healthyrex.com/probio-lite-review/) sufferers struggle upon. Promoting healthy nutrition that is based on avoiding certain foods while increasing the intake of others has the potential to confer significant long-term health benefits among acid reflux sufferers. Lifestyle and dietary alterations are considered to be an integral and inseparable part of any long-term holistic GERD treatment.
The foods we consume play an important role when it comes to keeping our body's delicate natural inner balance. Since certain foods and dietary habits have been found to, directly and indirectly, promote the aggravation of acid reflux, avoiding those foods and adopting specific dietary habits for optimal digestion while suffering from acid reflux could have a tremendously positive effect on your existing medical condition. The following are examples of these types of foods:  
1. Coffee and other caffeine-containing beverages lead to increased acidity, so avoid large amounts of coffee. Try to limit your daily coffee consumption to two cups or less. It possible, split your coffee cup into two half cups and reduce coffee drinking before bedtime.  
2. Alcohol can irritate the stomach and relax the LES muscle, leading to increased acidity and reflux.  
3. High-fat foods are among the biggest culprits behind GERD symptoms. They take longer to digest and not easily eliminated out of the body, thus increasing the chances acid will splash up into your esophagus. The only exceptions are omega-3 fatty acids from fish and fish oil, which are in fact powerful anti-inflammatory agents.  
4. Chocolate contains a great deal of caffeine and fat. This may increase acidity and worsen digestion and hence should be avoided. If you are a devoted chocolate enthusiast, go for dark, organic varieties, and eat no more then two to three tiny squares two to three times per week.  
5. Milk and milk-based products that contain a big proportion of calcium should also be avoided before bedtime.
6. Peppermint, spearmint, and other mints can worsen acid reflux symptoms. Avoid foods that contain strong mints, including mint-based herbal teas.  
7. Acidic foods (such as oranges and tomatoes) and cruciferous vegetables (onions, cabbage, cauliflower, broccoli, spinach, brussels sprouts) promote the opening of the esophageal sphincter, thus increasing acid reflux.  
So what acid reflux food should you avoid? With these dietary changes and a healthy motivation to alter your lifestyle, you can be on your way to overcoming gastroesophageal reflux disease and improving the quality of your life and well-being. Whatever your medical condition is, when you finally decide to improve your quality of life, you can literally choose to cure GERD and prevent its recurrence, by adopting the holistic approach. You will have the power to make it happen.
**This article is based on the book, "Heartburn No More" by Jeff Martin. Jeff is an author, researcher, nutritionist and health consultant who dedicated his life to creating the ultimate acid reflux solution guaranteed to permanently reverse the root cause of heartburn and acid reflux and naturally and dramatically improve the overall quality of your life, without the use prescription medication and without any surgical procedures.** [Learn more by visiting this website.](https://healthyrex.com/probio-lite-review/)</t>
        </is>
      </c>
      <c r="D8786" t="n">
        <v>1</v>
      </c>
      <c r="E8786" t="n">
        <v>3</v>
      </c>
      <c r="F8786">
        <f>HYPERLINK("https://www.reddit.com/r/GERD/comments/hlez57/acid_reflux_foods_to_avoid/")</f>
        <v/>
      </c>
      <c r="G8786" t="inlineStr">
        <is>
          <t>2020-07-04 19:08:13</t>
        </is>
      </c>
      <c r="H8786" t="inlineStr"/>
    </row>
    <row r="8787">
      <c r="A8787" t="inlineStr">
        <is>
          <t>hlfmti</t>
        </is>
      </c>
      <c r="B8787" t="inlineStr">
        <is>
          <t>Trips with GERD</t>
        </is>
      </c>
      <c r="C8787" t="inlineStr">
        <is>
          <t xml:space="preserve"> Thanks in advance for spending your time.
I would like to take some acid(100ug) + smoke some weed after while having mild case of GERD. Any advice on what could ease the symptoms during the trip/food to eat during the trip? Anything would be appreciate.</t>
        </is>
      </c>
      <c r="D8787" t="n">
        <v>1</v>
      </c>
      <c r="E8787" t="n">
        <v>2</v>
      </c>
      <c r="F8787">
        <f>HYPERLINK("https://www.reddit.com/r/GERD/comments/hlfmti/trips_with_gerd/")</f>
        <v/>
      </c>
      <c r="G8787" t="inlineStr">
        <is>
          <t>2020-07-04 20:00:24</t>
        </is>
      </c>
      <c r="H8787" t="inlineStr"/>
    </row>
    <row r="8788">
      <c r="A8788" t="inlineStr">
        <is>
          <t>hlgec1</t>
        </is>
      </c>
      <c r="B8788" t="inlineStr">
        <is>
          <t>Extreme exhaustion symptom? New to GERD.</t>
        </is>
      </c>
      <c r="C8788" t="inlineStr">
        <is>
          <t>Hi, 
Back in February I had my first bout of Acid Reflux ever.  I thought I was having some strange heart attack or stroke.  I was wheezing, extreme chest pressure and pain, and oddly, an earache.  I got lung and heart tests and all good.  To my shock, they determined I had acid reflux.  
I took Prilosec for 2 weeks and was fine until a month ago, when I got a flair up, all the same symptoms but this time also physical pain, back, neck, arms.  A couple days later, fine again.  
Yesterday, I woke up with the lump in the throat, ear pain, chest pain, I recognize this all now.  I took a tablet of prilosec.  Here is the difference.  All this pain and discomfort was this time accompanied by EXTREME exhaustion to the point that I slept the whole day.  I couldn't stay awake. 
This morning I woke up after a day of sleeping, and a night of sleeping, and was awake only for an hour, and then back to bed and slept til 1PM.  I have been awake since 1PM now, and haven't gone back to bed, but this has scared me.  I never takes naps let alone sleep for nearly a day and a half.   I'm not a day sleeper, and it felt like I was on benadryil.  Like I was drugged, I couldn't stay awake.  
An aside, as a woman, I'm also going through that time of the month, not sure if having these two things at once knocked me out, but wondering if anyone here gets this tired? I would love to get any feedback.  This is all fairly new to me. 
I feel like each time I get acid reflux, it gets worse.  It goes away, but each time it seems to come back stronger.  I appreciate any insight.</t>
        </is>
      </c>
      <c r="D8788" t="n">
        <v>1</v>
      </c>
      <c r="E8788" t="n">
        <v>2</v>
      </c>
      <c r="F8788">
        <f>HYPERLINK("https://www.reddit.com/r/GERD/comments/hlgec1/extreme_exhaustion_symptom_new_to_gerd/")</f>
        <v/>
      </c>
      <c r="G8788" t="inlineStr">
        <is>
          <t>2020-07-04 21:02:03</t>
        </is>
      </c>
      <c r="H8788" t="inlineStr"/>
    </row>
    <row r="8789">
      <c r="A8789" t="inlineStr">
        <is>
          <t>hli0fq</t>
        </is>
      </c>
      <c r="B8789" t="inlineStr">
        <is>
          <t>If any doctor or anyone who knows enough about GERD LPR can read an endoscopy</t>
        </is>
      </c>
      <c r="C8789" t="inlineStr">
        <is>
          <t>Can anyone read the findings and possibly point me in the right direction as far as what to do? My gastro seems to be not concerned nor has prescribed me any meds , and the reason why I even got the endoscopy was for difficulty swallowing &amp;amp; mainly LPR symptoms with no heartburn. I’m willing to sacrifice everything to fix these issues , I also got a barium swallow that was completely normal</t>
        </is>
      </c>
      <c r="D8789" t="n">
        <v>1</v>
      </c>
      <c r="E8789" t="n">
        <v>3</v>
      </c>
      <c r="F8789">
        <f>HYPERLINK("https://www.reddit.com/r/GERD/comments/hli0fq/if_any_doctor_or_anyone_who_knows_enough_about/")</f>
        <v/>
      </c>
      <c r="G8789" t="inlineStr">
        <is>
          <t>2020-07-04 23:27:15</t>
        </is>
      </c>
      <c r="H8789" t="inlineStr"/>
    </row>
    <row r="8790">
      <c r="A8790" t="inlineStr">
        <is>
          <t>hlipmt</t>
        </is>
      </c>
      <c r="B8790" t="inlineStr">
        <is>
          <t>Coffee intolerance?</t>
        </is>
      </c>
      <c r="C8790" t="inlineStr">
        <is>
          <t>I’m curious if this is a common occurrence - for one, I’m aware that coffee can be a nightmare for gerd, but after years and years of not having a sip, I decided to have a whole cup of what was probably some pretty strong coffee. Well, pretty much for the whole day afterwards (or the past 5-6hours) my whole GI tract has been a WRECK on and off. Now I also suffer from some pretty bad anxiety - I’m really wondering/hoping this kind of thing happens/can happen to others with GERD and coffee? Just don’t wanna be the only idiot who decided to ruin their whole day with a cup of coffee haha.</t>
        </is>
      </c>
      <c r="D8790" t="n">
        <v>1</v>
      </c>
      <c r="E8790" t="n">
        <v>10</v>
      </c>
      <c r="F8790">
        <f>HYPERLINK("https://www.reddit.com/r/GERD/comments/hlipmt/coffee_intolerance/")</f>
        <v/>
      </c>
      <c r="G8790" t="inlineStr">
        <is>
          <t>2020-07-05 00:35:03</t>
        </is>
      </c>
      <c r="H8790" t="inlineStr"/>
    </row>
    <row r="8791">
      <c r="A8791" t="inlineStr">
        <is>
          <t>hljw8e</t>
        </is>
      </c>
      <c r="B8791" t="inlineStr">
        <is>
          <t>Is this GERD?</t>
        </is>
      </c>
      <c r="C8791" t="inlineStr">
        <is>
          <t>Hi,
I am a 27 year old woman and overweight. After reading 'how not to die' by Dr Michael Greger I decided to go vegan and excercise on the regular. I find that when I excercise, even a simple 45 minute flat walk- I am throwing up bile afterwards and have found the harder that I work, the more bile I throw up. I have been looking into fatty liver disease and mitochondrial disease as I know excercise intolerance is a symptom. 
How am I suppose to lose weight when an hour out of my day walking turns into me pulling up several times on the drive home to projectile vomit bile and feeling unwell for 4 hours afterwards. It is seriously affecting my life. I want to get better and fitter but it's making me feel so unwell. Doctor say its fitness related but I don't think it's normal to be throwing up nearly everyday after a walk that my body can do. Any help?</t>
        </is>
      </c>
      <c r="D8791" t="n">
        <v>1</v>
      </c>
      <c r="E8791" t="n">
        <v>3</v>
      </c>
      <c r="F8791">
        <f>HYPERLINK("https://www.reddit.com/r/GERD/comments/hljw8e/is_this_gerd/")</f>
        <v/>
      </c>
      <c r="G8791" t="inlineStr">
        <is>
          <t>2020-07-05 02:32:23</t>
        </is>
      </c>
      <c r="H8791" t="inlineStr"/>
    </row>
    <row r="8792">
      <c r="A8792" t="inlineStr">
        <is>
          <t>hloflx</t>
        </is>
      </c>
      <c r="B8792" t="inlineStr">
        <is>
          <t>Recipe website recommendations</t>
        </is>
      </c>
      <c r="C8792" t="inlineStr">
        <is>
          <t>Hey everyone,
Thanks for all your posts and comments on here. I greatly appreciate it. It's helped me a ton. 
Can you guys share some favorite recipe websites, meals, or overall recommendations for cooking? Also good takeout/restaurant choices for the times I don't want to cook? I'm at the acceptance stage of having to modify my diet long term, so want to build up my go to options. Thanks!</t>
        </is>
      </c>
      <c r="D8792" t="n">
        <v>2</v>
      </c>
      <c r="E8792" t="n">
        <v>5</v>
      </c>
      <c r="F8792">
        <f>HYPERLINK("https://www.reddit.com/r/GERD/comments/hloflx/recipe_website_recommendations/")</f>
        <v/>
      </c>
      <c r="G8792" t="inlineStr">
        <is>
          <t>2020-07-05 08:28:17</t>
        </is>
      </c>
      <c r="H8792" t="inlineStr"/>
    </row>
    <row r="8793">
      <c r="A8793" t="inlineStr">
        <is>
          <t>hloqfg</t>
        </is>
      </c>
      <c r="B8793" t="inlineStr">
        <is>
          <t>Gastritis and Gerd Weaning off PPI</t>
        </is>
      </c>
      <c r="C8793" t="inlineStr">
        <is>
          <t>I am currently trying to wean off Nexium 20mg. Which I take every other day. I am down to two now. 
I did not take any today so tomorrow I take one and then Tuesday would be the last day of taking it. Some days I feel better when I am off it.
I am also on an anti depressant that was given to me by new GI. As he said although other GI said I have Gastritis and Gerd. He believes it’s more functional reflux. So hopefully that should kick in soon. I have tried to change diet to low acid but some foods can be trigger so it’s kind of hard. My question is 
Has anyone been through this and has gotten better?
What can I take like how I will be done with the Nexium after next Tuesday. My GI said I can now stop the Nexium completely once I can tolerate the anti depressant  5mg and continue to take 10mg antidepressant at night.
It’s as if I am having indigestion in my upper chest to my throat.Its hard to also get a burp. If I could just get rid of the acid reflux then I would not have the indigestion and the heartburn since the acid comes up. I have also lost weight and now have an elevated cholesterol.
Any recommendations!</t>
        </is>
      </c>
      <c r="D8793" t="n">
        <v>2</v>
      </c>
      <c r="E8793" t="n">
        <v>0</v>
      </c>
      <c r="F8793">
        <f>HYPERLINK("https://www.reddit.com/r/GERD/comments/hloqfg/gastritis_and_gerd_weaning_off_ppi/")</f>
        <v/>
      </c>
      <c r="G8793" t="inlineStr">
        <is>
          <t>2020-07-05 08:46:38</t>
        </is>
      </c>
      <c r="H8793" t="inlineStr"/>
    </row>
    <row r="8794">
      <c r="A8794" t="inlineStr">
        <is>
          <t>hlpqh4</t>
        </is>
      </c>
      <c r="B8794" t="inlineStr">
        <is>
          <t>Losing weight fast without exercise. H.pylori?</t>
        </is>
      </c>
      <c r="C8794" t="inlineStr">
        <is>
          <t>Currently have acid reflux. Also on famotidine 40 mg. My weight in may was 165 back in may 25th now as of july 5th im at 145. I have lost a total of 20 pounds. But whats been biting me is that how can lose so much weight if all im doing is changing my diet. 
Back in january and febuary i was on a  regiment of trying to lose some weight. I was 185 back in january losing weight slowly by eating right and doing exercise. Then covid hit. I was at 170lb when covid started in march. Since then i was diagnosed with acid reflux in may by my ent. Recently i been having trouble eating small portions, i get a so bloated just by eating spinach and baked chicken. I even get bloated by drinking water.
Im scheduled to take a h pylori test this week. Just wanted to know its possible that this weight loss with no exercise a symptom of h pylori?</t>
        </is>
      </c>
      <c r="D8794" t="n">
        <v>1</v>
      </c>
      <c r="E8794" t="n">
        <v>13</v>
      </c>
      <c r="F8794">
        <f>HYPERLINK("https://www.reddit.com/r/GERD/comments/hlpqh4/losing_weight_fast_without_exercise_hpylori/")</f>
        <v/>
      </c>
      <c r="G8794" t="inlineStr">
        <is>
          <t>2020-07-05 09:47:53</t>
        </is>
      </c>
      <c r="H8794" t="inlineStr"/>
    </row>
    <row r="8795">
      <c r="A8795" t="inlineStr">
        <is>
          <t>hlqe4a</t>
        </is>
      </c>
      <c r="B8795" t="inlineStr">
        <is>
          <t>Omeprazole Blurry Vision?</t>
        </is>
      </c>
      <c r="C8795" t="inlineStr">
        <is>
          <t>Does anyone else get blurry vision from Omeprazole? I'm trying to rule it out as a reason my vision has declined.</t>
        </is>
      </c>
      <c r="D8795" t="n">
        <v>1</v>
      </c>
      <c r="E8795" t="n">
        <v>5</v>
      </c>
      <c r="F8795">
        <f>HYPERLINK("https://www.reddit.com/r/GERD/comments/hlqe4a/omeprazole_blurry_vision/")</f>
        <v/>
      </c>
      <c r="G8795" t="inlineStr">
        <is>
          <t>2020-07-05 10:25:34</t>
        </is>
      </c>
      <c r="H8795" t="inlineStr"/>
    </row>
    <row r="8796">
      <c r="A8796" t="inlineStr">
        <is>
          <t>hlqh2u</t>
        </is>
      </c>
      <c r="B8796" t="inlineStr">
        <is>
          <t>Mainly Respiratory Symptoms.</t>
        </is>
      </c>
      <c r="C8796" t="inlineStr">
        <is>
          <t>They diagnosed me with GERD about 8 weeks ago. I have some belching and slightly upset stomach sometimes but the lung pain has been the worst part of this. I get hoarse and I can feel it in my lymph nodes and ears but that is just a nuisance I can live with. The lung part has been the worst of it and the reason I made 4 trips to the ER. Shortness of breath and can't fall asleep with my CPAP on because the air tickles my lungs and I start coughing like mad. Anyone else have lung problems as primary and other symptoms secondary?</t>
        </is>
      </c>
      <c r="D8796" t="n">
        <v>1</v>
      </c>
      <c r="E8796" t="n">
        <v>4</v>
      </c>
      <c r="F8796">
        <f>HYPERLINK("https://www.reddit.com/r/GERD/comments/hlqh2u/mainly_respiratory_symptoms/")</f>
        <v/>
      </c>
      <c r="G8796" t="inlineStr">
        <is>
          <t>2020-07-05 10:30:17</t>
        </is>
      </c>
      <c r="H8796" t="inlineStr"/>
    </row>
    <row r="8797">
      <c r="A8797" t="inlineStr">
        <is>
          <t>hlqmcd</t>
        </is>
      </c>
      <c r="B8797" t="inlineStr">
        <is>
          <t>i need advice!!</t>
        </is>
      </c>
      <c r="C8797" t="inlineStr">
        <is>
          <t>three years ago i was diagnosed with GERD. i was on meds for about a year (cant remember what they were though, i alternated between two types?) and i finally weened off of them when i felt completely better. but, three months ago, i started experiencing symptoms again and even ended up in the ER because i didn’t want to eat and was dehydrated. i have an extreme fear of vomiting and feeling sick in general, so when i feel nauseous i start panicking and it makes the nausea worse. its also affecting my mental health, and i feel like i’ll never get better. i want to be better by the time the new school year starts so i don’t miss out on classes and work, and it’s a school i worked hard to get into and i don’t want to disappoint my family.
my doctor told me to take over the counter omeprazole, but it doesn’t seem to be working well. i’ve been on it for about a month. next week or the week after i plan on getting an endoscopy to get a better idea of what’s happening, but i really want to feel better...so im asking for advice while i wait to get an appointment. i wake up very nauseous and only feel good for about 2-3 hours a day.
here’s what i’ve eaten today:
1 banana, 1 apple, a few raisins, some bread and water. that’s it so far. my stomach doesn’t feel great but it doesn’t feel bad either. are there things i need to add to my diet or remove completely? or a certain schedule i should follow? i also take dramamine for my nausea and take 30mg of fluoxetine for my anxiety.
the three foods that make me feel better somewhat are bananas, blueberries (not sure why?) and bread.
please guys!! i feel so hopeless. i just want to feel somewhat better again. but i have no idea what to do, and my fear of getting sick only makes it worse...i don’t have to feel better right away, but i would love to see some improvement by september or even october...
thanks in advance!</t>
        </is>
      </c>
      <c r="D8797" t="n">
        <v>3</v>
      </c>
      <c r="E8797" t="n">
        <v>3</v>
      </c>
      <c r="F8797">
        <f>HYPERLINK("https://www.reddit.com/r/GERD/comments/hlqmcd/i_need_advice/")</f>
        <v/>
      </c>
      <c r="G8797" t="inlineStr">
        <is>
          <t>2020-07-05 10:38:42</t>
        </is>
      </c>
      <c r="H8797" t="inlineStr"/>
    </row>
    <row r="8798">
      <c r="A8798" t="inlineStr">
        <is>
          <t>hlrhn2</t>
        </is>
      </c>
      <c r="B8798" t="inlineStr">
        <is>
          <t>Where to go from here?</t>
        </is>
      </c>
      <c r="C8798" t="inlineStr">
        <is>
          <t>Swedish, male, 28 years old, am in good shape (used to be a yoga teacher).
GERD since I turned 21, started with stress, constant chronic pain that never goes away (even for a minute). Has severely affected my life quality. Take PPIs daily (omeprazole), which reduces the pain by 10% and at least makes me not want to kill myself.
Went to the doctor for 5 years, did all the tests. Stool sample, celiac test (negative), endoscopy and 24 h pH-manometry. No ulcers. I have a 1 inch hernia, but pH manometry showed no deviation. I did endoscopy and pH-manometry twice with a 2-year spacing between them. Because the pH test came back negative the doctors said surgery was not an option. I’ve had multiple opinions and my last doctor, although she couldn’t do anything to help me, was very helpful and accomodating.
I’ve also tried all the HCl-pills and apple cider crap.
Where do I go from here?</t>
        </is>
      </c>
      <c r="D8798" t="n">
        <v>3</v>
      </c>
      <c r="E8798" t="n">
        <v>0</v>
      </c>
      <c r="F8798">
        <f>HYPERLINK("https://www.reddit.com/r/GERD/comments/hlrhn2/where_to_go_from_here/")</f>
        <v/>
      </c>
      <c r="G8798" t="inlineStr">
        <is>
          <t>2020-07-05 11:28:40</t>
        </is>
      </c>
      <c r="H8798" t="inlineStr"/>
    </row>
    <row r="8799">
      <c r="A8799" t="inlineStr">
        <is>
          <t>hlsdk2</t>
        </is>
      </c>
      <c r="B8799" t="inlineStr">
        <is>
          <t>H.pylori test question.</t>
        </is>
      </c>
      <c r="C8799" t="inlineStr">
        <is>
          <t>Is it possible to have an h pylori test while on h2 blocker famotidine? Ive read that you need to wait 2 weeks at best for the ppi to lose its affect before an h pylori test.</t>
        </is>
      </c>
      <c r="D8799" t="n">
        <v>5</v>
      </c>
      <c r="E8799" t="n">
        <v>2</v>
      </c>
      <c r="F8799">
        <f>HYPERLINK("https://www.reddit.com/r/GERD/comments/hlsdk2/hpylori_test_question/")</f>
        <v/>
      </c>
      <c r="G8799" t="inlineStr">
        <is>
          <t>2020-07-05 12:19:14</t>
        </is>
      </c>
      <c r="H8799" t="inlineStr"/>
    </row>
    <row r="8800">
      <c r="A8800" t="inlineStr">
        <is>
          <t>hlu5ea</t>
        </is>
      </c>
      <c r="B8800" t="inlineStr">
        <is>
          <t>Does anyone want the E-Book I bought on GERD/LPR?</t>
        </is>
      </c>
      <c r="C8800" t="inlineStr">
        <is>
          <t>The E-Book was around $50 and it was written by someone who cured their reflux. It covers: causes, symptoms, supplements, healing, food, lifestyle, etc., I know not everyone wants to pay for an E-Book or has the resources but I was desperate so I did.
Giving it away for free because GERD/LPR is the worst thing I've gone through and I think everyone should have access to this info.
DM me if you are interested and good luck to everyone healing :(
\*\*\*\*\*EDIT: Please DM/Chat me to get the link to the book. I am sending it through DM's rather than comments. ♥</t>
        </is>
      </c>
      <c r="D8800" t="n">
        <v>38</v>
      </c>
      <c r="E8800" t="n">
        <v>72</v>
      </c>
      <c r="F8800">
        <f>HYPERLINK("https://www.reddit.com/r/GERD/comments/hlu5ea/does_anyone_want_the_ebook_i_bought_on_gerdlpr/")</f>
        <v/>
      </c>
      <c r="G8800" t="inlineStr">
        <is>
          <t>2020-07-05 14:01:31</t>
        </is>
      </c>
      <c r="H8800" t="inlineStr"/>
    </row>
    <row r="8801">
      <c r="A8801" t="inlineStr">
        <is>
          <t>hlue67</t>
        </is>
      </c>
      <c r="B8801" t="inlineStr">
        <is>
          <t>Pancakes/Waffles a no go?</t>
        </is>
      </c>
      <c r="C8801" t="inlineStr">
        <is>
          <t>Are they acidic or alkaline? I'm following a pretty strict acid reduction diet.</t>
        </is>
      </c>
      <c r="D8801" t="n">
        <v>3</v>
      </c>
      <c r="E8801" t="n">
        <v>3</v>
      </c>
      <c r="F8801">
        <f>HYPERLINK("https://www.reddit.com/r/GERD/comments/hlue67/pancakeswaffles_a_no_go/")</f>
        <v/>
      </c>
      <c r="G8801" t="inlineStr">
        <is>
          <t>2020-07-05 14:16:02</t>
        </is>
      </c>
      <c r="H8801" t="inlineStr"/>
    </row>
    <row r="8802">
      <c r="A8802" t="inlineStr">
        <is>
          <t>hluif7</t>
        </is>
      </c>
      <c r="B8802" t="inlineStr">
        <is>
          <t>Does stomach acid cause diarrhea?</t>
        </is>
      </c>
      <c r="C8802" t="inlineStr">
        <is>
          <t>Hello! So I was on Omeprazole for 2 weeks and Dexilant for another 2, and on Saturday (27 June) I started Omeprazole again (2 x 20mg). I thought of tapering off the Omeprazole because i felt my symptoms weren't that bad already (not much bloating and shortness of breath) so I started eating just 1 Omeprazole in the morning at maybe 7.30am from maybe 2 July.
At the same time, my mum wanted me to try this product for gastric that she had been trying and said it helps ([Gastricell](https://lifestreamgroup.com/gastricell.html) that has "Lactic Acid Bacteria — patented L. johnsonii No. 1088, and fortified with Bifidobacterium longum and oligosaccharide" and i think it's supposed to have probiotic properties? 
ever since taking the gastricell and going on 1 omeprazole a day, i started get stomach cramps and watery diarrhea maybe 2-3 times a day in the morning. at first i thought it was the probiotics so i stopped taking it yesterday. i was woken up at 5am today with horrible stomach cramps and i just had another bad bout of diarrhea and i feel slightly nauseous.
i wanted to ask could excess stomach acid cause diarrhea and cramps (since i cut down on my omeprazole) or isit more likely that the gastricell somehow upset my stomach badly? i know it looks a little dubious but my mum didn't have any bad reactions to it so i thought it was ok...</t>
        </is>
      </c>
      <c r="D8802" t="n">
        <v>3</v>
      </c>
      <c r="E8802" t="n">
        <v>7</v>
      </c>
      <c r="F8802">
        <f>HYPERLINK("https://www.reddit.com/r/GERD/comments/hluif7/does_stomach_acid_cause_diarrhea/")</f>
        <v/>
      </c>
      <c r="G8802" t="inlineStr">
        <is>
          <t>2020-07-05 14:23:09</t>
        </is>
      </c>
      <c r="H8802" t="inlineStr"/>
    </row>
    <row r="8803">
      <c r="A8803" t="inlineStr">
        <is>
          <t>hluzqq</t>
        </is>
      </c>
      <c r="B8803" t="inlineStr">
        <is>
          <t>Fat absorption</t>
        </is>
      </c>
      <c r="C8803" t="inlineStr">
        <is>
          <t>Hello, fellow enthusiasts! 11 years of trying different diets to ease IBS-like symptoms (diagnosed with GERD a couple years ago, not IBS) and acid reflux without taking prescription medications led me to the FODMAP diet more than 8 months ago. It's been, by far, the most successful at stopping constant diarrhea, painful bloating, and a general feeling of weakness. In addition to the FODMAP diet, I've also been regularly taking psyllium fiber supplements and digestive enzymes containing amylases, lypases, and proteases.
One problem remains: my consistently yellow/tan stools lead me to believe I haven't been absorbing fats. On days when I eat *basically* Keto (no servings of primarily carbs, e.g., rice, potatoes, corn), it immediately turns a healthy brown. Even following macro proportions causes this to happen. I've experimented and tracked my food enough that I can see the timeline in the toilet bowl. 
What concerns me is that carbs may in some way be interfering with my absorption of fats, and I'm unaware of the long-term effects of Keto. I wonder if some peoples' bodies are predisposed to break down fats before sugars? Otherwise, if something more serious is going on I'd like to be made aware of any red flags.
As far as visiting a doctor about it, my job makes it particularly difficult to go. For what it's worth: my guts feel better than they have in almost 20 years.
My basic Google skills have only led me to articles which state the opposite should be happening. Does anyone have any references, explanations, or similar experiences they'd like to share?</t>
        </is>
      </c>
      <c r="D8803" t="n">
        <v>1</v>
      </c>
      <c r="E8803" t="n">
        <v>1</v>
      </c>
      <c r="F8803">
        <f>HYPERLINK("https://www.reddit.com/r/GERD/comments/hluzqq/fat_absorption/")</f>
        <v/>
      </c>
      <c r="G8803" t="inlineStr">
        <is>
          <t>2020-07-05 14:51:27</t>
        </is>
      </c>
      <c r="H8803" t="inlineStr"/>
    </row>
    <row r="8804">
      <c r="A8804" t="inlineStr">
        <is>
          <t>hlvb46</t>
        </is>
      </c>
      <c r="B8804" t="inlineStr">
        <is>
          <t>Gaviscon Advance &amp;amp; LPR</t>
        </is>
      </c>
      <c r="C8804" t="inlineStr">
        <is>
          <t>Hey all, just wanted to share an interesting article I found:
[https://link.springer.com/article/10.1007/s00405-018-5079-0](https://link.springer.com/article/10.1007/s00405-018-5079-0)
Apparently in this study, treatment with gaviscon advance alone showed equal improvements to a group treated with gaviscon advance and PPIs. I've found other studies that tell a similar story, including another comparison that showed continued improvement on GA + PPI after 2 months, with treatment on PPIs alone showing no further improvement. 
Treatment still seems to take a long time with GA for LPR (symptoms improve \~2 months but they recommend taking for 6 months) but that seems pretty standard for LPR. This stuff is expensive (I live in the U.S.) but just ordered a couple bottles. Really hope it works, fingers crossed! I've been really controlling my diet a lot but my flare ups seem totally random. Has anyone here tried Gaviscon Advance with success?</t>
        </is>
      </c>
      <c r="D8804" t="n">
        <v>2</v>
      </c>
      <c r="E8804" t="n">
        <v>9</v>
      </c>
      <c r="F8804">
        <f>HYPERLINK("https://www.reddit.com/r/GERD/comments/hlvb46/gaviscon_advance_lpr/")</f>
        <v/>
      </c>
      <c r="G8804" t="inlineStr">
        <is>
          <t>2020-07-05 15:09:40</t>
        </is>
      </c>
      <c r="H8804" t="inlineStr"/>
    </row>
    <row r="8805">
      <c r="A8805" t="inlineStr">
        <is>
          <t>hlzxeq</t>
        </is>
      </c>
      <c r="B8805" t="inlineStr">
        <is>
          <t>How do you get rid of mucus from acid reflux?</t>
        </is>
      </c>
      <c r="C8805" t="inlineStr">
        <is>
          <t>I've tried drinking water, saline spray, gargling with salt water, and cough drops to create more saliva and soothe a slightly sore throat. At certain times the mucus accumulates so much that it feels hard to breathe, like I can feel the mucus vibrating in my throat.</t>
        </is>
      </c>
      <c r="D8805" t="n">
        <v>1</v>
      </c>
      <c r="E8805" t="n">
        <v>4</v>
      </c>
      <c r="F8805">
        <f>HYPERLINK("https://www.reddit.com/r/GERD/comments/hlzxeq/how_do_you_get_rid_of_mucus_from_acid_reflux/")</f>
        <v/>
      </c>
      <c r="G8805" t="inlineStr">
        <is>
          <t>2020-07-05 20:12:40</t>
        </is>
      </c>
      <c r="H8805" t="inlineStr"/>
    </row>
    <row r="8806">
      <c r="A8806" t="inlineStr">
        <is>
          <t>hm0m4t</t>
        </is>
      </c>
      <c r="B8806" t="inlineStr">
        <is>
          <t>Often wake up very hungry and nauseous - Sound like GERD?</t>
        </is>
      </c>
      <c r="C8806" t="inlineStr">
        <is>
          <t>I've talked to a doctor but they didn't have much information besides suggesting to use prilosec. 
This issue has developed only within the last few years, in which point I graduated college and lived on my own, but I don't recall ever having severe nausea before that, which indicates to me maybe it's a lifestyle issue. What tends to happen is I wake up and I'm often very hungry and get nauseous if I get up too fast. I also often have a bit of a slight headache and feel weak. If I try to exercise, I'll often dry heave, especially when trying to exert myself harder. I usually don't actually throw up, but feel like I might. The feeling tends to go away after eating a decent amount of food and letting everything digest. 
Since living on my own, I had developed a habit of eating really late dinners, around 8 at the earliest but often 9 or 10. My current hypothesis is that my inclination to eat high carb meals, and to eat very soon before bedtime is causing this nausea / acid reflux (?).  
I was thinking that the nausea was just strictly related to hunger, but then realizing during college I would eat early and smaller lunches and regularly exercise while being pretty hungry. Additionally, I practice Ramadan which means I don't get to eat after 4 AM roughly. I'll often go for a run in the evening around 7 PM before my meal and I never feel nauseous at that time.</t>
        </is>
      </c>
      <c r="D8806" t="n">
        <v>1</v>
      </c>
      <c r="E8806" t="n">
        <v>2</v>
      </c>
      <c r="F8806">
        <f>HYPERLINK("https://www.reddit.com/r/GERD/comments/hm0m4t/often_wake_up_very_hungry_and_nauseous_sound_like/")</f>
        <v/>
      </c>
      <c r="G8806" t="inlineStr">
        <is>
          <t>2020-07-05 21:02:58</t>
        </is>
      </c>
      <c r="H8806" t="inlineStr"/>
    </row>
    <row r="8807">
      <c r="A8807" t="inlineStr">
        <is>
          <t>hm37ai</t>
        </is>
      </c>
      <c r="B8807" t="inlineStr">
        <is>
          <t>I was diagnosed with Acid Reflux 5 days ago. Are these normal symptoms?</t>
        </is>
      </c>
      <c r="C8807" t="inlineStr">
        <is>
          <t>I went to urgent care because I’ve been experiencing stomach pain and nausea for a week straight that caused me not to eat much. My doctor thinks it’s Acid Reflux and prescribed me with pantoprazole for two weeks. However, I started to acquire new symptoms that weren’t present when I went to the doctor. Such as back pain, throat pain when I breath deeply, and sometimes shortness of breath. I have health anxiety and with covid going around I freak my self out, so that may contribute to the shortness of breath. I’m not sure.. what do you think? Do you experience this sometimes?</t>
        </is>
      </c>
      <c r="D8807" t="n">
        <v>1</v>
      </c>
      <c r="E8807" t="n">
        <v>8</v>
      </c>
      <c r="F8807">
        <f>HYPERLINK("https://www.reddit.com/r/GERD/comments/hm37ai/i_was_diagnosed_with_acid_reflux_5_days_ago_are/")</f>
        <v/>
      </c>
      <c r="G8807" t="inlineStr">
        <is>
          <t>2020-07-06 00:33:16</t>
        </is>
      </c>
      <c r="H8807" t="inlineStr"/>
    </row>
    <row r="8808">
      <c r="A8808" t="inlineStr">
        <is>
          <t>hm3cks</t>
        </is>
      </c>
      <c r="B8808" t="inlineStr">
        <is>
          <t>Acid free for 4 months</t>
        </is>
      </c>
      <c r="C8808" t="inlineStr">
        <is>
          <t>I wrote before on here saying how my sugar free diet had stopped my reflux in it tracks. 4 months on I decided to treat myself to some cookies and chocolate. Really strange, but the sugar was hyper-sweet and I really didn't enjoy it. My reflux didn't return but I won't be picking up any sweet treats in the future.</t>
        </is>
      </c>
      <c r="D8808" t="n">
        <v>1</v>
      </c>
      <c r="E8808" t="n">
        <v>0</v>
      </c>
      <c r="F8808">
        <f>HYPERLINK("https://www.reddit.com/r/GERD/comments/hm3cks/acid_free_for_4_months/")</f>
        <v/>
      </c>
      <c r="G8808" t="inlineStr">
        <is>
          <t>2020-07-06 00:46:22</t>
        </is>
      </c>
      <c r="H8808" t="inlineStr"/>
    </row>
    <row r="8809">
      <c r="A8809" t="inlineStr">
        <is>
          <t>hm3g2e</t>
        </is>
      </c>
      <c r="B8809" t="inlineStr">
        <is>
          <t>Tingle sensations in my throat</t>
        </is>
      </c>
      <c r="C8809" t="inlineStr">
        <is>
          <t>Hello fellow comarades as we face gerd together I was wondering if you guys and gals have had  a tingle sensation in  your throat but its seems it's not making you cough it happen to me in the morning I coughed  couple time it diminished but than I  drank coffee which I have for the past 8 months which brought the sensation back</t>
        </is>
      </c>
      <c r="D8809" t="n">
        <v>1</v>
      </c>
      <c r="E8809" t="n">
        <v>3</v>
      </c>
      <c r="F8809">
        <f>HYPERLINK("https://www.reddit.com/r/GERD/comments/hm3g2e/tingle_sensations_in_my_throat/")</f>
        <v/>
      </c>
      <c r="G8809" t="inlineStr">
        <is>
          <t>2020-07-06 00:54:53</t>
        </is>
      </c>
      <c r="H8809" t="inlineStr"/>
    </row>
    <row r="8810">
      <c r="A8810" t="inlineStr">
        <is>
          <t>hm3q99</t>
        </is>
      </c>
      <c r="B8810" t="inlineStr">
        <is>
          <t>GERD</t>
        </is>
      </c>
      <c r="C8810" t="inlineStr">
        <is>
          <t>Does anyone understand what it means to have weak esophageal motility and what can be done about it?</t>
        </is>
      </c>
      <c r="D8810" t="n">
        <v>1</v>
      </c>
      <c r="E8810" t="n">
        <v>4</v>
      </c>
      <c r="F8810">
        <f>HYPERLINK("https://www.reddit.com/r/GERD/comments/hm3q99/gerd/")</f>
        <v/>
      </c>
      <c r="G8810" t="inlineStr">
        <is>
          <t>2020-07-06 01:20:25</t>
        </is>
      </c>
      <c r="H8810" t="inlineStr"/>
    </row>
    <row r="8811">
      <c r="A8811" t="inlineStr">
        <is>
          <t>hm42bs</t>
        </is>
      </c>
      <c r="B8811" t="inlineStr">
        <is>
          <t>Midnight GERD?</t>
        </is>
      </c>
      <c r="C8811" t="inlineStr">
        <is>
          <t>I am 32 yo female and have been suffering with very uncomfortable episodes that happen exclusively during the small hours 3-4AM. I am woken up by a strong sense of nausea, accompanies by a burning pain in what feels like the base of my throat (like someone is squeezing it tightly), and my mouth is producing a lot of saliva that I find I need to spit out. It is like a cycle that is very intense for a few minutes, then slowly subsides. And then repeats over and over. This wakes me up as it’s unbearable to stay horizontal, so I get up to get a glass of water and eat something like a snack. Sometimes I have to go the bathroom to keep spitting out the excess of saliva. 
It’s 4:30AM right now and I’ve been up for the past hour with another episode. These are fairly common for me, probably happening around 6 times a month.
I can’t go back to sleep once it’s occurred as I cannot lie horizontal, meaning the following day I’m exhausted and weak. The only way it subsides is by me being vertical, sitting up, walking around.
I went to my PCP about a year ago and she prescribed me an anti acid which I did not take as she said I’d have to take one a day indefinitely without much explanation on what was going on with me. She also made me do a H Pylori test which came back negative. I then saw a Gastroenterologist who was not hugely concerned and said I probably didn’t need an endoscopy but I could if I liked. I didn’t. He prescribed another kind of anti-acid that I didn’t take as I was worried about side effects.
I also saw my Integrative Health doctor who specialises in Ayurvedic remedies as well as Western medicine. She suggested to me a powder called Avipattikur which is ancient Indian that I should take every night mixed with warm water. This helped a lot. I was shocked at how much it seemed to calm my stomach.
And yet, I am still getting woken up with this. Does anyone else get this exclusively in the middle of the night? Should it be a huge worry?
In a way, I do wish I’d had the endo, but now with the pandemic, I don’t fancy going to a hospital for this kind of procedure any time soon..</t>
        </is>
      </c>
      <c r="D8811" t="n">
        <v>1</v>
      </c>
      <c r="E8811" t="n">
        <v>1</v>
      </c>
      <c r="F8811">
        <f>HYPERLINK("https://www.reddit.com/r/GERD/comments/hm42bs/midnight_gerd/")</f>
        <v/>
      </c>
      <c r="G8811" t="inlineStr">
        <is>
          <t>2020-07-06 01:50:41</t>
        </is>
      </c>
      <c r="H8811" t="inlineStr"/>
    </row>
    <row r="8812">
      <c r="A8812" t="inlineStr">
        <is>
          <t>hm42pf</t>
        </is>
      </c>
      <c r="B8812" t="inlineStr">
        <is>
          <t>the universe hates me</t>
        </is>
      </c>
      <c r="C8812" t="inlineStr">
        <is>
          <t>Out of all the problems I have, who would have thought a small ulcer could cause so much trouble? I am not the healthiest person thanks to my genetics. I have asthma, IBS, an abnormally fast motabolism that doesn't allow me to put on weight, allergies, PCOS, a geographic tounge and now to top everything off this ulcer. Out off all of my problems this one takes the fucking cake. You know why? Because it makes my asthma and bowels so much worse, I can't breath 90% of the time. my teeth hurt from the acid reflux, I can't eat anything but eggs and bread without getting a severe stomach pain, diarrhea, and gerd. I've been losing pound after pound (really can't afford to lose any more) I can't lay down anymore without stomach acid going into my throat irritating my tonsils and ears. Swallowing is now difficult and it feels like those muscles have now lost strength, and my vocal cords are damaged. My tounge is in so much pain and is always stiff and sore. This is causing so much pain and all the doctor told me to do was take pepcid twice a day. This is a much bigger problem that just can't be cured by pepcid. I'm miserable and it's effecting the way I think. I have depression meds now because of the dread of each day. Waking up in the morning and not wanting to get it off bed because it's the only time I can lay down in peace. Not wanting to eat because of the pain I feel and the malnourishment I'm getting from eating the same thing everyday. I'm craving of fruit and vegetables so badly my mouth waters to the point I drool. I hate this, I just want to die some days.</t>
        </is>
      </c>
      <c r="D8812" t="n">
        <v>1</v>
      </c>
      <c r="E8812" t="n">
        <v>2</v>
      </c>
      <c r="F8812">
        <f>HYPERLINK("https://www.reddit.com/r/GERD/comments/hm42pf/the_universe_hates_me/")</f>
        <v/>
      </c>
      <c r="G8812" t="inlineStr">
        <is>
          <t>2020-07-06 01:51:42</t>
        </is>
      </c>
      <c r="H8812" t="inlineStr"/>
    </row>
    <row r="8813">
      <c r="A8813" t="inlineStr">
        <is>
          <t>hm442j</t>
        </is>
      </c>
      <c r="B8813" t="inlineStr">
        <is>
          <t>Caffeine tablets ok?</t>
        </is>
      </c>
      <c r="C8813" t="inlineStr">
        <is>
          <t>I need caffeine to function as a human. Can I take caffeine tablets? Anyone had any success with alternatives like ginseng and guarana please?</t>
        </is>
      </c>
      <c r="D8813" t="n">
        <v>1</v>
      </c>
      <c r="E8813" t="n">
        <v>6</v>
      </c>
      <c r="F8813">
        <f>HYPERLINK("https://www.reddit.com/r/GERD/comments/hm442j/caffeine_tablets_ok/")</f>
        <v/>
      </c>
      <c r="G8813" t="inlineStr">
        <is>
          <t>2020-07-06 01:55:09</t>
        </is>
      </c>
      <c r="H8813" t="inlineStr"/>
    </row>
    <row r="8814">
      <c r="A8814" t="inlineStr">
        <is>
          <t>hm45ge</t>
        </is>
      </c>
      <c r="B8814" t="inlineStr">
        <is>
          <t>Natural ways to help reflux</t>
        </is>
      </c>
      <c r="C8814" t="inlineStr">
        <is>
          <t xml:space="preserve"> First of all, I have not been diagnossed yet. However, I've noticed that I cough after eating, have a bit of voice loss after eating and also some mild heartburn. I also often wake up with nasal congesttion. Anyway, what natural things can I do to help with this situation?</t>
        </is>
      </c>
      <c r="D8814" t="n">
        <v>1</v>
      </c>
      <c r="E8814" t="n">
        <v>1</v>
      </c>
      <c r="F8814">
        <f>HYPERLINK("https://www.reddit.com/r/GERD/comments/hm45ge/natural_ways_to_help_reflux/")</f>
        <v/>
      </c>
      <c r="G8814" t="inlineStr">
        <is>
          <t>2020-07-06 01:58:36</t>
        </is>
      </c>
      <c r="H8814" t="inlineStr"/>
    </row>
    <row r="8815">
      <c r="A8815" t="inlineStr">
        <is>
          <t>hm4sm4</t>
        </is>
      </c>
      <c r="B8815" t="inlineStr">
        <is>
          <t>Esophageal torture, what to do?</t>
        </is>
      </c>
      <c r="C8815" t="inlineStr">
        <is>
          <t>For the last week, every night has been hell. It doesn't seem to matter how much antacids I take, at night there's stinging in my chest when lying down. I've taken Omeprazole at dinner and famotidine before bed. I've had herbal tea with honey. Chamomile, licorice, slippery elm, etc.still no relief. I'm calling a Dr today to see about an appointment but what could this be?</t>
        </is>
      </c>
      <c r="D8815" t="n">
        <v>1</v>
      </c>
      <c r="E8815" t="n">
        <v>10</v>
      </c>
      <c r="F8815">
        <f>HYPERLINK("https://www.reddit.com/r/GERD/comments/hm4sm4/esophageal_torture_what_to_do/")</f>
        <v/>
      </c>
      <c r="G8815" t="inlineStr">
        <is>
          <t>2020-07-06 02:55:00</t>
        </is>
      </c>
      <c r="H8815" t="inlineStr"/>
    </row>
    <row r="8816">
      <c r="A8816" t="inlineStr">
        <is>
          <t>hm6bmf</t>
        </is>
      </c>
      <c r="B8816" t="inlineStr">
        <is>
          <t>How did you get off nexium?</t>
        </is>
      </c>
      <c r="C8816" t="inlineStr">
        <is>
          <t>I’ve been on and off it for a month. When I take it everything is happy days but I have bad side effects. When I go off the nexium everything is happy days for a few days and all my side effects go but then after a few days the acid reflux starts up again and I’m back to square 1 and have to go back on nexium again</t>
        </is>
      </c>
      <c r="D8816" t="n">
        <v>1</v>
      </c>
      <c r="E8816" t="n">
        <v>3</v>
      </c>
      <c r="F8816">
        <f>HYPERLINK("https://www.reddit.com/r/GERD/comments/hm6bmf/how_did_you_get_off_nexium/")</f>
        <v/>
      </c>
      <c r="G8816" t="inlineStr">
        <is>
          <t>2020-07-06 04:59:22</t>
        </is>
      </c>
      <c r="H8816" t="inlineStr"/>
    </row>
    <row r="8817">
      <c r="A8817" t="inlineStr">
        <is>
          <t>hm7ctz</t>
        </is>
      </c>
      <c r="B8817" t="inlineStr">
        <is>
          <t>Feeling of pseudo dyspnea and overly yawning.</t>
        </is>
      </c>
      <c r="C8817" t="inlineStr">
        <is>
          <t>Hello everyone,
aside from the textbook chest burning, throat soreness, and occasional cough, I feel like i cant get a complete deep breath when in fact I am. I can feel my chest breathing all the way but my head is telling me im not. It usually feels like the end of the breath peaks and goes back to exhale, but it isnt doing that. So in return, I overly yawn to recreate that effect. This didnt start happening until about a week or so ago. I am going to a  Gastroenterologist later this July to see what the hell is wrong with me. None of these symptoms were happening until March of this year. It's really annoying having these day to day symptoms.</t>
        </is>
      </c>
      <c r="D8817" t="n">
        <v>1</v>
      </c>
      <c r="E8817" t="n">
        <v>8</v>
      </c>
      <c r="F8817">
        <f>HYPERLINK("https://www.reddit.com/r/GERD/comments/hm7ctz/feeling_of_pseudo_dyspnea_and_overly_yawning/")</f>
        <v/>
      </c>
      <c r="G8817" t="inlineStr">
        <is>
          <t>2020-07-06 06:10:12</t>
        </is>
      </c>
      <c r="H8817" t="inlineStr"/>
    </row>
    <row r="8818">
      <c r="A8818" t="inlineStr">
        <is>
          <t>hm7qha</t>
        </is>
      </c>
      <c r="B8818" t="inlineStr">
        <is>
          <t>Acid Reflux Episode</t>
        </is>
      </c>
      <c r="C8818" t="inlineStr">
        <is>
          <t>Hey Everyone,   
Can Acid Reflux be a one time episode?   
I've been following this sub since March when i had a first time episode that freaked me out. Heartburn ( never experience it before), followed by a bout of asma. It was weird and sucky, I attributed it to a stressful year in school, eating poorly, and laying down shortly after big meals.  What  i think really sent me over the edge was eating a huge burger, bacon, beer, then having a big cup of coffee the next morning. I talked to my doctor and he prescribed me 20mg omeprezole , which i took for 7 weeks and adjusting my eating habits to match the "acid reflux diet watcher " . I didn't follow it meal by meal but it helped me plan good healthy meals. After 2 weeks I was feeling okay so i stopped taking omeprezole, but then felt  "the Lump" and there was still weird chest things going on. So i continued my low acid diet and taking my omeprezole... 5 more weeks later i stopped my omeprezole cause the lump went away.  
Its been a full week with no omeprezole, 8 weeks of no coffee, and 8 weeks of low acids/low fat food, smaller meals and sleeping with my head raised, and the last couple of weeks i've been able to run and exercise way better than i could at the beginning of all of this.   
Im wondering if anyone has ever had this happen? Just an extreme episode? My GF is a nurse and she thinks it was just a one time episode and at this point i could start introducing other food stuff like coffee or different spices in my food. How do i know when to try new things?</t>
        </is>
      </c>
      <c r="D8818" t="n">
        <v>1</v>
      </c>
      <c r="E8818" t="n">
        <v>6</v>
      </c>
      <c r="F8818">
        <f>HYPERLINK("https://www.reddit.com/r/GERD/comments/hm7qha/acid_reflux_episode/")</f>
        <v/>
      </c>
      <c r="G8818" t="inlineStr">
        <is>
          <t>2020-07-06 06:34:04</t>
        </is>
      </c>
      <c r="H8818" t="inlineStr"/>
    </row>
    <row r="8819">
      <c r="A8819" t="inlineStr">
        <is>
          <t>hm7zhr</t>
        </is>
      </c>
      <c r="B8819" t="inlineStr">
        <is>
          <t>How did your GERD/acid reflux develop?</t>
        </is>
      </c>
      <c r="C8819" t="inlineStr">
        <is>
          <t>As someone who's been struggling with heartburn/stomach issues throughout much of the last year, I'm curious about this. 
For me, over the last four years or so I would have random episodes where I would experience symptoms - mainly burping/nausea, but these would quickly pass - I got a few Gaviscon tablets down me and got on with my day. If I'd had a heavy night of drinking, I noticed these symptoms would be prevalent for the next couple of days (particularly burping and loss of appetite) but I just chalked it up to the hangover and moved on.
Then last year I started noticed the same symptoms being a little more aggressive. It sort of came to a head during a holiday that summer when I had a very bad attack of burping/feeling sick/bloating/chest pain. Since then, I've had pretty much constant, day-to-day issues with what I've come to be diagnosed with GERD.
At the moment I'm trying to stat positive and working out medication/lifestyle options so I can manage it; it's just strange to me how quickly it all escalated. I'm really keen to hear people's experiences -is GERD something that comes out of the blue or gets steadily worse over time?</t>
        </is>
      </c>
      <c r="D8819" t="n">
        <v>1</v>
      </c>
      <c r="E8819" t="n">
        <v>17</v>
      </c>
      <c r="F8819">
        <f>HYPERLINK("https://www.reddit.com/r/GERD/comments/hm7zhr/how_did_your_gerdacid_reflux_develop/")</f>
        <v/>
      </c>
      <c r="G8819" t="inlineStr">
        <is>
          <t>2020-07-06 06:49:44</t>
        </is>
      </c>
      <c r="H8819" t="inlineStr"/>
    </row>
    <row r="8820">
      <c r="A8820" t="inlineStr">
        <is>
          <t>hm89tn</t>
        </is>
      </c>
      <c r="B8820" t="inlineStr">
        <is>
          <t>Tiredness after eating?</t>
        </is>
      </c>
      <c r="C8820" t="inlineStr">
        <is>
          <t>I've noticed that I get really tired after eating food that isn't 100% GERD friendly. This only started happening after my flair-up/gastritis from January and February. It's a lot better than restricting my diet (I'm at a point where I can eat basically whatever I want, as long as it isn't pure acid or soda), but I want to know if it's a "me" problem or a GERD problem. I'm currently taking 20mg Prilosec once daily, if that helps.</t>
        </is>
      </c>
      <c r="D8820" t="n">
        <v>1</v>
      </c>
      <c r="E8820" t="n">
        <v>0</v>
      </c>
      <c r="F8820">
        <f>HYPERLINK("https://www.reddit.com/r/GERD/comments/hm89tn/tiredness_after_eating/")</f>
        <v/>
      </c>
      <c r="G8820" t="inlineStr">
        <is>
          <t>2020-07-06 07:07:09</t>
        </is>
      </c>
      <c r="H8820" t="inlineStr"/>
    </row>
    <row r="8821">
      <c r="A8821" t="inlineStr">
        <is>
          <t>hm8m1n</t>
        </is>
      </c>
      <c r="B8821" t="inlineStr">
        <is>
          <t>Folgers simply smooth</t>
        </is>
      </c>
      <c r="C8821" t="inlineStr">
        <is>
          <t>Has anyone tried this coffee from Folgers? I’ve been lurking here and researching what coffee will cause the least amount of symptoms. Dark roast and decaf seem to be the ones most people can get away with. I had come across this line of coffee though.. and it says ‘gentle on your stomach’. Any experiences with this coffee or recommendations?</t>
        </is>
      </c>
      <c r="D8821" t="n">
        <v>4</v>
      </c>
      <c r="E8821" t="n">
        <v>38</v>
      </c>
      <c r="F8821">
        <f>HYPERLINK("https://www.reddit.com/r/GERD/comments/hm8m1n/folgers_simply_smooth/")</f>
        <v/>
      </c>
      <c r="G8821" t="inlineStr">
        <is>
          <t>2020-07-06 07:27:19</t>
        </is>
      </c>
      <c r="H8821" t="inlineStr"/>
    </row>
    <row r="8822">
      <c r="A8822" t="inlineStr">
        <is>
          <t>hm90zn</t>
        </is>
      </c>
      <c r="B8822" t="inlineStr">
        <is>
          <t>Is it possible that a feeling of something in the back of your throat is not gerd and something else?</t>
        </is>
      </c>
      <c r="C8822" t="inlineStr">
        <is>
          <t>such as too much calcium? or just something that takes a long while to heal? I've been to two ents and they found nothing so I'm not sure what it could be or how to treat it? I may go on a low dose of ppi for a while and see what happens but I just feel like it won't work. My best bet is to just keep my throat dry and not eat as much. I've been dealing it long over a month and it's just crazy how I feel like its a nodule or something similar.</t>
        </is>
      </c>
      <c r="D8822" t="n">
        <v>2</v>
      </c>
      <c r="E8822" t="n">
        <v>5</v>
      </c>
      <c r="F8822">
        <f>HYPERLINK("https://www.reddit.com/r/GERD/comments/hm90zn/is_it_possible_that_a_feeling_of_something_in_the/")</f>
        <v/>
      </c>
      <c r="G8822" t="inlineStr">
        <is>
          <t>2020-07-06 07:50:43</t>
        </is>
      </c>
      <c r="H8822" t="inlineStr"/>
    </row>
    <row r="8823">
      <c r="A8823" t="inlineStr">
        <is>
          <t>hm9gbr</t>
        </is>
      </c>
      <c r="B8823" t="inlineStr">
        <is>
          <t>Hiatal hernia repair</t>
        </is>
      </c>
      <c r="C8823" t="inlineStr">
        <is>
          <t>Hi! This is my first post here but I’ve lurked for a while. A year ago yesterday I had my first endoscopy because it was suspected I had gallstones (which I did, I got my gall bladder out in December 2019), but they also found I had grade a esophagitis gerd, and a 5cm hiatal hernia. I’m only 20 and it’s affecting my life horrible, I’m always short of breath, constantly bloated, I did everything from ppi to antacids, to getting off those to see if it would help (I didn’t feel better or worse after stopping them it stayed the same), diet changes, etc. 
I’m considering seriously having the surgery even though it’s only been unbearable since I got my gallbladder out. Not even the heel drop exercise helps give relief. 
It’s to the point I’m relying on narcotic pain meds to mask the symptoms and I don’t want to rely on that, and I can’t deal with this for the rest of my life it’s to the point where I just wanna end it, sorry if that’s dramatic but I get so dizzy and weak I can’t even function anymore. 
I see a lot of mixed things about hernia repair surgery. Can anyone share their experience and tell me if it’s worth it? Because I don’t know if I can keep doing this for the rest of my life. I have a feeling my hernia got better and I have a consultation with a surgeon on Thursday. 
So if you also can give me some good questions to ask the surgeon that would be helpful as well!!
TLDR: 20 years old, endoscopy 1 yr ago diagnosed 5cm hiatal hernia and gerd, got gall bladder out 6months ago, pain is unbearable can’t function, is surgery worth it?</t>
        </is>
      </c>
      <c r="D8823" t="n">
        <v>2</v>
      </c>
      <c r="E8823" t="n">
        <v>7</v>
      </c>
      <c r="F8823">
        <f>HYPERLINK("https://www.reddit.com/r/GERD/comments/hm9gbr/hiatal_hernia_repair/")</f>
        <v/>
      </c>
      <c r="G8823" t="inlineStr">
        <is>
          <t>2020-07-06 08:13:55</t>
        </is>
      </c>
      <c r="H8823" t="inlineStr"/>
    </row>
    <row r="8824">
      <c r="A8824" t="inlineStr">
        <is>
          <t>hm9s0x</t>
        </is>
      </c>
      <c r="B8824" t="inlineStr">
        <is>
          <t>Lpr/gerd causing a swollen throat feeling?</t>
        </is>
      </c>
      <c r="C8824" t="inlineStr">
        <is>
          <t>Does anyone else experience a feeling like your throat is swollen inside? It doesnt feel like the usual globus sensation. Theres also a pressure and slight pain in my throat.</t>
        </is>
      </c>
      <c r="D8824" t="n">
        <v>1</v>
      </c>
      <c r="E8824" t="n">
        <v>5</v>
      </c>
      <c r="F8824">
        <f>HYPERLINK("https://www.reddit.com/r/GERD/comments/hm9s0x/lprgerd_causing_a_swollen_throat_feeling/")</f>
        <v/>
      </c>
      <c r="G8824" t="inlineStr">
        <is>
          <t>2020-07-06 08:31:46</t>
        </is>
      </c>
      <c r="H8824" t="inlineStr"/>
    </row>
    <row r="8825">
      <c r="A8825" t="inlineStr">
        <is>
          <t>hmb5qj</t>
        </is>
      </c>
      <c r="B8825" t="inlineStr">
        <is>
          <t>Worried about stomach cancer</t>
        </is>
      </c>
      <c r="C8825" t="inlineStr">
        <is>
          <t>Three years ago I had an endoscopy and was diagnosed with gastritis and GERD. But usually I only had acid reflux. However, for the past six months I have stomach pain during and after eating, burning in the stomach, heaviness and cramping in lower abdomen, pain that goes into my back, and bloating/gas. This can go on all day, regardless of whether I eat or not. This isn't just reflux anymore. I told my GI doc and she didn't seem concerned, only gave me more PPI. What's the likelihood that I have stomach cancer now, after a clean endoscopy three years ago? How fast does stomach cancer come on?</t>
        </is>
      </c>
      <c r="D8825" t="n">
        <v>2</v>
      </c>
      <c r="E8825" t="n">
        <v>9</v>
      </c>
      <c r="F8825">
        <f>HYPERLINK("https://www.reddit.com/r/GERD/comments/hmb5qj/worried_about_stomach_cancer/")</f>
        <v/>
      </c>
      <c r="G8825" t="inlineStr">
        <is>
          <t>2020-07-06 09:45:29</t>
        </is>
      </c>
      <c r="H8825" t="inlineStr"/>
    </row>
    <row r="8826">
      <c r="A8826" t="inlineStr">
        <is>
          <t>hmb7ln</t>
        </is>
      </c>
      <c r="B8826" t="inlineStr">
        <is>
          <t>Questions about gaviscon advance</t>
        </is>
      </c>
      <c r="C8826" t="inlineStr">
        <is>
          <t>So I really had never heard of gaviscon or gaviscon advance. I’ve only really taken PPIs before(Prevacid) and it worked for me but I stopped after the recommended 14 days. It definitely helped, but that was like a year and a half ago, and I was looking on this subreddit and I saw people talking about gaviscon advance. I did some research, but I have some questions. I’ve seen articles about detrimental side effects from long term use of PPIs, but haven’t found much about gaviscon advance. Has anyone here been taking it long term or knows whether it’s safe to take long term. Also, when taking it, how often do you take it? Is it daily at the same time everyday, or is it multiple times a day, or just when a flare up occurres? I’m just really curious about this cause I’ve seen a lot of people say how great it is.</t>
        </is>
      </c>
      <c r="D8826" t="n">
        <v>1</v>
      </c>
      <c r="E8826" t="n">
        <v>3</v>
      </c>
      <c r="F8826">
        <f>HYPERLINK("https://www.reddit.com/r/GERD/comments/hmb7ln/questions_about_gaviscon_advance/")</f>
        <v/>
      </c>
      <c r="G8826" t="inlineStr">
        <is>
          <t>2020-07-06 09:48:18</t>
        </is>
      </c>
      <c r="H8826" t="inlineStr"/>
    </row>
    <row r="8827">
      <c r="A8827" t="inlineStr">
        <is>
          <t>hmbg9l</t>
        </is>
      </c>
      <c r="B8827" t="inlineStr">
        <is>
          <t>Coughing symptom</t>
        </is>
      </c>
      <c r="C8827" t="inlineStr">
        <is>
          <t>Is it normal to all of the sudden develop the coughing symptom of gerd? I’m on prilosec, which isn’t doing much for my reflux, but after I eat, I get wet burps (tmi), throat tightness, heartburn, and now a sort of wet cough or maybe a dry cough, its hard to tell. I did not have the coughing before.</t>
        </is>
      </c>
      <c r="D8827" t="n">
        <v>1</v>
      </c>
      <c r="E8827" t="n">
        <v>1</v>
      </c>
      <c r="F8827">
        <f>HYPERLINK("https://www.reddit.com/r/GERD/comments/hmbg9l/coughing_symptom/")</f>
        <v/>
      </c>
      <c r="G8827" t="inlineStr">
        <is>
          <t>2020-07-06 10:01:02</t>
        </is>
      </c>
      <c r="H8827" t="inlineStr"/>
    </row>
    <row r="8828">
      <c r="A8828" t="inlineStr">
        <is>
          <t>hmde8a</t>
        </is>
      </c>
      <c r="B8828" t="inlineStr">
        <is>
          <t>When will the lump go awayyy</t>
        </is>
      </c>
      <c r="C8828" t="inlineStr">
        <is>
          <t>I used to have this feeling of something stuck in my throat in the past but it only lasted for few minutes. But from the past 3 months this feeling of something stuck in my lower throat and my throat being tight has not gone away even for a single second. Despite being on medication for GERD this feeling has not gone. It becomes worst at night with the feeling of grumbling in my throat and sore throat. Can anyone tell me how to reduce this feeling?</t>
        </is>
      </c>
      <c r="D8828" t="n">
        <v>1</v>
      </c>
      <c r="E8828" t="n">
        <v>4</v>
      </c>
      <c r="F8828">
        <f>HYPERLINK("https://www.reddit.com/r/GERD/comments/hmde8a/when_will_the_lump_go_awayyy/")</f>
        <v/>
      </c>
      <c r="G8828" t="inlineStr">
        <is>
          <t>2020-07-06 11:46:20</t>
        </is>
      </c>
      <c r="H8828" t="inlineStr"/>
    </row>
    <row r="8829">
      <c r="A8829" t="inlineStr">
        <is>
          <t>hmf7ib</t>
        </is>
      </c>
      <c r="B8829" t="inlineStr">
        <is>
          <t>2 Years Later - GERD, ulcers, gastritis cured: What I learned</t>
        </is>
      </c>
      <c r="C8829" t="inlineStr">
        <is>
          <t>I used to be an active poster in this sub and I still get messages every week or so concerning my old posts, so I figured I'd write all this info down in one place. 
Feel free to read [this post](https://www.reddit.com/r/GERD/comments/8g4mr5/my_gerd_journey_has_anyone_else_been_diagnosed/) for a little bit of background and history. 
I'm happy to report that I'm now practically symptom free, although I do have to take a pepcid every now and then if I'm stressed or will be drinking, and I keep a bottle of Tums around. 
Me: 26m, 135 lbs, otherwise healthy. 
Obligatory NOT A DOCTOR disclaimer -- this is only what worked for me, not necessarily advice that will work for you. 
Here are the biggest things I learned along the way: 
* I separate my trigger foods into two categories. There are (1) foods that affect the LES specifically, and usually cause immediate discomfort, and (2) foods that affect the stomach and or gut, and may have a delayed or long-term reaction. Foods in category 1 include chocolate, green tea, and mint. Foods in category 2 include gluten, milk, soft cheese, alcohol. 
* Don't be afraid of a dietary change. I've given up gluten and soft dairy altogether for about 2 years now, and it's really not as hard as it seems. I'm not healed to the point where I've reintroduced a ton of foods that used to trigger me, including spicy foods, alcohol, coffee, and acidic foods. I hope to someday be able to reintroduce gluten and dairy as well. 
* PPIs are really as dangerous as everyone says. I'm convinced that many of my initial symptoms were due to PPE rebound. In addition, my severe gastritis attacks were due to foods getting stuck in my stomach, unable to be digested due to lack of stomach acid. I've not had a recurrence of any of these symptoms since switching to zantac (and then pepcid post-recall). 
* The relationship between stress and GERD/gastritis cannot be overstated. Stress control must be a part of a healing journey. For me, yoga and meditation were critical. 
* OTC supplements have helped me. At various points I've taken DGL, zinc-carnosine, L-Glutamine, L-Theanine, GABA, and Zinc-carnosine. Nowadays I only take DGL if I feel symptoms coming on. 
* An ounce of prevention is worth a pound of cure. Now that I'm healed, if I'm going to be engaging in triggering behaviors, taking antacids early can prevent resurgence. Once my LES and esophagus get damaged, I have to start the process over again. 
* The common advice to not eat before bedtime is misleading. To truly heal, you must not eat OR DRINK for about two hours before LYING DOWN. Emptying the stomach completely prevents acid from coming up when you're lying down. After healing I can now eat and drink late at night again. 
* Other miscellaneous learnings: Don't do exercises like sit ups that have you on the ground. Chew slower. Drink less water with meals. Get a second opinion. 
I'm still not 100% sure what started my symptoms in the first place (either my appendectomy, or SIBO, or a parasite, or something else) but I'm happy to report that whole weeks go by now where I don't even think about GERD. I hope some of this is helpful to somebody out there, and good luck with all your journeys! It can get better.</t>
        </is>
      </c>
      <c r="D8829" t="n">
        <v>0</v>
      </c>
      <c r="E8829" t="n">
        <v>50</v>
      </c>
      <c r="F8829">
        <f>HYPERLINK("https://www.reddit.com/r/GERD/comments/hmf7ib/2_years_later_gerd_ulcers_gastritis_cured_what_i/")</f>
        <v/>
      </c>
      <c r="G8829" t="inlineStr">
        <is>
          <t>2020-07-06 12:57:11</t>
        </is>
      </c>
      <c r="H8829" t="inlineStr"/>
    </row>
    <row r="8830">
      <c r="A8830" t="inlineStr">
        <is>
          <t>hmgrm2</t>
        </is>
      </c>
      <c r="B8830" t="inlineStr">
        <is>
          <t>How long does it take for PPI to take effect?</t>
        </is>
      </c>
      <c r="C8830" t="inlineStr">
        <is>
          <t>I’ve been taking Lansoprazole for gastritis/LPR for 5 days now(I know not long at all) was wondering when it would take effect, if at all? 
I’ve read that it can take anywhere from couple days to a week, even a couple months?The reason I asked is because I don’t feel any better than if I wasn’t taking them. Shouldn’t I feel anything by now? I don’t want to be taking them as I’m fearful of the potential rebound effects trying to get off them. I’ve heard that some people’s conditions get worse, or they develop stuff that they didn’t have before, taking them for long periods of time. I also don’t like taking meds in general.</t>
        </is>
      </c>
      <c r="D8830" t="n">
        <v>1</v>
      </c>
      <c r="E8830" t="n">
        <v>6</v>
      </c>
      <c r="F8830">
        <f>HYPERLINK("https://www.reddit.com/r/GERD/comments/hmgrm2/how_long_does_it_take_for_ppi_to_take_effect/")</f>
        <v/>
      </c>
      <c r="G8830" t="inlineStr">
        <is>
          <t>2020-07-06 14:19:29</t>
        </is>
      </c>
      <c r="H8830" t="inlineStr"/>
    </row>
    <row r="8831">
      <c r="A8831" t="inlineStr">
        <is>
          <t>hmh6t2</t>
        </is>
      </c>
      <c r="B8831" t="inlineStr">
        <is>
          <t>HIDA scan &amp;amp; crappy results...</t>
        </is>
      </c>
      <c r="C8831" t="inlineStr">
        <is>
          <t>Just curious who out there has had a HIDA scan and was told that your gallbladder did not empty at all?  The radiology tech was nice enough to show me my scan when I finished and measured the before and after, and it was -25.24, in which she told me that it did not empty at all, even with the medication. 
&amp;amp;#x200B;
So now what? Do I have gallstones and/or a gallbladder thats useless? Anyone have theirs taken out?</t>
        </is>
      </c>
      <c r="D8831" t="n">
        <v>1</v>
      </c>
      <c r="E8831" t="n">
        <v>7</v>
      </c>
      <c r="F8831">
        <f>HYPERLINK("https://www.reddit.com/r/GERD/comments/hmh6t2/hida_scan_crappy_results/")</f>
        <v/>
      </c>
      <c r="G8831" t="inlineStr">
        <is>
          <t>2020-07-06 14:42:05</t>
        </is>
      </c>
      <c r="H8831" t="inlineStr"/>
    </row>
    <row r="8832">
      <c r="A8832" t="inlineStr">
        <is>
          <t>hmi518</t>
        </is>
      </c>
      <c r="B8832" t="inlineStr">
        <is>
          <t>Gurgling in throat and phlegm</t>
        </is>
      </c>
      <c r="C8832" t="inlineStr">
        <is>
          <t>I have no idea if this is GERD related at all. I am just looking for some insight from those who actually experience it!
A few minutes after I eat (for the past couple of days) I  get phlegm in my throat. And I usually have to clear my throat or cough it out and it only lasts at most 15 minutes. I noticed that this has honestly happened any time I eat a meal for as long as I can remember. I’m just confused because today it seemed a little thicker than usual. Maybe that’s because I hadn’t been drinking a lot of water. After that I became hyper aware of my breathing and worried I might be wheezing a little? Honestly can’t tell if I’m just overthinking cause I can breathe fine, it just whistles a tiny bit.
Here’s the more annoying part: The gurgling in my throat.
It feels as if there’s constant little air bubbles in my throat coming up from my stomach and then releasing. I’m burping a normal amount but it’s constantly gurgling. This happened a month or two ago and I chalked it up to acid reflux with anxiety because some days I would experience heartburn. A probiotic to promote gut health helped clear that up for a while.
I don’t have a sore throat or bitter taste in my mouth. I don’t have pain in my chest or anywhere for that matter. No nausea or nothing. I’m wondering what this is indicative of? Just gurgling in the throat and some phlegm. 
22F, do not have any issues with my weight</t>
        </is>
      </c>
      <c r="D8832" t="n">
        <v>0</v>
      </c>
      <c r="E8832" t="n">
        <v>4</v>
      </c>
      <c r="F8832">
        <f>HYPERLINK("https://www.reddit.com/r/GERD/comments/hmi518/gurgling_in_throat_and_phlegm/")</f>
        <v/>
      </c>
      <c r="G8832" t="inlineStr">
        <is>
          <t>2020-07-06 15:32:34</t>
        </is>
      </c>
      <c r="H8832" t="inlineStr"/>
    </row>
    <row r="8833">
      <c r="A8833" t="inlineStr">
        <is>
          <t>hmj0wg</t>
        </is>
      </c>
      <c r="B8833" t="inlineStr">
        <is>
          <t>GERD...a little improvement but still have questions</t>
        </is>
      </c>
      <c r="C8833" t="inlineStr">
        <is>
          <t>So I came here 3 weeks ago when I found out I had GERD. I really had no symptoms like heartburn and indigestion. My main symptoms were trouble swallowing,throat tightness, and feeling like something was stuck in my chest. It was going on for about a year but gradually got worse to the point of where I couldn’t even swallow smoothie textures, only broth and water. I had no idea it was acid reflux/GERD related until I finally went to the doc after losing 40+ lbs and grew very concerned. My doc prescribed omeprazale and the first week or two I wasn’t feeling any different. I was really losing all hope but my doc said give it a few more days but that I need to try to get something solid down but I absolutely COULD NOT.  I gave it a Few days and was thrilled when one day I woke up and could finally drink a smoothie. I still continued the bone broth and chicken broth and still am but I’m testing other safe foods. I no longer feel discomfort towards the top of my throat as I was and feel swallowing is improving in my throat area but I still barely eat more than 3 bites of these safe foods because after I do I still feel discomfort at the bottom of my throat and the chest tightness and food stuck sensation. When this happens I start feeling I can’t breath as well. I have to call my doctor on the 13th and let her know if I’m having any improvement and If not she will send me for endoscopy. I feel that I have definitely improved. I was so excited to swallow comfortably again but then realized it hadn’t cleared up entirely. My question is... should I keep having patience and just give the medication more time since I have seen improvement? Based on all of your experiences do you think my doctor will send me for endoscopy or have me go a few more weeks to see if it gets completely better with meds? Thanks!</t>
        </is>
      </c>
      <c r="D8833" t="n">
        <v>2</v>
      </c>
      <c r="E8833" t="n">
        <v>5</v>
      </c>
      <c r="F8833">
        <f>HYPERLINK("https://www.reddit.com/r/GERD/comments/hmj0wg/gerda_little_improvement_but_still_have_questions/")</f>
        <v/>
      </c>
      <c r="G8833" t="inlineStr">
        <is>
          <t>2020-07-06 16:22:37</t>
        </is>
      </c>
      <c r="H8833" t="inlineStr"/>
    </row>
    <row r="8834">
      <c r="A8834" t="inlineStr">
        <is>
          <t>hmj2n9</t>
        </is>
      </c>
      <c r="B8834" t="inlineStr">
        <is>
          <t>Gas-x for burping?</t>
        </is>
      </c>
      <c r="C8834" t="inlineStr">
        <is>
          <t>Hey everyone. Did anyone here use gas-x or anything else to get rid of excessive burping</t>
        </is>
      </c>
      <c r="D8834" t="n">
        <v>1</v>
      </c>
      <c r="E8834" t="n">
        <v>6</v>
      </c>
      <c r="F8834">
        <f>HYPERLINK("https://www.reddit.com/r/GERD/comments/hmj2n9/gasx_for_burping/")</f>
        <v/>
      </c>
      <c r="G8834" t="inlineStr">
        <is>
          <t>2020-07-06 16:25:22</t>
        </is>
      </c>
      <c r="H8834" t="inlineStr"/>
    </row>
    <row r="8835">
      <c r="A8835" t="inlineStr">
        <is>
          <t>hmj49k</t>
        </is>
      </c>
      <c r="B8835" t="inlineStr">
        <is>
          <t>Anyone with both Gastritis and Gerd got better?</t>
        </is>
      </c>
      <c r="C8835" t="inlineStr">
        <is>
          <t>What did you do?</t>
        </is>
      </c>
      <c r="D8835" t="n">
        <v>1</v>
      </c>
      <c r="E8835" t="n">
        <v>11</v>
      </c>
      <c r="F8835">
        <f>HYPERLINK("https://www.reddit.com/r/GERD/comments/hmj49k/anyone_with_both_gastritis_and_gerd_got_better/")</f>
        <v/>
      </c>
      <c r="G8835" t="inlineStr">
        <is>
          <t>2020-07-06 16:27:48</t>
        </is>
      </c>
      <c r="H8835" t="inlineStr"/>
    </row>
    <row r="8836">
      <c r="A8836" t="inlineStr">
        <is>
          <t>hmjshz</t>
        </is>
      </c>
      <c r="B8836" t="inlineStr">
        <is>
          <t>experience with zofran and omeprazole??</t>
        </is>
      </c>
      <c r="C8836" t="inlineStr">
        <is>
          <t>just went to urgent care today and got prescribed zofran/ondansetron (along with recommendation to continue taking omeprazole for overall reflux) for my LPR, i know that this is mostly an anti nausea drug but i heard that it can help regurgitation + swallowing anxiety/dysphagia too. can anyone confirm this????</t>
        </is>
      </c>
      <c r="D8836" t="n">
        <v>1</v>
      </c>
      <c r="E8836" t="n">
        <v>2</v>
      </c>
      <c r="F8836">
        <f>HYPERLINK("https://www.reddit.com/r/GERD/comments/hmjshz/experience_with_zofran_and_omeprazole/")</f>
        <v/>
      </c>
      <c r="G8836" t="inlineStr">
        <is>
          <t>2020-07-06 17:07:50</t>
        </is>
      </c>
      <c r="H8836" t="inlineStr"/>
    </row>
    <row r="8837">
      <c r="A8837" t="inlineStr">
        <is>
          <t>hmk73e</t>
        </is>
      </c>
      <c r="B8837" t="inlineStr">
        <is>
          <t>Anyone else have what feels like trouble breathing when laying down to go to sleep?</t>
        </is>
      </c>
      <c r="C8837" t="inlineStr">
        <is>
          <t>Lately I’ve been having this issue when trying to sleep. I have pressure in my upper abdomen and it feels like I can’t get air into my lungs when trying to sleep. Been keeping me up for a few nights now. Tried to nap today and experienced the same issue. After laying for about 30 minutes I got up and experienced burning in my esophagus. This made me think my doctor might be right thinking it’s GERD related. 
Been having a lot of chest discomfort the past few weeks. Typically no burning in my esophagus or heartburn. Doctor sent me to a cardiologist and I had to wear a monitor for 10 days plus, EKG, and ultrasound. Everything came back great. My heart is all good and healthy. Doc said it could be GERD and set me up to see a gastro. But that is over a month from now.
I’d like to know if anyone else has experienced this? If so, do you have any advice on how to get some sleep? I’m really tired but can’t get to bed. 
Thanks</t>
        </is>
      </c>
      <c r="D8837" t="n">
        <v>1</v>
      </c>
      <c r="E8837" t="n">
        <v>4</v>
      </c>
      <c r="F8837">
        <f>HYPERLINK("https://www.reddit.com/r/GERD/comments/hmk73e/anyone_else_have_what_feels_like_trouble/")</f>
        <v/>
      </c>
      <c r="G8837" t="inlineStr">
        <is>
          <t>2020-07-06 17:33:16</t>
        </is>
      </c>
      <c r="H8837" t="inlineStr"/>
    </row>
    <row r="8838">
      <c r="A8838" t="inlineStr">
        <is>
          <t>hml0vb</t>
        </is>
      </c>
      <c r="B8838" t="inlineStr">
        <is>
          <t>Should I consult an Gastroenterologist for LPR?</t>
        </is>
      </c>
      <c r="C8838" t="inlineStr">
        <is>
          <t>So I have had this throat/mucus stuff for about three months and finally went to an ENT in late June.  He did the tube up the nose and partially down the throat and said that my vocal cords looked consistent with LPR and with the other symptoms, that was the diagnosis.  I started 40mg omeprazole twice a day after that appointment.   I had a esophagram with barium swallow last week and the doctor doing it told me at the end that "you definitely have reflux" - the official diagnosis was "moderate to severe acid reflux".   
I've been on a low acid diet for about a month now and have been doing all the typical stuff that people say to do (no eating after 8 or so, akaline water, raise head of bed, don't lie down after eating, etc).   I see the ENT on July 24th.   My main question is should I go ahead and schedule an appointment with a gastro doctor now?   Do ENTs take care of all reflux symptoms?   Do they order things like an endoscopy?   Do people end up going to both doctors?  My symptoms are mainly esophagus related but obviously the reflux is in the stomach and not sure of cause.  Just curious and wanted to try and get ahead of the game if possible,</t>
        </is>
      </c>
      <c r="D8838" t="n">
        <v>1</v>
      </c>
      <c r="E8838" t="n">
        <v>0</v>
      </c>
      <c r="F8838">
        <f>HYPERLINK("https://www.reddit.com/r/GERD/comments/hml0vb/should_i_consult_an_gastroenterologist_for_lpr/")</f>
        <v/>
      </c>
      <c r="G8838" t="inlineStr">
        <is>
          <t>2020-07-06 18:25:39</t>
        </is>
      </c>
      <c r="H8838" t="inlineStr"/>
    </row>
    <row r="8839">
      <c r="A8839" t="inlineStr">
        <is>
          <t>hml2cj</t>
        </is>
      </c>
      <c r="B8839" t="inlineStr">
        <is>
          <t>Is anybody here part of the zantac lawsuit?</t>
        </is>
      </c>
      <c r="C8839" t="inlineStr">
        <is>
          <t>Long story short, developed cancer and they think I may have a case. I’ve never even needed a lawyer, so curious if anybody has any insight.</t>
        </is>
      </c>
      <c r="D8839" t="n">
        <v>1</v>
      </c>
      <c r="E8839" t="n">
        <v>2</v>
      </c>
      <c r="F8839">
        <f>HYPERLINK("https://www.reddit.com/r/GERD/comments/hml2cj/is_anybody_here_part_of_the_zantac_lawsuit/")</f>
        <v/>
      </c>
      <c r="G8839" t="inlineStr">
        <is>
          <t>2020-07-06 18:28:21</t>
        </is>
      </c>
      <c r="H8839" t="inlineStr"/>
    </row>
    <row r="8840">
      <c r="A8840" t="inlineStr">
        <is>
          <t>hml2h9</t>
        </is>
      </c>
      <c r="B8840" t="inlineStr">
        <is>
          <t>Between upper stomach pain and sore throat, am I getting better?</t>
        </is>
      </c>
      <c r="C8840" t="inlineStr">
        <is>
          <t>Hi, 
I’ve been on PPI since two weeks ago. I used to suffer from the upper stomach pain whenever I eat something as well as the chest pain at night. 
Since PPI, things have been noticeably better overall. However, some days I still have the upper stomach pain when I eat something (especially the trigger food) and some days I don’t have any stomach pain but sore throat and the feeling of the lump in the throat. 
My symptoms usually seem to take turns between those two sets: It’s either the upper stomach or the throat. Which symptoms should be the tracking symptom for the GERD progress? Am I overall getting better?
My feeling is that I have both gastrits and GERD at the same time, and the upper stomach pain is caused from gastritis. The doctor never said the diagnosis explicitly whether it’s GERD or gastritis. 
My h. pylori test came out negative today at least!</t>
        </is>
      </c>
      <c r="D8840" t="n">
        <v>1</v>
      </c>
      <c r="E8840" t="n">
        <v>0</v>
      </c>
      <c r="F8840">
        <f>HYPERLINK("https://www.reddit.com/r/GERD/comments/hml2h9/between_upper_stomach_pain_and_sore_throat_am_i/")</f>
        <v/>
      </c>
      <c r="G8840" t="inlineStr">
        <is>
          <t>2020-07-06 18:28:36</t>
        </is>
      </c>
      <c r="H8840" t="inlineStr"/>
    </row>
    <row r="8841">
      <c r="A8841" t="inlineStr">
        <is>
          <t>hml671</t>
        </is>
      </c>
      <c r="B8841" t="inlineStr">
        <is>
          <t>is it ok to take gaviscon advance and melatonin at the same time/an hour apart?</t>
        </is>
      </c>
      <c r="C8841" t="inlineStr">
        <is>
          <t>i've been instructed to not take gavascon advance within 2hours after taking other meds n supplements eg iron. so just wondering if there's a chance of gaviscon advance also blocking the melatonin from being absorbed? grateful for any help</t>
        </is>
      </c>
      <c r="D8841" t="n">
        <v>1</v>
      </c>
      <c r="E8841" t="n">
        <v>1</v>
      </c>
      <c r="F8841">
        <f>HYPERLINK("https://www.reddit.com/r/GERD/comments/hml671/is_it_ok_to_take_gaviscon_advance_and_melatonin/")</f>
        <v/>
      </c>
      <c r="G8841" t="inlineStr">
        <is>
          <t>2020-07-06 18:35:27</t>
        </is>
      </c>
      <c r="H8841" t="inlineStr"/>
    </row>
    <row r="8842">
      <c r="A8842" t="inlineStr">
        <is>
          <t>hmlfc9</t>
        </is>
      </c>
      <c r="B8842" t="inlineStr">
        <is>
          <t>Too much olive oil</t>
        </is>
      </c>
      <c r="C8842" t="inlineStr">
        <is>
          <t>Hey guys. Happy July 5th every one. I basically eat the same thing everyday.
Morning: sugarless Oatmeal and banana smoothie with almond milk.
Evening: Brown Rice and black beans with mushrooms, celery and sweet pepper (not hot pepper) soaked in olive oil.
Some evenings: quinoa with broccoli sea salt and olive oil.
I'm wondering if the olive oil could be the culprit.
And call me crazy but apple cider vinegar doesn't seem to help me at all. It just makes my symptoms worst n especially the Bragg brand.
Also can sea salt be a trigger? I put sea salt in my banana smoothies as well.</t>
        </is>
      </c>
      <c r="D8842" t="n">
        <v>1</v>
      </c>
      <c r="E8842" t="n">
        <v>5</v>
      </c>
      <c r="F8842">
        <f>HYPERLINK("https://www.reddit.com/r/GERD/comments/hmlfc9/too_much_olive_oil/")</f>
        <v/>
      </c>
      <c r="G8842" t="inlineStr">
        <is>
          <t>2020-07-06 18:52:51</t>
        </is>
      </c>
      <c r="H8842" t="inlineStr"/>
    </row>
    <row r="8843">
      <c r="A8843" t="inlineStr">
        <is>
          <t>hmmdzt</t>
        </is>
      </c>
      <c r="B8843" t="inlineStr">
        <is>
          <t>Reflux and heart palpitations?</t>
        </is>
      </c>
      <c r="C8843" t="inlineStr">
        <is>
          <t>Anyone ever experience this? 
Sometimes when I get reflux it’ll feel like my heart is skipping a beat. 
Freaks me out a little not gonna lie.</t>
        </is>
      </c>
      <c r="D8843" t="n">
        <v>1</v>
      </c>
      <c r="E8843" t="n">
        <v>9</v>
      </c>
      <c r="F8843">
        <f>HYPERLINK("https://www.reddit.com/r/GERD/comments/hmmdzt/reflux_and_heart_palpitations/")</f>
        <v/>
      </c>
      <c r="G8843" t="inlineStr">
        <is>
          <t>2020-07-06 19:56:29</t>
        </is>
      </c>
      <c r="H8843" t="inlineStr"/>
    </row>
    <row r="8844">
      <c r="A8844" t="inlineStr">
        <is>
          <t>hmnasa</t>
        </is>
      </c>
      <c r="B8844" t="inlineStr">
        <is>
          <t>I'm so happy, I cried</t>
        </is>
      </c>
      <c r="C8844" t="inlineStr">
        <is>
          <t>Hello all, not sure why it's taken me so long to look for this sub, but I'm glad I found you. I've been a GERD lifer for about as long as I could remember. I think I was about 15 when it was diagnosed. Among other things, i suffer from really bad generalized/health anxiety. So, as you can imagine, the vicious cycle of gerd and ancient is never ending. I'll spare you all the boring details of my life, and how it sucks to not have anyone who really understands all the pains and scares that come with this b.s. I'm just truly glad I've found others who might be going what i have been for soo long. 
Thanks to every one of you that shares your story. Perhaps I'll share some of mine as I get more acquainted.</t>
        </is>
      </c>
      <c r="D8844" t="n">
        <v>1</v>
      </c>
      <c r="E8844" t="n">
        <v>6</v>
      </c>
      <c r="F8844">
        <f>HYPERLINK("https://www.reddit.com/r/GERD/comments/hmnasa/im_so_happy_i_cried/")</f>
        <v/>
      </c>
      <c r="G8844" t="inlineStr">
        <is>
          <t>2020-07-06 20:58:35</t>
        </is>
      </c>
      <c r="H8844" t="inlineStr"/>
    </row>
    <row r="8845">
      <c r="A8845" t="inlineStr">
        <is>
          <t>hmose8</t>
        </is>
      </c>
      <c r="B8845" t="inlineStr">
        <is>
          <t>What are the chances of getting knocked out on propofol during an endoscopy and not waking up?</t>
        </is>
      </c>
      <c r="C8845" t="inlineStr">
        <is>
          <t>There have been famous cases. But what are the statistical odds?Car crash odds? Plane crash odds?
Should someone avoid an endoscopy because of propofol or whatever anesthesia they plan on using?  
How do you know your anesthesiologist is not an idiot or drunk? lol.</t>
        </is>
      </c>
      <c r="D8845" t="n">
        <v>1</v>
      </c>
      <c r="E8845" t="n">
        <v>5</v>
      </c>
      <c r="F8845">
        <f>HYPERLINK("https://www.reddit.com/r/GERD/comments/hmose8/what_are_the_chances_of_getting_knocked_out_on/")</f>
        <v/>
      </c>
      <c r="G8845" t="inlineStr">
        <is>
          <t>2020-07-06 22:48:58</t>
        </is>
      </c>
      <c r="H8845" t="inlineStr"/>
    </row>
    <row r="8846">
      <c r="A8846" t="inlineStr">
        <is>
          <t>hmp1lp</t>
        </is>
      </c>
      <c r="B8846" t="inlineStr">
        <is>
          <t>Story</t>
        </is>
      </c>
      <c r="C8846" t="inlineStr">
        <is>
          <t>25 Male Indian
IBS. GERD. ANXIETY
I started getting popping in sternum recently, and I am sure it was due to slouching a lot. It spread to the right side of my chest and was effected by movement. Then I started getting random shortnews of breath and numb feeling. Lately I have been getting pain in my left arm, and also left chest around the pec. I do not burp alot, used to. I do not understand. Random shortness or breath is more like a feeling of not able get enough, I can exercise through it. I also feel all tensed up. My neck hurts sometimes and is stiff, long working hours on laptop.  What should I do. No history of heart problems in family and diet has been amazing since lockdown. Moderate exercises. Here to talk it out with you all.</t>
        </is>
      </c>
      <c r="D8846" t="n">
        <v>1</v>
      </c>
      <c r="E8846" t="n">
        <v>1</v>
      </c>
      <c r="F8846">
        <f>HYPERLINK("https://www.reddit.com/r/GERD/comments/hmp1lp/story/")</f>
        <v/>
      </c>
      <c r="G8846" t="inlineStr">
        <is>
          <t>2020-07-06 23:09:16</t>
        </is>
      </c>
      <c r="H8846" t="inlineStr"/>
    </row>
    <row r="8847">
      <c r="A8847" t="inlineStr">
        <is>
          <t>hmqasj</t>
        </is>
      </c>
      <c r="B8847" t="inlineStr">
        <is>
          <t>Weaning off Omeprazole?</t>
        </is>
      </c>
      <c r="C8847" t="inlineStr">
        <is>
          <t>So I’ve only been taking 20mg for 3 weeks roughly but it’s starting to make me feel jittery and anxious, have you got any advice for stopping the PPI? I’m not sure if I’ve been taking it long enough for the withdrawal to be so bad or not? I tried yesterday to cut it out but felt like I had more reflux.</t>
        </is>
      </c>
      <c r="D8847" t="n">
        <v>1</v>
      </c>
      <c r="E8847" t="n">
        <v>6</v>
      </c>
      <c r="F8847">
        <f>HYPERLINK("https://www.reddit.com/r/GERD/comments/hmqasj/weaning_off_omeprazole/")</f>
        <v/>
      </c>
      <c r="G8847" t="inlineStr">
        <is>
          <t>2020-07-07 00:55:53</t>
        </is>
      </c>
      <c r="H8847" t="inlineStr"/>
    </row>
    <row r="8848">
      <c r="A8848" t="inlineStr">
        <is>
          <t>hmqucj</t>
        </is>
      </c>
      <c r="B8848" t="inlineStr">
        <is>
          <t>Hi i haven't been on here in a good while.</t>
        </is>
      </c>
      <c r="C8848" t="inlineStr">
        <is>
          <t>Two months ago i had a massive heartburn that left me with esophagitis, apparently. Anyway, the medicine they put me on is omeprazole. It was apparently supposed to help but a week without pooping changed my mind on that subject. however, after a hospital visit for the pain of constipation, the doctor told me that the omeprazole was causing more pain than was worth it. Low and behold she was absolutely right. I stopped taking them and my problems were gone a couple days later. My GERD is 100% easier to manage with a diet. TRY THE DIET, although i miss chocolate i must admit.
tl:dr PPI's aren't always the answer, try them but if they don't work for you deffo come off them.</t>
        </is>
      </c>
      <c r="D8848" t="n">
        <v>1</v>
      </c>
      <c r="E8848" t="n">
        <v>4</v>
      </c>
      <c r="F8848">
        <f>HYPERLINK("https://www.reddit.com/r/GERD/comments/hmqucj/hi_i_havent_been_on_here_in_a_good_while/")</f>
        <v/>
      </c>
      <c r="G8848" t="inlineStr">
        <is>
          <t>2020-07-07 01:43:13</t>
        </is>
      </c>
      <c r="H8848" t="inlineStr"/>
    </row>
    <row r="8849">
      <c r="A8849" t="inlineStr">
        <is>
          <t>hmrxtm</t>
        </is>
      </c>
      <c r="B8849" t="inlineStr">
        <is>
          <t>I have mild-ish GERD and hiatal hernia but I'm worried about my ability to stay active in the way that I want to.</t>
        </is>
      </c>
      <c r="C8849" t="inlineStr">
        <is>
          <t>My HH hurts like hell sometimes but I'm starting to get more used to accepting the pain. My issue is that I love deep stretching, yoga, and will be getting into pole exercise. I'm really hoping to be able to keep going, and be able to work inversions in here and there. Does anyone have experience with staying active in ways which can cause pressure on your chest? Does it get better, worse? Will I be forced to limit myself for the rest of my life?</t>
        </is>
      </c>
      <c r="D8849" t="n">
        <v>1</v>
      </c>
      <c r="E8849" t="n">
        <v>4</v>
      </c>
      <c r="F8849">
        <f>HYPERLINK("https://www.reddit.com/r/GERD/comments/hmrxtm/i_have_mildish_gerd_and_hiatal_hernia_but_im/")</f>
        <v/>
      </c>
      <c r="G8849" t="inlineStr">
        <is>
          <t>2020-07-07 03:19:09</t>
        </is>
      </c>
      <c r="H8849" t="inlineStr"/>
    </row>
    <row r="8850">
      <c r="A8850" t="inlineStr">
        <is>
          <t>hmsal0</t>
        </is>
      </c>
      <c r="B8850" t="inlineStr">
        <is>
          <t>Australian Famotidine shortage -- where can I get it?</t>
        </is>
      </c>
      <c r="C8850" t="inlineStr">
        <is>
          <t>Hi all, I want to begin transitioning from Nexium 20s to Famotidine, but when I went to the chemist to get my script, I was told there is a global shortage. Surely there is somewhere I can get this, though. Anybody from Australia, parricularly Brisbane, have any advice? Thanks.</t>
        </is>
      </c>
      <c r="D8850" t="n">
        <v>1</v>
      </c>
      <c r="E8850" t="n">
        <v>12</v>
      </c>
      <c r="F8850">
        <f>HYPERLINK("https://www.reddit.com/r/GERD/comments/hmsal0/australian_famotidine_shortage_where_can_i_get_it/")</f>
        <v/>
      </c>
      <c r="G8850" t="inlineStr">
        <is>
          <t>2020-07-07 03:48:15</t>
        </is>
      </c>
      <c r="H8850" t="inlineStr"/>
    </row>
    <row r="8851">
      <c r="A8851" t="inlineStr">
        <is>
          <t>hmseqp</t>
        </is>
      </c>
      <c r="B8851" t="inlineStr">
        <is>
          <t>What are the Odds I have GERD? A Necessity to Quit Alcohol?</t>
        </is>
      </c>
      <c r="C8851" t="inlineStr">
        <is>
          <t>Hi All,
Not sure if this is the right subreddit for this, but feeling a bit anxious about all of this so figured I'd give it a shot. Sorry if this is not relevant. 
So last week I felt my voice go noticeably hoarse and felt like I was having trouble speaking for long durations, and so I visited my ENT doctor. He told me I had laryngitis and that it could be chronic, and asked me to stop smoking/drinking (I haven't smoked a cigarette in 7 days and have only had 1 beer at a work event since). He also told me that the underlying cause may be acid reflux, and the bloatedness/belching I have had for the past few weeks seems to play into this. I have had gastrointestinal issues now for almost 6 months, slight heartburn, consistent bloatedness and even blood in my stool, and began to think perhaps the acid reflux causing my laryngitis may be GERD-related.
I got an endoscopy at the hospital today and turns out my stomach and esophagus are fine. Doc said I had no issues at all. My question is 1) does this largely rule out the possibility that I may have GERD?, and 2) if GERD is not the cause of my acid reflux, can I be confident that the acid reflux is mostly temporary?
Finally, I will probably use this as a good chance to quit smoking, or severely reduce my cigarette habit. However, if acid reflux subsides shortly, is quitting alcohol also a necessity? I am an otherwise healthy 23 year old, I drink maybe 2-3 times a week, and have felt no pain post drinking, just bloatedness the next day. It seems hard to believe that my drinking habits have managed to somehow cause acid reflux to the extent that I have lost my voice with no other symptoms than the usual post-drinking increased bowel movements. Any opinions would be greatly appreciated.</t>
        </is>
      </c>
      <c r="D8851" t="n">
        <v>1</v>
      </c>
      <c r="E8851" t="n">
        <v>6</v>
      </c>
      <c r="F8851">
        <f>HYPERLINK("https://www.reddit.com/r/GERD/comments/hmseqp/what_are_the_odds_i_have_gerd_a_necessity_to_quit/")</f>
        <v/>
      </c>
      <c r="G8851" t="inlineStr">
        <is>
          <t>2020-07-07 03:57:36</t>
        </is>
      </c>
      <c r="H8851" t="inlineStr"/>
    </row>
    <row r="8852">
      <c r="A8852" t="inlineStr">
        <is>
          <t>hmuspm</t>
        </is>
      </c>
      <c r="B8852" t="inlineStr">
        <is>
          <t>Pantaprozal/GERD</t>
        </is>
      </c>
      <c r="C8852" t="inlineStr">
        <is>
          <t>Is there any natural remedy for GERD? or any natural alternative for pantaprozal? I get sore throat and needle like sensation in my throat. I am on pantaprozal but I want to discontinue using it coz of its side effect. Has anyone tried something natural please suggest..</t>
        </is>
      </c>
      <c r="D8852" t="n">
        <v>1</v>
      </c>
      <c r="E8852" t="n">
        <v>2</v>
      </c>
      <c r="F8852">
        <f>HYPERLINK("https://www.reddit.com/r/GERD/comments/hmuspm/pantaprozalgerd/")</f>
        <v/>
      </c>
      <c r="G8852" t="inlineStr">
        <is>
          <t>2020-07-07 06:45:02</t>
        </is>
      </c>
      <c r="H8852" t="inlineStr"/>
    </row>
    <row r="8853">
      <c r="A8853" t="inlineStr">
        <is>
          <t>hmwcay</t>
        </is>
      </c>
      <c r="B8853" t="inlineStr">
        <is>
          <t>started yesterday h2 blockers seems they make it worse?</t>
        </is>
      </c>
      <c r="C8853" t="inlineStr">
        <is>
          <t>i started yesterday h2 blockers drugs but my stomach makes a lot of noise and now i can only sip water, it seems h2 blockers reduce acid while i maybe have low stomach acid</t>
        </is>
      </c>
      <c r="D8853" t="n">
        <v>1</v>
      </c>
      <c r="E8853" t="n">
        <v>27</v>
      </c>
      <c r="F8853">
        <f>HYPERLINK("https://www.reddit.com/r/GERD/comments/hmwcay/started_yesterday_h2_blockers_seems_they_make_it/")</f>
        <v/>
      </c>
      <c r="G8853" t="inlineStr">
        <is>
          <t>2020-07-07 08:11:49</t>
        </is>
      </c>
      <c r="H8853" t="inlineStr"/>
    </row>
    <row r="8854">
      <c r="A8854" t="inlineStr">
        <is>
          <t>hmwfiz</t>
        </is>
      </c>
      <c r="B8854" t="inlineStr">
        <is>
          <t>Frustrating Symptoms/ GI referral</t>
        </is>
      </c>
      <c r="C8854" t="inlineStr">
        <is>
          <t>Hi everyone
I’m venting my frustrations. My symptoms started back in late February. I woke up insatiably hungry and felt that if I didn’t eat immediately I would vomit. So I had this “hungry” feeling for days with indigestion and constant burping.  I took some OTC Prilosec for 2 weeks and it seemed to help but symptoms came back within 2 weeks so I went to see my GP. She suspected an ulcer and put me on 6 weeks of 40mg Omeprazole. I took them and they helped but symptoms once again returned in two weeks time, albeit, this time it was not the gnawing hunger I was feeling, it was a pinching/pin pricking sensation in my upper left abdomen along with the indigestion and belching. I went back to the doc once and again she did an h pylori test which came back negative, and recommended I go see a GI specialist and wrote me a 3 month supply of omeprazole in the meantime. 
The pinching pain has gone away but I do feel some mild discomfort in my upper abdomen, belching, indigestion, and bloating. I occasionally have upper back pain and even a weird itching on my abdomen. It feels like it’s itching from the inside, it’s strange and I don’t know how to describe it. 
So I have my first appointment with a GI specialist on Thursday, does anyone have any tips or know what I should expect with the first visit? I have terrible anxiety that they are going to tell me I’ve got some weird form of stomach cancer.</t>
        </is>
      </c>
      <c r="D8854" t="n">
        <v>1</v>
      </c>
      <c r="E8854" t="n">
        <v>2</v>
      </c>
      <c r="F8854">
        <f>HYPERLINK("https://www.reddit.com/r/GERD/comments/hmwfiz/frustrating_symptoms_gi_referral/")</f>
        <v/>
      </c>
      <c r="G8854" t="inlineStr">
        <is>
          <t>2020-07-07 08:17:00</t>
        </is>
      </c>
      <c r="H8854" t="inlineStr"/>
    </row>
    <row r="8855">
      <c r="A8855" t="inlineStr">
        <is>
          <t>hmx9hl</t>
        </is>
      </c>
      <c r="B8855" t="inlineStr">
        <is>
          <t>Anemia</t>
        </is>
      </c>
      <c r="C8855" t="inlineStr">
        <is>
          <t>Due to having really bad issues with acid I have basically starved for a month and now I think I'm pretty anemic. I am trying to eat more now but Its hard.  Has anyone else experienced anemia due to gerd or lpr?</t>
        </is>
      </c>
      <c r="D8855" t="n">
        <v>1</v>
      </c>
      <c r="E8855" t="n">
        <v>5</v>
      </c>
      <c r="F8855">
        <f>HYPERLINK("https://www.reddit.com/r/GERD/comments/hmx9hl/anemia/")</f>
        <v/>
      </c>
      <c r="G8855" t="inlineStr">
        <is>
          <t>2020-07-07 09:00:09</t>
        </is>
      </c>
      <c r="H8855" t="inlineStr"/>
    </row>
    <row r="8856">
      <c r="A8856" t="inlineStr">
        <is>
          <t>hmxopd</t>
        </is>
      </c>
      <c r="B8856" t="inlineStr">
        <is>
          <t>Hypersensitivity and/or GERD</t>
        </is>
      </c>
      <c r="C8856" t="inlineStr">
        <is>
          <t>Hello. I have posted here many times with my long story. I will summarize it very quickly here:
In November I complained about minor throat irritation, throat-clearing and losing my voice, and I got an endoscopy which showed esophagitis. After 3 days on pantoprazole my throat felt on fire and I had chest pains and a hot rancid taste in my mouth. It is 9 months later and I am still suffering from burning and sore throat. The taste went away after about 6 months and the chest pain went away fast. I have been to a dozen doctors and had more endoscopies and no acid treatment has helped, in fact most have made me worse. I am on the Acid Watchers Diet for 45 days so far and still getting worse and worse, to the point that I can barely talk anymore.
So now the update:
I saw a very experienced doctor at Mt. Sinai today and after videotaping my vocal cords, he diagnosed me with hypersensitivity.
So I am still confused about what this is but it goes a long way in explaining a few things chronic throughout my life: extreme allergies, extreme sensitivity to medications (even many "harmless" ones), extreme sensitive to certain smells and foods (for example, anything carbonated), and I'd even wonder about things like chronic motion sickness, stomach problems, etc.
He saw disfunction in my vocal cords and basically said they move as if I am screaming for hours even though I am talking normally. This is why my voice for the past 9 months (and on and off for years) has felt worn out and on some days in pain. He has no explanation for my current state of intense throat pain and esophagitis, but he suspects hypersensitivity may be why I have not recovered even a little despite trying all diet and medications for acid reflux. He says acid reflux (and nasal drip) may be part of the problem but it's clearly not the whole thing.
If any of you know anything about this or have had experience, please comment and let me know what happened and what I should expect, and any advice. I am kind of scared of this diagnosis (although it's nice to have a doctor finally give me a diagnosis) because I can't tell if there's a cure or if this is a lifelong problem I will have.</t>
        </is>
      </c>
      <c r="D8856" t="n">
        <v>1</v>
      </c>
      <c r="E8856" t="n">
        <v>8</v>
      </c>
      <c r="F8856">
        <f>HYPERLINK("https://www.reddit.com/r/GERD/comments/hmxopd/hypersensitivity_andor_gerd/")</f>
        <v/>
      </c>
      <c r="G8856" t="inlineStr">
        <is>
          <t>2020-07-07 09:22:30</t>
        </is>
      </c>
      <c r="H8856" t="inlineStr"/>
    </row>
    <row r="8857">
      <c r="A8857" t="inlineStr">
        <is>
          <t>hmym6r</t>
        </is>
      </c>
      <c r="B8857" t="inlineStr">
        <is>
          <t>Can I have non-alcoholic wine?</t>
        </is>
      </c>
      <c r="C8857" t="inlineStr">
        <is>
          <t>Hey everyone! I just found this group!  I have been having GERD symptoms for the past year and finally two weeks ago decided I needed to do something about it.  I found some dietary guidelines online - and of course one of the big things to cut is alcohol.  I love wine.  I know it needs to go to, but I’m wondering if I can trick my brain a bit with non alcoholic wine so I don’t feel like I’m being deprived.  Is it strictly the alcohol that is an irritant or other things in the liquid as well?  Thank you!</t>
        </is>
      </c>
      <c r="D8857" t="n">
        <v>1</v>
      </c>
      <c r="E8857" t="n">
        <v>7</v>
      </c>
      <c r="F8857">
        <f>HYPERLINK("https://www.reddit.com/r/GERD/comments/hmym6r/can_i_have_nonalcoholic_wine/")</f>
        <v/>
      </c>
      <c r="G8857" t="inlineStr">
        <is>
          <t>2020-07-07 10:11:01</t>
        </is>
      </c>
      <c r="H8857" t="inlineStr"/>
    </row>
    <row r="8858">
      <c r="A8858" t="inlineStr">
        <is>
          <t>hmz44d</t>
        </is>
      </c>
      <c r="B8858" t="inlineStr">
        <is>
          <t>Started esomeprazole and bowel movements got better? Is this common?</t>
        </is>
      </c>
      <c r="C8858" t="inlineStr">
        <is>
          <t>Long story short, had acid reflux, started Nexium, and my bowel movements got better. I go about the same amount of times, if not a little more, but the movements are better. Larger, more emptying, and I just feel that empty, relief feeling every single time now. 
Is this common? I just takeOTC Nexium and take about 3-4 per week. Have adjusted my diet to not eat trigger foods, not eat before bed, etc. My Dr said to keep doing what I'm doing but didn't have an answer about the bowel movements. 
Anyone have any ideas?</t>
        </is>
      </c>
      <c r="D8858" t="n">
        <v>1</v>
      </c>
      <c r="E8858" t="n">
        <v>0</v>
      </c>
      <c r="F8858">
        <f>HYPERLINK("https://www.reddit.com/r/GERD/comments/hmz44d/started_esomeprazole_and_bowel_movements_got/")</f>
        <v/>
      </c>
      <c r="G8858" t="inlineStr">
        <is>
          <t>2020-07-07 10:36:39</t>
        </is>
      </c>
      <c r="H8858" t="inlineStr"/>
    </row>
    <row r="8859">
      <c r="A8859" t="inlineStr">
        <is>
          <t>hmzn0o</t>
        </is>
      </c>
      <c r="B8859" t="inlineStr">
        <is>
          <t>Stomach acid and weirdness</t>
        </is>
      </c>
      <c r="C8859" t="inlineStr">
        <is>
          <t>Anyone else when their GERD flares up and their stomach acid is at all time high etc just feel really weird.. like the rest of the body just goes proper weird aswell?</t>
        </is>
      </c>
      <c r="D8859" t="n">
        <v>1</v>
      </c>
      <c r="E8859" t="n">
        <v>19</v>
      </c>
      <c r="F8859">
        <f>HYPERLINK("https://www.reddit.com/r/GERD/comments/hmzn0o/stomach_acid_and_weirdness/")</f>
        <v/>
      </c>
      <c r="G8859" t="inlineStr">
        <is>
          <t>2020-07-07 11:03:45</t>
        </is>
      </c>
      <c r="H8859" t="inlineStr"/>
    </row>
    <row r="8860">
      <c r="A8860" t="inlineStr">
        <is>
          <t>hn15un</t>
        </is>
      </c>
      <c r="B8860" t="inlineStr">
        <is>
          <t>13 with gerd</t>
        </is>
      </c>
      <c r="C8860" t="inlineStr">
        <is>
          <t>Anyone else burp up a bit of acid along with some tiny bits of food? Is this normal with gerd or no</t>
        </is>
      </c>
      <c r="D8860" t="n">
        <v>1</v>
      </c>
      <c r="E8860" t="n">
        <v>13</v>
      </c>
      <c r="F8860">
        <f>HYPERLINK("https://www.reddit.com/r/GERD/comments/hn15un/13_with_gerd/")</f>
        <v/>
      </c>
      <c r="G8860" t="inlineStr">
        <is>
          <t>2020-07-07 12:22:33</t>
        </is>
      </c>
      <c r="H8860" t="inlineStr"/>
    </row>
    <row r="8861">
      <c r="A8861" t="inlineStr">
        <is>
          <t>hn2cq4</t>
        </is>
      </c>
      <c r="B8861" t="inlineStr">
        <is>
          <t>Zyrtec</t>
        </is>
      </c>
      <c r="C8861" t="inlineStr">
        <is>
          <t>I tried Zyrtec just for S&amp;amp;G's for my GERD lung pain and pressure. Lo and behold, it worked about 25%. Anyone else tried this? Definitely feeling a little relief.</t>
        </is>
      </c>
      <c r="D8861" t="n">
        <v>1</v>
      </c>
      <c r="E8861" t="n">
        <v>2</v>
      </c>
      <c r="F8861">
        <f>HYPERLINK("https://www.reddit.com/r/GERD/comments/hn2cq4/zyrtec/")</f>
        <v/>
      </c>
      <c r="G8861" t="inlineStr">
        <is>
          <t>2020-07-07 13:25:31</t>
        </is>
      </c>
      <c r="H8861" t="inlineStr"/>
    </row>
    <row r="8862">
      <c r="A8862" t="inlineStr">
        <is>
          <t>hn3gqo</t>
        </is>
      </c>
      <c r="B8862" t="inlineStr">
        <is>
          <t>I cured my gerd, u wont believe how</t>
        </is>
      </c>
      <c r="C8862" t="inlineStr">
        <is>
          <t>It all started when I was 18 and I had bloating in my stomach (which I later found out was a case of appendicitis). I had this intense pain that would start as feeling of bloating and then turn into 10+ hours of being in pain. this happened to me 3-4 times in the span of 12 months before I eventually had to go to the ER  and get my appendix removed (doctor said that it could've happened to anyone).
But during those 12 months I began to believe that the cause of my pain was actually bloating so I began to try to release air from my stomach by relaxing my diaphragm area and then sort of moving it to burp. It sound weird but thats the best way I can explain it. I did this and started getting silent reflux which I got used to and stopped noticing that it wasnt normal to have this reflux and do this burping. I just didnt want to have the pain in my stomach area. It kind of became a habit if you know what I mean. So even after I had my appendix removed and didnt have the pain I still did it subconsciously.
I did this untill I noticed I started getting heartburn frequently. Then I learned what gerd was and tried different diets and everything but nothing helped (except for ginger, that stuff is legit) but then I was just sitting and thinking and I kind of connected the dots and realized this habit and how it wasnt normal and I realized that I must somehow relaxing my LES. I dont know the anatomy but by making myself burp I must have taught myself to relax my LES. So I broke that habit and Im serious that by concentrating on keeping my LES closed and not performing those unnecessary burps i havent had reflux in 3 days!
My theory is that I was burping out a pocket of air that kept inbetwen my stomach acid and LES thus causing the reflux. And I also will mention that I struggled to break this habit the first few hours and even resisted narmal burps but now im reflux free!</t>
        </is>
      </c>
      <c r="D8862" t="n">
        <v>1</v>
      </c>
      <c r="E8862" t="n">
        <v>5</v>
      </c>
      <c r="F8862">
        <f>HYPERLINK("https://www.reddit.com/r/GERD/comments/hn3gqo/i_cured_my_gerd_u_wont_believe_how/")</f>
        <v/>
      </c>
      <c r="G8862" t="inlineStr">
        <is>
          <t>2020-07-07 14:25:24</t>
        </is>
      </c>
      <c r="H8862" t="inlineStr"/>
    </row>
    <row r="8863">
      <c r="A8863" t="inlineStr">
        <is>
          <t>hn4eta</t>
        </is>
      </c>
      <c r="B8863" t="inlineStr">
        <is>
          <t>ENT gave me heartburn</t>
        </is>
      </c>
      <c r="C8863" t="inlineStr">
        <is>
          <t>I have been on Prilosec 20mg for a long time. It mostly cured my heartburn (but not regurgitation).
I had to go to the ENT for a tonsil issue. She said she was going to spray it with a numbing agent and that I need to try and hold my breath.
I was holding my breath for 10 seconds because she was having a difficult time spraying the spot (I guess), and I _needed_ to breathe so right when I took a short inhale... she sprays that shit straight into my throat and lungs. I start coughing and having difficulty breathing and swallowing.
It is now the next day and I have **heartburn**!!, my least favorite GERD symptom behind aspirating stomach acid.
Do you think this will go away?
I’m thinking it’s possible that since I took 40 mg Pepcid yesterday I’m experiencing rebound today.</t>
        </is>
      </c>
      <c r="D8863" t="n">
        <v>1</v>
      </c>
      <c r="E8863" t="n">
        <v>0</v>
      </c>
      <c r="F8863">
        <f>HYPERLINK("https://www.reddit.com/r/GERD/comments/hn4eta/ent_gave_me_heartburn/")</f>
        <v/>
      </c>
      <c r="G8863" t="inlineStr">
        <is>
          <t>2020-07-07 15:16:10</t>
        </is>
      </c>
      <c r="H8863" t="inlineStr"/>
    </row>
    <row r="8864">
      <c r="A8864" t="inlineStr">
        <is>
          <t>hn7rfc</t>
        </is>
      </c>
      <c r="B8864" t="inlineStr">
        <is>
          <t>Recently diagnosed GERD, anyone else get really paranoid when they randomly get a sore throat from it?</t>
        </is>
      </c>
      <c r="C8864" t="inlineStr">
        <is>
          <t>I've been waking up with sore throats and had one most of the day today. It doesn't always hurt or bother me but just a nuisance. 
Just need to know im not alone 😅</t>
        </is>
      </c>
      <c r="D8864" t="n">
        <v>1</v>
      </c>
      <c r="E8864" t="n">
        <v>22</v>
      </c>
      <c r="F8864">
        <f>HYPERLINK("https://www.reddit.com/r/GERD/comments/hn7rfc/recently_diagnosed_gerd_anyone_else_get_really/")</f>
        <v/>
      </c>
      <c r="G8864" t="inlineStr">
        <is>
          <t>2020-07-07 18:33:37</t>
        </is>
      </c>
      <c r="H8864" t="inlineStr"/>
    </row>
    <row r="8865">
      <c r="A8865" t="inlineStr">
        <is>
          <t>hn7ucd</t>
        </is>
      </c>
      <c r="B8865" t="inlineStr">
        <is>
          <t>How to pursue proper treatment when my dr seems unconcerned?</t>
        </is>
      </c>
      <c r="C8865" t="inlineStr">
        <is>
          <t>I had fairly constant, disruptive burping for about 1 or 2 years, but very rarely had and other symptoms so it took a while before I realized it might be reflux. Eventually I began having some of the more common signs so I went to my university doc and she gave me zantac, but when I saw the lawsuit stuff I stopped it and found a primary care doc. He said you are young (21) so I am not worried, take pantoprazole for 2 weeks and you should be fine. Well I had slight improvement but it came back after I stopped the meds. I went back to the doc, he said ok keep taking the meds. In all this time I have asked if there's any testing or something I need to do, he said no since I don't get a stomachache. The meds helped somewhat for a while, but then the symptoms started coming back. I told the doc and asked again about testing or switching meds, he said no its fine just eat bland and some people are able to take the meds only every other day so mess around with how often you take it. 
I eventually decided to stop the meds to see what would happen, my symptoms stayed the same for a while but now are back in full force. I do try to avoid triggering foods which is difficult sometimes, but I still get burping a lot after I eat no matter what I eat. I get the typical throat/chest pain after eating even if I make sure not to lay down or anything. Right now I am also experiencing upper abdominal pain with it and am rather nauseous. I don't typically experience nausea with this except the very few times I have had the abdominal pain.
 I just don't know what to do in terms of treatment anymore. I hesitate to just keep taking the pantoprazole because it only provides partial relief and I worry about the long term risks. I asked about trying a different med but my dr says they are all the same anyways. I want to know more about WHY I have these symptoms and how to effectively treat it but my dr just seems entirely unconcerned. Does anyone have any advice on how to move forward in my treatment? Is it a good idea to see a GI doc about this? I think for insurance I have to pursue specialist referrals through my primary care doc. So I would have to push him for it because he doesn't think its necessary. Or is there other treatment I should push my doc about? Or just keep following his treatment?</t>
        </is>
      </c>
      <c r="D8865" t="n">
        <v>1</v>
      </c>
      <c r="E8865" t="n">
        <v>3</v>
      </c>
      <c r="F8865">
        <f>HYPERLINK("https://www.reddit.com/r/GERD/comments/hn7ucd/how_to_pursue_proper_treatment_when_my_dr_seems/")</f>
        <v/>
      </c>
      <c r="G8865" t="inlineStr">
        <is>
          <t>2020-07-07 18:38:29</t>
        </is>
      </c>
      <c r="H8865" t="inlineStr"/>
    </row>
    <row r="8866">
      <c r="A8866" t="inlineStr">
        <is>
          <t>hn80sk</t>
        </is>
      </c>
      <c r="B8866" t="inlineStr">
        <is>
          <t>Intolerance to wood/tobacco/grill smoke and fragrances?</t>
        </is>
      </c>
      <c r="C8866" t="inlineStr">
        <is>
          <t>I have GERD, hiatal hernia, and esophageal motility disorder. All three seem to work together to kick my butt. When my GERD flares up, which is more common than not, I will develop severe sensitivity to wood/tobacco/grill smoke and perfumes/candles/etc. It bothers me to the point that I have to leave the area almost immediately or I'll be useless for the rest of the day. 
I added Pepto Bismal to my routine 10 days again and I haven't had any issue with smoke/fragrances since. Can anybody explain why that would be? Also, is there anything better than Pepto that I could take OTC? I'm not sure Pepto is a good idea daily indefinitely. 
Any personal experience or advice is appreciated!</t>
        </is>
      </c>
      <c r="D8866" t="n">
        <v>1</v>
      </c>
      <c r="E8866" t="n">
        <v>4</v>
      </c>
      <c r="F8866">
        <f>HYPERLINK("https://www.reddit.com/r/GERD/comments/hn80sk/intolerance_to_woodtobaccogrill_smoke_and/")</f>
        <v/>
      </c>
      <c r="G8866" t="inlineStr">
        <is>
          <t>2020-07-07 18:49:46</t>
        </is>
      </c>
      <c r="H8866" t="inlineStr"/>
    </row>
    <row r="8867">
      <c r="A8867" t="inlineStr">
        <is>
          <t>hn8irs</t>
        </is>
      </c>
      <c r="B8867" t="inlineStr">
        <is>
          <t>Just diagnosed with gallstones and gastritis what can I eat and do?</t>
        </is>
      </c>
      <c r="C8867" t="inlineStr">
        <is>
          <t>I just got out the hospital and was told I have a gallstone and gastritis. The doctor said they cant remove it until its worse(sadly) so I have meds for that. As for gastritis I've never heard of that or know anyone with it. I've seen alot of info but I don't know where to begin. Any advice on what I can eat?</t>
        </is>
      </c>
      <c r="D8867" t="n">
        <v>1</v>
      </c>
      <c r="E8867" t="n">
        <v>17</v>
      </c>
      <c r="F8867">
        <f>HYPERLINK("https://www.reddit.com/r/GERD/comments/hn8irs/just_diagnosed_with_gallstones_and_gastritis_what/")</f>
        <v/>
      </c>
      <c r="G8867" t="inlineStr">
        <is>
          <t>2020-07-07 19:20:17</t>
        </is>
      </c>
      <c r="H8867" t="inlineStr"/>
    </row>
    <row r="8868">
      <c r="A8868" t="inlineStr">
        <is>
          <t>hn9a2y</t>
        </is>
      </c>
      <c r="B8868" t="inlineStr">
        <is>
          <t>Worst GERD of my life</t>
        </is>
      </c>
      <c r="C8868" t="inlineStr">
        <is>
          <t>I just wanna help someone
I drank a grapefruit white claw. And had the Worst reflux of my life.
I took 4 tums. 2 reflux meds. Baking soda and Drank a gallon of cold water and its still awful
I can eat pasta, pizza drink whatever and never had it this bad
Feels like I drank a gallon of grapefruit juice</t>
        </is>
      </c>
      <c r="D8868" t="n">
        <v>1</v>
      </c>
      <c r="E8868" t="n">
        <v>4</v>
      </c>
      <c r="F8868">
        <f>HYPERLINK("https://www.reddit.com/r/GERD/comments/hn9a2y/worst_gerd_of_my_life/")</f>
        <v/>
      </c>
      <c r="G8868" t="inlineStr">
        <is>
          <t>2020-07-07 20:08:15</t>
        </is>
      </c>
      <c r="H8868" t="inlineStr"/>
    </row>
    <row r="8869">
      <c r="A8869" t="inlineStr">
        <is>
          <t>hnaf6e</t>
        </is>
      </c>
      <c r="B8869" t="inlineStr">
        <is>
          <t>Constantly hungry</t>
        </is>
      </c>
      <c r="C8869" t="inlineStr">
        <is>
          <t>I struggle to eat but I manage to pull through and the meals are meals that usually fill me up, but today like about 30-60 minutes later my stomach gets grumbly and feels empty like im hungry. I try to eat as much as I can but it’s hard to so I don’t know what to do, i’m usually eating everything I normally eat around the time I usually eat it. I don’t know if it’s just me feeling this or</t>
        </is>
      </c>
      <c r="D8869" t="n">
        <v>1</v>
      </c>
      <c r="E8869" t="n">
        <v>8</v>
      </c>
      <c r="F8869">
        <f>HYPERLINK("https://www.reddit.com/r/GERD/comments/hnaf6e/constantly_hungry/")</f>
        <v/>
      </c>
      <c r="G8869" t="inlineStr">
        <is>
          <t>2020-07-07 21:24:20</t>
        </is>
      </c>
      <c r="H8869" t="inlineStr"/>
    </row>
    <row r="8870">
      <c r="A8870" t="inlineStr">
        <is>
          <t>hnchtz</t>
        </is>
      </c>
      <c r="B8870" t="inlineStr">
        <is>
          <t>Love/hate relationship with tomato sauce and salsa</t>
        </is>
      </c>
      <c r="C8870" t="inlineStr">
        <is>
          <t>My favorite meals are pasta with marinara sauce and fish tacos layered with salsa. Just typing this out I can feel my stomach flaring up lol. But sometimes I go for it and just fight through the pain, tums at the ready. Anyone else? What are your weaknesses that you're willing to fight a flare up for?</t>
        </is>
      </c>
      <c r="D8870" t="n">
        <v>1</v>
      </c>
      <c r="E8870" t="n">
        <v>3</v>
      </c>
      <c r="F8870">
        <f>HYPERLINK("https://www.reddit.com/r/GERD/comments/hnchtz/lovehate_relationship_with_tomato_sauce_and_salsa/")</f>
        <v/>
      </c>
      <c r="G8870" t="inlineStr">
        <is>
          <t>2020-07-08 00:11:59</t>
        </is>
      </c>
      <c r="H8870" t="inlineStr"/>
    </row>
    <row r="8871">
      <c r="A8871" t="inlineStr">
        <is>
          <t>hnd75c</t>
        </is>
      </c>
      <c r="B8871" t="inlineStr">
        <is>
          <t>Has GERD had any effect on your skin?</t>
        </is>
      </c>
      <c r="C8871" t="inlineStr">
        <is>
          <t>So a few years ago I started drinking a lot of alcohol and soda and it really messed up my stomach. I’ve been diagnosed with IBS and GERD and I have been having these very unpleasant skin problems that often flare up after I eat. My skin gets dry and itchy and feels very sensitive, especially to my clothing. I am also very sensitive to temperature. Sugar and sweetener make these symptoms 10x worse.
I also experience goosebumps and tingling sensations a lot, and sometimes pain, and the skin on the back of my upper arms has all these tiny bumps on it.</t>
        </is>
      </c>
      <c r="D8871" t="n">
        <v>1</v>
      </c>
      <c r="E8871" t="n">
        <v>1</v>
      </c>
      <c r="F8871">
        <f>HYPERLINK("https://www.reddit.com/r/GERD/comments/hnd75c/has_gerd_had_any_effect_on_your_skin/")</f>
        <v/>
      </c>
      <c r="G8871" t="inlineStr">
        <is>
          <t>2020-07-08 01:16:26</t>
        </is>
      </c>
      <c r="H8871" t="inlineStr"/>
    </row>
    <row r="8872">
      <c r="A8872" t="inlineStr">
        <is>
          <t>hnd9ml</t>
        </is>
      </c>
      <c r="B8872" t="inlineStr">
        <is>
          <t>Eating quickly</t>
        </is>
      </c>
      <c r="C8872" t="inlineStr">
        <is>
          <t>Lately i've been wondering if eating quickly, and not chewing your food properly would make your reflux worse? 
I have noticed that i've been doing this for a while now, mainly because I have TMJ and chewing for a longer time nonstop isn't really comfortable. And the reflux after eating has been pretty rough.
Let me know if any of you have noticed if eating fast affects your reflux</t>
        </is>
      </c>
      <c r="D8872" t="n">
        <v>1</v>
      </c>
      <c r="E8872" t="n">
        <v>2</v>
      </c>
      <c r="F8872">
        <f>HYPERLINK("https://www.reddit.com/r/GERD/comments/hnd9ml/eating_quickly/")</f>
        <v/>
      </c>
      <c r="G8872" t="inlineStr">
        <is>
          <t>2020-07-08 01:22:38</t>
        </is>
      </c>
      <c r="H8872" t="inlineStr"/>
    </row>
    <row r="8873">
      <c r="A8873" t="inlineStr">
        <is>
          <t>hne0yb</t>
        </is>
      </c>
      <c r="B8873" t="inlineStr">
        <is>
          <t>What are the symptoms of Barrets oesophagus??</t>
        </is>
      </c>
      <c r="C8873" t="inlineStr">
        <is>
          <t>So I’m 18 with gerd on nexium. When I lie down after eating I have bad chest pains, like there’s acid in my chest. Heartburn has stopped completely with Nexium but comes back whenever I try and go off nexium My nexium has ran out so I have to set up another appointment and might go for a endoscopy. 
So what are the symptoms of barrets? I have chest pains when I lie down straight on my back and heartburns when I don’t take nexium</t>
        </is>
      </c>
      <c r="D8873" t="n">
        <v>1</v>
      </c>
      <c r="E8873" t="n">
        <v>5</v>
      </c>
      <c r="F8873">
        <f>HYPERLINK("https://www.reddit.com/r/GERD/comments/hne0yb/what_are_the_symptoms_of_barrets_oesophagus/")</f>
        <v/>
      </c>
      <c r="G8873" t="inlineStr">
        <is>
          <t>2020-07-08 02:32:24</t>
        </is>
      </c>
      <c r="H8873" t="inlineStr"/>
    </row>
    <row r="8874">
      <c r="A8874" t="inlineStr">
        <is>
          <t>hneu4z</t>
        </is>
      </c>
      <c r="B8874" t="inlineStr">
        <is>
          <t>Pain under left rib</t>
        </is>
      </c>
      <c r="C8874" t="inlineStr">
        <is>
          <t>Hello everyone. I have only recently been diagnosed with acid reflux and GERD issues and I am still trying to figure out what symptoms are linked to it. I’ve had a uncomfortable pain under my left rib that started around the same time as some of my other symptoms (nausea, weight loss, chest pain and sore throat). Anyone else experienced this symptom?</t>
        </is>
      </c>
      <c r="D8874" t="n">
        <v>1</v>
      </c>
      <c r="E8874" t="n">
        <v>4</v>
      </c>
      <c r="F8874">
        <f>HYPERLINK("https://www.reddit.com/r/GERD/comments/hneu4z/pain_under_left_rib/")</f>
        <v/>
      </c>
      <c r="G8874" t="inlineStr">
        <is>
          <t>2020-07-08 03:44:21</t>
        </is>
      </c>
      <c r="H8874" t="inlineStr"/>
    </row>
    <row r="8875">
      <c r="A8875" t="inlineStr">
        <is>
          <t>hnf9tw</t>
        </is>
      </c>
      <c r="B8875" t="inlineStr">
        <is>
          <t>Do you exercise when your GERD / LPR is bad?</t>
        </is>
      </c>
      <c r="C8875" t="inlineStr">
        <is>
          <t>I’m trying to take it easy and try and heal but I miss exercise and I wonder if I’m skipping it for no reason</t>
        </is>
      </c>
      <c r="D8875" t="n">
        <v>1</v>
      </c>
      <c r="E8875" t="n">
        <v>22</v>
      </c>
      <c r="F8875">
        <f>HYPERLINK("https://www.reddit.com/r/GERD/comments/hnf9tw/do_you_exercise_when_your_gerd_lpr_is_bad/")</f>
        <v/>
      </c>
      <c r="G8875" t="inlineStr">
        <is>
          <t>2020-07-08 04:20:08</t>
        </is>
      </c>
      <c r="H8875" t="inlineStr"/>
    </row>
    <row r="8876">
      <c r="A8876" t="inlineStr">
        <is>
          <t>hnges0</t>
        </is>
      </c>
      <c r="B8876" t="inlineStr">
        <is>
          <t>Metallic taste in mouth on PPI?</t>
        </is>
      </c>
      <c r="C8876" t="inlineStr">
        <is>
          <t>Specifically, I’m on nexium right now. 
20 mg once per day (always take in morning before food). 
Horrible metallic taste this morning that went away after I ate something. 
Anyone else experience this?</t>
        </is>
      </c>
      <c r="D8876" t="n">
        <v>1</v>
      </c>
      <c r="E8876" t="n">
        <v>3</v>
      </c>
      <c r="F8876">
        <f>HYPERLINK("https://www.reddit.com/r/GERD/comments/hnges0/metallic_taste_in_mouth_on_ppi/")</f>
        <v/>
      </c>
      <c r="G8876" t="inlineStr">
        <is>
          <t>2020-07-08 05:45:43</t>
        </is>
      </c>
      <c r="H8876" t="inlineStr"/>
    </row>
    <row r="8877">
      <c r="A8877" t="inlineStr">
        <is>
          <t>hngybs</t>
        </is>
      </c>
      <c r="B8877" t="inlineStr">
        <is>
          <t>Laying down</t>
        </is>
      </c>
      <c r="C8877" t="inlineStr">
        <is>
          <t>Is it normal that whenever im lying down, i suddenly feel like there's something on my chest but eventually go away and comes back.i dont have any acid reflux or heartburn. Just burping upon standing.</t>
        </is>
      </c>
      <c r="D8877" t="n">
        <v>1</v>
      </c>
      <c r="E8877" t="n">
        <v>3</v>
      </c>
      <c r="F8877">
        <f>HYPERLINK("https://www.reddit.com/r/GERD/comments/hngybs/laying_down/")</f>
        <v/>
      </c>
      <c r="G8877" t="inlineStr">
        <is>
          <t>2020-07-08 06:21:51</t>
        </is>
      </c>
      <c r="H8877" t="inlineStr"/>
    </row>
    <row r="8878">
      <c r="A8878" t="inlineStr">
        <is>
          <t>hnhttp</t>
        </is>
      </c>
      <c r="B8878" t="inlineStr">
        <is>
          <t>Can burp all day</t>
        </is>
      </c>
      <c r="C8878" t="inlineStr">
        <is>
          <t>Even when just drinking water and eating nothing at all, I can burp all day. Like literally. I need to burp before talking to not make my voice sound high/weird. Anyone found a fix on that? Ill see gastroenetroligist soon</t>
        </is>
      </c>
      <c r="D8878" t="n">
        <v>1</v>
      </c>
      <c r="E8878" t="n">
        <v>8</v>
      </c>
      <c r="F8878">
        <f>HYPERLINK("https://www.reddit.com/r/GERD/comments/hnhttp/can_burp_all_day/")</f>
        <v/>
      </c>
      <c r="G8878" t="inlineStr">
        <is>
          <t>2020-07-08 07:16:59</t>
        </is>
      </c>
      <c r="H8878" t="inlineStr"/>
    </row>
    <row r="8879">
      <c r="A8879" t="inlineStr">
        <is>
          <t>hnig7c</t>
        </is>
      </c>
      <c r="B8879" t="inlineStr">
        <is>
          <t>Any suggestions?</t>
        </is>
      </c>
      <c r="C8879" t="inlineStr">
        <is>
          <t>Everytime in the past couple of days, i keep waking up with acid in my throat.
I don't eat anything at least 5 hours before going to bed. And i sleep on a wedge pillow. I sleep on my back. Yet i still wake up with a feeling or acid in my throat, anyone else has this problem?</t>
        </is>
      </c>
      <c r="D8879" t="n">
        <v>1</v>
      </c>
      <c r="E8879" t="n">
        <v>5</v>
      </c>
      <c r="F8879">
        <f>HYPERLINK("https://www.reddit.com/r/GERD/comments/hnig7c/any_suggestions/")</f>
        <v/>
      </c>
      <c r="G8879" t="inlineStr">
        <is>
          <t>2020-07-08 07:53:33</t>
        </is>
      </c>
      <c r="H8879" t="inlineStr"/>
    </row>
    <row r="8880">
      <c r="A8880" t="inlineStr">
        <is>
          <t>hnijo6</t>
        </is>
      </c>
      <c r="B8880" t="inlineStr">
        <is>
          <t>LPR &amp;amp; Restaurants/Fastfood</t>
        </is>
      </c>
      <c r="C8880" t="inlineStr">
        <is>
          <t>Anyone have good reccomendations for keeping your LPR at bay while eating out? I’ve heard pho is amazing for it, as well as miso, and one of my top favorites is the Chick-fil-A chicken wrap with fat free dressing and a kale salad as a side. I was curious about Mediterranean food and sushi and if those are good for you?
Please drop all your favorite places and suggestions!!</t>
        </is>
      </c>
      <c r="D8880" t="n">
        <v>1</v>
      </c>
      <c r="E8880" t="n">
        <v>6</v>
      </c>
      <c r="F8880">
        <f>HYPERLINK("https://www.reddit.com/r/GERD/comments/hnijo6/lpr_restaurantsfastfood/")</f>
        <v/>
      </c>
      <c r="G8880" t="inlineStr">
        <is>
          <t>2020-07-08 07:58:50</t>
        </is>
      </c>
      <c r="H8880" t="inlineStr"/>
    </row>
    <row r="8881">
      <c r="A8881" t="inlineStr">
        <is>
          <t>hnkx5q</t>
        </is>
      </c>
      <c r="B8881" t="inlineStr">
        <is>
          <t>Not hungry</t>
        </is>
      </c>
      <c r="C8881" t="inlineStr">
        <is>
          <t>Anyone else with reflux/gerd have periods where your just not hungry and feel nauseous at the thought of food? I tried eating last night and kept gagging and just not hungry today at all.</t>
        </is>
      </c>
      <c r="D8881" t="n">
        <v>4</v>
      </c>
      <c r="E8881" t="n">
        <v>20</v>
      </c>
      <c r="F8881">
        <f>HYPERLINK("https://www.reddit.com/r/GERD/comments/hnkx5q/not_hungry/")</f>
        <v/>
      </c>
      <c r="G8881" t="inlineStr">
        <is>
          <t>2020-07-08 10:07:08</t>
        </is>
      </c>
      <c r="H8881" t="inlineStr"/>
    </row>
    <row r="8882">
      <c r="A8882" t="inlineStr">
        <is>
          <t>hnlygh</t>
        </is>
      </c>
      <c r="B8882" t="inlineStr">
        <is>
          <t>Anyone ever had Palpitations with GERD?</t>
        </is>
      </c>
      <c r="C8882" t="inlineStr">
        <is>
          <t>I seem to be having heart palpitations, but it’s always right after I eat food. I constantly burp and have gas buildup. I don’t really get heartburn a ton, but I do notice a lot of acid. 
It just seems like every time I eat, I get heart palpitations and I was wondering if anyone has had the same or if this could be related to GERD? If I don’t eat I just don’t really get the palpitations at all.</t>
        </is>
      </c>
      <c r="D8882" t="n">
        <v>1</v>
      </c>
      <c r="E8882" t="n">
        <v>10</v>
      </c>
      <c r="F8882">
        <f>HYPERLINK("https://www.reddit.com/r/GERD/comments/hnlygh/anyone_ever_had_palpitations_with_gerd/")</f>
        <v/>
      </c>
      <c r="G8882" t="inlineStr">
        <is>
          <t>2020-07-08 11:01:49</t>
        </is>
      </c>
      <c r="H8882" t="inlineStr"/>
    </row>
    <row r="8883">
      <c r="A8883" t="inlineStr">
        <is>
          <t>hnm5as</t>
        </is>
      </c>
      <c r="B8883" t="inlineStr">
        <is>
          <t>Esophagitis and Famitodine</t>
        </is>
      </c>
      <c r="C8883" t="inlineStr">
        <is>
          <t>I have some questions. I am coming to you guys because where I live the doctors are useless and unfortunately bc of this stupid pandemic I can't go to a better doctor a little further away. I had my endoscopy on the 30th of June and the GI was suppose to talk to my husband with the results and then she was suppose to speak with me once I woke up. Well non of that happened I was just pretty much woken up told to change in the bathroom without any help given some paper work and rushed out. So the paper work said there were biopsies taken and LA grade A reflux esophagitis and I guess reddness in my stomach? I was perscribed 40ml famitodine to take at night and sulfacrate. I told my GI that when I took ppis I had bad reactions and so i have taken famitodine too and it made my eyes really itchy and they hurt up to 3 days after (I only took it once). The GI said she has never herd of ppl having side effects on ppis ect whatever. My doctor said that the reaction on had to famitodine wasn't something she has herd of that maybe its my anxiety getting the best of me.(i have anxiety and I have never experienced itchy painful eyes bc of it before)
So I guess my questions are has anyone had thise side effects to famitodine? Has anyone had anxiety taking it? Also if you have had the same diagnosis as myself does it go away or will it come back when it gets better because I don't want to take pills for the rest of my life. Especially those. I have posted here before. I had a terrible allergic reaction to an antibiotic back in the beginning of April and two days later is when all this bullshit started after I got home from the hospital. So I am very anxious to put anything into my body and I don't want to put anything that causes anxiety as a side effect or itchy eyes.
Any personal experience would really help thank you guys!</t>
        </is>
      </c>
      <c r="D8883" t="n">
        <v>1</v>
      </c>
      <c r="E8883" t="n">
        <v>5</v>
      </c>
      <c r="F8883">
        <f>HYPERLINK("https://www.reddit.com/r/GERD/comments/hnm5as/esophagitis_and_famitodine/")</f>
        <v/>
      </c>
      <c r="G8883" t="inlineStr">
        <is>
          <t>2020-07-08 11:11:18</t>
        </is>
      </c>
      <c r="H8883" t="inlineStr"/>
    </row>
    <row r="8884">
      <c r="A8884" t="inlineStr">
        <is>
          <t>hnmtp5</t>
        </is>
      </c>
      <c r="B8884" t="inlineStr">
        <is>
          <t>Anyone get the feeling of popping or joint cracking in your chest when you move?</t>
        </is>
      </c>
      <c r="C8884" t="inlineStr">
        <is>
          <t>It doesn’t really hurt, but frequently it feels like a “cracking of knuckles” in my chest. It typically happens when I move.
I doubt it’s related to Gastro issues, but thought I’d ask the community if anyone gets that as well?</t>
        </is>
      </c>
      <c r="D8884" t="n">
        <v>1</v>
      </c>
      <c r="E8884" t="n">
        <v>8</v>
      </c>
      <c r="F8884">
        <f>HYPERLINK("https://www.reddit.com/r/GERD/comments/hnmtp5/anyone_get_the_feeling_of_popping_or_joint/")</f>
        <v/>
      </c>
      <c r="G8884" t="inlineStr">
        <is>
          <t>2020-07-08 11:46:16</t>
        </is>
      </c>
      <c r="H8884" t="inlineStr"/>
    </row>
    <row r="8885">
      <c r="A8885" t="inlineStr">
        <is>
          <t>hnn3fe</t>
        </is>
      </c>
      <c r="B8885" t="inlineStr">
        <is>
          <t>GERD/LPR E-Book</t>
        </is>
      </c>
      <c r="C8885" t="inlineStr">
        <is>
          <t>About 3-5 days ago, someone posted that they purchased an e-book for GERD/LPR issues and to contact them if one wanted the link.  Now I can't find the post, did anyone happen to get the link and if so, would you be willing to share it with me?</t>
        </is>
      </c>
      <c r="D8885" t="n">
        <v>1</v>
      </c>
      <c r="E8885" t="n">
        <v>3</v>
      </c>
      <c r="F8885">
        <f>HYPERLINK("https://www.reddit.com/r/GERD/comments/hnn3fe/gerdlpr_ebook/")</f>
        <v/>
      </c>
      <c r="G8885" t="inlineStr">
        <is>
          <t>2020-07-08 11:59:48</t>
        </is>
      </c>
      <c r="H8885" t="inlineStr"/>
    </row>
    <row r="8886">
      <c r="A8886" t="inlineStr">
        <is>
          <t>hnn5v0</t>
        </is>
      </c>
      <c r="B8886" t="inlineStr">
        <is>
          <t>Success with the Fast Tract Diet?</t>
        </is>
      </c>
      <c r="C8886" t="inlineStr">
        <is>
          <t>I was browsing another community when someone mentioned the Fast Tract Diet.  I saw on their website that it's good for those with GERD, LPR, SIBO, etc.. has anyone tried it and what were your results? 
[https://digestivehealthinstitute.org/fast-tract-diet/](https://digestivehealthinstitute.org/fast-tract-diet/)</t>
        </is>
      </c>
      <c r="D8886" t="n">
        <v>1</v>
      </c>
      <c r="E8886" t="n">
        <v>7</v>
      </c>
      <c r="F8886">
        <f>HYPERLINK("https://www.reddit.com/r/GERD/comments/hnn5v0/success_with_the_fast_tract_diet/")</f>
        <v/>
      </c>
      <c r="G8886" t="inlineStr">
        <is>
          <t>2020-07-08 12:03:02</t>
        </is>
      </c>
      <c r="H8886" t="inlineStr"/>
    </row>
    <row r="8887">
      <c r="A8887" t="inlineStr">
        <is>
          <t>hnngrb</t>
        </is>
      </c>
      <c r="B8887" t="inlineStr">
        <is>
          <t>Weakened voice</t>
        </is>
      </c>
      <c r="C8887" t="inlineStr">
        <is>
          <t>Does anyone else experience the feeling of a weakened voice? I'm experiencing my usual symptoms, but lately my voice feels very tired. I'm training someone at work, so I've been doing a lot more talking than normal, but my voice feels incredibly strained and weak. Just wondering if anyone else experiences something similar.</t>
        </is>
      </c>
      <c r="D8887" t="n">
        <v>1</v>
      </c>
      <c r="E8887" t="n">
        <v>9</v>
      </c>
      <c r="F8887">
        <f>HYPERLINK("https://www.reddit.com/r/GERD/comments/hnngrb/weakened_voice/")</f>
        <v/>
      </c>
      <c r="G8887" t="inlineStr">
        <is>
          <t>2020-07-08 12:18:09</t>
        </is>
      </c>
      <c r="H8887" t="inlineStr"/>
    </row>
    <row r="8888">
      <c r="A8888" t="inlineStr">
        <is>
          <t>hnnhes</t>
        </is>
      </c>
      <c r="B8888" t="inlineStr">
        <is>
          <t>Doctor told me to dose up PPI to 80mg for experiment.</t>
        </is>
      </c>
      <c r="C8888" t="inlineStr">
        <is>
          <t>I started PPI about 2-3 weeks ago. My symptoms are on and off. Some days are better, some days feel the same as before the medication. The doctor said that acid reflux symptoms should dramatically, almost immediately get better once on PPI. The fact that I’m still experiencing symptoms means that the medication doesn’t work for me, and try dosing up the pantoprazole from 40mg to 80mg to see if there is any difference until I see a GI for endoscopy. 
I thought the progress should be somewhat slow and am afraid to experiment like this. I also found a clinical study paper (https://onlinelibrary.wiley.com/doi/abs/10.1111/j.0953-0673.1996.00397.x) that says that 80mg wasn’t more effective than 40mg to patients. Thoughts?</t>
        </is>
      </c>
      <c r="D8888" t="n">
        <v>1</v>
      </c>
      <c r="E8888" t="n">
        <v>14</v>
      </c>
      <c r="F8888">
        <f>HYPERLINK("https://www.reddit.com/r/GERD/comments/hnnhes/doctor_told_me_to_dose_up_ppi_to_80mg_for/")</f>
        <v/>
      </c>
      <c r="G8888" t="inlineStr">
        <is>
          <t>2020-07-08 12:19:03</t>
        </is>
      </c>
      <c r="H8888" t="inlineStr"/>
    </row>
    <row r="8889">
      <c r="A8889" t="inlineStr">
        <is>
          <t>hnnkuq</t>
        </is>
      </c>
      <c r="B8889" t="inlineStr">
        <is>
          <t>Is this common? None of the regular triggers</t>
        </is>
      </c>
      <c r="C8889" t="inlineStr">
        <is>
          <t>I have a 14yo girl who was diagnosed with GERD at 1 day old. It was so bad immediately after her birth that she had upper and lower GI before she was 24 hours old. She was on Zantac for her first year and still regularly had episodes of projectile vomiting. She mostly seemed to outgrow it but occasionally complained of "throw up burps". 
As she's gotten older, she's played competitive softball and started refusing to eat breakfast before morning games because it made her sick. That worked okay, but this past year has gotten progressively worse. Last summer we ended up in the ER for what turned out to be a very severe reaction to Aleve and she was told to take acid reducers until the pain was gone. Now, the pain and nausea seem to be getting bad again and she gets severe nausea if she eats anything with substance but severe pain and then nausea if she doesn't eat. She was near panic attack last weekend crying because she had so much pain and nausea. I forced her to eat some watermelon (it's the only thing that sounded good to her) and she stopped panicking, but the pain and nausea were persistent throughout the weekend. 
The thing is, if she's not exercising, she doesn't seem to get triggered by the normal trigger foods (tomatoes and spicy foods for example), she just seems to have severe episodes triggered by exercise and they are worse when she drinks a lot of water. Has anyone here ever had a GERD diagnosis but not have it triggered by typical trigger foods? I've tried exploring possible trigger foods and asked her questions about how she feels eating various foods, but she just says she's "fine" until she's not. I wonder if she's just always felt reactions to foods so she doesn't even realize that it's not supposed to be that way? 
She's on a 14 day dose of Nexium based on previous recommendations from her doctor, but I'm thinking we might need to get to a GI specialist. She also has strong family history of Barrett's esophagus (both my mom and her dad's mom have been diagnosed, and each of their fathers died from esophageal cancer, plus other family members diagnosed with it). At this point, if it's GERD again, it seems like her only solution would be to eliminate most intense exercise, which brings it's own health concerns as well.</t>
        </is>
      </c>
      <c r="D8889" t="n">
        <v>1</v>
      </c>
      <c r="E8889" t="n">
        <v>6</v>
      </c>
      <c r="F8889">
        <f>HYPERLINK("https://www.reddit.com/r/GERD/comments/hnnkuq/is_this_common_none_of_the_regular_triggers/")</f>
        <v/>
      </c>
      <c r="G8889" t="inlineStr">
        <is>
          <t>2020-07-08 12:23:47</t>
        </is>
      </c>
      <c r="H8889" t="inlineStr"/>
    </row>
    <row r="8890">
      <c r="A8890" t="inlineStr">
        <is>
          <t>hno1yn</t>
        </is>
      </c>
      <c r="B8890" t="inlineStr">
        <is>
          <t>Woke up thinking I was having a heart attack</t>
        </is>
      </c>
      <c r="C8890" t="inlineStr">
        <is>
          <t>First time I’ve had heartburn like this since starting Prilosec 20mg</t>
        </is>
      </c>
      <c r="D8890" t="n">
        <v>2</v>
      </c>
      <c r="E8890" t="n">
        <v>3</v>
      </c>
      <c r="F8890">
        <f>HYPERLINK("https://www.reddit.com/r/GERD/comments/hno1yn/woke_up_thinking_i_was_having_a_heart_attack/")</f>
        <v/>
      </c>
      <c r="G8890" t="inlineStr">
        <is>
          <t>2020-07-08 12:47:43</t>
        </is>
      </c>
      <c r="H8890" t="inlineStr"/>
    </row>
    <row r="8891">
      <c r="A8891" t="inlineStr">
        <is>
          <t>hnoklj</t>
        </is>
      </c>
      <c r="B8891" t="inlineStr">
        <is>
          <t>Anyone able to get off long term PPI use effectively without crazy acid rebound?</t>
        </is>
      </c>
      <c r="C8891" t="inlineStr">
        <is>
          <t>I’ve been on omeprozol for around 8 years. I’m down to 10mg, but unable to get myself any lower. The reason I’m trying to come off because it seems I’ve developed an intolerance and my gut motility/digestion basically seizes when I take them, it seems like it in turn causes more heart burn since the food just sits there. 
H2 blockers don’t seem to work for me and I’ve cycled through other PPIs they all seem to cause the same symptoms. Wondering if anyone’s had luck tapering off effectively without destroying their esophagus in the process. What did you do/use? Thanks</t>
        </is>
      </c>
      <c r="D8891" t="n">
        <v>1</v>
      </c>
      <c r="E8891" t="n">
        <v>0</v>
      </c>
      <c r="F8891">
        <f>HYPERLINK("https://www.reddit.com/r/GERD/comments/hnoklj/anyone_able_to_get_off_long_term_ppi_use/")</f>
        <v/>
      </c>
      <c r="G8891" t="inlineStr">
        <is>
          <t>2020-07-08 13:14:01</t>
        </is>
      </c>
      <c r="H8891" t="inlineStr"/>
    </row>
    <row r="8892">
      <c r="A8892" t="inlineStr">
        <is>
          <t>hns452</t>
        </is>
      </c>
      <c r="B8892" t="inlineStr">
        <is>
          <t>Using Pepto Bismol</t>
        </is>
      </c>
      <c r="C8892" t="inlineStr">
        <is>
          <t>Does it say anything about my GERD if Pepto works better than baking soda/water or Gaviscon at settling my stomach when I'm having a flare up? Baking soda and Gaviscon used to work better, but now Pepto does and the other two barely help at all. 
I'm taking Pepcid AC 2x a day, after having to switch from Zantac, but it doesn't help as much, so flare ups during the day are more common. I'm not taking the max dose of Pepto every day, but I do take 2-4 doses and it seems to help the most and the quickest.</t>
        </is>
      </c>
      <c r="D8892" t="n">
        <v>1</v>
      </c>
      <c r="E8892" t="n">
        <v>2</v>
      </c>
      <c r="F8892">
        <f>HYPERLINK("https://www.reddit.com/r/GERD/comments/hns452/using_pepto_bismol/")</f>
        <v/>
      </c>
      <c r="G8892" t="inlineStr">
        <is>
          <t>2020-07-08 16:29:46</t>
        </is>
      </c>
      <c r="H8892" t="inlineStr"/>
    </row>
    <row r="8893">
      <c r="A8893" t="inlineStr">
        <is>
          <t>hnu3qw</t>
        </is>
      </c>
      <c r="B8893" t="inlineStr">
        <is>
          <t>Anyone done a natural way to clear reflux ?</t>
        </is>
      </c>
      <c r="C8893" t="inlineStr">
        <is>
          <t>Hi everyone so I got back from my manometry tests ... it did show I had reflux but non acidic reflux . Point is ...the doctor prescribed last resort medication to help with the digestion . I’m wondering if anyone here has beaten reflux with natural cleanses to boost the metabolism .. ? Anything will help thank you . I really don’t want a surgery ...</t>
        </is>
      </c>
      <c r="D8893" t="n">
        <v>1</v>
      </c>
      <c r="E8893" t="n">
        <v>6</v>
      </c>
      <c r="F8893">
        <f>HYPERLINK("https://www.reddit.com/r/GERD/comments/hnu3qw/anyone_done_a_natural_way_to_clear_reflux/")</f>
        <v/>
      </c>
      <c r="G8893" t="inlineStr">
        <is>
          <t>2020-07-08 18:36:22</t>
        </is>
      </c>
      <c r="H8893" t="inlineStr"/>
    </row>
    <row r="8894">
      <c r="A8894" t="inlineStr">
        <is>
          <t>hnuqus</t>
        </is>
      </c>
      <c r="B8894" t="inlineStr">
        <is>
          <t>How do you keep yourself from falling off the wagon?</t>
        </is>
      </c>
      <c r="C8894" t="inlineStr">
        <is>
          <t>I’ve been suffering from GERD almost six months now and only just recently started getting a hang of a proper diet. 
The only problem I have know is when I start feeling better, I always convince myself I am healed and deserve coffee, beer, sweets, etc. 
Which always puts me back to square one.
I was so accustomed to eating all day long, as many calories as I want. It doesn’t help that I stay the same weight, so I never fell guilty about it. Now I have this compulsive behavior that I’m constantly fighting. When I’m in pain it’s easy to follow through the constraints of what I should be eating, however I’m currently in the feeling normal part of the healing phase and my mind is seriously trying to convince me to indulge. 
How does everyone manage these wants?</t>
        </is>
      </c>
      <c r="D8894" t="n">
        <v>1</v>
      </c>
      <c r="E8894" t="n">
        <v>14</v>
      </c>
      <c r="F8894">
        <f>HYPERLINK("https://www.reddit.com/r/GERD/comments/hnuqus/how_do_you_keep_yourself_from_falling_off_the/")</f>
        <v/>
      </c>
      <c r="G8894" t="inlineStr">
        <is>
          <t>2020-07-08 19:17:49</t>
        </is>
      </c>
      <c r="H8894" t="inlineStr"/>
    </row>
    <row r="8895">
      <c r="A8895" t="inlineStr">
        <is>
          <t>hnuuqw</t>
        </is>
      </c>
      <c r="B8895" t="inlineStr">
        <is>
          <t>How do I know if I have gastritis or acid reflux?</t>
        </is>
      </c>
      <c r="C8895" t="inlineStr">
        <is>
          <t>The episode started in late May this year. I woke up feeling breathless, cold sweats and heart palpitations. I tried to calm myself down and in the end got really panicky and thinking I was having a heart attack. I got my wife to drive me to the emergency. They checked me out and gave me the clear on the heart attack. They gave me Omeprazole and I followed up with a cardiologist. It happened again 2 nights later. I went through the same thing and they gave me Nexium this time.
I stopped the Nexium at the 12 days mark as I read up on its side effects and got scared. The acid reflux came back with a vengeance. It happened daily after no matter what I ate. It felt really worse when I ate sweet potatoes and oat strangely enough. Short of a week I went to a clinic and got a clinic and was prescribed prantoprazole. I felt bad taking it and got back on Nexium. Still taking it until now, passed the 2 weeks mark now. No strong acid reflux but tend to feel bloated after meals.
Going through this, in my attempt to feel better I have tried many supplements like probiotics, aloe vera, manuka honey and corcumins. I even quit caffeine which makes it hard. Some times I am not sure the pains and symptoms I feel is because of caffeine withdrawal or the acid reflux.
Does anyone experience bloating on acid reflux? Is that a sign that the acid reflux is caused by gastritis?</t>
        </is>
      </c>
      <c r="D8895" t="n">
        <v>1</v>
      </c>
      <c r="E8895" t="n">
        <v>4</v>
      </c>
      <c r="F8895">
        <f>HYPERLINK("https://www.reddit.com/r/GERD/comments/hnuuqw/how_do_i_know_if_i_have_gastritis_or_acid_reflux/")</f>
        <v/>
      </c>
      <c r="G8895" t="inlineStr">
        <is>
          <t>2020-07-08 19:24:35</t>
        </is>
      </c>
      <c r="H8895" t="inlineStr"/>
    </row>
    <row r="8896">
      <c r="A8896" t="inlineStr">
        <is>
          <t>hnv2as</t>
        </is>
      </c>
      <c r="B8896" t="inlineStr">
        <is>
          <t>What do you substitute for alcohol?</t>
        </is>
      </c>
      <c r="C8896" t="inlineStr">
        <is>
          <t>Craft beer is my one "treat." Ironically I cut out most sweets and junk food for my health, and now alcohol is my number one reflux trigger (thanks a lot, universe!) 
Sometimes I can be happy with herbal tea instead, but not when it's hot outside like it is now. All of this to say -- what do you drink when you want alcohol but shouldn't have it?</t>
        </is>
      </c>
      <c r="D8896" t="n">
        <v>1</v>
      </c>
      <c r="E8896" t="n">
        <v>4</v>
      </c>
      <c r="F8896">
        <f>HYPERLINK("https://www.reddit.com/r/GERD/comments/hnv2as/what_do_you_substitute_for_alcohol/")</f>
        <v/>
      </c>
      <c r="G8896" t="inlineStr">
        <is>
          <t>2020-07-08 19:38:08</t>
        </is>
      </c>
      <c r="H8896" t="inlineStr"/>
    </row>
    <row r="8897">
      <c r="A8897" t="inlineStr">
        <is>
          <t>hnva8t</t>
        </is>
      </c>
      <c r="B8897" t="inlineStr">
        <is>
          <t>DAE get mucus in their throat/shortness of breath when laughing?</t>
        </is>
      </c>
      <c r="C8897" t="inlineStr">
        <is>
          <t>I’m still not sure if what I have is GERD or allergies or mild asthma, but I’ve been having shortness of breath for months now, and  recently noticed that if I laugh too hard I’ll start feeling short of breath and have mucus in my throat. I have to clear my throat constantly and take deep breaths until it fades. I don’t experience the mucus any other time except for after meals, and I don’t have a cough. Is this a GERD thing? 
I’ve been on a PPI for over a month now. I don’t really feel like I have mucus in my chest or like I’m congested, as I never cough anything up. I had a chest x-ray recently that came back normal. 
However, if there wasn’t a bunch of mucus hanging out in my chest, why would it suddenly appear after laughing too much? Any insight on this would be really helpful, since I don’t really know anything about this GERD or if it’s even what I’m dealing with. Thanks!</t>
        </is>
      </c>
      <c r="D8897" t="n">
        <v>1</v>
      </c>
      <c r="E8897" t="n">
        <v>3</v>
      </c>
      <c r="F8897">
        <f>HYPERLINK("https://www.reddit.com/r/GERD/comments/hnva8t/dae_get_mucus_in_their_throatshortness_of_breath/")</f>
        <v/>
      </c>
      <c r="G8897" t="inlineStr">
        <is>
          <t>2020-07-08 19:52:30</t>
        </is>
      </c>
      <c r="H8897" t="inlineStr"/>
    </row>
    <row r="8898">
      <c r="A8898" t="inlineStr">
        <is>
          <t>hnvowo</t>
        </is>
      </c>
      <c r="B8898" t="inlineStr">
        <is>
          <t>Amitriptyline for Gerd/Gastritis</t>
        </is>
      </c>
      <c r="C8898" t="inlineStr">
        <is>
          <t>How long does Amitriptyline takes to work to help with Gerd/Gastritis?</t>
        </is>
      </c>
      <c r="D8898" t="n">
        <v>1</v>
      </c>
      <c r="E8898" t="n">
        <v>4</v>
      </c>
      <c r="F8898">
        <f>HYPERLINK("https://www.reddit.com/r/GERD/comments/hnvowo/amitriptyline_for_gerdgastritis/")</f>
        <v/>
      </c>
      <c r="G8898" t="inlineStr">
        <is>
          <t>2020-07-08 20:20:06</t>
        </is>
      </c>
      <c r="H8898" t="inlineStr"/>
    </row>
    <row r="8899">
      <c r="A8899" t="inlineStr">
        <is>
          <t>hnwd6z</t>
        </is>
      </c>
      <c r="B8899" t="inlineStr">
        <is>
          <t>Omeprazole with Crazy Bloating Anyone?!</t>
        </is>
      </c>
      <c r="C8899" t="inlineStr">
        <is>
          <t>Ever since being on omeprazole, it seems my bloating has been insane :') Everything I eat+ drink causes massiveeeeeee bloating. Does anyone else get this? I bloat to the point where it looks like I'm carrying a child. The bloating is not your average bloat. It's uncomfortable with lots of pressure. Sometimes I'm so bloated I can't think nor can I move. Since there's so much pressure, somtimes when I burp, regurgitation happens. It worries me a lot and hasn't gotten better since I've been on omeprazole. I've been on omeprazole for over a month now, almost 2 I believe. What causes this? From what I've heard it's because food just basically sits in the stomach and rots there with the little acid I have left in my stomach :'( Do you know what is the actual reason or any thoughts on this crazy bloating? Is this an effect of omeprazole or is there another PPI that I could take possibly?</t>
        </is>
      </c>
      <c r="D8899" t="n">
        <v>1</v>
      </c>
      <c r="E8899" t="n">
        <v>28</v>
      </c>
      <c r="F8899">
        <f>HYPERLINK("https://www.reddit.com/r/GERD/comments/hnwd6z/omeprazole_with_crazy_bloating_anyone/")</f>
        <v/>
      </c>
      <c r="G8899" t="inlineStr">
        <is>
          <t>2020-07-08 21:07:11</t>
        </is>
      </c>
      <c r="H8899" t="inlineStr"/>
    </row>
    <row r="8900">
      <c r="A8900" t="inlineStr">
        <is>
          <t>hnx2iz</t>
        </is>
      </c>
      <c r="B8900" t="inlineStr">
        <is>
          <t>Order of Medication?</t>
        </is>
      </c>
      <c r="C8900" t="inlineStr">
        <is>
          <t>I was seen to have mild gastritis and some esophageal reflux after a upper gi endoscopy 2 days ago. The follow up is 2 weeks from now. My symptoms included constant thick mucus, dry throat when I sleep, and a sore throat. The sore throat lasted a good 3 months before I came here and learned of silent reflux based from my symptoms. By the time I got to a GI I had already been on a acid reflux diet a month and the sore throat had mostly gone away. Hoping after a proper diagnoses and medication can further advance my healing as I strictly follow it.
On to the real question, in what order do I take the medication I was given? 20MG Famotidine and 1G Sucraflate. From what I know Famotidine reduces stomach acid and Sucraflate coats the stomach.
Now with my logic I figured I should take Famotidine first since the Sucraflate would keep it from being absorbed enough. But wouldn't Famotidine keep the Sucraflate from coating the stomach good if my acids are reduced to break it down? I am unsure what's the correct play here.</t>
        </is>
      </c>
      <c r="D8900" t="n">
        <v>1</v>
      </c>
      <c r="E8900" t="n">
        <v>2</v>
      </c>
      <c r="F8900">
        <f>HYPERLINK("https://www.reddit.com/r/GERD/comments/hnx2iz/order_of_medication/")</f>
        <v/>
      </c>
      <c r="G8900" t="inlineStr">
        <is>
          <t>2020-07-08 21:58:21</t>
        </is>
      </c>
      <c r="H8900" t="inlineStr"/>
    </row>
    <row r="8901">
      <c r="A8901" t="inlineStr">
        <is>
          <t>hnxba3</t>
        </is>
      </c>
      <c r="B8901" t="inlineStr">
        <is>
          <t>Books with vegan friendly diet tipps</t>
        </is>
      </c>
      <c r="C8901" t="inlineStr">
        <is>
          <t>Hello. My doctor thinks I might have reflux, maybe silent reflux. I got some medications but I want to do more (I hate being on any medications since meds make me anxious bc of side effects).
I have read about the acid watch diet but it seems like there's a lot of animal products involved.
I am really confused by internet sources because while plant based always seems to be no problem, lemons are not considered acidic etc when I google alkaline diet. So there is a difference between just eating alkaline food and diet for reflux I guess?
Are there any good books especially for reflux that are vegan friendly? Best would be if it's available on kindle or as a pdf.
I need to get rid of this sore throat!
Thank you. ♡</t>
        </is>
      </c>
      <c r="D8901" t="n">
        <v>1</v>
      </c>
      <c r="E8901" t="n">
        <v>2</v>
      </c>
      <c r="F8901">
        <f>HYPERLINK("https://www.reddit.com/r/GERD/comments/hnxba3/books_with_vegan_friendly_diet_tipps/")</f>
        <v/>
      </c>
      <c r="G8901" t="inlineStr">
        <is>
          <t>2020-07-08 22:17:10</t>
        </is>
      </c>
      <c r="H8901" t="inlineStr"/>
    </row>
    <row r="8902">
      <c r="A8902" t="inlineStr">
        <is>
          <t>hnxent</t>
        </is>
      </c>
      <c r="B8902" t="inlineStr">
        <is>
          <t>Weird smells in my nose...? GERD related??</t>
        </is>
      </c>
      <c r="C8902" t="inlineStr">
        <is>
          <t>I've been noticing an almost smoky smell when in bed lately. I've looked....err, smelled all over and couldn't find anything (except fireworks over the weekend), finally I thought it might be my Gerd etc? It's pretty much when lying down, and I finally realized that I have a bit of an off taste as well. 
I looked it up and supposedly it can cause bad breath, so maybe that's what I'm smelling? 
Anyone else?</t>
        </is>
      </c>
      <c r="D8902" t="n">
        <v>1</v>
      </c>
      <c r="E8902" t="n">
        <v>0</v>
      </c>
      <c r="F8902">
        <f>HYPERLINK("https://www.reddit.com/r/GERD/comments/hnxent/weird_smells_in_my_nose_gerd_related/")</f>
        <v/>
      </c>
      <c r="G8902" t="inlineStr">
        <is>
          <t>2020-07-08 22:24:40</t>
        </is>
      </c>
      <c r="H8902" t="inlineStr"/>
    </row>
    <row r="8903">
      <c r="A8903" t="inlineStr">
        <is>
          <t>hnxi2n</t>
        </is>
      </c>
      <c r="B8903" t="inlineStr">
        <is>
          <t>How to help with GERD? SOS</t>
        </is>
      </c>
      <c r="C8903" t="inlineStr">
        <is>
          <t>So, I have been suffering with this for about a year now and its especially worse at night. Like tonight (its 1 31 am in ny) it has been terrible. I have tried raising my head up and everything but nothing's working. I even tried drinking water and that didn't even help.  Can I have some help from you guys?</t>
        </is>
      </c>
      <c r="D8903" t="n">
        <v>1</v>
      </c>
      <c r="E8903" t="n">
        <v>9</v>
      </c>
      <c r="F8903">
        <f>HYPERLINK("https://www.reddit.com/r/GERD/comments/hnxi2n/how_to_help_with_gerd_sos/")</f>
        <v/>
      </c>
      <c r="G8903" t="inlineStr">
        <is>
          <t>2020-07-08 22:32:28</t>
        </is>
      </c>
      <c r="H8903" t="inlineStr"/>
    </row>
    <row r="8904">
      <c r="A8904" t="inlineStr">
        <is>
          <t>hnxs2z</t>
        </is>
      </c>
      <c r="B8904" t="inlineStr">
        <is>
          <t>Breathing</t>
        </is>
      </c>
      <c r="C8904" t="inlineStr">
        <is>
          <t>Is anyone having difficulties breathing? I got this lingering feeling in my stomach it feels like Im in a stomach-in pose but Im actually not. It just feels like my diaphragm is not being responsive or idk</t>
        </is>
      </c>
      <c r="D8904" t="n">
        <v>1</v>
      </c>
      <c r="E8904" t="n">
        <v>23</v>
      </c>
      <c r="F8904">
        <f>HYPERLINK("https://www.reddit.com/r/GERD/comments/hnxs2z/breathing/")</f>
        <v/>
      </c>
      <c r="G8904" t="inlineStr">
        <is>
          <t>2020-07-08 22:55:23</t>
        </is>
      </c>
      <c r="H8904" t="inlineStr"/>
    </row>
    <row r="8905">
      <c r="A8905" t="inlineStr">
        <is>
          <t>hnxwej</t>
        </is>
      </c>
      <c r="B8905" t="inlineStr">
        <is>
          <t>GERD Symptoms ?</t>
        </is>
      </c>
      <c r="C8905" t="inlineStr">
        <is>
          <t>Not sure if it’s GERD or not but it seems about 30 mins after I eat I’ll start to feel funny. Slight dizziness, headache, stuffy nose, slight sore throat.  Plus a feeling like I want to gag. No nausea or anything . Just the gag feeling. 
What that usually leads up to is me trying to gag and throw something up. The only thing that comes up is mucus though. If I get enough up it seems like all the symptoms that I described above go away . 
I’m leaning toward GERD but not really sure on any of this.</t>
        </is>
      </c>
      <c r="D8905" t="n">
        <v>1</v>
      </c>
      <c r="E8905" t="n">
        <v>3</v>
      </c>
      <c r="F8905">
        <f>HYPERLINK("https://www.reddit.com/r/GERD/comments/hnxwej/gerd_symptoms/")</f>
        <v/>
      </c>
      <c r="G8905" t="inlineStr">
        <is>
          <t>2020-07-08 23:05:47</t>
        </is>
      </c>
      <c r="H8905" t="inlineStr"/>
    </row>
    <row r="8906">
      <c r="A8906" t="inlineStr">
        <is>
          <t>hnxxua</t>
        </is>
      </c>
      <c r="B8906" t="inlineStr">
        <is>
          <t>Pepto Bismal substitute?</t>
        </is>
      </c>
      <c r="C8906" t="inlineStr">
        <is>
          <t>Pepto gives me the best results out if everything I've tried, but I know you can't take it long term. Is there any substitute that's safer long term that I can replace it with?</t>
        </is>
      </c>
      <c r="D8906" t="n">
        <v>1</v>
      </c>
      <c r="E8906" t="n">
        <v>1</v>
      </c>
      <c r="F8906">
        <f>HYPERLINK("https://www.reddit.com/r/GERD/comments/hnxxua/pepto_bismal_substitute/")</f>
        <v/>
      </c>
      <c r="G8906" t="inlineStr">
        <is>
          <t>2020-07-08 23:09:12</t>
        </is>
      </c>
      <c r="H8906" t="inlineStr"/>
    </row>
    <row r="8907">
      <c r="A8907" t="inlineStr">
        <is>
          <t>hny683</t>
        </is>
      </c>
      <c r="B8907" t="inlineStr">
        <is>
          <t>How many endoscopies does a gastroenterologist do a day?</t>
        </is>
      </c>
      <c r="C8907" t="inlineStr">
        <is>
          <t>I see some have online appointments 15 mins apart!
Are they just cranking them out?  
When you got yours, how many people were ahead of you and behind you?  
Do you get a chance to speak with the doctor before it starts?</t>
        </is>
      </c>
      <c r="D8907" t="n">
        <v>1</v>
      </c>
      <c r="E8907" t="n">
        <v>3</v>
      </c>
      <c r="F8907">
        <f>HYPERLINK("https://www.reddit.com/r/GERD/comments/hny683/how_many_endoscopies_does_a_gastroenterologist_do/")</f>
        <v/>
      </c>
      <c r="G8907" t="inlineStr">
        <is>
          <t>2020-07-08 23:29:56</t>
        </is>
      </c>
      <c r="H8907" t="inlineStr"/>
    </row>
    <row r="8908">
      <c r="A8908" t="inlineStr">
        <is>
          <t>ho0kj0</t>
        </is>
      </c>
      <c r="B8908" t="inlineStr">
        <is>
          <t>Terrified waiting for test results</t>
        </is>
      </c>
      <c r="C8908" t="inlineStr">
        <is>
          <t>I am 29 M and just had an endoscopy on Tuesday afternoon. After the procedure, my doctor called my wife and said everything looks good, no cancer and no ulcers. Some irregularity probably due to gerd. On the printout he gave me, it notes some irregularity suspicious for Barrett’s intestinal metaplasia. I am waiting for him to call me back to discuss but I don’t see how everything looks good and they suspect Barrett’s. 
I’m relieved there’s no cancer but I have no idea what this means and probably won’t have a good idea for a week or two when results come back from biopsy. 
How do I cope with the anxiety of waiting around??</t>
        </is>
      </c>
      <c r="D8908" t="n">
        <v>1</v>
      </c>
      <c r="E8908" t="n">
        <v>0</v>
      </c>
      <c r="F8908">
        <f>HYPERLINK("https://www.reddit.com/r/GERD/comments/ho0kj0/terrified_waiting_for_test_results/")</f>
        <v/>
      </c>
      <c r="G8908" t="inlineStr">
        <is>
          <t>2020-07-09 03:10:12</t>
        </is>
      </c>
      <c r="H8908" t="inlineStr"/>
    </row>
    <row r="8909">
      <c r="A8909" t="inlineStr">
        <is>
          <t>ho1lfg</t>
        </is>
      </c>
      <c r="B8909" t="inlineStr">
        <is>
          <t>Anyone have PPIs just not work at all for them?</t>
        </is>
      </c>
      <c r="C8909" t="inlineStr">
        <is>
          <t>I’m surprised and pretty depressed that I seem to have fallen into this category.  I have had non stop gerd / LPR symptoms for 2 straight weeks - burning in my chest and up into my throat / ears, waking up shaky and nauseated every day. Previously my problems were mostly around breathing and I was diagnosed with a small hiatal hernia on June 5. But I’m doing everything I can - eating low acid, drinking PH water, sleeping on a wedge, eating 3-4 hours before bed, gave up coffee etc - and I seem to only be getting WORSE. There is no relief unless I spend an entire day doing absolutely nothing - like barely moving and just sitting in a chair all day. I’ll be *ok* the next day. I’m on 60mg of dexilant, previously was on Prilosec. Has anyone been through this? 
I am so hopeless and depressed. I have to wait two more weeks to see my GI again, but if meds don’t work....</t>
        </is>
      </c>
      <c r="D8909" t="n">
        <v>1</v>
      </c>
      <c r="E8909" t="n">
        <v>11</v>
      </c>
      <c r="F8909">
        <f>HYPERLINK("https://www.reddit.com/r/GERD/comments/ho1lfg/anyone_have_ppis_just_not_work_at_all_for_them/")</f>
        <v/>
      </c>
      <c r="G8909" t="inlineStr">
        <is>
          <t>2020-07-09 04:39:56</t>
        </is>
      </c>
      <c r="H8909" t="inlineStr"/>
    </row>
    <row r="8910">
      <c r="A8910" t="inlineStr">
        <is>
          <t>ho2k9p</t>
        </is>
      </c>
      <c r="B8910" t="inlineStr">
        <is>
          <t>I am scared :( how to stay calm.</t>
        </is>
      </c>
      <c r="C8910" t="inlineStr">
        <is>
          <t>So I have throat pain for a month now.
I've been to a normal doctor 3 times (no results) and to the ENT who said I have redness deep in my throat at a typical location for reflux. 
I don't have heartburn but he said not eveyone has that.
I was given medication (pantropazol) for a month. Nothing to soothe the pain or repair the throat.
I am really scared since I have health anxiety and trust issues.
I feel horrible to just wait until MAYBE thr meds help. Will that be days? Weeks? Will they help at all?
What about the redness? Shouldn't that be taken care of? Because if the meds don't work won't it get worse and worse? I don't wanna know about risks and everything and I don't google because I am really sensitive but my mind already makes abstract images of catastrophes that may or may not be realistic. 2 days of meds and no effect.
I feel so scared and insecure about everything. The meds scare me too, I hate pills.
I was relieved at first that I am not crazy and the doctor saw something but I hoped there would be a way to make sure I am safe and my pain will go away in a couple of days like when you're "normal sick"...
How can I not go crazy?</t>
        </is>
      </c>
      <c r="D8910" t="n">
        <v>1</v>
      </c>
      <c r="E8910" t="n">
        <v>11</v>
      </c>
      <c r="F8910">
        <f>HYPERLINK("https://www.reddit.com/r/GERD/comments/ho2k9p/i_am_scared_how_to_stay_calm/")</f>
        <v/>
      </c>
      <c r="G8910" t="inlineStr">
        <is>
          <t>2020-07-09 05:54:01</t>
        </is>
      </c>
      <c r="H8910" t="inlineStr"/>
    </row>
    <row r="8911">
      <c r="A8911" t="inlineStr">
        <is>
          <t>ho2rmj</t>
        </is>
      </c>
      <c r="B8911" t="inlineStr">
        <is>
          <t>Will this diet work?</t>
        </is>
      </c>
      <c r="C8911" t="inlineStr">
        <is>
          <t>My friend says some changes in habit and diet will work wonders. Here is what she recommends.
1. Oats diet. (Just water and pinch of rock salts with a pinch of lucorice root powder and dates)
2. Warm water after waking up. 2 cups of warm water - Half an hour before any meals and after half an hour after.
3. Honey before and after meals.
4. 4 litres of warm water a day.</t>
        </is>
      </c>
      <c r="D8911" t="n">
        <v>1</v>
      </c>
      <c r="E8911" t="n">
        <v>8</v>
      </c>
      <c r="F8911">
        <f>HYPERLINK("https://www.reddit.com/r/GERD/comments/ho2rmj/will_this_diet_work/")</f>
        <v/>
      </c>
      <c r="G8911" t="inlineStr">
        <is>
          <t>2020-07-09 06:08:12</t>
        </is>
      </c>
      <c r="H8911" t="inlineStr"/>
    </row>
    <row r="8912">
      <c r="A8912" t="inlineStr">
        <is>
          <t>ho3sew</t>
        </is>
      </c>
      <c r="B8912" t="inlineStr">
        <is>
          <t>Can this be GERD?</t>
        </is>
      </c>
      <c r="C8912" t="inlineStr">
        <is>
          <t>Hi everyone! so here’s the thing: I’ve been struggling for like a week with a feeling of fullness I can’t explain. Also, everytime I eat, I regurgitate. It’s not like I regurgitate the whole thing but I certainly regurgitate a little. It doesn’t matter what I eat, it comes back up. It’s not digested food and it doesn’t taste acid. Even water or juice. Also, I am experiencing difficulty to swallow, like I have something stuck in my throat and the food passes slowly, then it slides and I feel so full in my chest area. Then I start benching and regurgitating. I feel like my chest and upper abdomen are full of air. I’m not hungry and I’m kinda scared of eating because it makes me sick. 
When I say that I constantly burp is CONSTANTLY, for example if I’m laying I have the urge to sit in bed and a big ass burp from my chest comes out. Also I feel like I have mucosity/saliva (?  In my throat. Sometimes I wake up in the middle of the night feeling this pressure in my chest. It’s not PAIN or BURN but it feels really heavy. 
I went to the doctor and she told me to take two pills. Esomeprazole and ranitidine are the components. She also booked me for an endoscopy next week. 
Also, went to the the doctor who sees nose/ throat/ ear (otorrinolaringológo) i dont know the English word haha. And she told me everything was completely fine, just a little redish larynx. 
The thing I want to know is, have you ever experimented all of any of these symptoms? Did you get a diagnosis? Are swallowing problems a symptom of GERD? Can I have GERD without experimenting acidity? 
I’d truly appreciate some orientation. I’ve been really anxious and nervous.
Thank you! 
CONTEXT: 
For past three months I had been eating like a pig. Fried chicken, ice cream, chocolates, burgers, fries, creamy milkshakes, and everything you can imagine. Also homemade meals with lots of condiments. I didn’t exercise and I was used to eat right before going to bed. Surprisingly, I hadn’t experimented any trouble with it. Until three weeks ago when I woke up feeling an extreme urge to burp, I did and nothing could calm it. I had to do it every second but it didn’t come from my stomach, it was more like air stuck in my chest. That night I freaked out thinking I was having a heart attack cause I felt like I couldn’t breathe and an elephant was sitting on my chest. I called the doctors and they came, they checked everything and told me it was probably gastritis. It made sense considering my recent eating habits. I didn’t feel better right after but taking some omeprazole and eating well, three days after I was feeling ok. I continued eating healthy but I had some irritating foods too once in a while. Then, a week ago the symptoms I described at the beginning are present.</t>
        </is>
      </c>
      <c r="D8912" t="n">
        <v>2</v>
      </c>
      <c r="E8912" t="n">
        <v>0</v>
      </c>
      <c r="F8912">
        <f>HYPERLINK("https://www.reddit.com/r/GERD/comments/ho3sew/can_this_be_gerd/")</f>
        <v/>
      </c>
      <c r="G8912" t="inlineStr">
        <is>
          <t>2020-07-09 07:14:03</t>
        </is>
      </c>
      <c r="H8912" t="inlineStr"/>
    </row>
    <row r="8913">
      <c r="A8913" t="inlineStr">
        <is>
          <t>ho3ybi</t>
        </is>
      </c>
      <c r="B8913" t="inlineStr">
        <is>
          <t>GERD-Friendly Protein Powder?</t>
        </is>
      </c>
      <c r="C8913" t="inlineStr">
        <is>
          <t>Hi all,
Hope everyone's having a low-flare day!
My personal trainer tasked me with increasing my protein and recommended protein shakes but isn't sure which ones will be good for my GERD. Anyone have any recommendations?</t>
        </is>
      </c>
      <c r="D8913" t="n">
        <v>5</v>
      </c>
      <c r="E8913" t="n">
        <v>17</v>
      </c>
      <c r="F8913">
        <f>HYPERLINK("https://www.reddit.com/r/GERD/comments/ho3ybi/gerdfriendly_protein_powder/")</f>
        <v/>
      </c>
      <c r="G8913" t="inlineStr">
        <is>
          <t>2020-07-09 07:23:40</t>
        </is>
      </c>
      <c r="H8913" t="inlineStr"/>
    </row>
    <row r="8914">
      <c r="A8914" t="inlineStr">
        <is>
          <t>ho59d2</t>
        </is>
      </c>
      <c r="B8914" t="inlineStr">
        <is>
          <t>Going to have an endoscopy sedated in a couple of days. What is like?</t>
        </is>
      </c>
      <c r="C8914" t="inlineStr">
        <is>
          <t>Im trying not to be scared, and i have read a lot about this. Looked up other questions about it as well. But something that im not sure of, is if you feel nauseaus after waking up? My main symptom is nausea and to top it all off, it's going to be in late afternoon, so not being able to eat a little lunch or anything is going to make my "empty stomach acid" even worse. I also read that after long sedations people tend to throw up, which im terrified of.. But if its a couple of minutes it won't be this bad after waking up, right..?
(edit: my bad on the typo in the title. *what is it like)</t>
        </is>
      </c>
      <c r="D8914" t="n">
        <v>1</v>
      </c>
      <c r="E8914" t="n">
        <v>26</v>
      </c>
      <c r="F8914">
        <f>HYPERLINK("https://www.reddit.com/r/GERD/comments/ho59d2/going_to_have_an_endoscopy_sedated_in_a_couple_of/")</f>
        <v/>
      </c>
      <c r="G8914" t="inlineStr">
        <is>
          <t>2020-07-09 08:38:32</t>
        </is>
      </c>
      <c r="H8914" t="inlineStr"/>
    </row>
    <row r="8915">
      <c r="A8915" t="inlineStr">
        <is>
          <t>ho7177</t>
        </is>
      </c>
      <c r="B8915" t="inlineStr">
        <is>
          <t>Difficulty swallowing but endoscopy didn't turn up any results</t>
        </is>
      </c>
      <c r="C8915" t="inlineStr">
        <is>
          <t>Has this every happened to any of you guys? Just had an endoscopy done for difficulty swallowing and nothing significant showed up. They did a biopsy anyway and we're waiting for results. What have your experiences been?  
EDIT: They only found a small haital hernia</t>
        </is>
      </c>
      <c r="D8915" t="n">
        <v>1</v>
      </c>
      <c r="E8915" t="n">
        <v>5</v>
      </c>
      <c r="F8915">
        <f>HYPERLINK("https://www.reddit.com/r/GERD/comments/ho7177/difficulty_swallowing_but_endoscopy_didnt_turn_up/")</f>
        <v/>
      </c>
      <c r="G8915" t="inlineStr">
        <is>
          <t>2020-07-09 10:15:15</t>
        </is>
      </c>
      <c r="H8915" t="inlineStr"/>
    </row>
    <row r="8916">
      <c r="A8916" t="inlineStr">
        <is>
          <t>ho78uh</t>
        </is>
      </c>
      <c r="B8916" t="inlineStr">
        <is>
          <t>Post nasal drip - Claritin or Claritin D?</t>
        </is>
      </c>
      <c r="C8916" t="inlineStr">
        <is>
          <t>Which type of Claritin should you take if you suffer from post nasal drip I tried Zyrtec and didn’t get a result</t>
        </is>
      </c>
      <c r="D8916" t="n">
        <v>2</v>
      </c>
      <c r="E8916" t="n">
        <v>11</v>
      </c>
      <c r="F8916">
        <f>HYPERLINK("https://www.reddit.com/r/GERD/comments/ho78uh/post_nasal_drip_claritin_or_claritin_d/")</f>
        <v/>
      </c>
      <c r="G8916" t="inlineStr">
        <is>
          <t>2020-07-09 10:26:43</t>
        </is>
      </c>
      <c r="H8916" t="inlineStr"/>
    </row>
    <row r="8917">
      <c r="A8917" t="inlineStr">
        <is>
          <t>ho7ncz</t>
        </is>
      </c>
      <c r="B8917" t="inlineStr">
        <is>
          <t>How does reflux affect your stool?</t>
        </is>
      </c>
      <c r="C8917" t="inlineStr">
        <is>
          <t>Pretty much everything I see online says that GERD/LPR are upper gastro issues only, and don’t impact bowel movements. I’m having issues both directions - I had sudden onset of reflux in mid-April, started Omeprazole, which I took for 1 month, and had a bout of yellow stool beginning about 2 weeks into the Omeprazole and stopping 2 weeks after I quit (so not sure if it’s to blame or not). Stool then swapped over to being loose and oily (I see like a faint oily film or sheen on top of the water if I look with a bright light on). This has persisted for more than a month now. 
I’m still undergoing tests (I’ve had an ultrasound, endoscopy, CT with contrast, lots of labs, a negative celiac blood test, and am working on a fecal fat and fecal elastase test now), but I’m trying to sort out if the reflux is impacting digestion and causing the stool issues, or if something else is causing both the reflux and stool issues as symptoms. 
Curious if anyone has experienced something similar or had sub-par poops related to reflux.</t>
        </is>
      </c>
      <c r="D8917" t="n">
        <v>1</v>
      </c>
      <c r="E8917" t="n">
        <v>9</v>
      </c>
      <c r="F8917">
        <f>HYPERLINK("https://www.reddit.com/r/GERD/comments/ho7ncz/how_does_reflux_affect_your_stool/")</f>
        <v/>
      </c>
      <c r="G8917" t="inlineStr">
        <is>
          <t>2020-07-09 10:48:43</t>
        </is>
      </c>
      <c r="H8917" t="inlineStr"/>
    </row>
    <row r="8918">
      <c r="A8918" t="inlineStr">
        <is>
          <t>ho7o3y</t>
        </is>
      </c>
      <c r="B8918" t="inlineStr">
        <is>
          <t>Vomiting a tiny bit of blood, time to get a check up.</t>
        </is>
      </c>
      <c r="C8918" t="inlineStr">
        <is>
          <t>My gerd flares up if I drink alcohol before bed. This morning I felt bile rising up and went to vomit a couple times. The first round it was clearly just the water I’d been drinking, but round two had a tiny red tinge. I felt like I was dying all morning, but now it just feels like I have a giant stone on top of my stomach. I hate this shit.</t>
        </is>
      </c>
      <c r="D8918" t="n">
        <v>1</v>
      </c>
      <c r="E8918" t="n">
        <v>0</v>
      </c>
      <c r="F8918">
        <f>HYPERLINK("https://www.reddit.com/r/GERD/comments/ho7o3y/vomiting_a_tiny_bit_of_blood_time_to_get_a_check/")</f>
        <v/>
      </c>
      <c r="G8918" t="inlineStr">
        <is>
          <t>2020-07-09 10:49:53</t>
        </is>
      </c>
      <c r="H8918" t="inlineStr"/>
    </row>
    <row r="8919">
      <c r="A8919" t="inlineStr">
        <is>
          <t>ho7sko</t>
        </is>
      </c>
      <c r="B8919" t="inlineStr">
        <is>
          <t>Summer heat makes mucous worse</t>
        </is>
      </c>
      <c r="C8919" t="inlineStr">
        <is>
          <t>Can’t seem to clear my throat bc of the heat this is annoying</t>
        </is>
      </c>
      <c r="D8919" t="n">
        <v>1</v>
      </c>
      <c r="E8919" t="n">
        <v>1</v>
      </c>
      <c r="F8919">
        <f>HYPERLINK("https://www.reddit.com/r/GERD/comments/ho7sko/summer_heat_makes_mucous_worse/")</f>
        <v/>
      </c>
      <c r="G8919" t="inlineStr">
        <is>
          <t>2020-07-09 10:56:28</t>
        </is>
      </c>
      <c r="H8919" t="inlineStr"/>
    </row>
    <row r="8920">
      <c r="A8920" t="inlineStr">
        <is>
          <t>ho7wqo</t>
        </is>
      </c>
      <c r="B8920" t="inlineStr">
        <is>
          <t>Tightness underneath chin</t>
        </is>
      </c>
      <c r="C8920" t="inlineStr">
        <is>
          <t>Is this a normal symptom for LPR. My doctor diagnosed me awhile back. For a couple weeks I had throat pain but it went away a month ago. Now I have this weird tightness under my chin</t>
        </is>
      </c>
      <c r="D8920" t="n">
        <v>1</v>
      </c>
      <c r="E8920" t="n">
        <v>5</v>
      </c>
      <c r="F8920">
        <f>HYPERLINK("https://www.reddit.com/r/GERD/comments/ho7wqo/tightness_underneath_chin/")</f>
        <v/>
      </c>
      <c r="G8920" t="inlineStr">
        <is>
          <t>2020-07-09 11:02:31</t>
        </is>
      </c>
      <c r="H8920" t="inlineStr"/>
    </row>
    <row r="8921">
      <c r="A8921" t="inlineStr">
        <is>
          <t>ho82op</t>
        </is>
      </c>
      <c r="B8921" t="inlineStr">
        <is>
          <t>Does anyone else's Gerd feel like food poisoning?</t>
        </is>
      </c>
      <c r="C8921" t="inlineStr">
        <is>
          <t>Do anyone else get extremely nausea, have stomach cramps, and feel weak when dealing with spikes of acid? Please share how you cure it.</t>
        </is>
      </c>
      <c r="D8921" t="n">
        <v>9</v>
      </c>
      <c r="E8921" t="n">
        <v>15</v>
      </c>
      <c r="F8921">
        <f>HYPERLINK("https://www.reddit.com/r/GERD/comments/ho82op/does_anyone_elses_gerd_feel_like_food_poisoning/")</f>
        <v/>
      </c>
      <c r="G8921" t="inlineStr">
        <is>
          <t>2020-07-09 11:11:00</t>
        </is>
      </c>
      <c r="H8921" t="inlineStr"/>
    </row>
    <row r="8922">
      <c r="A8922" t="inlineStr">
        <is>
          <t>ho9qqx</t>
        </is>
      </c>
      <c r="B8922" t="inlineStr">
        <is>
          <t>The Lung pain.</t>
        </is>
      </c>
      <c r="C8922" t="inlineStr">
        <is>
          <t>Been to the ER 5 times since April 9. Had 3 chest x rays. None showed anything. CT scan showed irritation in stomach. They said GERD. Omeprazole has done nothing. I burp and get a little bit of stomach problems but my lungs... My lungs feel like someone is taking a cheese grater to them. Shortness of breath with pain. Pain with no shortness of breath. Different kinds of pain. Stabbing one day, dull and throbbing another day. The worst pain I ever had was my gall bladder when it died. This is second only to that. I have a GI appointment on the 7/30. Any advice of what to say and how to say it? I am afraid he will say that I need to just give the Omeprazole longer to work. It isn't doing anything. I'm afraid he or she will drag out the process. I need someone to go down there now and see what is going on.</t>
        </is>
      </c>
      <c r="D8922" t="n">
        <v>2</v>
      </c>
      <c r="E8922" t="n">
        <v>11</v>
      </c>
      <c r="F8922">
        <f>HYPERLINK("https://www.reddit.com/r/GERD/comments/ho9qqx/the_lung_pain/")</f>
        <v/>
      </c>
      <c r="G8922" t="inlineStr">
        <is>
          <t>2020-07-09 12:39:21</t>
        </is>
      </c>
      <c r="H8922" t="inlineStr"/>
    </row>
    <row r="8923">
      <c r="A8923" t="inlineStr">
        <is>
          <t>ho9wqt</t>
        </is>
      </c>
      <c r="B8923" t="inlineStr">
        <is>
          <t>Natural Alternatives</t>
        </is>
      </c>
      <c r="C8923" t="inlineStr">
        <is>
          <t>Hello I have Gastritis and Gerd . I’m two days off of Nexium. What natural remedies or supplements can I take so I don’t get a rebound. I was taking Nexium every other day. Doctor told me to stop if I felt better being off of it.</t>
        </is>
      </c>
      <c r="D8923" t="n">
        <v>2</v>
      </c>
      <c r="E8923" t="n">
        <v>5</v>
      </c>
      <c r="F8923">
        <f>HYPERLINK("https://www.reddit.com/r/GERD/comments/ho9wqt/natural_alternatives/")</f>
        <v/>
      </c>
      <c r="G8923" t="inlineStr">
        <is>
          <t>2020-07-09 12:48:22</t>
        </is>
      </c>
      <c r="H8923" t="inlineStr"/>
    </row>
    <row r="8924">
      <c r="A8924" t="inlineStr">
        <is>
          <t>hoaplx</t>
        </is>
      </c>
      <c r="B8924" t="inlineStr">
        <is>
          <t>Gerd and working outside</t>
        </is>
      </c>
      <c r="C8924" t="inlineStr">
        <is>
          <t>To my people that have gerd how do You handle working outside on the heat I live in tx and I feel like my stomach just gets the best of me and feels like a knot and I guess that makes me feel heart palpitations feeling my heart pound</t>
        </is>
      </c>
      <c r="D8924" t="n">
        <v>1</v>
      </c>
      <c r="E8924" t="n">
        <v>0</v>
      </c>
      <c r="F8924">
        <f>HYPERLINK("https://www.reddit.com/r/GERD/comments/hoaplx/gerd_and_working_outside/")</f>
        <v/>
      </c>
      <c r="G8924" t="inlineStr">
        <is>
          <t>2020-07-09 13:31:07</t>
        </is>
      </c>
      <c r="H8924" t="inlineStr"/>
    </row>
    <row r="8925">
      <c r="A8925" t="inlineStr">
        <is>
          <t>hobkg9</t>
        </is>
      </c>
      <c r="B8925" t="inlineStr">
        <is>
          <t>Has anyone had an oesophageal manometry? What is it like?</t>
        </is>
      </c>
      <c r="C8925" t="inlineStr">
        <is>
          <t>Hello I have a oesophageal manometry coming up. I am quite nervous for it as I really struggle with my gag reflux and have a phobia of choking and become really uncomfortable when it comes to my throat. 
Can you feel it in your chest? 
Is it difficult to sleep? 
Also I apparently have to take it out myself 24 hours afterwards which I am nervous about as I dont know if I can do it. Again I am really uncomfortable with the idea of something in my throat and I feel that if I have to push it out myself I might freak out.</t>
        </is>
      </c>
      <c r="D8925" t="n">
        <v>1</v>
      </c>
      <c r="E8925" t="n">
        <v>3</v>
      </c>
      <c r="F8925">
        <f>HYPERLINK("https://www.reddit.com/r/GERD/comments/hobkg9/has_anyone_had_an_oesophageal_manometry_what_is/")</f>
        <v/>
      </c>
      <c r="G8925" t="inlineStr">
        <is>
          <t>2020-07-09 14:18:40</t>
        </is>
      </c>
      <c r="H8925" t="inlineStr"/>
    </row>
    <row r="8926">
      <c r="A8926" t="inlineStr">
        <is>
          <t>hocj18</t>
        </is>
      </c>
      <c r="B8926" t="inlineStr">
        <is>
          <t>Today was the first day in a really long time that I barely had any symptoms</t>
        </is>
      </c>
      <c r="C8926" t="inlineStr">
        <is>
          <t>Tried something new and it worked for now, Felt so refreshing to not have all those f'd up symptoms for a day atleast, mood was alot of better too :)
Hope y'all will feel better soon aswell.</t>
        </is>
      </c>
      <c r="D8926" t="n">
        <v>1</v>
      </c>
      <c r="E8926" t="n">
        <v>3</v>
      </c>
      <c r="F8926">
        <f>HYPERLINK("https://www.reddit.com/r/GERD/comments/hocj18/today_was_the_first_day_in_a_really_long_time/")</f>
        <v/>
      </c>
      <c r="G8926" t="inlineStr">
        <is>
          <t>2020-07-09 15:10:30</t>
        </is>
      </c>
      <c r="H8926" t="inlineStr"/>
    </row>
    <row r="8927">
      <c r="A8927" t="inlineStr">
        <is>
          <t>hocum7</t>
        </is>
      </c>
      <c r="B8927" t="inlineStr">
        <is>
          <t>Maybe I have some food allergies or intolerance idk?! Help</t>
        </is>
      </c>
      <c r="C8927" t="inlineStr">
        <is>
          <t>I’ve been battling w GERD for over a year now. I’m still new to it. I’m pretty good at staying away from foods that I know will give me acid reflux; spicy, oily, tomato sauce, coffee, alcohol, etc. 
I’m having bouts of flare ups recently and I don’t know what can be causing it. It worries me because I throw up acid almost everyday and I’m worried about my esophagus. I had an endoscopy done last year and my esophagus was normal but I’m worried that if this keeps happening I’ll develop Barrett’s. 
According to my food diaries, maybe I have some intolerance to raw carrots. Usually after a salad with carrots I’ve noticed to have thrown up acid. 
I have a GI appt coming up but it’s just getting really frustrating not being able to keep anything down while eating.
I quit smoking for my gerd. I avoid alcohol. 
Do GIs do food allergy testing? 
Does anyone else have an intolerance to carrots? 
Any advice would help. Thanks.</t>
        </is>
      </c>
      <c r="D8927" t="n">
        <v>1</v>
      </c>
      <c r="E8927" t="n">
        <v>1</v>
      </c>
      <c r="F8927">
        <f>HYPERLINK("https://www.reddit.com/r/GERD/comments/hocum7/maybe_i_have_some_food_allergies_or_intolerance/")</f>
        <v/>
      </c>
      <c r="G8927" t="inlineStr">
        <is>
          <t>2020-07-09 15:28:44</t>
        </is>
      </c>
      <c r="H8927" t="inlineStr"/>
    </row>
    <row r="8928">
      <c r="A8928" t="inlineStr">
        <is>
          <t>hocwsl</t>
        </is>
      </c>
      <c r="B8928" t="inlineStr">
        <is>
          <t>Bad breath, staleness...etc</t>
        </is>
      </c>
      <c r="C8928" t="inlineStr">
        <is>
          <t>I’ve been diagnosed with acid reflux 2 yrs ago.  Tried Prilosec, which is garbage (didn’t do anything), I didn’t change any lifestyle habits while on it to be honest.  I always thought my diet wasn’t bad: no soda, fast food, only 1 maybe 2 cups coffee/day, no carbonated beverages, 1-2 alcoholic beverages/week.  I exercise often, fit and get decent sleep.  Don’t smoke either.  
As of late, less than 30 days ago I started a 30 day Pantoprazole treatment at 80mg/day.  I can’t tell yet if it’s helping.  I also eliminated coffee 5 days and only have 1 cup sat and sun.  Haven’t had a alcoholic beverage (1 beer and 2 claws) in the last 4 weeks, eliminated about 90% of spicy foods, switched to low fat milk and eliminated cheese.  
What makes this challenging is I don’t symptoms like heart burn...etc.  I occasionally will have what resembles and inner burp thing.  Only other symptom is acidic taste when I wake up and some lower abdomen pain.
The Mrs. tells me when my breath isn’t fresh, which is a total pride smasher as u can imagine.
Just wanted to share &amp;amp; learn if anyone had or is experiencing any similar issues &amp;amp; what worked and didn’t.
I was planning to get an endoscopy later this year.
Thanks 
Ps. My mouth hygiene is on point, seen an ENT and that checked out, had a test where you swallow a bunch of nasty stuff like an MRI thing and that checked out, blood test came back 100,  My primary has no clue.  Seen a gastro 2 yrs back and he had no clue, so recommended an endoscopy at the time, but I didn’t go though with it.</t>
        </is>
      </c>
      <c r="D8928" t="n">
        <v>1</v>
      </c>
      <c r="E8928" t="n">
        <v>4</v>
      </c>
      <c r="F8928">
        <f>HYPERLINK("https://www.reddit.com/r/GERD/comments/hocwsl/bad_breath_stalenessetc/")</f>
        <v/>
      </c>
      <c r="G8928" t="inlineStr">
        <is>
          <t>2020-07-09 15:32:03</t>
        </is>
      </c>
      <c r="H8928" t="inlineStr"/>
    </row>
    <row r="8929">
      <c r="A8929" t="inlineStr">
        <is>
          <t>hodist</t>
        </is>
      </c>
      <c r="B8929" t="inlineStr">
        <is>
          <t>Smoothies a solution??</t>
        </is>
      </c>
      <c r="C8929" t="inlineStr">
        <is>
          <t>I've started drinking smoothies, mainly to lose weight and improve my nutrition but I noticed my GERD considerably improved. I'm drinking fruit/spinach smoothies. The added nutrition may be helping as well.</t>
        </is>
      </c>
      <c r="D8929" t="n">
        <v>1</v>
      </c>
      <c r="E8929" t="n">
        <v>2</v>
      </c>
      <c r="F8929">
        <f>HYPERLINK("https://www.reddit.com/r/GERD/comments/hodist/smoothies_a_solution/")</f>
        <v/>
      </c>
      <c r="G8929" t="inlineStr">
        <is>
          <t>2020-07-09 16:06:56</t>
        </is>
      </c>
      <c r="H8929" t="inlineStr"/>
    </row>
    <row r="8930">
      <c r="A8930" t="inlineStr">
        <is>
          <t>hodldx</t>
        </is>
      </c>
      <c r="B8930" t="inlineStr">
        <is>
          <t>What are the long term side effects of daily PPI use?</t>
        </is>
      </c>
      <c r="C8930" t="inlineStr">
        <is>
          <t>Title.</t>
        </is>
      </c>
      <c r="D8930" t="n">
        <v>1</v>
      </c>
      <c r="E8930" t="n">
        <v>1</v>
      </c>
      <c r="F8930">
        <f>HYPERLINK("https://www.reddit.com/r/GERD/comments/hodldx/what_are_the_long_term_side_effects_of_daily_ppi/")</f>
        <v/>
      </c>
      <c r="G8930" t="inlineStr">
        <is>
          <t>2020-07-09 16:11:02</t>
        </is>
      </c>
      <c r="H8930" t="inlineStr"/>
    </row>
    <row r="8931">
      <c r="A8931" t="inlineStr">
        <is>
          <t>hoej05</t>
        </is>
      </c>
      <c r="B8931" t="inlineStr">
        <is>
          <t>do you guys ever feel like you're getting heart palpitations?</t>
        </is>
      </c>
      <c r="C8931" t="inlineStr">
        <is>
          <t>idk if this is because of the regurgitation and heart burn if been having but i've been feeling like my heart is twitching and idk if i should just pass it off as acid reflux</t>
        </is>
      </c>
      <c r="D8931" t="n">
        <v>1</v>
      </c>
      <c r="E8931" t="n">
        <v>12</v>
      </c>
      <c r="F8931">
        <f>HYPERLINK("https://www.reddit.com/r/GERD/comments/hoej05/do_you_guys_ever_feel_like_youre_getting_heart/")</f>
        <v/>
      </c>
      <c r="G8931" t="inlineStr">
        <is>
          <t>2020-07-09 17:06:18</t>
        </is>
      </c>
      <c r="H8931" t="inlineStr"/>
    </row>
    <row r="8932">
      <c r="A8932" t="inlineStr">
        <is>
          <t>hoet89</t>
        </is>
      </c>
      <c r="B8932" t="inlineStr">
        <is>
          <t>Constant burping after meals, nausea while eating and lack of appetite, but no heartburn - is it GERD?</t>
        </is>
      </c>
      <c r="C8932" t="inlineStr">
        <is>
          <t>I'm 19 and healthy, neither underweight or overweight, and for the past few months, I've been burping a lot after meals and generally having some troubles eating. I talked to a doctor about it and was prescribed simethicone to help with the burps, and 20mg omeprazole, a PPI. The simethicone helped a little bit with calming down the constant burping after meals, but it didn't do anything to prevent it or help with any other symptoms. I'll start taking the omeprazole tomorrow though, and hopefully that will help.
I feel like anxiety might play a big part it in, since I can barely have anything for lunch if I have an important exam or something else that day. On the other hand, there are times when I am completely calm and relaxed (at least consciously) and I'll still feel nauseous nevertheless. Drinking too much and too fast during meals might also be a cause, since I tend to do that while eating. But it weirds me out how I basically never feel any heartburn, which seems to be a very common symptom for GERD. I have only felt it once or twice, after drinking a glass of cold water at night before going to bed. The most annoying symptom in my case is the lack of appetite caused by nausea and a feeling of "fullness" while eating, even when I haven't eaten that much. Sometimes I'll even put some food in my mouth, and my body will immediately make me "reject it" and spit it out due to nausea and a feeling of being close to vomiting. I haven't actually vomited in years, but just for the past few weeks I've had to go to the bathroom while eating a bunch of times due to nausea and really uncomfortable burps that seem like they could turn into a vomit at anytime.
Has anyone else been in a similar situation to mine? From what I've read online, there doesn't seem to be many cases of lack of appetite and nausea while eating among people with GERD, so I'm wondering if it might be something else, possibly anxiety/depression related?</t>
        </is>
      </c>
      <c r="D8932" t="n">
        <v>1</v>
      </c>
      <c r="E8932" t="n">
        <v>3</v>
      </c>
      <c r="F8932">
        <f>HYPERLINK("https://www.reddit.com/r/GERD/comments/hoet89/constant_burping_after_meals_nausea_while_eating/")</f>
        <v/>
      </c>
      <c r="G8932" t="inlineStr">
        <is>
          <t>2020-07-09 17:23:51</t>
        </is>
      </c>
      <c r="H8932" t="inlineStr"/>
    </row>
    <row r="8933">
      <c r="A8933" t="inlineStr">
        <is>
          <t>hof6to</t>
        </is>
      </c>
      <c r="B8933" t="inlineStr">
        <is>
          <t>My acid reflux won't go away</t>
        </is>
      </c>
      <c r="C8933" t="inlineStr">
        <is>
          <t>Can a GI specialist kindly tell me why my acid reflux symptoms won't go away. It has been three weeks and I am still experiencing symptoms like difficulty swallowing and heartburn. I am taking PPI (and antacids sometimes). Two weeks ago, I have been hospitalized because I was suffering from palpitations and lactic acid  build up; thou I got better for few days, the acid reflux symptoms occurred again. 
What can I do in this situation. Thank you. 🥺</t>
        </is>
      </c>
      <c r="D8933" t="n">
        <v>1</v>
      </c>
      <c r="E8933" t="n">
        <v>2</v>
      </c>
      <c r="F8933">
        <f>HYPERLINK("https://www.reddit.com/r/GERD/comments/hof6to/my_acid_reflux_wont_go_away/")</f>
        <v/>
      </c>
      <c r="G8933" t="inlineStr">
        <is>
          <t>2020-07-09 17:47:58</t>
        </is>
      </c>
      <c r="H8933" t="inlineStr"/>
    </row>
    <row r="8934">
      <c r="A8934" t="inlineStr">
        <is>
          <t>hofelf</t>
        </is>
      </c>
      <c r="B8934" t="inlineStr">
        <is>
          <t>How many people were in the room for your endoscopy?</t>
        </is>
      </c>
      <c r="C8934" t="inlineStr">
        <is>
          <t>I know you were probably given a sedative shortly upon being wheeled in, but before you slept how many people did you see around?
Was it just two people, the doctor and the anesthesiologist, or were there more people around?  
If so, who were they?</t>
        </is>
      </c>
      <c r="D8934" t="n">
        <v>1</v>
      </c>
      <c r="E8934" t="n">
        <v>5</v>
      </c>
      <c r="F8934">
        <f>HYPERLINK("https://www.reddit.com/r/GERD/comments/hofelf/how_many_people_were_in_the_room_for_your/")</f>
        <v/>
      </c>
      <c r="G8934" t="inlineStr">
        <is>
          <t>2020-07-09 18:01:42</t>
        </is>
      </c>
      <c r="H8934" t="inlineStr"/>
    </row>
    <row r="8935">
      <c r="A8935" t="inlineStr">
        <is>
          <t>hoftby</t>
        </is>
      </c>
      <c r="B8935" t="inlineStr">
        <is>
          <t>Pepto substitute for long term?</t>
        </is>
      </c>
      <c r="C8935" t="inlineStr">
        <is>
          <t>Pepto gives me the best results out of everything I've tried, but I know you can't take it long term. Is there any substitute that is similar that's safer long term that I can replace it with?</t>
        </is>
      </c>
      <c r="D8935" t="n">
        <v>1</v>
      </c>
      <c r="E8935" t="n">
        <v>6</v>
      </c>
      <c r="F8935">
        <f>HYPERLINK("https://www.reddit.com/r/GERD/comments/hoftby/pepto_substitute_for_long_term/")</f>
        <v/>
      </c>
      <c r="G8935" t="inlineStr">
        <is>
          <t>2020-07-09 18:27:39</t>
        </is>
      </c>
      <c r="H8935" t="inlineStr"/>
    </row>
    <row r="8936">
      <c r="A8936" t="inlineStr">
        <is>
          <t>hog21k</t>
        </is>
      </c>
      <c r="B8936" t="inlineStr">
        <is>
          <t>Acid Block - Has Anyone Tried it? (Alginic Acid + Sodium Alginate)</t>
        </is>
      </c>
      <c r="C8936" t="inlineStr">
        <is>
          <t>I saw somewhere that sodium alginate or alginic acid helps those with GERD + LPR.  It comes from seaweed and can be used in various foods as a stabilizer but that one can use it to help with GERD management.   
I bought something called Acid Block from Rx Vitamins which are chew tablets.  Apparently once you chew/swallow the tabs, it turns into a gel that floats on top of your stomach so that it forms a physical barrier that protects the esophagus.  
Has anyone tried Acid Block or alginate?  After reading about the whole gel forming and smelling the tabs.  I'm afraid to try them.  Does the gel feel/taste weird?  I have enough throat problems as it is from LPR and I don't have to feel like I can't breathe or that I've got weird gel in my throat too. 
&amp;amp;#x200B;
[https://www.ncbi.nlm.nih.gov/pmc/articles/PMC6836317/](https://www.ncbi.nlm.nih.gov/pmc/articles/PMC6836317/)</t>
        </is>
      </c>
      <c r="D8936" t="n">
        <v>1</v>
      </c>
      <c r="E8936" t="n">
        <v>4</v>
      </c>
      <c r="F8936">
        <f>HYPERLINK("https://www.reddit.com/r/GERD/comments/hog21k/acid_block_has_anyone_tried_it_alginic_acid/")</f>
        <v/>
      </c>
      <c r="G8936" t="inlineStr">
        <is>
          <t>2020-07-09 18:43:26</t>
        </is>
      </c>
      <c r="H8936" t="inlineStr"/>
    </row>
    <row r="8937">
      <c r="A8937" t="inlineStr">
        <is>
          <t>hoge1q</t>
        </is>
      </c>
      <c r="B8937" t="inlineStr">
        <is>
          <t>Yogurt cure</t>
        </is>
      </c>
      <c r="C8937" t="inlineStr">
        <is>
          <t>So far the only thing to ever help my peptic ulcer is Noosa yogurt. Honestly I may have some acid reflux when I go to bed, but I can actually lay down after 1 hour. I used to wait until almost 3-4 am to lay down. And all I did was add a few bites of yogurt to my dinner. You have no idea how happy I fucking am</t>
        </is>
      </c>
      <c r="D8937" t="n">
        <v>1</v>
      </c>
      <c r="E8937" t="n">
        <v>4</v>
      </c>
      <c r="F8937">
        <f>HYPERLINK("https://www.reddit.com/r/GERD/comments/hoge1q/yogurt_cure/")</f>
        <v/>
      </c>
      <c r="G8937" t="inlineStr">
        <is>
          <t>2020-07-09 19:04:59</t>
        </is>
      </c>
      <c r="H8937" t="inlineStr"/>
    </row>
    <row r="8938">
      <c r="A8938" t="inlineStr">
        <is>
          <t>hogkbj</t>
        </is>
      </c>
      <c r="B8938" t="inlineStr">
        <is>
          <t>Anyone in here have LPR with all his tests showing no reflux? (Ph impedance, manometry, and endiscopy)</t>
        </is>
      </c>
      <c r="C8938" t="inlineStr">
        <is>
          <t>Also I had a lot of bloodwork , so what can be the cause then? Some nerve issue? For the record my lpr started after what seemee a normal cold.</t>
        </is>
      </c>
      <c r="D8938" t="n">
        <v>1</v>
      </c>
      <c r="E8938" t="n">
        <v>2</v>
      </c>
      <c r="F8938">
        <f>HYPERLINK("https://www.reddit.com/r/GERD/comments/hogkbj/anyone_in_here_have_lpr_with_all_his_tests/")</f>
        <v/>
      </c>
      <c r="G8938" t="inlineStr">
        <is>
          <t>2020-07-09 19:15:56</t>
        </is>
      </c>
      <c r="H8938" t="inlineStr"/>
    </row>
    <row r="8939">
      <c r="A8939" t="inlineStr">
        <is>
          <t>hogr1c</t>
        </is>
      </c>
      <c r="B8939" t="inlineStr">
        <is>
          <t>Abdominal pain that is relieved when curling into a ball.</t>
        </is>
      </c>
      <c r="C8939" t="inlineStr">
        <is>
          <t>I’m currently is quite a bit of pain and want to know if others with GERD have experienced this. I have a burning pain in the middle of my abdomen and into my chest. When I stand or sit straight, this pain worsens. I feel 90% better when I curl into a ball. Does anyone know why my posture has such an effect on pain level? And have any of you experienced this?</t>
        </is>
      </c>
      <c r="D8939" t="n">
        <v>1</v>
      </c>
      <c r="E8939" t="n">
        <v>0</v>
      </c>
      <c r="F8939">
        <f>HYPERLINK("https://www.reddit.com/r/GERD/comments/hogr1c/abdominal_pain_that_is_relieved_when_curling_into/")</f>
        <v/>
      </c>
      <c r="G8939" t="inlineStr">
        <is>
          <t>2020-07-09 19:27:56</t>
        </is>
      </c>
      <c r="H8939" t="inlineStr"/>
    </row>
    <row r="8940">
      <c r="A8940" t="inlineStr">
        <is>
          <t>hogt7v</t>
        </is>
      </c>
      <c r="B8940" t="inlineStr">
        <is>
          <t>IM REALLY ANXIOUS PLEASE</t>
        </is>
      </c>
      <c r="C8940" t="inlineStr">
        <is>
          <t>Hi everyone! so here’s the thing: I’ve been struggling for like a week with a feeling of fullness I can’t explain. Also, almost everything I eat, I regurgitate. It’s not like I regurgitate the whole thing but I certainly regurgitate a little. It doesn’t matter what I eat, it comes back up. It’s not digested food and it doesn’t taste acid. Even water or juice. Also, I am experiencing difficulty to swallow, like I have something stuck in my throat and the food passes slowly, then it slides and I feel so full in my chest area. Then I start benching and regurgitating. I feel like my chest and upper abdomen are full of air. I’m not hungry and I’m kinda scared of eating because it makes me sick. 
When I say that I constantly burp is CONSTANTLY, for example if I’m laying I have the urge to sit in bed and a big ass burp from my chest comes out. Also I feel like I have mucosity/saliva (?  In my throat. Sometimes I wake up in the middle of the night feeling this pressure in my chest. It’s not PAIN or BURN but it feels really heavy. 
I went to the doctor and she told me to take two pills. Esomeprazole and ranitidine are the components. She also booked me for an endoscopy next week. 
Also, went to the the doctor who sees nose/ throat/ ear (otorrinolaringológo) i dont know the English word haha. And she told me everything was completely fine, just a little redish larynx. 
The thing I want to know is, have you ever experimented all of any of these symptoms? Did you get a diagnosis? Are swallowing problems a symptom of GERD? Can I have GERD without experimenting acidity? 
I’d truly appreciate some orientation. I’ve been really anxious and nervous.
Thank you! 
CONTEXT: 
For past three months I had been eating like a pig. Fried chicken, ice cream, chocolates, burgers, fries, creamy milkshakes, and everything you can imagine. Also homemade meals with lots of condiments. I didn’t exercise and I was used to eat right before going to bed. Surprisingly, I hadn’t experimented any trouble with it. Until three weeks ago when I woke up feeling an extreme urge to burp, I did and nothing could calm it. I had to do it every second but it didn’t come from my stomach, it was more like air stuck in my chest. That night I freaked out thinking I was having a heart attack cause I felt like I couldn’t breathe and an elephant was sitting on my chest. I called the doctors and they came, they checked everything and told me it was probably gastritis. It made sense considering my recent eating habits. I didn’t feel better right after but taking some omeprazole and eating well, three days after I was feeling ok. I continued eating healthy but I had some irritating foods too once in a while. Then, a week ago the symptoms I described at the beginning are present.</t>
        </is>
      </c>
      <c r="D8940" t="n">
        <v>1</v>
      </c>
      <c r="E8940" t="n">
        <v>5</v>
      </c>
      <c r="F8940">
        <f>HYPERLINK("https://www.reddit.com/r/GERD/comments/hogt7v/im_really_anxious_please/")</f>
        <v/>
      </c>
      <c r="G8940" t="inlineStr">
        <is>
          <t>2020-07-09 19:31:53</t>
        </is>
      </c>
      <c r="H8940" t="inlineStr"/>
    </row>
    <row r="8941">
      <c r="A8941" t="inlineStr">
        <is>
          <t>hohzyw</t>
        </is>
      </c>
      <c r="B8941" t="inlineStr">
        <is>
          <t>Elevated Gastric Parietal Cell Antibodies</t>
        </is>
      </c>
      <c r="C8941" t="inlineStr">
        <is>
          <t>I’ve been having a lot of health issues lately, and blood tests were done. On top of other things, the level that most concerned my doctor was my gastric parietal cell antibody level. The regular is around a 24, and mine is almost at a 75. An upper endoscopy was performed, which ruled out atrophic gastritis. I have anemia but they don’t believe its pernicious anemia. 
Does anyone have any other thoughts as to what is causing this level to be so high? I’ve dealt with GERD for years, and have been on PPIs since I was 15 or 16, and am now 23(f). I can’t find anything else with this antibody issue on google besides the atrophic gastritis.</t>
        </is>
      </c>
      <c r="D8941" t="n">
        <v>1</v>
      </c>
      <c r="E8941" t="n">
        <v>6</v>
      </c>
      <c r="F8941">
        <f>HYPERLINK("https://www.reddit.com/r/GERD/comments/hohzyw/elevated_gastric_parietal_cell_antibodies/")</f>
        <v/>
      </c>
      <c r="G8941" t="inlineStr">
        <is>
          <t>2020-07-09 20:54:42</t>
        </is>
      </c>
      <c r="H8941" t="inlineStr"/>
    </row>
    <row r="8942">
      <c r="A8942" t="inlineStr">
        <is>
          <t>hoj3mh</t>
        </is>
      </c>
      <c r="B8942" t="inlineStr">
        <is>
          <t>So probiotic was the solution !!</t>
        </is>
      </c>
      <c r="C8942" t="inlineStr">
        <is>
          <t>30/ M. Guys, I have had chronic GERD for the last 10 years and also diagnosed with GAD.  The GERD symptoms usually gets better with PPIs, but  honestly do not want to take them long term for obvious  reasons. I have been taking kyolic garlic for mild hypertension  and decided to try their probiotic. It's my third day on the probiotic and my heartburn, chest tightness   and abdomen discomfort has been reduced by more than 90%. If you do not want to go on PPIs for long term please give it (any good probiotics ) a shot.</t>
        </is>
      </c>
      <c r="D8942" t="n">
        <v>1</v>
      </c>
      <c r="E8942" t="n">
        <v>57</v>
      </c>
      <c r="F8942">
        <f>HYPERLINK("https://www.reddit.com/r/GERD/comments/hoj3mh/so_probiotic_was_the_solution/")</f>
        <v/>
      </c>
      <c r="G8942" t="inlineStr">
        <is>
          <t>2020-07-09 22:16:49</t>
        </is>
      </c>
      <c r="H8942" t="inlineStr"/>
    </row>
    <row r="8943">
      <c r="A8943" t="inlineStr">
        <is>
          <t>hon1qg</t>
        </is>
      </c>
      <c r="B8943" t="inlineStr">
        <is>
          <t>acid stuck in airways</t>
        </is>
      </c>
      <c r="C8943" t="inlineStr">
        <is>
          <t>does anyone have any tips for getting the acid out of my airways or know how i can help it? i know i have it because when i move in a certain way i can feel it in my throat :(
thanks</t>
        </is>
      </c>
      <c r="D8943" t="n">
        <v>1</v>
      </c>
      <c r="E8943" t="n">
        <v>1</v>
      </c>
      <c r="F8943">
        <f>HYPERLINK("https://www.reddit.com/r/GERD/comments/hon1qg/acid_stuck_in_airways/")</f>
        <v/>
      </c>
      <c r="G8943" t="inlineStr">
        <is>
          <t>2020-07-10 04:10:12</t>
        </is>
      </c>
      <c r="H8943" t="inlineStr"/>
    </row>
    <row r="8944">
      <c r="A8944" t="inlineStr">
        <is>
          <t>honxae</t>
        </is>
      </c>
      <c r="B8944" t="inlineStr">
        <is>
          <t>amitriptyline/lsn question</t>
        </is>
      </c>
      <c r="C8944" t="inlineStr">
        <is>
          <t>if you take amitriptyline or something to cure lpr like it, will you have to take it for awhile inorder for symptoms to be 100% gone? or can you do it in a short amount of time and get rid of symptoms?</t>
        </is>
      </c>
      <c r="D8944" t="n">
        <v>1</v>
      </c>
      <c r="E8944" t="n">
        <v>1</v>
      </c>
      <c r="F8944">
        <f>HYPERLINK("https://www.reddit.com/r/GERD/comments/honxae/amitriptylinelsn_question/")</f>
        <v/>
      </c>
      <c r="G8944" t="inlineStr">
        <is>
          <t>2020-07-10 05:18:58</t>
        </is>
      </c>
      <c r="H8944" t="inlineStr"/>
    </row>
    <row r="8945">
      <c r="A8945" t="inlineStr">
        <is>
          <t>hopkq4</t>
        </is>
      </c>
      <c r="B8945" t="inlineStr">
        <is>
          <t>Can someone please explain why my reflux gives me night sweats (severity dependent on foods)</t>
        </is>
      </c>
      <c r="C8945" t="inlineStr">
        <is>
          <t>I’m curious as to the physiological mechanism as to why the reflux causing night sweats. 
Literally the only thing that helps the sweats at night are PPIs and H2-Blockers so I know that’s what it is. 
Anyone know?</t>
        </is>
      </c>
      <c r="D8945" t="n">
        <v>1</v>
      </c>
      <c r="E8945" t="n">
        <v>1</v>
      </c>
      <c r="F8945">
        <f>HYPERLINK("https://www.reddit.com/r/GERD/comments/hopkq4/can_someone_please_explain_why_my_reflux_gives_me/")</f>
        <v/>
      </c>
      <c r="G8945" t="inlineStr">
        <is>
          <t>2020-07-10 07:09:14</t>
        </is>
      </c>
      <c r="H8945" t="inlineStr"/>
    </row>
    <row r="8946">
      <c r="A8946" t="inlineStr">
        <is>
          <t>hordo2</t>
        </is>
      </c>
      <c r="B8946" t="inlineStr">
        <is>
          <t>Not noticing a difference as I taper off omeprazol</t>
        </is>
      </c>
      <c r="C8946" t="inlineStr">
        <is>
          <t>So, I tried omeprazol once when I was 12-13 and I ended up going off cold turkey because I had to stop for an endoscopy. I don’t remember this, but according to my mom i felt no difference after stopping. 
I’m on it temporarily right now (hating that I can’t lose weight on the thing). I started tapering off 40mg (7 days) to 20mg (7 days) 4 days ago and literally I can’t tell the difference from when I was on it to going off. I’m thinking about just stopping again, or at least tapering faster.
I have GERD but omeprazol doesn’t seem to do anything according to this and past experience. Anyone else experienced this? And do they have any ideas as to why?</t>
        </is>
      </c>
      <c r="D8946" t="n">
        <v>1</v>
      </c>
      <c r="E8946" t="n">
        <v>4</v>
      </c>
      <c r="F8946">
        <f>HYPERLINK("https://www.reddit.com/r/GERD/comments/hordo2/not_noticing_a_difference_as_i_taper_off_omeprazol/")</f>
        <v/>
      </c>
      <c r="G8946" t="inlineStr">
        <is>
          <t>2020-07-10 08:51:46</t>
        </is>
      </c>
      <c r="H8946" t="inlineStr"/>
    </row>
    <row r="8947">
      <c r="A8947" t="inlineStr">
        <is>
          <t>hos2xt</t>
        </is>
      </c>
      <c r="B8947" t="inlineStr">
        <is>
          <t>Does there exist a salad dressing &amp;gt; 5ph?</t>
        </is>
      </c>
      <c r="C8947" t="inlineStr">
        <is>
          <t>Due to LPR I can't eat anything &amp;lt; 5ph. I've got a little ph meter on amazon and have tested various dressings. Even refrigerated Ranch dressing (which has no vinegar) is coming out to around 4.5ph. Has anyone found anything decent that is low acid?</t>
        </is>
      </c>
      <c r="D8947" t="n">
        <v>1</v>
      </c>
      <c r="E8947" t="n">
        <v>8</v>
      </c>
      <c r="F8947">
        <f>HYPERLINK("https://www.reddit.com/r/GERD/comments/hos2xt/does_there_exist_a_salad_dressing_5ph/")</f>
        <v/>
      </c>
      <c r="G8947" t="inlineStr">
        <is>
          <t>2020-07-10 09:30:05</t>
        </is>
      </c>
      <c r="H8947" t="inlineStr"/>
    </row>
    <row r="8948">
      <c r="A8948" t="inlineStr">
        <is>
          <t>hosxhk</t>
        </is>
      </c>
      <c r="B8948" t="inlineStr">
        <is>
          <t>Doctor yelled at me during my Endoscopy today lol</t>
        </is>
      </c>
      <c r="C8948" t="inlineStr">
        <is>
          <t>So my hope was that they would give a strong enough sedative to put me to sleep through the whole procedure.
Well, I woke up in between and was still extremely drowsy but all I know was this feeling of choking. I started gasping and coughing and getting uncomfortable, of course, and I had no idea what I was doing but I just remember the doctor yelling, "HEY, DO NOT TOUCH MY EQUIPMENT". he said that maybe 4-5 times, "don't TOUCH ANYTHING". Then, I think they gave me another dose of sedation and I was back asleep, woke up in the recovery room.
Results of the endoscopy were all good. No hietal hernia, no h pylori or ulcer. But the results were given to me by one of the staff members, the doctor or his nurses didn't come to talk to me directly, so I figured I must have really pissed him off lol.
On the other hand - I don't know what to do next. I'm glad that there were no serious findings but then what can explain the terrible symptoms that I get? I often can't sleep at night because my food tends to regurgitate, feel bloated all the time, and incredibly fatigued. Should I go for a sleep apnea test?
It's really hard to find a nice doctor around here who genuinely gives a shit around here. I think I ruined it with this guy so I might not be able to come back to him for further treatment.....</t>
        </is>
      </c>
      <c r="D8948" t="n">
        <v>1</v>
      </c>
      <c r="E8948" t="n">
        <v>53</v>
      </c>
      <c r="F8948">
        <f>HYPERLINK("https://www.reddit.com/r/GERD/comments/hosxhk/doctor_yelled_at_me_during_my_endoscopy_today_lol/")</f>
        <v/>
      </c>
      <c r="G8948" t="inlineStr">
        <is>
          <t>2020-07-10 10:16:31</t>
        </is>
      </c>
      <c r="H8948" t="inlineStr"/>
    </row>
    <row r="8949">
      <c r="A8949" t="inlineStr">
        <is>
          <t>hot7bf</t>
        </is>
      </c>
      <c r="B8949" t="inlineStr">
        <is>
          <t>LPR</t>
        </is>
      </c>
      <c r="C8949" t="inlineStr">
        <is>
          <t>I've (27) had sever LPR since I was like 10. I have only ever gotten heartburn a handful of times. My main issue os with my throat feeling inflammed and full of mucus. When my LPR flares up it feels hard to breath 24/7. I take medication twice a day and pepcis at night. Sometimes I do ACV or baking soda. Today I was doing more research and wondering if anyone has tried either using a flutter valve or taking NAC for these issues.</t>
        </is>
      </c>
      <c r="D8949" t="n">
        <v>1</v>
      </c>
      <c r="E8949" t="n">
        <v>6</v>
      </c>
      <c r="F8949">
        <f>HYPERLINK("https://www.reddit.com/r/GERD/comments/hot7bf/lpr/")</f>
        <v/>
      </c>
      <c r="G8949" t="inlineStr">
        <is>
          <t>2020-07-10 10:31:29</t>
        </is>
      </c>
      <c r="H8949" t="inlineStr"/>
    </row>
    <row r="8950">
      <c r="A8950" t="inlineStr">
        <is>
          <t>hotpkb</t>
        </is>
      </c>
      <c r="B8950" t="inlineStr">
        <is>
          <t>Help with how to relieve rebound effects from omeprazole</t>
        </is>
      </c>
      <c r="C8950" t="inlineStr">
        <is>
          <t>Hey guys!
I have had heartburn ever since I could remember, but recently in the past year I have had worse symptoms so I decided to go to the Gastro. Long story short they prescribed me 40mg omeprazole and I took it for three months. It helped with the burning in my throat and chest but it made my stomach feel like it was eating itself and I would regurgitate food a lot.
I have decided to taper off it but I am having strong rebound effects from it and I am wondering what I could do to help with the process. Obviously I take tums when the burn is really bad but are there any other solutions?</t>
        </is>
      </c>
      <c r="D8950" t="n">
        <v>1</v>
      </c>
      <c r="E8950" t="n">
        <v>0</v>
      </c>
      <c r="F8950">
        <f>HYPERLINK("https://www.reddit.com/r/GERD/comments/hotpkb/help_with_how_to_relieve_rebound_effects_from/")</f>
        <v/>
      </c>
      <c r="G8950" t="inlineStr">
        <is>
          <t>2020-07-10 10:59:02</t>
        </is>
      </c>
      <c r="H8950" t="inlineStr"/>
    </row>
    <row r="8951">
      <c r="A8951" t="inlineStr">
        <is>
          <t>hou2bw</t>
        </is>
      </c>
      <c r="B8951" t="inlineStr">
        <is>
          <t>Severe GERD, cannot work, study or even go for a drink</t>
        </is>
      </c>
      <c r="C8951" t="inlineStr">
        <is>
          <t xml:space="preserve">
So I've been having health issues over a year now. I am 23, M, other than that healthy. I'm 6,2 feet tall and weigh 154 lbs. I've lost 15 pounds over the year, since the issues began. I don't drink, smoke, or take drugs. 
I had endoscopy done, both upper and colonoscopy, because I was having severe diarrhea and a lot of pain in abdomen. Now it is better when it comes to abdomen, but the stomach is still an issue. 
I have constantly pain in the stomach after eating, I have feeling that I have to throw up (this is the most anoying, like constant reflex when throwing up), I am nauses, I have a lot of phlegm in my throat. If I do some sports it gets worse, sometimes even results in throwing up, so I am avoiding sports now.  
The results on upper endoscopy are: some ulcers, inflammation of the stomach corpus, small hiatal hernia, indirect signs of reflux. 
HP negative, celiac disease also negative. 
Currently not taking PPI since they made me feel even worse. I am in a process of getting second opinion. 
I would like to ask you if anyone had similar symptoms and what was the treatment, hopefully successful.</t>
        </is>
      </c>
      <c r="D8951" t="n">
        <v>1</v>
      </c>
      <c r="E8951" t="n">
        <v>1</v>
      </c>
      <c r="F8951">
        <f>HYPERLINK("https://www.reddit.com/r/GERD/comments/hou2bw/severe_gerd_cannot_work_study_or_even_go_for_a/")</f>
        <v/>
      </c>
      <c r="G8951" t="inlineStr">
        <is>
          <t>2020-07-10 11:17:32</t>
        </is>
      </c>
      <c r="H8951" t="inlineStr"/>
    </row>
    <row r="8952">
      <c r="A8952" t="inlineStr">
        <is>
          <t>hov95u</t>
        </is>
      </c>
      <c r="B8952" t="inlineStr">
        <is>
          <t>Unsure if this is GERD</t>
        </is>
      </c>
      <c r="C8952" t="inlineStr">
        <is>
          <t>Hi everyone not really sure where to begin here. 
I’m 24 and had my first baby 11 weeks ago. I had horrible acid reflux in pregnancy but managed it witu Tums. 
I assumed it would go after pregnancy but it didn’t. I noticed about 4 weeks ago I was persistently regurgitating fluid after meals and also belching a TONNE. 
I visited my doctor who prescribed me Omeprazole (a proton pump inhibitor) and told me to take 2 20mg pills a day. 
I stupidly believed I could get rid of the symptoms myself, so didn’t start the PPI until Wednesday morning of this week when I realised I was getting no better. After every meal I was vomiting in my mouth and burping even when my stomach was empty (upon waking) 
My husband who has classical GERD told me that he does not experience frequent belching or regurgitation with his - just heartburn. I am the total opposite. No heartburn or pain - just regurgitating fluid and belching. But my doctor says this is GERD also and is treating me for GERD.
Ever since starting the PPI I have been a little better but not massively. I had a meal at around 1pm and only belched a few times after it (a huge improvement!!) however with my evening meal tonight I have been regurgitating fluid again and belching - just at a lesser degree than I was before I started the PPI.
Do PPIs tend to take a while to work? And do my symptoms sound like GERD? I’m waiting to be scheduled for an endoscopy and colonoscopy but it could take weeks before I get one.
Thanks.</t>
        </is>
      </c>
      <c r="D8952" t="n">
        <v>1</v>
      </c>
      <c r="E8952" t="n">
        <v>1</v>
      </c>
      <c r="F8952">
        <f>HYPERLINK("https://www.reddit.com/r/GERD/comments/hov95u/unsure_if_this_is_gerd/")</f>
        <v/>
      </c>
      <c r="G8952" t="inlineStr">
        <is>
          <t>2020-07-10 12:19:03</t>
        </is>
      </c>
      <c r="H8952" t="inlineStr"/>
    </row>
    <row r="8953">
      <c r="A8953" t="inlineStr">
        <is>
          <t>hovhe7</t>
        </is>
      </c>
      <c r="B8953" t="inlineStr">
        <is>
          <t>Need a bit of advice with continuing PPI medication.</t>
        </is>
      </c>
      <c r="C8953" t="inlineStr">
        <is>
          <t>Hello,
For some context, my friend (23F) started experiencing problems like heartburn and acid reflux about 6 months ago and after seeing no improvement from the medicines prescribed by our general physician, we decided to consult a gastroenterologist, who diagnosed her with severe GERD, which was exactly 4.5 months ago.
The doctor started her PPI treatment with rabeprazole 20mg along with Levosulpiride/ domperidone and some vitamin supplements. This went on for 3.5 months, after which her doctor changed it to just Esomeprazole 40mg, which has been going on for a month now. The dosage quantity has been 1 dose every day from the beginning. Thankfully, it has been working well so far and her condition is much better now, with some occasional heartburn episodes.
Unfortunately now, due to lockdown in our country, we've returned to our hometown and we are unable to contact the doctor for the time being. So, it'd be immensely helpful if you could suggest whether it'll be okay to keep continuing this esomeprazole 40mg dosage for another month or so, until we can contact the doctor again. Also, any kind of suggestions or advice is also very appreciated. Thank you.</t>
        </is>
      </c>
      <c r="D8953" t="n">
        <v>1</v>
      </c>
      <c r="E8953" t="n">
        <v>1</v>
      </c>
      <c r="F8953">
        <f>HYPERLINK("https://www.reddit.com/r/GERD/comments/hovhe7/need_a_bit_of_advice_with_continuing_ppi/")</f>
        <v/>
      </c>
      <c r="G8953" t="inlineStr">
        <is>
          <t>2020-07-10 12:31:06</t>
        </is>
      </c>
      <c r="H8953" t="inlineStr"/>
    </row>
    <row r="8954">
      <c r="A8954" t="inlineStr">
        <is>
          <t>how5md</t>
        </is>
      </c>
      <c r="B8954" t="inlineStr">
        <is>
          <t>Gerd?</t>
        </is>
      </c>
      <c r="C8954" t="inlineStr">
        <is>
          <t>24M. Been experiencing some trouble breathing with what feels like a tightness in my throat almost as if something is stuck in my throat also some burping and gas and phlegm. Could it be gerd? Anyone have the same symptoms?</t>
        </is>
      </c>
      <c r="D8954" t="n">
        <v>1</v>
      </c>
      <c r="E8954" t="n">
        <v>0</v>
      </c>
      <c r="F8954">
        <f>HYPERLINK("https://www.reddit.com/r/GERD/comments/how5md/gerd/")</f>
        <v/>
      </c>
      <c r="G8954" t="inlineStr">
        <is>
          <t>2020-07-10 13:07:22</t>
        </is>
      </c>
      <c r="H8954" t="inlineStr"/>
    </row>
    <row r="8955">
      <c r="A8955" t="inlineStr">
        <is>
          <t>hox5ll</t>
        </is>
      </c>
      <c r="B8955" t="inlineStr">
        <is>
          <t>PPI Side Effects</t>
        </is>
      </c>
      <c r="C8955" t="inlineStr">
        <is>
          <t>Hello,
I am currently on 40mg/day of Nexium after switching from 40mg/day of Prilosec. I have been having varying symptoms across my body that my primary doctor does not seem to understand. It started about a year ago with being light-headed and nauseous. Now it has escalated into palpitations, chest pain all over chest, cough, weakness in arms and hands, headaches, and pressure in the back of my neck.
Curious to know if anyone else had experience these symptoms while on PPIs?</t>
        </is>
      </c>
      <c r="D8955" t="n">
        <v>1</v>
      </c>
      <c r="E8955" t="n">
        <v>7</v>
      </c>
      <c r="F8955">
        <f>HYPERLINK("https://www.reddit.com/r/GERD/comments/hox5ll/ppi_side_effects/")</f>
        <v/>
      </c>
      <c r="G8955" t="inlineStr">
        <is>
          <t>2020-07-10 14:03:23</t>
        </is>
      </c>
      <c r="H8955" t="inlineStr"/>
    </row>
    <row r="8956">
      <c r="A8956" t="inlineStr">
        <is>
          <t>hox8ab</t>
        </is>
      </c>
      <c r="B8956" t="inlineStr">
        <is>
          <t>Nausea and Gas (Burping)</t>
        </is>
      </c>
      <c r="C8956" t="inlineStr">
        <is>
          <t>Is anybody symptoms only Gas and Random Nausea throughout the day?</t>
        </is>
      </c>
      <c r="D8956" t="n">
        <v>1</v>
      </c>
      <c r="E8956" t="n">
        <v>3</v>
      </c>
      <c r="F8956">
        <f>HYPERLINK("https://www.reddit.com/r/GERD/comments/hox8ab/nausea_and_gas_burping/")</f>
        <v/>
      </c>
      <c r="G8956" t="inlineStr">
        <is>
          <t>2020-07-10 14:07:23</t>
        </is>
      </c>
      <c r="H8956" t="inlineStr"/>
    </row>
    <row r="8957">
      <c r="A8957" t="inlineStr">
        <is>
          <t>hoyi7v</t>
        </is>
      </c>
      <c r="B8957" t="inlineStr">
        <is>
          <t>Has anyone taken esomeprazole?</t>
        </is>
      </c>
      <c r="C8957" t="inlineStr">
        <is>
          <t>I’ve ran out of omeprazole and normally get them from my local dr but they are closed for the weekend so I got esomeprazole from the supermarket, will this be ok?</t>
        </is>
      </c>
      <c r="D8957" t="n">
        <v>1</v>
      </c>
      <c r="E8957" t="n">
        <v>11</v>
      </c>
      <c r="F8957">
        <f>HYPERLINK("https://www.reddit.com/r/GERD/comments/hoyi7v/has_anyone_taken_esomeprazole/")</f>
        <v/>
      </c>
      <c r="G8957" t="inlineStr">
        <is>
          <t>2020-07-10 15:19:51</t>
        </is>
      </c>
      <c r="H8957" t="inlineStr"/>
    </row>
    <row r="8958">
      <c r="A8958" t="inlineStr">
        <is>
          <t>hozj9d</t>
        </is>
      </c>
      <c r="B8958" t="inlineStr">
        <is>
          <t>Day after endoscopy can't swallow even more</t>
        </is>
      </c>
      <c r="C8958" t="inlineStr">
        <is>
          <t>The title says it all. I already made a previous post here asking about what people's experiences are with no findings during endoscopy. They did find a small haital hernia though. Has anybody experienced worse swallowing afterwards? Not in any pain just can't seem to swallow even my own saliva. Anything would help. Thanks.</t>
        </is>
      </c>
      <c r="D8958" t="n">
        <v>1</v>
      </c>
      <c r="E8958" t="n">
        <v>1</v>
      </c>
      <c r="F8958">
        <f>HYPERLINK("https://www.reddit.com/r/GERD/comments/hozj9d/day_after_endoscopy_cant_swallow_even_more/")</f>
        <v/>
      </c>
      <c r="G8958" t="inlineStr">
        <is>
          <t>2020-07-10 16:22:38</t>
        </is>
      </c>
      <c r="H8958" t="inlineStr"/>
    </row>
    <row r="8959">
      <c r="A8959" t="inlineStr">
        <is>
          <t>hp1dgs</t>
        </is>
      </c>
      <c r="B8959" t="inlineStr">
        <is>
          <t>is this??</t>
        </is>
      </c>
      <c r="C8959" t="inlineStr">
        <is>
          <t>is this GERD? i’ve had a pain in my chest starting last night that i thought was just brought on from a panic attack but today it feels more like there’s something stuck in my chest?? i seem to struggle to swallow sometimes as it is very uncomfortable!?? i’ve recently started having  panic attacks is this a symptom?</t>
        </is>
      </c>
      <c r="D8959" t="n">
        <v>1</v>
      </c>
      <c r="E8959" t="n">
        <v>0</v>
      </c>
      <c r="F8959">
        <f>HYPERLINK("https://www.reddit.com/r/GERD/comments/hp1dgs/is_this/")</f>
        <v/>
      </c>
      <c r="G8959" t="inlineStr">
        <is>
          <t>2020-07-10 18:24:36</t>
        </is>
      </c>
      <c r="H8959" t="inlineStr"/>
    </row>
    <row r="8960">
      <c r="A8960" t="inlineStr">
        <is>
          <t>hp2rh6</t>
        </is>
      </c>
      <c r="B8960" t="inlineStr">
        <is>
          <t>Does anyone else have blood in the mucus they cough up?</t>
        </is>
      </c>
      <c r="C8960" t="inlineStr">
        <is>
          <t>Just wondering if anyone else has blood in their mucus?  My symptoms started out as only appearing after eating, but now they are with lying down, laughing, and even mild exercise. Can anyone else relate?
Thanks for reading and the support.</t>
        </is>
      </c>
      <c r="D8960" t="n">
        <v>1</v>
      </c>
      <c r="E8960" t="n">
        <v>4</v>
      </c>
      <c r="F8960">
        <f>HYPERLINK("https://www.reddit.com/r/GERD/comments/hp2rh6/does_anyone_else_have_blood_in_the_mucus_they/")</f>
        <v/>
      </c>
      <c r="G8960" t="inlineStr">
        <is>
          <t>2020-07-10 20:02:01</t>
        </is>
      </c>
      <c r="H8960" t="inlineStr"/>
    </row>
    <row r="8961">
      <c r="A8961" t="inlineStr">
        <is>
          <t>hp37wa</t>
        </is>
      </c>
      <c r="B8961" t="inlineStr">
        <is>
          <t>My sternum on right side is protruding.</t>
        </is>
      </c>
      <c r="C8961" t="inlineStr">
        <is>
          <t>Could it be because I lost weight?</t>
        </is>
      </c>
      <c r="D8961" t="n">
        <v>1</v>
      </c>
      <c r="E8961" t="n">
        <v>2</v>
      </c>
      <c r="F8961">
        <f>HYPERLINK("https://www.reddit.com/r/GERD/comments/hp37wa/my_sternum_on_right_side_is_protruding/")</f>
        <v/>
      </c>
      <c r="G8961" t="inlineStr">
        <is>
          <t>2020-07-10 20:34:47</t>
        </is>
      </c>
      <c r="H8961" t="inlineStr"/>
    </row>
    <row r="8962">
      <c r="A8962" t="inlineStr">
        <is>
          <t>hp528g</t>
        </is>
      </c>
      <c r="B8962" t="inlineStr">
        <is>
          <t>OMG this sub! Possible GERD</t>
        </is>
      </c>
      <c r="C8962" t="inlineStr">
        <is>
          <t>Finding this sub has me doing a happy dance because I feel like you guys may be able to help us! My wife has had stomach issues her entire life. I have known her for a bit over 5 years and her symptoms are exhausting. Nausea almost everyday, frequent vomiting, sometimes for no reason. Heartburn almost constantly. Random pain under left breast. Coughing and gagging on mucus every single morning. Waking from a dead sleep gasping and choking before vomiting hard. She takes tums every single day. She gets "twinges" in her chest and heart palpitations which have led to several panic attacks and ER visits (her heart has always been fine). 
Does this stuff sound familiar? She has been dealing with it for so long that she's just gotten used to it, but I am trying to convince her to see a doctor. The gasping and choking in her sleep and subsequent violent vomiting REALLY freak me out and make it impossible for me to go back to sleep (which is why I'm posting this here at 2am!) 
Please share any similarities or insight you have! I am going to show her this sub!</t>
        </is>
      </c>
      <c r="D8962" t="n">
        <v>1</v>
      </c>
      <c r="E8962" t="n">
        <v>5</v>
      </c>
      <c r="F8962">
        <f>HYPERLINK("https://www.reddit.com/r/GERD/comments/hp528g/omg_this_sub_possible_gerd/")</f>
        <v/>
      </c>
      <c r="G8962" t="inlineStr">
        <is>
          <t>2020-07-10 23:02:54</t>
        </is>
      </c>
      <c r="H8962" t="inlineStr"/>
    </row>
    <row r="8963">
      <c r="A8963" t="inlineStr">
        <is>
          <t>hp5f6u</t>
        </is>
      </c>
      <c r="B8963" t="inlineStr">
        <is>
          <t>Rant - PPIs are giving me anxiety</t>
        </is>
      </c>
      <c r="C8963" t="inlineStr">
        <is>
          <t>I just have to get this off my chest right now.
I have to take 30mg Pantoprazol every morning.
I hate it so much. First, it's more of a guess than a real diagnose my doctor had because of the redness inside my throat: "it's typical for reflux". Second my symptoms are more LPR than GERD so even if this is reflux I have PPIs might be not helping. Also, what if I take PPis and in reality it's a different problem.
I have health anxiety and these quite heavy medications make me so scared. I have some stomach pain and gas after taking them. Also I feel like I have headaches more often, even though it might be anxiety. Today I felt like the pill got stuck and would spread stuff all over my esophagus or lung (somehow... i know but fears can be irrational). Now I am obsessively watching my throat and get stings and everything which might be from anxiety but it's horrible. My ENT wants me to use them 4 weeks. I am on day 4.
I just feel like I am taking a risk for something that might be totally bs and meanwhile the cause of the pain in my throat spreads out or sth.
I just want that to stop. I don't eat anything but bland corn, rice, potatoes and cucumber because I am so scared of my throat sensations and don't want to trigger them/make it stop asap.
Since I already suffer from health anxiety and now have this mystery pain + somewhat dangerous medications + losing touch with normality even more (food etc.) I start feeling really depressed and hopeless. All I feel is fear and pain. I just want to be healthy and experience life.</t>
        </is>
      </c>
      <c r="D8963" t="n">
        <v>1</v>
      </c>
      <c r="E8963" t="n">
        <v>11</v>
      </c>
      <c r="F8963">
        <f>HYPERLINK("https://www.reddit.com/r/GERD/comments/hp5f6u/rant_ppis_are_giving_me_anxiety/")</f>
        <v/>
      </c>
      <c r="G8963" t="inlineStr">
        <is>
          <t>2020-07-10 23:35:27</t>
        </is>
      </c>
      <c r="H8963" t="inlineStr"/>
    </row>
    <row r="8964">
      <c r="A8964" t="inlineStr">
        <is>
          <t>hp6rek</t>
        </is>
      </c>
      <c r="B8964" t="inlineStr">
        <is>
          <t>Anyone experience chest discomfort after endoscopy?</t>
        </is>
      </c>
      <c r="C8964" t="inlineStr">
        <is>
          <t>Hi. So I got an endoscopy and colonoscopy yesterday and I noticed several hours later I have a discomfort/pain in my chest. It’s nothing severe but quite annoying. It comes and goes and has been until today (about 30 hours later) I googled and found a few forums where people had the same issue and they assume it’s just from the biopsies taken, but just thought I’d ask on here! i have no other symptoms than this (no sore throat, no difficulty swallowing, no fever etc). Thank you :-)</t>
        </is>
      </c>
      <c r="D8964" t="n">
        <v>1</v>
      </c>
      <c r="E8964" t="n">
        <v>5</v>
      </c>
      <c r="F8964">
        <f>HYPERLINK("https://www.reddit.com/r/GERD/comments/hp6rek/anyone_experience_chest_discomfort_after_endoscopy/")</f>
        <v/>
      </c>
      <c r="G8964" t="inlineStr">
        <is>
          <t>2020-07-11 01:43:11</t>
        </is>
      </c>
      <c r="H8964" t="inlineStr"/>
    </row>
    <row r="8965">
      <c r="A8965" t="inlineStr">
        <is>
          <t>hp6zfa</t>
        </is>
      </c>
      <c r="B8965" t="inlineStr">
        <is>
          <t>GERD medication</t>
        </is>
      </c>
      <c r="C8965" t="inlineStr">
        <is>
          <t>Does anyone know if they’re are any alternatives to PPIs and H2 blockers?</t>
        </is>
      </c>
      <c r="D8965" t="n">
        <v>1</v>
      </c>
      <c r="E8965" t="n">
        <v>3</v>
      </c>
      <c r="F8965">
        <f>HYPERLINK("https://www.reddit.com/r/GERD/comments/hp6zfa/gerd_medication/")</f>
        <v/>
      </c>
      <c r="G8965" t="inlineStr">
        <is>
          <t>2020-07-11 02:05:26</t>
        </is>
      </c>
      <c r="H8965" t="inlineStr"/>
    </row>
    <row r="8966">
      <c r="A8966" t="inlineStr">
        <is>
          <t>hp733t</t>
        </is>
      </c>
      <c r="B8966" t="inlineStr">
        <is>
          <t>Feverish feeling</t>
        </is>
      </c>
      <c r="C8966" t="inlineStr">
        <is>
          <t>Am I the only one that gets like a fever every morning due to acid reflux
Please I need help :/</t>
        </is>
      </c>
      <c r="D8966" t="n">
        <v>1</v>
      </c>
      <c r="E8966" t="n">
        <v>5</v>
      </c>
      <c r="F8966">
        <f>HYPERLINK("https://www.reddit.com/r/GERD/comments/hp733t/feverish_feeling/")</f>
        <v/>
      </c>
      <c r="G8966" t="inlineStr">
        <is>
          <t>2020-07-11 02:15:55</t>
        </is>
      </c>
      <c r="H8966" t="inlineStr"/>
    </row>
    <row r="8967">
      <c r="A8967" t="inlineStr">
        <is>
          <t>hp7s98</t>
        </is>
      </c>
      <c r="B8967" t="inlineStr">
        <is>
          <t>Is 80mg pantoprazole too much?</t>
        </is>
      </c>
      <c r="C8967" t="inlineStr">
        <is>
          <t>Just a tad bit worried about my current dosage, which is 40mg twice daily. I’ve been on this for a little over 2 weeks now and I’m starting to feel a bit better. The only thing is my stomach always feels bad when the meds kick in. And I sometimes get sharp pains in the sides of my stomach. Could the medicine be doing this? Would it be worth talking to my GI about lowering my dosage?</t>
        </is>
      </c>
      <c r="D8967" t="n">
        <v>1</v>
      </c>
      <c r="E8967" t="n">
        <v>14</v>
      </c>
      <c r="F8967">
        <f>HYPERLINK("https://www.reddit.com/r/GERD/comments/hp7s98/is_80mg_pantoprazole_too_much/")</f>
        <v/>
      </c>
      <c r="G8967" t="inlineStr">
        <is>
          <t>2020-07-11 03:23:07</t>
        </is>
      </c>
      <c r="H8967" t="inlineStr"/>
    </row>
    <row r="8968">
      <c r="A8968" t="inlineStr">
        <is>
          <t>hp81v5</t>
        </is>
      </c>
      <c r="B8968" t="inlineStr">
        <is>
          <t>Zoloft</t>
        </is>
      </c>
      <c r="C8968" t="inlineStr">
        <is>
          <t>My PCP prescribed Zoloft for depression.  
I asked my PCP, "Is it going to be fine to take with GERD?" She says, "Sure, should be no problem"  
I asked my GI, "Is it going to be fine to take with GERD?" He says, "Sure, should be no problem"
Immediately after taking my first Zoloft pill I get the worst heartburn I've ever experienced. That was 4 hours ago, I've since gone to sleep and woken up from the pain.
Can't say I'm shocked, just disappointed.</t>
        </is>
      </c>
      <c r="D8968" t="n">
        <v>1</v>
      </c>
      <c r="E8968" t="n">
        <v>6</v>
      </c>
      <c r="F8968">
        <f>HYPERLINK("https://www.reddit.com/r/GERD/comments/hp81v5/zoloft/")</f>
        <v/>
      </c>
      <c r="G8968" t="inlineStr">
        <is>
          <t>2020-07-11 03:48:58</t>
        </is>
      </c>
      <c r="H8968" t="inlineStr"/>
    </row>
    <row r="8969">
      <c r="A8969" t="inlineStr">
        <is>
          <t>hp8drv</t>
        </is>
      </c>
      <c r="B8969" t="inlineStr">
        <is>
          <t>Please help me. Have LPR for years now I only think about the big C</t>
        </is>
      </c>
      <c r="C8969" t="inlineStr">
        <is>
          <t>My main symptom of LPR is really just throat clearing. Sometimes I get bloating and belching when I overeat. I had this back in 2011 after poor diet choices. Years forward now, I've lost a lot of weight due to exercise and I'm claiming my life back. But the throat clearing is still there especially after eating. 
Last year, I saw an ENT who did a scope on my throat and confirmed it was really silent reflux. My throat area was inflammed. He put me on months of gaviscon and 20mg omperazole but didn't really do anything. I have to admit: my diet is my worst enemy. I basically eat anything as I please. My ENT doesn't want me to put on higher dosage of PPIs because I don't have heart burn symptoms.
I'm starting to give up. I have health anxiety and I feel like I am developing the big C (God, I can't even mention it here without panicking). I really want to claim my life back starting with my diet. I want the throat clearing to go away. I can't go back to my ENT or find a new one yet because of the pandemic. My anxiety is  driving me insane. I want to cry now.</t>
        </is>
      </c>
      <c r="D8969" t="n">
        <v>1</v>
      </c>
      <c r="E8969" t="n">
        <v>60</v>
      </c>
      <c r="F8969">
        <f>HYPERLINK("https://www.reddit.com/r/GERD/comments/hp8drv/please_help_me_have_lpr_for_years_now_i_only/")</f>
        <v/>
      </c>
      <c r="G8969" t="inlineStr">
        <is>
          <t>2020-07-11 04:19:31</t>
        </is>
      </c>
      <c r="H8969" t="inlineStr"/>
    </row>
    <row r="8970">
      <c r="A8970" t="inlineStr">
        <is>
          <t>hp8kg4</t>
        </is>
      </c>
      <c r="B8970" t="inlineStr">
        <is>
          <t>Searching for an actual PH food chart</t>
        </is>
      </c>
      <c r="C8970" t="inlineStr">
        <is>
          <t>I only find charts for alkaline diet on google. So where e.g. lemons are highly alkaline.
Since I believe I might have LPR I want to try not eating anything with a PH level below 5 (read that here somewhere).
That is hard of course when I don't know anything about actual PH levels.
Does anyone have a source for actual PH levels of food?</t>
        </is>
      </c>
      <c r="D8970" t="n">
        <v>1</v>
      </c>
      <c r="E8970" t="n">
        <v>18</v>
      </c>
      <c r="F8970">
        <f>HYPERLINK("https://www.reddit.com/r/GERD/comments/hp8kg4/searching_for_an_actual_ph_food_chart/")</f>
        <v/>
      </c>
      <c r="G8970" t="inlineStr">
        <is>
          <t>2020-07-11 04:36:16</t>
        </is>
      </c>
      <c r="H8970" t="inlineStr"/>
    </row>
    <row r="8971">
      <c r="A8971" t="inlineStr">
        <is>
          <t>hpaoom</t>
        </is>
      </c>
      <c r="B8971" t="inlineStr">
        <is>
          <t>Burping triggered while talking</t>
        </is>
      </c>
      <c r="C8971" t="inlineStr">
        <is>
          <t>I have severe burping for the last 1 year. Like most of the time in a day. Recently it has gotten worse enough to trouble my breathing at times. One uncommon issue I am having is I am unable to talk for more than a few minutes since my talking seems to trigger burping. I feel like I am out of breath after burping heavily.
Does this sound familiar for anyone ?
I tried searching Google but could not find anything convincing.
Any help would be great guys . Thanks</t>
        </is>
      </c>
      <c r="D8971" t="n">
        <v>1</v>
      </c>
      <c r="E8971" t="n">
        <v>0</v>
      </c>
      <c r="F8971">
        <f>HYPERLINK("https://www.reddit.com/r/GERD/comments/hpaoom/burping_triggered_while_talking/")</f>
        <v/>
      </c>
      <c r="G8971" t="inlineStr">
        <is>
          <t>2020-07-11 07:16:05</t>
        </is>
      </c>
      <c r="H8971" t="inlineStr"/>
    </row>
    <row r="8972">
      <c r="A8972" t="inlineStr">
        <is>
          <t>hpcvnc</t>
        </is>
      </c>
      <c r="B8972" t="inlineStr">
        <is>
          <t>Caffeine Withdrawal</t>
        </is>
      </c>
      <c r="C8972" t="inlineStr">
        <is>
          <t>This is the second time I’ve attempted to quote caffeine and the second time I have gotten very sick from doing so - fatigue, nausea, dizzy, headache, wanting to sleep all day. Has anyone else been through this?  I was down to less than half a cup low acid cold brew - I am desperately trying to do anything I can to improve my situation - but do you think that small amount of coffee (with nut milk) is worth quitting due to the withdrawal? I’ve been addicted to caffeine for at least 25 years. Help</t>
        </is>
      </c>
      <c r="D8972" t="n">
        <v>1</v>
      </c>
      <c r="E8972" t="n">
        <v>8</v>
      </c>
      <c r="F8972">
        <f>HYPERLINK("https://www.reddit.com/r/GERD/comments/hpcvnc/caffeine_withdrawal/")</f>
        <v/>
      </c>
      <c r="G8972" t="inlineStr">
        <is>
          <t>2020-07-11 09:28:17</t>
        </is>
      </c>
      <c r="H8972" t="inlineStr"/>
    </row>
    <row r="8973">
      <c r="A8973" t="inlineStr">
        <is>
          <t>hpd1fi</t>
        </is>
      </c>
      <c r="B8973" t="inlineStr">
        <is>
          <t>Gerd at work</t>
        </is>
      </c>
      <c r="C8973" t="inlineStr">
        <is>
          <t>How do you guys handle your gerd symptoms at work do you just push through or have trouble even being at work mostly if you work out in the heat</t>
        </is>
      </c>
      <c r="D8973" t="n">
        <v>1</v>
      </c>
      <c r="E8973" t="n">
        <v>1</v>
      </c>
      <c r="F8973">
        <f>HYPERLINK("https://www.reddit.com/r/GERD/comments/hpd1fi/gerd_at_work/")</f>
        <v/>
      </c>
      <c r="G8973" t="inlineStr">
        <is>
          <t>2020-07-11 09:37:16</t>
        </is>
      </c>
      <c r="H8973" t="inlineStr"/>
    </row>
    <row r="8974">
      <c r="A8974" t="inlineStr">
        <is>
          <t>hpdfob</t>
        </is>
      </c>
      <c r="B8974" t="inlineStr">
        <is>
          <t>Found some help with reactine</t>
        </is>
      </c>
      <c r="C8974" t="inlineStr">
        <is>
          <t>But then I can’t be taking allergy pills daily but it definitely helps with the nasal drip</t>
        </is>
      </c>
      <c r="D8974" t="n">
        <v>1</v>
      </c>
      <c r="E8974" t="n">
        <v>2</v>
      </c>
      <c r="F8974">
        <f>HYPERLINK("https://www.reddit.com/r/GERD/comments/hpdfob/found_some_help_with_reactine/")</f>
        <v/>
      </c>
      <c r="G8974" t="inlineStr">
        <is>
          <t>2020-07-11 10:00:02</t>
        </is>
      </c>
      <c r="H8974" t="inlineStr"/>
    </row>
    <row r="8975">
      <c r="A8975" t="inlineStr">
        <is>
          <t>hpe1ga</t>
        </is>
      </c>
      <c r="B8975" t="inlineStr">
        <is>
          <t>doctor wants me to transition from Prilosec to Pepcid, scared that I'll feel worse</t>
        </is>
      </c>
      <c r="C8975" t="inlineStr">
        <is>
          <t>I have LPR. I have always been hesitant to take PPIs because I didn't want to get stuck taking them for months or years. But my symptoms got really bad a few months ago and I was having trouble swallowing, chest pain, choking, etc., so my doctor started me on 20mg omeprazole. It doesn't completely stop the symptoms but it does help a lot. I've been on it for 3 months and the doctor wants me to try switching from omeprazole to famotidine, and then eventually wean off the famotidine as well.
I'm really nervous that my symptoms will get worse and the famotidine won't help. When i try to stop taking omeprazole, my throat hurts and my voice is hoarse, my tongue hurts, coughing/choking, etc., even worse than before. I think my diet also has a lot to do with it, as I've been eating lots of trigger foods. The problem is that I *can't* eat anything else. I have gallstones and it's severely limiting my diet, so the only foods that don't upset my gallbladder, aren't great for my reflux. I'm tempted to stay on the omeprazole at least until I can get my gallbladder removed.. but because of the pandemic, I don't know when that will be and I don't necessarily want to be taking the omeprazole for another several months.
I'm not really sure what to do. Should I try the pepcid? Keep taking omeprazole? What are the chances it will make things worse if I switch to pepcid?</t>
        </is>
      </c>
      <c r="D8975" t="n">
        <v>1</v>
      </c>
      <c r="E8975" t="n">
        <v>1</v>
      </c>
      <c r="F8975">
        <f>HYPERLINK("https://www.reddit.com/r/GERD/comments/hpe1ga/doctor_wants_me_to_transition_from_prilosec_to/")</f>
        <v/>
      </c>
      <c r="G8975" t="inlineStr">
        <is>
          <t>2020-07-11 10:33:38</t>
        </is>
      </c>
      <c r="H8975" t="inlineStr"/>
    </row>
    <row r="8976">
      <c r="A8976" t="inlineStr">
        <is>
          <t>hpetna</t>
        </is>
      </c>
      <c r="B8976" t="inlineStr">
        <is>
          <t>LPR sufferers- have you ever had smell/taste changes?</t>
        </is>
      </c>
      <c r="C8976" t="inlineStr">
        <is>
          <t>I’ve been having this mucous smell in my nose and lately everything is smelling extremely intense. 
Anyone have this? What is the cause?!</t>
        </is>
      </c>
      <c r="D8976" t="n">
        <v>1</v>
      </c>
      <c r="E8976" t="n">
        <v>5</v>
      </c>
      <c r="F8976">
        <f>HYPERLINK("https://www.reddit.com/r/GERD/comments/hpetna/lpr_sufferers_have_you_ever_had_smelltaste_changes/")</f>
        <v/>
      </c>
      <c r="G8976" t="inlineStr">
        <is>
          <t>2020-07-11 11:18:12</t>
        </is>
      </c>
      <c r="H8976" t="inlineStr"/>
    </row>
    <row r="8977">
      <c r="A8977" t="inlineStr">
        <is>
          <t>hpfjoq</t>
        </is>
      </c>
      <c r="B8977" t="inlineStr">
        <is>
          <t>can you have a hiatal hernia without any chest pain whatsoever???</t>
        </is>
      </c>
      <c r="C8977" t="inlineStr">
        <is>
          <t>just out of curiosity</t>
        </is>
      </c>
      <c r="D8977" t="n">
        <v>1</v>
      </c>
      <c r="E8977" t="n">
        <v>7</v>
      </c>
      <c r="F8977">
        <f>HYPERLINK("https://www.reddit.com/r/GERD/comments/hpfjoq/can_you_have_a_hiatal_hernia_without_any_chest/")</f>
        <v/>
      </c>
      <c r="G8977" t="inlineStr">
        <is>
          <t>2020-07-11 12:00:11</t>
        </is>
      </c>
      <c r="H8977" t="inlineStr"/>
    </row>
    <row r="8978">
      <c r="A8978" t="inlineStr">
        <is>
          <t>hpglws</t>
        </is>
      </c>
      <c r="B8978" t="inlineStr">
        <is>
          <t>Anyone tried CBD for GERD?</t>
        </is>
      </c>
      <c r="C8978" t="inlineStr">
        <is>
          <t>I’m so sorry if this has been posted somewhere else. I’m new here, and this board has been an incredible resource. Just wondering is anyone has tried and found success using CBD oil for GERD. I’ve read a few articles online saying that it targets the same gene that Omeprazole does, with less side effects. Of course, can’t believe everything that CBD proponents and opponents put out there, so I thought I’d ask the good people on this board!
My flare up got so bad that I had to go on Omeprazole (Rx 40mg 1x/day) until my endoscopy/colonoscopy at the end of the month. But I don’t want to be on this long term. Sounds like many of us suffer from health/generalized anxiety, which CBD has also maybe helped for some. I just feel like “hey, two birds one stone” but my doc said to avoid it b/c there aren’t enough studies. But...there ARE enough studies to show that Omeprazole is bad and yet they still prescribe that?
Thank you! Hope you all find some moments of relief today.</t>
        </is>
      </c>
      <c r="D8978" t="n">
        <v>1</v>
      </c>
      <c r="E8978" t="n">
        <v>10</v>
      </c>
      <c r="F8978">
        <f>HYPERLINK("https://www.reddit.com/r/GERD/comments/hpglws/anyone_tried_cbd_for_gerd/")</f>
        <v/>
      </c>
      <c r="G8978" t="inlineStr">
        <is>
          <t>2020-07-11 13:01:02</t>
        </is>
      </c>
      <c r="H8978" t="inlineStr"/>
    </row>
    <row r="8979">
      <c r="A8979" t="inlineStr">
        <is>
          <t>hpgme0</t>
        </is>
      </c>
      <c r="B8979" t="inlineStr">
        <is>
          <t>H2-blocker to help PPI rebound?</t>
        </is>
      </c>
      <c r="C8979" t="inlineStr">
        <is>
          <t>I've been taking PPIs for 10+ years and decided to try stopping them. I've lost a significant amount of weight and am at my highest level of fitness in about 20 years.
I stopped PPIs cold turkey (ran out, no insurance, minimal money) about 7 days ago. I'm starting to get some heartburn now. I'm taking 1-2 Tums per day, as-needed.
My goal is to not take any PPI, H2-blocker, or other antacids.
I've read that taking H2-blockers for the next few weeks may help with the PPI rebound I'm likely dealing with. Wouldn't that just delay my body's adjustment? I'm likely misunderstanding, but it seems that the H2-blocker would be performing the same function that the PPI was and that I'd have a similar rebound after stopping the H2-blocker.
The PPIs I took most recently were Dexlansoprazole 60mg for the last \~5 years, and Pantoprazole 40mg for many years before that.
tl;dr: Should I take an H2-blocker to help with PPI rebound or stick with Tums?</t>
        </is>
      </c>
      <c r="D8979" t="n">
        <v>1</v>
      </c>
      <c r="E8979" t="n">
        <v>4</v>
      </c>
      <c r="F8979">
        <f>HYPERLINK("https://www.reddit.com/r/GERD/comments/hpgme0/h2blocker_to_help_ppi_rebound/")</f>
        <v/>
      </c>
      <c r="G8979" t="inlineStr">
        <is>
          <t>2020-07-11 13:01:45</t>
        </is>
      </c>
      <c r="H8979" t="inlineStr"/>
    </row>
    <row r="8980">
      <c r="A8980" t="inlineStr">
        <is>
          <t>hpgt6s</t>
        </is>
      </c>
      <c r="B8980" t="inlineStr">
        <is>
          <t>Who did not get a rebound after PPI?</t>
        </is>
      </c>
      <c r="C8980" t="inlineStr">
        <is>
          <t>Who did not get a rebound after stopping PPI?</t>
        </is>
      </c>
      <c r="D8980" t="n">
        <v>1</v>
      </c>
      <c r="E8980" t="n">
        <v>3</v>
      </c>
      <c r="F8980">
        <f>HYPERLINK("https://www.reddit.com/r/GERD/comments/hpgt6s/who_did_not_get_a_rebound_after_ppi/")</f>
        <v/>
      </c>
      <c r="G8980" t="inlineStr">
        <is>
          <t>2020-07-11 13:12:40</t>
        </is>
      </c>
      <c r="H8980" t="inlineStr"/>
    </row>
    <row r="8981">
      <c r="A8981" t="inlineStr">
        <is>
          <t>hphfka</t>
        </is>
      </c>
      <c r="B8981" t="inlineStr">
        <is>
          <t>Possible iron deficiency from famotidine (Pepcid)?</t>
        </is>
      </c>
      <c r="C8981" t="inlineStr">
        <is>
          <t>I've been having really bad GERD for the past couple months and my doc has told me to take two 20mg Pepcid's a day. Within about a week of taking it twice a day I've had a noticeable increase in fatigue - I'm tired all the time, even though I get plenty of sleep. I've also noticed that I weirdly am cold all the time. I never used to have sensitivity to cold but its gotten so bad that I can't drink ice cold water anymore. I did some research and found that famotidine can actually impact iron absorption and iron deficiency can present with these exact symptoms.
I'm curious if this is somewhat common? Should I try switching to a different acid reducer?
Thanks!</t>
        </is>
      </c>
      <c r="D8981" t="n">
        <v>1</v>
      </c>
      <c r="E8981" t="n">
        <v>13</v>
      </c>
      <c r="F8981">
        <f>HYPERLINK("https://www.reddit.com/r/GERD/comments/hphfka/possible_iron_deficiency_from_famotidine_pepcid/")</f>
        <v/>
      </c>
      <c r="G8981" t="inlineStr">
        <is>
          <t>2020-07-11 13:47:54</t>
        </is>
      </c>
      <c r="H8981" t="inlineStr"/>
    </row>
    <row r="8982">
      <c r="A8982" t="inlineStr">
        <is>
          <t>hpippp</t>
        </is>
      </c>
      <c r="B8982" t="inlineStr">
        <is>
          <t>Tired with gerd</t>
        </is>
      </c>
      <c r="C8982" t="inlineStr">
        <is>
          <t>Do you guys ever feel tired with your symptoms like if your eyes kinda felt heavy like you just need a nap ?</t>
        </is>
      </c>
      <c r="D8982" t="n">
        <v>1</v>
      </c>
      <c r="E8982" t="n">
        <v>6</v>
      </c>
      <c r="F8982">
        <f>HYPERLINK("https://www.reddit.com/r/GERD/comments/hpippp/tired_with_gerd/")</f>
        <v/>
      </c>
      <c r="G8982" t="inlineStr">
        <is>
          <t>2020-07-11 15:02:53</t>
        </is>
      </c>
      <c r="H8982" t="inlineStr"/>
    </row>
    <row r="8983">
      <c r="A8983" t="inlineStr">
        <is>
          <t>hpjkrp</t>
        </is>
      </c>
      <c r="B8983" t="inlineStr">
        <is>
          <t>Anyone had any interactions with Colchicine and Nexium?</t>
        </is>
      </c>
      <c r="C8983" t="inlineStr">
        <is>
          <t>Currently having a gout flare up and feeing kinda funky - a wee bit nauseous, headache, tiredness. Wondering if anyone else suffered from gout and GERD and experienced similar issues?
Cheers!</t>
        </is>
      </c>
      <c r="D8983" t="n">
        <v>1</v>
      </c>
      <c r="E8983" t="n">
        <v>0</v>
      </c>
      <c r="F8983">
        <f>HYPERLINK("https://www.reddit.com/r/GERD/comments/hpjkrp/anyone_had_any_interactions_with_colchicine_and/")</f>
        <v/>
      </c>
      <c r="G8983" t="inlineStr">
        <is>
          <t>2020-07-11 15:54:55</t>
        </is>
      </c>
      <c r="H8983" t="inlineStr"/>
    </row>
    <row r="8984">
      <c r="A8984" t="inlineStr">
        <is>
          <t>hpkctg</t>
        </is>
      </c>
      <c r="B8984" t="inlineStr">
        <is>
          <t>Chronic Dyspnea</t>
        </is>
      </c>
      <c r="C8984" t="inlineStr">
        <is>
          <t>Just curious if anyone has had similar issues/symptoms. At the end of March I was driving to work and noticed my Apple Watch had suddenly spiked to 160BPM and I had difficulty breathing. The breathing feelings are a little different but mainly constant. I would describe it as air hunger/ feeling that I can’t breathe fully. I the last month I’ve also had bloating around my upper stomach but haven’t been eating much.
After three trips to the ER which only revealed sinus tachycardia and a high white blood cell count with extremely low lymphocytes and high neutrophils I started going to specialists.
Did every cardiac test; EKG, Echo, Stress test, angiogram ct which all came back good.
Did follow up with a pulmonologist who said lung function and capacity was fine and that I do not have asthma. He suggested that I have really bad GERD and put me on omeprazole 40mg in the morning and famotidine 40mg in the evening. I have been on these the past two months with little improvement to my breathing.
I then went to a gastro who just scoped me and said I had gerd and very mild gastritis which was likely due to stress. He recommended that I do an abdominal ultrasound.
I do not have my results for h-pylori back from the endoscopy biopsy.
The difficulty breathing has wrecked my life. I am currently unable to drive or work.
Has anyone else had similar symptoms that ended up being gastro/ -pylori related?</t>
        </is>
      </c>
      <c r="D8984" t="n">
        <v>1</v>
      </c>
      <c r="E8984" t="n">
        <v>14</v>
      </c>
      <c r="F8984">
        <f>HYPERLINK("https://www.reddit.com/r/GERD/comments/hpkctg/chronic_dyspnea/")</f>
        <v/>
      </c>
      <c r="G8984" t="inlineStr">
        <is>
          <t>2020-07-11 16:41:59</t>
        </is>
      </c>
      <c r="H8984" t="inlineStr"/>
    </row>
    <row r="8985">
      <c r="A8985" t="inlineStr">
        <is>
          <t>hpkdem</t>
        </is>
      </c>
      <c r="B8985" t="inlineStr">
        <is>
          <t>Is your heart checked before an endoscopy?</t>
        </is>
      </c>
      <c r="C8985" t="inlineStr">
        <is>
          <t>Those who’ve had an endoscopy, I’m wondering if they checked your heart before the procedure. The chest pain/pressure always makes me think this is a heart issue instead of GI, and I’m having a scope on Wednesday. Any insight?</t>
        </is>
      </c>
      <c r="D8985" t="n">
        <v>1</v>
      </c>
      <c r="E8985" t="n">
        <v>3</v>
      </c>
      <c r="F8985">
        <f>HYPERLINK("https://www.reddit.com/r/GERD/comments/hpkdem/is_your_heart_checked_before_an_endoscopy/")</f>
        <v/>
      </c>
      <c r="G8985" t="inlineStr">
        <is>
          <t>2020-07-11 16:43:00</t>
        </is>
      </c>
      <c r="H8985" t="inlineStr"/>
    </row>
    <row r="8986">
      <c r="A8986" t="inlineStr">
        <is>
          <t>hpkm6d</t>
        </is>
      </c>
      <c r="B8986" t="inlineStr">
        <is>
          <t>If you are full, stop eating.</t>
        </is>
      </c>
      <c r="C8986" t="inlineStr">
        <is>
          <t>Seriously. Lol. It really makes a difference.</t>
        </is>
      </c>
      <c r="D8986" t="n">
        <v>1</v>
      </c>
      <c r="E8986" t="n">
        <v>27</v>
      </c>
      <c r="F8986">
        <f>HYPERLINK("https://www.reddit.com/r/GERD/comments/hpkm6d/if_you_are_full_stop_eating/")</f>
        <v/>
      </c>
      <c r="G8986" t="inlineStr">
        <is>
          <t>2020-07-11 16:58:57</t>
        </is>
      </c>
      <c r="H8986" t="inlineStr"/>
    </row>
    <row r="8987">
      <c r="A8987" t="inlineStr">
        <is>
          <t>hpl9jg</t>
        </is>
      </c>
      <c r="B8987" t="inlineStr">
        <is>
          <t>Hey guys. Been a couple of weeks due to health anxiety. But need recommendations for high calorie foods</t>
        </is>
      </c>
      <c r="C8987" t="inlineStr">
        <is>
          <t>So I've been really struggling with loosing weight because my calorie intake has plummeted due to the esophagitis that my gerd is causing. Which makes my mind go crazy. But I've paid $1000 to activate my cobra insurance and should be seeing a pcp soon and getting a endo asap so ive been staying away from this sub. So im sorry to anyone that I possibly could have assisted. But I will be back with updates asap. But I need calories in a diar way.</t>
        </is>
      </c>
      <c r="D8987" t="n">
        <v>1</v>
      </c>
      <c r="E8987" t="n">
        <v>17</v>
      </c>
      <c r="F8987">
        <f>HYPERLINK("https://www.reddit.com/r/GERD/comments/hpl9jg/hey_guys_been_a_couple_of_weeks_due_to_health/")</f>
        <v/>
      </c>
      <c r="G8987" t="inlineStr">
        <is>
          <t>2020-07-11 17:40:07</t>
        </is>
      </c>
      <c r="H8987" t="inlineStr"/>
    </row>
    <row r="8988">
      <c r="A8988" t="inlineStr">
        <is>
          <t>hplc0n</t>
        </is>
      </c>
      <c r="B8988" t="inlineStr">
        <is>
          <t>Help with my LPR</t>
        </is>
      </c>
      <c r="C8988" t="inlineStr">
        <is>
          <t>With the pandemic going on, it's been tough for me to go see a ENT for my throat.
I've been having chronic throat clearing, post nasal drip and a lot of mucus and phlegm in my throat lately and it only happens when I eat.
I've tried changing my diet but it seems to not do much. If someone who changed their diet for say 6 months or something can attest how long it takes to see the changes I'd be happy to hear.
I've tried drinking lots of alkaline water and water in general to alleviate it. I don't know if I'm getting enough water a day tbh.
But when I eat my nose gets really runny, I blow my nose a lot, and I eventually have that post nasal drip affect my throat resulting in me having to clear it constantly. Until the mucus/phlegm loosens up for me to clear my throat. Sometimes it goes away that way then but sometimes I cough and then it loosens up or just goes straight down but it's kind of like a dry cough that doesn't feel good and I don't think it's good to have all the time.
If there weren't long term side effects I could live with this to be honest but I'm worried about the future with Barrett's Esophagus or throat cancer and I want to try to alleviate it now when I'm only 22.</t>
        </is>
      </c>
      <c r="D8988" t="n">
        <v>1</v>
      </c>
      <c r="E8988" t="n">
        <v>9</v>
      </c>
      <c r="F8988">
        <f>HYPERLINK("https://www.reddit.com/r/GERD/comments/hplc0n/help_with_my_lpr/")</f>
        <v/>
      </c>
      <c r="G8988" t="inlineStr">
        <is>
          <t>2020-07-11 17:44:45</t>
        </is>
      </c>
      <c r="H8988" t="inlineStr"/>
    </row>
    <row r="8989">
      <c r="A8989" t="inlineStr">
        <is>
          <t>hpmoi5</t>
        </is>
      </c>
      <c r="B8989" t="inlineStr">
        <is>
          <t>Dizzy feeling</t>
        </is>
      </c>
      <c r="C8989" t="inlineStr">
        <is>
          <t>Do you guys ever get a feeling like your unbalanced or dizzy after or while eatn or i guess randomly</t>
        </is>
      </c>
      <c r="D8989" t="n">
        <v>1</v>
      </c>
      <c r="E8989" t="n">
        <v>0</v>
      </c>
      <c r="F8989">
        <f>HYPERLINK("https://www.reddit.com/r/GERD/comments/hpmoi5/dizzy_feeling/")</f>
        <v/>
      </c>
      <c r="G8989" t="inlineStr">
        <is>
          <t>2020-07-11 19:19:57</t>
        </is>
      </c>
      <c r="H8989" t="inlineStr"/>
    </row>
    <row r="8990">
      <c r="A8990" t="inlineStr">
        <is>
          <t>hpms4c</t>
        </is>
      </c>
      <c r="B8990" t="inlineStr">
        <is>
          <t>Bad GERD episodes at night</t>
        </is>
      </c>
      <c r="C8990" t="inlineStr">
        <is>
          <t>Hello, I’m typing to you from my bed at 3AM I woke up and felt unusually sick and it’s because I have constant acid reflux coming up to my throat like I can feel it constantly flowing up and hitting me throat , I’ve taken some anti acid tablets to help but obviously still feel very sick due to the acid coming up and hitting my throat
I believe I have silent reflux and it’s been happening for the last 6 months but appears to have become worse, also after these episodes of acid reflux becoming worse I tend to get breathing issues afterwards 
Any tips or advice to help stop this happen ? :S</t>
        </is>
      </c>
      <c r="D8990" t="n">
        <v>1</v>
      </c>
      <c r="E8990" t="n">
        <v>2</v>
      </c>
      <c r="F8990">
        <f>HYPERLINK("https://www.reddit.com/r/GERD/comments/hpms4c/bad_gerd_episodes_at_night/")</f>
        <v/>
      </c>
      <c r="G8990" t="inlineStr">
        <is>
          <t>2020-07-11 19:27:05</t>
        </is>
      </c>
      <c r="H8990" t="inlineStr"/>
    </row>
    <row r="8991">
      <c r="A8991" t="inlineStr">
        <is>
          <t>hpmzco</t>
        </is>
      </c>
      <c r="B8991" t="inlineStr">
        <is>
          <t>Cookbook/recipe source</t>
        </is>
      </c>
      <c r="C8991" t="inlineStr">
        <is>
          <t>Does anyone know of a good cookbook or website that might have good recipes for people with heartburn of GERD?  My partner suffers from a lot of severe heartburn (what I suspect is GERD) and I cook with a lot of unfriendly ingredients.  I would LOVE some suggestions.</t>
        </is>
      </c>
      <c r="D8991" t="n">
        <v>1</v>
      </c>
      <c r="E8991" t="n">
        <v>3</v>
      </c>
      <c r="F8991">
        <f>HYPERLINK("https://www.reddit.com/r/GERD/comments/hpmzco/cookbookrecipe_source/")</f>
        <v/>
      </c>
      <c r="G8991" t="inlineStr">
        <is>
          <t>2020-07-11 19:40:29</t>
        </is>
      </c>
      <c r="H8991" t="inlineStr"/>
    </row>
    <row r="8992">
      <c r="A8992" t="inlineStr">
        <is>
          <t>hpn33v</t>
        </is>
      </c>
      <c r="B8992" t="inlineStr">
        <is>
          <t>My GERD actually feels better when I lie down??</t>
        </is>
      </c>
      <c r="C8992" t="inlineStr">
        <is>
          <t>No idea why this happens because it shouldn’t, but when I am having awful reflux laying down helps it a lot, which is weird cause that is basically the opposite of what I’ve always been told. Anybody else feel this way?</t>
        </is>
      </c>
      <c r="D8992" t="n">
        <v>1</v>
      </c>
      <c r="E8992" t="n">
        <v>3</v>
      </c>
      <c r="F8992">
        <f>HYPERLINK("https://www.reddit.com/r/GERD/comments/hpn33v/my_gerd_actually_feels_better_when_i_lie_down/")</f>
        <v/>
      </c>
      <c r="G8992" t="inlineStr">
        <is>
          <t>2020-07-11 19:47:09</t>
        </is>
      </c>
      <c r="H8992" t="inlineStr"/>
    </row>
    <row r="8993">
      <c r="A8993" t="inlineStr">
        <is>
          <t>hporqb</t>
        </is>
      </c>
      <c r="B8993" t="inlineStr">
        <is>
          <t>Does it hurt to talk for anyone?</t>
        </is>
      </c>
      <c r="C8993" t="inlineStr">
        <is>
          <t>When your GERD or LPR flares up, and you have that lump in throat or sore feeling, does it sometimes hurt (or feel uncomfortable) to talk?
Like your voice may sound normal, but it's uncomfortable so you reduce what you say to one word responses, and you have to rest after saying a few sentences.
Anyone like that?</t>
        </is>
      </c>
      <c r="D8993" t="n">
        <v>1</v>
      </c>
      <c r="E8993" t="n">
        <v>6</v>
      </c>
      <c r="F8993">
        <f>HYPERLINK("https://www.reddit.com/r/GERD/comments/hporqb/does_it_hurt_to_talk_for_anyone/")</f>
        <v/>
      </c>
      <c r="G8993" t="inlineStr">
        <is>
          <t>2020-07-11 21:57:22</t>
        </is>
      </c>
      <c r="H8993" t="inlineStr"/>
    </row>
    <row r="8994">
      <c r="A8994" t="inlineStr">
        <is>
          <t>hpqcqv</t>
        </is>
      </c>
      <c r="B8994" t="inlineStr">
        <is>
          <t>Word of warning for long time PPI users</t>
        </is>
      </c>
      <c r="C8994" t="inlineStr">
        <is>
          <t>I had been on lansoprazole for 2 years before stopping around 2 months ago. I saw a doctor yesterday for unrelated issues and she ordered a b12 test among others. I tested severely deficient and only now starting to rebuild my b12 reserves. PPI stop the absorption of vitamin b12 and deficiency can cause nasty problems. Get tested before it's too late! Taking high doses of b12 is a drag.</t>
        </is>
      </c>
      <c r="D8994" t="n">
        <v>1</v>
      </c>
      <c r="E8994" t="n">
        <v>2</v>
      </c>
      <c r="F8994">
        <f>HYPERLINK("https://www.reddit.com/r/GERD/comments/hpqcqv/word_of_warning_for_long_time_ppi_users/")</f>
        <v/>
      </c>
      <c r="G8994" t="inlineStr">
        <is>
          <t>2020-07-12 00:20:57</t>
        </is>
      </c>
      <c r="H8994" t="inlineStr"/>
    </row>
    <row r="8995">
      <c r="A8995" t="inlineStr">
        <is>
          <t>hprmxe</t>
        </is>
      </c>
      <c r="B8995" t="inlineStr">
        <is>
          <t>Tips for a stomach ulcer.</t>
        </is>
      </c>
      <c r="C8995" t="inlineStr">
        <is>
          <t>Welp I was diagnosed yesterday with a stomach ulcer yesterday based on blood work. It wasn't pancreatitis like I thought so that's a bit of a relief I guess. Was told to double my dose of Prilosec and follow up with my regular doctor.
I was diagnosed with gerd about 7 year ago and had been taking 1 tablet of Prilosec each day though not consistent. My diet is really not great (curse you unhealthy food for tasting good). Last year I was put on a low fat diet after being diagnosed and spending a week in the hospital with pancreatitis. Needed to prevent another episode before my surgery. During that time I discovered fatty foods were my biggest trigger....and after a while of the low fat diet, I realized my reflux was all but gone. But it wasn't a diet I wanted to be on forever.
For those of you who have had an ulcer as a result of gerd, what did you do to make it through it. I did some research and it said it could take 6 weeks to 3 month to heal.</t>
        </is>
      </c>
      <c r="D8995" t="n">
        <v>1</v>
      </c>
      <c r="E8995" t="n">
        <v>4</v>
      </c>
      <c r="F8995">
        <f>HYPERLINK("https://www.reddit.com/r/GERD/comments/hprmxe/tips_for_a_stomach_ulcer/")</f>
        <v/>
      </c>
      <c r="G8995" t="inlineStr">
        <is>
          <t>2020-07-12 02:24:29</t>
        </is>
      </c>
      <c r="H8995" t="inlineStr"/>
    </row>
    <row r="8996">
      <c r="A8996" t="inlineStr">
        <is>
          <t>hprxqy</t>
        </is>
      </c>
      <c r="B8996" t="inlineStr">
        <is>
          <t>What to eat when everything makes me feel nauseous?</t>
        </is>
      </c>
      <c r="C8996" t="inlineStr">
        <is>
          <t>I'm 19 and slightly underweight, and lately my stomach issues have gotten considerably worse. Yesterday, even nibbling on food would make me feel extremely sick and nauseous, and I would often regurgitate whatever I tried to eat. I ended up going to the hospital and getting an endoscopy scheduled for next week. The doctor put me on a drip for an hour or two to avoid deshydration and low sugar level, and prescribed me ondansetron to ease the nausea. However, it didn't do much for my lack of appetite and difficulty eating.
Yesterday all I could eat were some bland crackers, half an apple and half a banana, even after taking the ondansetrom. I tried a chicken soup and it was making me a bit sick. Today I tried eating a toast after waking up and it didn't seem to be working well either. I feel like just the food's smell is enough to trigger the discomfortable nausea feeling.
Since the endoscopy is only for next week, I need to keep eating until then. Has anyone else had similar symptoms? If yes, how did you deal with them? What kind of foods do you recommend? Is forcing myself to eat a bad or a good idea? I have no idea yet if what I have is GERD, I have basically never had heartburn but I burp a lot after eating, and whenever I sit down/get up.</t>
        </is>
      </c>
      <c r="D8996" t="n">
        <v>1</v>
      </c>
      <c r="E8996" t="n">
        <v>8</v>
      </c>
      <c r="F8996">
        <f>HYPERLINK("https://www.reddit.com/r/GERD/comments/hprxqy/what_to_eat_when_everything_makes_me_feel_nauseous/")</f>
        <v/>
      </c>
      <c r="G8996" t="inlineStr">
        <is>
          <t>2020-07-12 02:54:07</t>
        </is>
      </c>
      <c r="H8996" t="inlineStr"/>
    </row>
    <row r="8997">
      <c r="A8997" t="inlineStr">
        <is>
          <t>hpspfw</t>
        </is>
      </c>
      <c r="B8997" t="inlineStr">
        <is>
          <t>Kodiak Cakes are brutal on my throat</t>
        </is>
      </c>
      <c r="C8997" t="inlineStr">
        <is>
          <t>I love Kodiak Cakes pancakes but the last couple times I've had them, I've had a bad sore throat in the morning.
I have a whole unopened box left. =(
I'm not sure what the bad ingredient is, but they are no good for my GERD.</t>
        </is>
      </c>
      <c r="D8997" t="n">
        <v>1</v>
      </c>
      <c r="E8997" t="n">
        <v>3</v>
      </c>
      <c r="F8997">
        <f>HYPERLINK("https://www.reddit.com/r/GERD/comments/hpspfw/kodiak_cakes_are_brutal_on_my_throat/")</f>
        <v/>
      </c>
      <c r="G8997" t="inlineStr">
        <is>
          <t>2020-07-12 04:05:29</t>
        </is>
      </c>
      <c r="H8997" t="inlineStr"/>
    </row>
    <row r="8998">
      <c r="A8998" t="inlineStr">
        <is>
          <t>hptk9x</t>
        </is>
      </c>
      <c r="B8998" t="inlineStr">
        <is>
          <t>Looking for relatability and PPI question</t>
        </is>
      </c>
      <c r="C8998" t="inlineStr">
        <is>
          <t>Hi everybody. I have had Gerd on off the past 5 years. Before it was always just burps and tight throat. Now my throat has been clogged for 2 weeks. Just did a 3 day fast on water, kinda forced to and it felt better, although I won't make it through life without sustenance. Also obvisouly constipated and can't eat so im forcing down down broth and kale with half some sorts of fats. Edd//////////////asy to chew/eat foods.
Today was also my first day taking an Omeprazole. It's been 12 hours an my stomach is raging. It stings can't sleep, makes loud rumbling, throats sore, head burns. on 5 hours of sleep last night and 30 mins tonight so far. Is this the same you experienced ? feel like it's going downhill with these meds.</t>
        </is>
      </c>
      <c r="D8998" t="n">
        <v>1</v>
      </c>
      <c r="E8998" t="n">
        <v>6</v>
      </c>
      <c r="F8998">
        <f>HYPERLINK("https://www.reddit.com/r/GERD/comments/hptk9x/looking_for_relatability_and_ppi_question/")</f>
        <v/>
      </c>
      <c r="G8998" t="inlineStr">
        <is>
          <t>2020-07-12 05:22:32</t>
        </is>
      </c>
      <c r="H8998" t="inlineStr"/>
    </row>
    <row r="8999">
      <c r="A8999" t="inlineStr">
        <is>
          <t>hptp3k</t>
        </is>
      </c>
      <c r="B8999" t="inlineStr">
        <is>
          <t>Tomorrow I'll have an endoscopy to see if I have hpylori and I'm SCARED.</t>
        </is>
      </c>
      <c r="C8999" t="inlineStr">
        <is>
          <t>Hi, im 20 years old, and i have been suffering for 8 months. Doctors refused to do endoscpoy on me, and I only managed to find one who will do it a couple of weeks ago. It will be in sedation thankfully, but I'm still a little scared. But mostly because of the results. I have had strong nausea 24/7, getting full easily, unable to eat, extreme amount of acid, weightloss, and lot of stomach discomfort. It all started after i got really really drunk (first time happening). This has been the most difficult thing in my life, especially since most doctors didn't give me mediaction or examination because i was "too young". Even after i finally got ppi prescribed PPI, i had suffer a lot until it turned out that anything more than 20 mgs makes me so unbelievably sick that i cant bare it for more than a day. So i cant take anything other than 20 mg ppi. But thats not enough, and i still had lot of symptoms. After i started taking my med in the morning my days are much better most of the time and i sleep through the bad times. But i still have very bad days, and im dangerously underweight at this point. 
But im very scared that the endoscopy will show that i have hpylori. As i mentioned above, i am EXTREMELY medication sensitive. And also very underweight. So i dont know how could survive the triple antibiotics therapy.. Im so scared:( I have been through a lot, and very very scared of the treatment if this is the case. I don't know what anyone could say to this all, but i just needed to talk to someone, im so worried. :'(
(I don't know if this is appropriate here, I tried posting this in the hpylori subreddit but couldn't post there for some reason. So sorry if this post is too hpylori themed)</t>
        </is>
      </c>
      <c r="D8999" t="n">
        <v>1</v>
      </c>
      <c r="E8999" t="n">
        <v>17</v>
      </c>
      <c r="F8999">
        <f>HYPERLINK("https://www.reddit.com/r/GERD/comments/hptp3k/tomorrow_ill_have_an_endoscopy_to_see_if_i_have/")</f>
        <v/>
      </c>
      <c r="G8999" t="inlineStr">
        <is>
          <t>2020-07-12 05:33:40</t>
        </is>
      </c>
      <c r="H8999" t="inlineStr"/>
    </row>
    <row r="9000">
      <c r="A9000" t="inlineStr">
        <is>
          <t>hpufdu</t>
        </is>
      </c>
      <c r="B9000" t="inlineStr">
        <is>
          <t>Alcohol 2 days before Endoscopy?</t>
        </is>
      </c>
      <c r="C9000" t="inlineStr">
        <is>
          <t>Hello, I'm not sure where to post this, but i have an endoscopy on Monday.
&amp;amp;#x200B;
I have a birthday tonight, and i was excited to indulge a little bit.
&amp;amp;#x200B;
Do any of you know if it is fine if it's okay to drink Alcohol tonight, two days before my endoscopy?</t>
        </is>
      </c>
      <c r="D9000" t="n">
        <v>1</v>
      </c>
      <c r="E9000" t="n">
        <v>11</v>
      </c>
      <c r="F9000">
        <f>HYPERLINK("https://www.reddit.com/r/GERD/comments/hpufdu/alcohol_2_days_before_endoscopy/")</f>
        <v/>
      </c>
      <c r="G9000" t="inlineStr">
        <is>
          <t>2020-07-12 06:31:05</t>
        </is>
      </c>
      <c r="H9000" t="inlineStr"/>
    </row>
    <row r="9001">
      <c r="A9001" t="inlineStr">
        <is>
          <t>hpuzxf</t>
        </is>
      </c>
      <c r="B9001" t="inlineStr">
        <is>
          <t>Had ongoing issues for 2 months with no luck from the doctors, feel incredibly fed up about it all</t>
        </is>
      </c>
      <c r="C9001" t="inlineStr">
        <is>
          <t>Hi all, bit of a depressed rant by me:
About 2 months ago, I started to have a feeling of slight nausea and tightness/pressure in the centre of my chest (around my sternum) and if I leaned back, the the tightness flared up a bit then about a week later, I got a reoccurring throb in my ear (4/5 on the pain scale) which comes and goes, and a feeling of discomfort (2/3 on the pain scale) in my throat.  
I had a full blood count as well as a test showing liver function (normal though platelet count was slightly below normal), abdominal ultrasound (all clear), stool sample for h.pylori (all clear), MRI scan of head and neck (all clear) and gastroscopy (noted splashes of acid in throat, grade 2 esophagitis and a 2cm sliding hiatus hernia) as well as biopsies from my throat, stomach and duodenum which were all clear and showed cells changing in line with reflux. 
Initially when things first started, doctors gave me antibiotics to possibly treat for the sore throat as it was read and omeprazole (which I've been using now for 8 weeks) and following all the tests, have been given more omeprazole to subdue the acid while my esophagitis heals. 
As of now, the pressure comes and goes in my chest (3/4 on pain scale) and I have a weird pressure/feels like someone is poking the base of my back around my waistline though only notice this if I'm not wearing anything. In addition to this, I have now lost my appetite and am lucky to feel any hunger pangs at all and if I do eat something then I feel extremely nauseous, more so than I feel usually. My bowels have been alternating between diarrhoea to mild constipation and my urine seems darker than normal, despite drinking loads of water.
Does this all sound in line with what I should expect from GERD and PPI usage? I appreciate I'm being dramatic but my life feels awful at the moment due to all this. Just concerned I'm never going to go back to normal.
Thanks for your time.</t>
        </is>
      </c>
      <c r="D9001" t="n">
        <v>1</v>
      </c>
      <c r="E9001" t="n">
        <v>12</v>
      </c>
      <c r="F9001">
        <f>HYPERLINK("https://www.reddit.com/r/GERD/comments/hpuzxf/had_ongoing_issues_for_2_months_with_no_luck_from/")</f>
        <v/>
      </c>
      <c r="G9001" t="inlineStr">
        <is>
          <t>2020-07-12 07:11:59</t>
        </is>
      </c>
      <c r="H9001" t="inlineStr"/>
    </row>
    <row r="9002">
      <c r="A9002" t="inlineStr">
        <is>
          <t>hpvtgw</t>
        </is>
      </c>
      <c r="B9002" t="inlineStr">
        <is>
          <t>Do I have GERD/Acid Reflux</t>
        </is>
      </c>
      <c r="C9002" t="inlineStr">
        <is>
          <t>So I am 14 years old and I am scared if I may have GERD. For the past week I have been feeling nauseous but when I try to throw up nothing comes out. I get excessive gas out of both ends usually after eating and I feel full halfway through my meals. I have no pain whatsoever (no heartburn, abdominal pain, back pain, no cough, no fever, no chills) just stomach problems. I usually feel like I have a burp stuck in my throat and I’m not sure if this is a stomach bug or GERD. I have no diarrhea and haven’t successfully vomited yet. No headaches either. Just excessive gas and sometimes when I belch I get a little bit of sour vomit coming out.</t>
        </is>
      </c>
      <c r="D9002" t="n">
        <v>1</v>
      </c>
      <c r="E9002" t="n">
        <v>12</v>
      </c>
      <c r="F9002">
        <f>HYPERLINK("https://www.reddit.com/r/GERD/comments/hpvtgw/do_i_have_gerdacid_reflux/")</f>
        <v/>
      </c>
      <c r="G9002" t="inlineStr">
        <is>
          <t>2020-07-12 08:06:34</t>
        </is>
      </c>
      <c r="H9002" t="inlineStr"/>
    </row>
    <row r="9003">
      <c r="A9003" t="inlineStr">
        <is>
          <t>hpw0af</t>
        </is>
      </c>
      <c r="B9003" t="inlineStr">
        <is>
          <t>Lpr mucus coming from throat</t>
        </is>
      </c>
      <c r="C9003" t="inlineStr">
        <is>
          <t>When I go through a period of time when it's bad, even drinking some water causes me to have to spit out thick, stretchy spit. My throat also feels really swollen inside. Today I woke up with it. Salt water helps for some minutes but it comes back. I'm going to the doctor tomorrow at least but I was wondering if anyone else experiences this.</t>
        </is>
      </c>
      <c r="D9003" t="n">
        <v>1</v>
      </c>
      <c r="E9003" t="n">
        <v>10</v>
      </c>
      <c r="F9003">
        <f>HYPERLINK("https://www.reddit.com/r/GERD/comments/hpw0af/lpr_mucus_coming_from_throat/")</f>
        <v/>
      </c>
      <c r="G9003" t="inlineStr">
        <is>
          <t>2020-07-12 08:18:29</t>
        </is>
      </c>
      <c r="H9003" t="inlineStr"/>
    </row>
    <row r="9004">
      <c r="A9004" t="inlineStr">
        <is>
          <t>hpwv4l</t>
        </is>
      </c>
      <c r="B9004" t="inlineStr">
        <is>
          <t>is it gerd or Costochondritis?</t>
        </is>
      </c>
      <c r="C9004" t="inlineStr">
        <is>
          <t>i recently diagnosed with Costochondritis. however, i have few symptoms related to GERD. i do not have any pain in the stomach, but i feel Nauseous after and while eating - feel like something stuck in my throat and i need to throw up. in addition, i have little of burping and coughing as well. 
does anyone have similar experience?</t>
        </is>
      </c>
      <c r="D9004" t="n">
        <v>1</v>
      </c>
      <c r="E9004" t="n">
        <v>0</v>
      </c>
      <c r="F9004">
        <f>HYPERLINK("https://www.reddit.com/r/GERD/comments/hpwv4l/is_it_gerd_or_costochondritis/")</f>
        <v/>
      </c>
      <c r="G9004" t="inlineStr">
        <is>
          <t>2020-07-12 09:08:47</t>
        </is>
      </c>
      <c r="H9004" t="inlineStr"/>
    </row>
    <row r="9005">
      <c r="A9005" t="inlineStr">
        <is>
          <t>hpwzlc</t>
        </is>
      </c>
      <c r="B9005" t="inlineStr">
        <is>
          <t>Hiatus hernia operation ?</t>
        </is>
      </c>
      <c r="C9005" t="inlineStr">
        <is>
          <t>Hi Everybody , 
I was wondering if there is anyone here who has had their hiatus hernia operated on ? If so what was their experience ? 
I'm based in the UK , and am hoping I will be considered on the NHS . Anyone got on any experience having hiatus hernia operation on the NHS ? 
Kind Regards</t>
        </is>
      </c>
      <c r="D9005" t="n">
        <v>1</v>
      </c>
      <c r="E9005" t="n">
        <v>8</v>
      </c>
      <c r="F9005">
        <f>HYPERLINK("https://www.reddit.com/r/GERD/comments/hpwzlc/hiatus_hernia_operation/")</f>
        <v/>
      </c>
      <c r="G9005" t="inlineStr">
        <is>
          <t>2020-07-12 09:16:15</t>
        </is>
      </c>
      <c r="H9005" t="inlineStr"/>
    </row>
    <row r="9006">
      <c r="A9006" t="inlineStr">
        <is>
          <t>hpxlso</t>
        </is>
      </c>
      <c r="B9006" t="inlineStr">
        <is>
          <t>Reflux has basically destroyed my voice</t>
        </is>
      </c>
      <c r="C9006" t="inlineStr">
        <is>
          <t>I'm in a band and I haven't been able to sing for over a year, and its really been weighing on me. ATtone point I completely lost my voice for 2 months. Had no idea what it was until I saw an ENT. Even got hospitalized before that since I was having such incredible chest pain, and I'm prone to heart issues. After being on tums and prilosec for months, it feels like nothing has improved. The Prilosec almost feels like its made things worse. I've since gone off Prilosec and have started taking probiotics but I'm still waiting for any noticeable effect, and its been about 3 weeks so I probably have plenty of waiting to do.
This is such a stupid problem. I'm skinny as fuck and I eat properly, this all just seems so unfair. I don't even have a falsetto voice anymore at this point, my lower range is just gone, and I can't do any vocal fry or metal vocals.  I suppose I've needed to vent.</t>
        </is>
      </c>
      <c r="D9006" t="n">
        <v>1</v>
      </c>
      <c r="E9006" t="n">
        <v>20</v>
      </c>
      <c r="F9006">
        <f>HYPERLINK("https://www.reddit.com/r/GERD/comments/hpxlso/reflux_has_basically_destroyed_my_voice/")</f>
        <v/>
      </c>
      <c r="G9006" t="inlineStr">
        <is>
          <t>2020-07-12 09:52:24</t>
        </is>
      </c>
      <c r="H9006" t="inlineStr"/>
    </row>
    <row r="9007">
      <c r="A9007" t="inlineStr">
        <is>
          <t>hpylgi</t>
        </is>
      </c>
      <c r="B9007" t="inlineStr">
        <is>
          <t>Stopped my PPI after 8 years and I have no rebound reflux while doing keto/very low carb diet?</t>
        </is>
      </c>
      <c r="C9007" t="inlineStr">
        <is>
          <t>Precursor I’m 150lb male, do not drink, smoke, or even drink carbonated beverages. I have very few “trigger” things in my life. Have been on Omeprozole since 2012 for GERD, and I have a Hiatial hernia.
Anyone? I’ve been on omeprozole since 2012, I’ve tried to come off it **many many** times, every time it ends the same way. Me with blowtorch acid rebound and going back on PPIs. I recently tapered down from 20mg to 10mg and noticed some rebound happening. I randomly came upon an article that keto cures heartburn, and figure why not I’ve tried literally everything else. So I’ve been on it the last week, and I feel a bit hungrier but nothing crazy.
Today is day 2 for me not taking ANY PPI or reflux meds and I’m astounded. I don’t have any reflux at all? This would have never happened before, I’d typically be in agony right now if I missed 1, let alone 2 days of my PPI. What’s going on? Can my body not process carbs? I feel so weird that I haven’t taken it, I have started taking digestive enzymes before my meals a few times a day, but nothing else. Anyone else see results like this?</t>
        </is>
      </c>
      <c r="D9007" t="n">
        <v>1</v>
      </c>
      <c r="E9007" t="n">
        <v>0</v>
      </c>
      <c r="F9007">
        <f>HYPERLINK("https://www.reddit.com/r/GERD/comments/hpylgi/stopped_my_ppi_after_8_years_and_i_have_no/")</f>
        <v/>
      </c>
      <c r="G9007" t="inlineStr">
        <is>
          <t>2020-07-12 10:50:03</t>
        </is>
      </c>
      <c r="H9007" t="inlineStr"/>
    </row>
    <row r="9008">
      <c r="A9008" t="inlineStr">
        <is>
          <t>hq03po</t>
        </is>
      </c>
      <c r="B9008" t="inlineStr">
        <is>
          <t>Sleeping position question?</t>
        </is>
      </c>
      <c r="C9008" t="inlineStr">
        <is>
          <t>Hi All,
Have you found that sleeping in an incline position helps?
I am considering buying a wedge pillow to control gerd</t>
        </is>
      </c>
      <c r="D9008" t="n">
        <v>1</v>
      </c>
      <c r="E9008" t="n">
        <v>5</v>
      </c>
      <c r="F9008">
        <f>HYPERLINK("https://www.reddit.com/r/GERD/comments/hq03po/sleeping_position_question/")</f>
        <v/>
      </c>
      <c r="G9008" t="inlineStr">
        <is>
          <t>2020-07-12 12:14:17</t>
        </is>
      </c>
      <c r="H9008" t="inlineStr"/>
    </row>
    <row r="9009">
      <c r="A9009" t="inlineStr">
        <is>
          <t>hq16dh</t>
        </is>
      </c>
      <c r="B9009" t="inlineStr">
        <is>
          <t>Probiotics + GERD/LPR</t>
        </is>
      </c>
      <c r="C9009" t="inlineStr">
        <is>
          <t>I know this has been brought up in this sub many many many times, I’m gonna bring it back another.  Like many people like myself, I’ve gotten tested from A-Z, and no reason for my reflux I’ve been having to deal with for almost 3 years now. I won’t give up trying to fix this, I know it’s a gut issue, and I’ll be fighting this hard. 
there have been multiple times I’ve purchased probiotics with around 5-20 billion cultures, but I figured if I’m gonna fight this I’m hitting my gut hard. 200+ billion doses per day for a little while, and I started yesterday. 
I’ve taken antibiotics multiple times in my life , many times actually... and just imagine how messed up my gut balance became, like so many others. Antibiotics hit HARD, but you can hit even harder to rebalance the gut I truly believe. As long as you don’t have an issue like a hiatal hernia etc malfunctioning sphincter, and the problem actually (likely) is coming from your gut, this might help you. 
I’ll come back and update this next week, if I don’t see a huge difference with the 200 billion a day, I’ll be doubling the dose to 400 billion. I’ve already done my research on the safety of this, and for the most part</t>
        </is>
      </c>
      <c r="D9009" t="n">
        <v>1</v>
      </c>
      <c r="E9009" t="n">
        <v>0</v>
      </c>
      <c r="F9009">
        <f>HYPERLINK("https://www.reddit.com/r/GERD/comments/hq16dh/probiotics_gerdlpr/")</f>
        <v/>
      </c>
      <c r="G9009" t="inlineStr">
        <is>
          <t>2020-07-12 13:15:21</t>
        </is>
      </c>
      <c r="H9009" t="inlineStr"/>
    </row>
    <row r="9010">
      <c r="A9010" t="inlineStr">
        <is>
          <t>hq18h6</t>
        </is>
      </c>
      <c r="B9010" t="inlineStr">
        <is>
          <t>The (Hopefully Incomplete) List of Possible GERD/ LPR Treatments</t>
        </is>
      </c>
      <c r="C9010" t="inlineStr">
        <is>
          <t>I just put a list together, am I missing anything? I’m open to unproven treatments I’m kind of an “I’ll try anything” kind of guy.
Lifestyle Changes:
* Sleep on an Incline
* Eat less per sitting but more often
* Don’t eat for 3 hours before bed
* Don’t lay down after eating
* Exercise
Diets:
* Low Acid Diet by Koufman 
* Low Carb Diet (some people say it works, not a lot of data on it though)
Drugs/ OTC Meds (may decrease absorption of B12, Iron, Calcium and Magnesium):
* Antacids (ex. Tums)
* Gaviscon Advanced (with Alginic Acid and no Aluminum)
* H2 Blockers
* PPIs 
Stomach Acid Drugs may reduce these nutrients (may need to supplement with them):
* Vitamin B12
* Iron
* Calcium
* Magnesium
LES Strengthening Devices/ Exercises:
* Iqoro
* Inspiratory Muscle Trainer
* Breathing Exercises
* Pam Fox Exercises (decent chance this could be rubbish but idk)
LPR Specific Treatments:
* Alkaline Water
* Reflux Band (only selling in UK right now, I use an ACE Bandage)
* NSAID lozenges (Difflam or Flurbiprofen)
* Aloe Vera Juice
* Low Dose Amitriptyline (for Globus Sensation)
Supplements:
* Melatonin
* D-Limonene
* Sllippery Elm (available as a lozenge)
* Probiotics
* Zinc Carnosine
* Gluatmine
* Mastic Gum
* DGL
* Digestive Enzymes
* Digestive Bitters
* Ox Bile
* Ginger
* Manuka Honey
Misc:
* Kefir
* Sugar-free Gum
Surgeries:
* Nissen Fundoplication 
* Stretta
* Linx
Controversial (I don’t know why these would work but they're popular so I'll try it eventually):
* Apple Cider Vinegar (with meals)
* Betaine HCL (with meals)</t>
        </is>
      </c>
      <c r="D9010" t="n">
        <v>1</v>
      </c>
      <c r="E9010" t="n">
        <v>76</v>
      </c>
      <c r="F9010">
        <f>HYPERLINK("https://www.reddit.com/r/GERD/comments/hq18h6/the_hopefully_incomplete_list_of_possible_gerd/")</f>
        <v/>
      </c>
      <c r="G9010" t="inlineStr">
        <is>
          <t>2020-07-12 13:18:42</t>
        </is>
      </c>
      <c r="H9010" t="inlineStr"/>
    </row>
    <row r="9011">
      <c r="A9011" t="inlineStr">
        <is>
          <t>hq1r74</t>
        </is>
      </c>
      <c r="B9011" t="inlineStr">
        <is>
          <t>Weird sensation in my throat</t>
        </is>
      </c>
      <c r="C9011" t="inlineStr">
        <is>
          <t>For two months now I have this weird sensation in my throat. It doesn't hurt but it's bothering me. I do have asthma and have gone to the ER for panic attack. I wonder if that contribute to acid reflux? When should I go to the doctors and what should I take to make the weird sensation go away? Thanks.</t>
        </is>
      </c>
      <c r="D9011" t="n">
        <v>1</v>
      </c>
      <c r="E9011" t="n">
        <v>3</v>
      </c>
      <c r="F9011">
        <f>HYPERLINK("https://www.reddit.com/r/GERD/comments/hq1r74/weird_sensation_in_my_throat/")</f>
        <v/>
      </c>
      <c r="G9011" t="inlineStr">
        <is>
          <t>2020-07-12 13:48:31</t>
        </is>
      </c>
      <c r="H9011" t="inlineStr"/>
    </row>
    <row r="9012">
      <c r="A9012" t="inlineStr">
        <is>
          <t>hq1zts</t>
        </is>
      </c>
      <c r="B9012" t="inlineStr">
        <is>
          <t>Can't tolerate PPI side effects. Anyone else?</t>
        </is>
      </c>
      <c r="C9012" t="inlineStr">
        <is>
          <t>I can't take any PPI meds for my severe reflux because they cause me to become depressed and anxious. Anyone else have this issue and if so what how do you handle your reflux/gerd? I'm at my wits end.</t>
        </is>
      </c>
      <c r="D9012" t="n">
        <v>1</v>
      </c>
      <c r="E9012" t="n">
        <v>20</v>
      </c>
      <c r="F9012">
        <f>HYPERLINK("https://www.reddit.com/r/GERD/comments/hq1zts/cant_tolerate_ppi_side_effects_anyone_else/")</f>
        <v/>
      </c>
      <c r="G9012" t="inlineStr">
        <is>
          <t>2020-07-12 14:02:19</t>
        </is>
      </c>
      <c r="H9012" t="inlineStr"/>
    </row>
    <row r="9013">
      <c r="A9013" t="inlineStr">
        <is>
          <t>hq3dh0</t>
        </is>
      </c>
      <c r="B9013" t="inlineStr">
        <is>
          <t>Bad breath is slowly ruining my life and my will to live</t>
        </is>
      </c>
      <c r="C9013" t="inlineStr">
        <is>
          <t>I’m not trying to sound over dramatic or anything, it’s just the truth. It’s been 4 months now with this issue. I lost friends, am scared to date or work. 
I thought it was dental issues because it began the same time I started an at home retainer straightening regiment, but I’ve been cleared by my dentist recently and he says it’s nothing in my mouth.
After hours of research, I’ve settled on it either being GERD or something my dentist is missing. 
I never had breath issues before and this seemed to almost happened overnight which is weird. I tried eating keto style but it doesn’t help.
If anybody has any advice or recommendations as far as diet or medication, it would be greatly appreciated</t>
        </is>
      </c>
      <c r="D9013" t="n">
        <v>1</v>
      </c>
      <c r="E9013" t="n">
        <v>7</v>
      </c>
      <c r="F9013">
        <f>HYPERLINK("https://www.reddit.com/r/GERD/comments/hq3dh0/bad_breath_is_slowly_ruining_my_life_and_my_will/")</f>
        <v/>
      </c>
      <c r="G9013" t="inlineStr">
        <is>
          <t>2020-07-12 15:23:06</t>
        </is>
      </c>
      <c r="H9013" t="inlineStr"/>
    </row>
    <row r="9014">
      <c r="A9014" t="inlineStr">
        <is>
          <t>hq3hqc</t>
        </is>
      </c>
      <c r="B9014" t="inlineStr">
        <is>
          <t>On Pepcid last three days. Really bad headaches. Anyone else?</t>
        </is>
      </c>
      <c r="C9014" t="inlineStr">
        <is>
          <t>Title pretty much says it. Doc wants me to do 14-day course of Pepcid. 
Been having pretty shit headaches. Anyone else? Sucks, cause this med is helping.</t>
        </is>
      </c>
      <c r="D9014" t="n">
        <v>1</v>
      </c>
      <c r="E9014" t="n">
        <v>3</v>
      </c>
      <c r="F9014">
        <f>HYPERLINK("https://www.reddit.com/r/GERD/comments/hq3hqc/on_pepcid_last_three_days_really_bad_headaches/")</f>
        <v/>
      </c>
      <c r="G9014" t="inlineStr">
        <is>
          <t>2020-07-12 15:30:10</t>
        </is>
      </c>
      <c r="H9014" t="inlineStr"/>
    </row>
    <row r="9015">
      <c r="A9015" t="inlineStr">
        <is>
          <t>hq3x3u</t>
        </is>
      </c>
      <c r="B9015" t="inlineStr">
        <is>
          <t>Over the counter meds</t>
        </is>
      </c>
      <c r="C9015" t="inlineStr">
        <is>
          <t>Anyone here take nexium or Prilosec everyday for more than the 14 day a time period?</t>
        </is>
      </c>
      <c r="D9015" t="n">
        <v>1</v>
      </c>
      <c r="E9015" t="n">
        <v>5</v>
      </c>
      <c r="F9015">
        <f>HYPERLINK("https://www.reddit.com/r/GERD/comments/hq3x3u/over_the_counter_meds/")</f>
        <v/>
      </c>
      <c r="G9015" t="inlineStr">
        <is>
          <t>2020-07-12 15:56:30</t>
        </is>
      </c>
      <c r="H9015" t="inlineStr"/>
    </row>
    <row r="9016">
      <c r="A9016" t="inlineStr">
        <is>
          <t>hq4cs1</t>
        </is>
      </c>
      <c r="B9016" t="inlineStr">
        <is>
          <t>Probably have a stricture</t>
        </is>
      </c>
      <c r="C9016" t="inlineStr">
        <is>
          <t>I just finished a teladoc appt. I choked badly yesterday and had the food stick in my throat. All night my throat hurt and today I've had liquids just sit in my throat and every time I've eaten the foods shot back up into my mouth. I more than likely have a stricture since I've had gerd for the past 21 years. I get in with a GI dr this week for an endoscopy. Any tips on how to manage it the best way possible? Even my spit is just sitting and hardly going down so this is gonna be hard</t>
        </is>
      </c>
      <c r="D9016" t="n">
        <v>1</v>
      </c>
      <c r="E9016" t="n">
        <v>1</v>
      </c>
      <c r="F9016">
        <f>HYPERLINK("https://www.reddit.com/r/GERD/comments/hq4cs1/probably_have_a_stricture/")</f>
        <v/>
      </c>
      <c r="G9016" t="inlineStr">
        <is>
          <t>2020-07-12 16:23:30</t>
        </is>
      </c>
      <c r="H9016" t="inlineStr"/>
    </row>
    <row r="9017">
      <c r="A9017" t="inlineStr">
        <is>
          <t>hq58zq</t>
        </is>
      </c>
      <c r="B9017" t="inlineStr">
        <is>
          <t>Are these symptoms of a hernia?</t>
        </is>
      </c>
      <c r="C9017" t="inlineStr">
        <is>
          <t>hello, 
i'm 30, 5'3", 130lbs.
ive been have issues with acid and general reflux, chest pain, shortness of breath, and nausea to sum it up. im on 80mg of omeprazole a day and 40mg of pepcid as needed.
I had an esophageal manometry test done that showed delayed swallowing and a gastric emptying test that showed slow emptying in the first 2 hours then normal function the last two hours.
ive been dealing with reflux for 5 years now right after my gallbladder was removed. the symtptoms have gotten much worse in the beginning of march right after a bout with pleurisy.  
My questions is, do these symtptoms and results sound like it could be a hiatal hernia?
my dr will not make assumptions but is insistant on doing an endoscopy so i will be doing that on the 23rd of this month.
&amp;amp;#x200B;
Thanks!</t>
        </is>
      </c>
      <c r="D9017" t="n">
        <v>1</v>
      </c>
      <c r="E9017" t="n">
        <v>0</v>
      </c>
      <c r="F9017">
        <f>HYPERLINK("https://www.reddit.com/r/GERD/comments/hq58zq/are_these_symptoms_of_a_hernia/")</f>
        <v/>
      </c>
      <c r="G9017" t="inlineStr">
        <is>
          <t>2020-07-12 17:21:43</t>
        </is>
      </c>
      <c r="H9017" t="inlineStr"/>
    </row>
    <row r="9018">
      <c r="A9018" t="inlineStr">
        <is>
          <t>hq5s3y</t>
        </is>
      </c>
      <c r="B9018" t="inlineStr">
        <is>
          <t>Does Omeprazole Make You Super Tired During the Day?</t>
        </is>
      </c>
      <c r="C9018" t="inlineStr">
        <is>
          <t>Hi, so I’ve had really bad GERD for 11 years (I’m 19). I was diagnosed at 8 but never took anything for it, the doctors assumed I would grow out of it. Recently my heartburn has been terrible, it hurt so bad to the point where I thought I was having a heart attack. I also have really bad anxiety, which just makes the whole situation worse — once I’ve convinced myself the my heartburn is a heart attack, I start almost manifesting pain in my left arm, and then my anxiety skyrockets and my heart burn gets worse (don’t worry, I’ve never actually had a heart attack, lol. The heartburn is just really bad sometimes). I finally decided to go to the doctor for it, and was prescribed Omeprazole 40mg delayed release. It’s day 8 of taking it every morning, and ever since I’ve been feeling incredibly drowsy and tired during the day, even after a long night of sleeping. Has this happened to anyone else? My doctor didn’t say anything about this as a side effect.</t>
        </is>
      </c>
      <c r="D9018" t="n">
        <v>1</v>
      </c>
      <c r="E9018" t="n">
        <v>1</v>
      </c>
      <c r="F9018">
        <f>HYPERLINK("https://www.reddit.com/r/GERD/comments/hq5s3y/does_omeprazole_make_you_super_tired_during_the/")</f>
        <v/>
      </c>
      <c r="G9018" t="inlineStr">
        <is>
          <t>2020-07-12 17:57:21</t>
        </is>
      </c>
      <c r="H9018" t="inlineStr"/>
    </row>
    <row r="9019">
      <c r="A9019" t="inlineStr">
        <is>
          <t>hq5ygf</t>
        </is>
      </c>
      <c r="B9019" t="inlineStr">
        <is>
          <t>How soon do you experience reflux symptoms after consuming trigger foods/drinks?</t>
        </is>
      </c>
      <c r="C9019" t="inlineStr">
        <is>
          <t>So I have GERD but with symptoms more consistent with LPR. I've been managing with diet and lifestyle changes, along with some PPI and gaviscon advance. It's all new so I've been doing my best on the diet changes but it's been hard.. I figured out that I can have a small amount of cold brew coffee in the morning without symptoms which has been a lifesaver as I tried to quit caffeine and withdrawal was never-ending. 
The last few days have been really busy with moving and so I wasn't being as good about sticking to my diet. I had forgotten to make my own cold brew, then went on a long car ride and decided to get some at a local coffee shop. The smallest they had was 16 oz and I drank the whole thing because it was delicious and because I'm a little addict and really wanted to drink it. I did the same thing the next day because I again forgot to make cold brew at home. I just have no impulse control when it's a lot in a big cup and I can just keep drinking it, I didn't think to ask for less.
Anyways, late Saturday evening into today I've been having really bad flare-ups. Like to the point where I'm getting reflux all day, no matter what or how much I eat or drink. I have a mostly empty stomach right now because I'm afraid to eat, and I'm still getting reflux. Previously, I've been under the assumption that a trigger will cause reflux right away, or at least within the hour or two. I didn't really feel any symptoms while I was drinking the cold brew, which is part of why I thought it might be inconsequential. I also forgot my PPI dose on Friday night so maybe that's what caused the symptoms to appear Saturday night? Or maybe it's the triggers causing reaction much later?
Two questions, I guess. One, how soon do you experience symptoms after consuming trigger foods/drinks? Two, can symptoms rebound like they did for me after missing just one PPI dose?</t>
        </is>
      </c>
      <c r="D9019" t="n">
        <v>1</v>
      </c>
      <c r="E9019" t="n">
        <v>6</v>
      </c>
      <c r="F9019">
        <f>HYPERLINK("https://www.reddit.com/r/GERD/comments/hq5ygf/how_soon_do_you_experience_reflux_symptoms_after/")</f>
        <v/>
      </c>
      <c r="G9019" t="inlineStr">
        <is>
          <t>2020-07-12 18:08:57</t>
        </is>
      </c>
      <c r="H9019" t="inlineStr"/>
    </row>
    <row r="9020">
      <c r="A9020" t="inlineStr">
        <is>
          <t>hq67m6</t>
        </is>
      </c>
      <c r="B9020" t="inlineStr">
        <is>
          <t>Recently diagnosed with gastritis, esophogisitis, and duodenitis, best tips?</t>
        </is>
      </c>
      <c r="C9020" t="inlineStr">
        <is>
          <t>Hand an upper endoscopy and colonoscopy done on Friday and while I kinda remember talking to the doctor (I suck coming out of anesthesia), my husband said the doctor called him and said “she is extremely full of acid”. According to the sheet with my diagnosis, I have a small hiatal hernia, esophagitis, duodenitis, gastritis, and they had to remove and biopsy 4 polyps.  Fun day! Doctor has started me on PPI’s for 8 weeks. From reading on here, it looks like the best diet to do is extremely bland and soft food, cut out alcohol, caffeine, and carbonated drinks, and nothing with a ph level less than 5. Any other tips and tricks to fix this?!</t>
        </is>
      </c>
      <c r="D9020" t="n">
        <v>1</v>
      </c>
      <c r="E9020" t="n">
        <v>5</v>
      </c>
      <c r="F9020">
        <f>HYPERLINK("https://www.reddit.com/r/GERD/comments/hq67m6/recently_diagnosed_with_gastritis_esophogisitis/")</f>
        <v/>
      </c>
      <c r="G9020" t="inlineStr">
        <is>
          <t>2020-07-12 18:26:14</t>
        </is>
      </c>
      <c r="H9020" t="inlineStr"/>
    </row>
    <row r="9021">
      <c r="A9021" t="inlineStr">
        <is>
          <t>hq6sgn</t>
        </is>
      </c>
      <c r="B9021" t="inlineStr">
        <is>
          <t>Too little Stomach Acid after H2 Blockers?</t>
        </is>
      </c>
      <c r="C9021" t="inlineStr">
        <is>
          <t>I got a Endoscopy to confirm if I was suffering from a acid reflux problem or for a post nasal drip that will not stop and a sore throat after a few months that went away recently after a months worth of dieting or coincidentally. Don't know yet.
The scope indicated mild gastritis and esophageal reflux. Now I do not know if there was acid damage or she saw a little bit of reflux in my esophagus that could have been mistaken by the thick mucus I was swallowing before the procedure. I could not drink any fluids to clear it out . Couldn't talk to her and the report doesn't state any acid damage.
She prescribed me 20MG Famotidine twice a day and 1G Sucraflate. Now prior to this I had suffered no abdominal issues, pain, or burning. Since taking the Famotidine I have noticed I feel bloated after meals and a slight burning feeling in my stomach during the day. Mainly dinner. I eat very clean. This was not happening what so ever the months prior at all. In fact I never felt that slight burning sensation in my stomach in my life until after the Famotidine treatment. 
Could this mean my stomach acids are dropping too low? I feel she gave me this for the mild gastritis, which I never felt any pains from, to allow it to heal. I know the sucraflate coats the stomach and she doesn't know of my bland diet since we didn't get to talk.</t>
        </is>
      </c>
      <c r="D9021" t="n">
        <v>1</v>
      </c>
      <c r="E9021" t="n">
        <v>3</v>
      </c>
      <c r="F9021">
        <f>HYPERLINK("https://www.reddit.com/r/GERD/comments/hq6sgn/too_little_stomach_acid_after_h2_blockers/")</f>
        <v/>
      </c>
      <c r="G9021" t="inlineStr">
        <is>
          <t>2020-07-12 19:06:09</t>
        </is>
      </c>
      <c r="H9021" t="inlineStr"/>
    </row>
    <row r="9022">
      <c r="A9022" t="inlineStr">
        <is>
          <t>hq87ri</t>
        </is>
      </c>
      <c r="B9022" t="inlineStr">
        <is>
          <t>Does it ever get... normal again?</t>
        </is>
      </c>
      <c r="C9022" t="inlineStr">
        <is>
          <t>I’ve been dealing with severe GERD/LPR and asthma flare ups since 2016. When the suffering gets bad, I’ll break and go to the doctor only to realize they’re just going to give me the same old “think happy thoughts and take your omeprazole” lecture without doing anything.
I know so many people who eat pizza and fried chicken and fries and chips and candy like it’s their last meal daily, but I had a night of misery last night after eating a small portion of grilled tilapia, Lima beans and corn.
Does anyone ever actually kick their GERD/LPR, or can I just expect to be living in pain from now on? I don’t mean that to sound dramatic, but kinda curious to know what I should mentally prepare for.
Asking as someone walking on culinary eggshells for four years who sees a lot of despair on GERD/LPR forums but hasn’t noticed a lot of cause for hope.</t>
        </is>
      </c>
      <c r="D9022" t="n">
        <v>1</v>
      </c>
      <c r="E9022" t="n">
        <v>22</v>
      </c>
      <c r="F9022">
        <f>HYPERLINK("https://www.reddit.com/r/GERD/comments/hq87ri/does_it_ever_get_normal_again/")</f>
        <v/>
      </c>
      <c r="G9022" t="inlineStr">
        <is>
          <t>2020-07-12 20:46:49</t>
        </is>
      </c>
      <c r="H9022" t="inlineStr"/>
    </row>
    <row r="9023">
      <c r="A9023" t="inlineStr">
        <is>
          <t>hq9b8e</t>
        </is>
      </c>
      <c r="B9023" t="inlineStr">
        <is>
          <t>Extreme car sickness</t>
        </is>
      </c>
      <c r="C9023" t="inlineStr">
        <is>
          <t>Does anyone else get extremely car sick? I’ve had GERD my whole life, but for the past few months I’ve been finding it harder to stand car rides. Even 5 minute rides to the store caused me to gag and occasionally vomit. I would also get extremely dizzy and nauseous a few hours after the ride. I’ve found medication doesn’t help either. Does anyone have any methods of coping with this? It’s worse when I’m being driven but I still get pretty car sick driving myself.</t>
        </is>
      </c>
      <c r="D9023" t="n">
        <v>1</v>
      </c>
      <c r="E9023" t="n">
        <v>9</v>
      </c>
      <c r="F9023">
        <f>HYPERLINK("https://www.reddit.com/r/GERD/comments/hq9b8e/extreme_car_sickness/")</f>
        <v/>
      </c>
      <c r="G9023" t="inlineStr">
        <is>
          <t>2020-07-12 22:09:58</t>
        </is>
      </c>
      <c r="H9023" t="inlineStr"/>
    </row>
    <row r="9024">
      <c r="A9024" t="inlineStr">
        <is>
          <t>hqa7kb</t>
        </is>
      </c>
      <c r="B9024" t="inlineStr">
        <is>
          <t>Constipation connected to Acid Relux?</t>
        </is>
      </c>
      <c r="C9024" t="inlineStr">
        <is>
          <t>Seems I have less acid reflux after magnesium citrate or milk of magnesia. Anyone's AR trigger from constipation?</t>
        </is>
      </c>
      <c r="D9024" t="n">
        <v>1</v>
      </c>
      <c r="E9024" t="n">
        <v>0</v>
      </c>
      <c r="F9024">
        <f>HYPERLINK("https://www.reddit.com/r/GERD/comments/hqa7kb/constipation_connected_to_acid_relux/")</f>
        <v/>
      </c>
      <c r="G9024" t="inlineStr">
        <is>
          <t>2020-07-12 23:24:12</t>
        </is>
      </c>
      <c r="H9024" t="inlineStr"/>
    </row>
    <row r="9025">
      <c r="A9025" t="inlineStr">
        <is>
          <t>hqa894</t>
        </is>
      </c>
      <c r="B9025" t="inlineStr">
        <is>
          <t>Chronic fatigue with Acid Reflux common?</t>
        </is>
      </c>
      <c r="C9025" t="inlineStr">
        <is>
          <t>I am tired all the time every day. I just want to take naps. Is this common?</t>
        </is>
      </c>
      <c r="D9025" t="n">
        <v>1</v>
      </c>
      <c r="E9025" t="n">
        <v>0</v>
      </c>
      <c r="F9025">
        <f>HYPERLINK("https://www.reddit.com/r/GERD/comments/hqa894/chronic_fatigue_with_acid_reflux_common/")</f>
        <v/>
      </c>
      <c r="G9025" t="inlineStr">
        <is>
          <t>2020-07-12 23:25:45</t>
        </is>
      </c>
      <c r="H9025" t="inlineStr"/>
    </row>
    <row r="9026">
      <c r="A9026" t="inlineStr">
        <is>
          <t>hqabmy</t>
        </is>
      </c>
      <c r="B9026" t="inlineStr">
        <is>
          <t>Does anyone know: Can you get a stomach ulcer even when taking PPIs?</t>
        </is>
      </c>
      <c r="C9026" t="inlineStr">
        <is>
          <t>I havr been on PPIs daily now for over a year. I have twice been tested for H. Pylori. Once during an endosxopy in January 2019 and once via blood test a couple months ago. 
For the last month I have had mild but persistent pain/discomfort in my left side. While not exactly my 'stomach', I do wonder if it could be an ulcer as I had a clean abdominal ultrasound, as well as other clean tests for other organs in the recent past.
So: despite being clear of H. Pylori AND being on daily PPIs for over a year, could one still get an ulcer, or is this a dead end for me?</t>
        </is>
      </c>
      <c r="D9026" t="n">
        <v>1</v>
      </c>
      <c r="E9026" t="n">
        <v>0</v>
      </c>
      <c r="F9026">
        <f>HYPERLINK("https://www.reddit.com/r/GERD/comments/hqabmy/does_anyone_know_can_you_get_a_stomach_ulcer_even/")</f>
        <v/>
      </c>
      <c r="G9026" t="inlineStr">
        <is>
          <t>2020-07-12 23:33:59</t>
        </is>
      </c>
      <c r="H9026" t="inlineStr"/>
    </row>
    <row r="9027">
      <c r="A9027" t="inlineStr">
        <is>
          <t>hqchpn</t>
        </is>
      </c>
      <c r="B9027" t="inlineStr">
        <is>
          <t>How serious is gastritis?</t>
        </is>
      </c>
      <c r="C9027" t="inlineStr">
        <is>
          <t>I went to the doctor about my constant heartburn today (I have gerd). My gerd only goes away when I take nexium. 
I’m 18. I used to be morbidly obese 2 years ago and have to go to the doctors all the time for hormone tests and stuff. I’m not obese or overweight in the slightest anymore but he said he’ll send a letter so I can be checked for ulcer or gastritis. How serious are these?</t>
        </is>
      </c>
      <c r="D9027" t="n">
        <v>1</v>
      </c>
      <c r="E9027" t="n">
        <v>2</v>
      </c>
      <c r="F9027">
        <f>HYPERLINK("https://www.reddit.com/r/GERD/comments/hqchpn/how_serious_is_gastritis/")</f>
        <v/>
      </c>
      <c r="G9027" t="inlineStr">
        <is>
          <t>2020-07-13 02:53:11</t>
        </is>
      </c>
      <c r="H9027" t="inlineStr"/>
    </row>
    <row r="9028">
      <c r="A9028" t="inlineStr">
        <is>
          <t>hqdr2t</t>
        </is>
      </c>
      <c r="B9028" t="inlineStr">
        <is>
          <t>LPR for almost 8 years. I just need a hug to get through this hell. Anyone?</t>
        </is>
      </c>
      <c r="C9028" t="inlineStr">
        <is>
          <t>Hi, all. I'm 28M.
I'm so embarrassed to say that I've been having LPR for almost eight years brought by poor diet. Basically, my only real symptom is throat clearing: meaning, I feel this excessive mucus at the back of my throat especially after I eat. 
I DON'T' have any heartburn, globus sensation, sore throat, change in my voice, etc. The throat clearing is really just annoying. 
I saw an ENT last year who gave me a nasal endoscopy and saw that my larynx area is quite red and irritated and has excessive mucus. My throat, he said, seems fine. No lump or etc. So it was visually confirmed I had LPR. He just gave me 5 months of 20 mg omeprazole, Gaviscon, and said I should change my diet.
Not much has changed, really. A part of me thinks  I could use a more aggressive PPI therapy. And I must confess, I haven't been adjusting my diet :( I can't go back to the doctors yet because of the pandemic (unless it's an emergency). 
To be honest, I'm here to look for some hope, reassurance, and inspiration from people, if anybody has been experiencing LPR symptoms for decades and still has somehow found some improvement or has been healed completely. 
At this rate, I'm just scared of cancer :( I am literally on my bed crying and shaking now just thinking about this.  I have some form of anxiety so please be gentle with me. :(</t>
        </is>
      </c>
      <c r="D9028" t="n">
        <v>1</v>
      </c>
      <c r="E9028" t="n">
        <v>7</v>
      </c>
      <c r="F9028">
        <f>HYPERLINK("https://www.reddit.com/r/GERD/comments/hqdr2t/lpr_for_almost_8_years_i_just_need_a_hug_to_get/")</f>
        <v/>
      </c>
      <c r="G9028" t="inlineStr">
        <is>
          <t>2020-07-13 04:41:07</t>
        </is>
      </c>
      <c r="H9028" t="inlineStr"/>
    </row>
    <row r="9029">
      <c r="A9029" t="inlineStr">
        <is>
          <t>hqe5tn</t>
        </is>
      </c>
      <c r="B9029" t="inlineStr">
        <is>
          <t>Gerd , hiatus hernia and weights ?</t>
        </is>
      </c>
      <c r="C9029" t="inlineStr">
        <is>
          <t>Hi everyone , 
I was wondering if it's possible to do any free weight exercises with a hiatus hernia ? I was hoping to do light weights lots of repatitions ? 
Kind Regards</t>
        </is>
      </c>
      <c r="D9029" t="n">
        <v>1</v>
      </c>
      <c r="E9029" t="n">
        <v>6</v>
      </c>
      <c r="F9029">
        <f>HYPERLINK("https://www.reddit.com/r/GERD/comments/hqe5tn/gerd_hiatus_hernia_and_weights/")</f>
        <v/>
      </c>
      <c r="G9029" t="inlineStr">
        <is>
          <t>2020-07-13 05:12:37</t>
        </is>
      </c>
      <c r="H9029" t="inlineStr"/>
    </row>
    <row r="9030">
      <c r="A9030" t="inlineStr">
        <is>
          <t>hqeiru</t>
        </is>
      </c>
      <c r="B9030" t="inlineStr">
        <is>
          <t>Weird thing that helps me - apples</t>
        </is>
      </c>
      <c r="C9030" t="inlineStr">
        <is>
          <t>For some reason, eating a red apple when I feel the nausea/throat lump/back pain coming on helps every time. I kicked the PPIs (which were only making me feel even more nauseous) and now I have an apple after lunch and about half an hour before sleeping each night. I used to suffer every night but I haven’t since starting this. No idea why it works - it shouldn’t as you’re not meant to eat before bed and apples are acidic (I don’t know why people keep saying apples are alkaline when they have an acidic pH...?). I doubt it will help if I have another severe attack but for now I’ve been able to eat trigger foods and sleep normally.
My usual triggers are high-fat foods (oil, cheese, butter, eggs, red meat) and processed carbs (white bread, pasta). If you have similar triggers, give it a go.</t>
        </is>
      </c>
      <c r="D9030" t="n">
        <v>1</v>
      </c>
      <c r="E9030" t="n">
        <v>4</v>
      </c>
      <c r="F9030">
        <f>HYPERLINK("https://www.reddit.com/r/GERD/comments/hqeiru/weird_thing_that_helps_me_apples/")</f>
        <v/>
      </c>
      <c r="G9030" t="inlineStr">
        <is>
          <t>2020-07-13 05:38:58</t>
        </is>
      </c>
      <c r="H9030" t="inlineStr"/>
    </row>
    <row r="9031">
      <c r="A9031" t="inlineStr">
        <is>
          <t>hqf5p6</t>
        </is>
      </c>
      <c r="B9031" t="inlineStr">
        <is>
          <t>Can talking trigger an LPR sore throat?</t>
        </is>
      </c>
      <c r="C9031" t="inlineStr">
        <is>
          <t>So I followed the acid watcher diet and I am on PPIs for a week now. On sunday (day 2 of the AWD and day 4 of trying to eat less acidic) I felt better and even today was ok during the day. I was at work, where I habe to talk constantly and now my throat feels sore again...
Did anyone experience similar things?</t>
        </is>
      </c>
      <c r="D9031" t="n">
        <v>1</v>
      </c>
      <c r="E9031" t="n">
        <v>9</v>
      </c>
      <c r="F9031">
        <f>HYPERLINK("https://www.reddit.com/r/GERD/comments/hqf5p6/can_talking_trigger_an_lpr_sore_throat/")</f>
        <v/>
      </c>
      <c r="G9031" t="inlineStr">
        <is>
          <t>2020-07-13 06:22:03</t>
        </is>
      </c>
      <c r="H9031" t="inlineStr"/>
    </row>
    <row r="9032">
      <c r="A9032" t="inlineStr">
        <is>
          <t>hqfpqf</t>
        </is>
      </c>
      <c r="B9032" t="inlineStr">
        <is>
          <t>Can a swollen neck (all the time, not just after eating) be caused by GERD?</t>
        </is>
      </c>
      <c r="C9032" t="inlineStr">
        <is>
          <t>My doctor had done checks for hypothyroidism including two blood tests and an ultrasound. 
The first blood test showed high TSH but four weeks later when I got my ultrasound, my TSH decreased to “normal” and the ultrasound said there was nothing there. So they told me I’m fine.
I just started getting really bad acid reflux and heartburn so I told my doctor (before all these tests) and now she’s just claiming my swollen neck, which is still swollen but doesn’t show up in ultrasounds apparently, is caused by GERD and wants me on omeprazole. 
I look like this all the time. Every day, all day. It doesn’t show up after eating, it’s just there even when I wake up and haven’t eaten for hours. 
Should I get another opinion?</t>
        </is>
      </c>
      <c r="D9032" t="n">
        <v>1</v>
      </c>
      <c r="E9032" t="n">
        <v>2</v>
      </c>
      <c r="F9032">
        <f>HYPERLINK("https://www.reddit.com/r/GERD/comments/hqfpqf/can_a_swollen_neck_all_the_time_not_just_after/")</f>
        <v/>
      </c>
      <c r="G9032" t="inlineStr">
        <is>
          <t>2020-07-13 06:57:50</t>
        </is>
      </c>
      <c r="H9032" t="inlineStr"/>
    </row>
    <row r="9033">
      <c r="A9033" t="inlineStr">
        <is>
          <t>hqfyk0</t>
        </is>
      </c>
      <c r="B9033" t="inlineStr">
        <is>
          <t>Do I really have gerd or is it something else? It's absolutely destroying my life.</t>
        </is>
      </c>
      <c r="C9033" t="inlineStr">
        <is>
          <t>I've had stomach indigestion issues for the last 10 years of my life, and it's absolutely ruined my 20s. I've had 2 upper endoscopies in between (one last month), and both of them were completely normal.
Here's the thing: I've never been officially diagnosed with gerd or any particular condition. And my symptoms don't always match gerd, because I don't really get heartburn, but the biggest symtpoms I get are:
* Food regurgitation - especially at night when I'm trying to sleep, i often wake up gasping for breath and it turns out that there's food in my esophagus. It keeps me awake many nights and the only way to fix it is to sit up for a while, take some antacid etc, and then sleep on the couch.
* overall indigestion / nausea / bloating
* Here's the other worst symptom: when I'm experiencing these 'episodes' of indigestion, I also feel lightheaded. I feel like my blood pressure is dropping, and often times i feel like I'm going to pass out. when I speak, my throat feels a little tight, and I feel like I cannot speak either without passing out.
Some hypotheses as to what I have: some type of chronic dehydration, or perhaps a neurological disorder. I've been to 2 cardiologists, and they've never found anything concerning either. However, it's absolutely destroying my life and putting a lot of stress on me and my wife. I want to be a strong person for her but I feel absolutely helpless when these symptoms occur to me , I feel like I suddenly turn to an old man.
Any thoughts as to what i have?</t>
        </is>
      </c>
      <c r="D9033" t="n">
        <v>1</v>
      </c>
      <c r="E9033" t="n">
        <v>22</v>
      </c>
      <c r="F9033">
        <f>HYPERLINK("https://www.reddit.com/r/GERD/comments/hqfyk0/do_i_really_have_gerd_or_is_it_something_else_its/")</f>
        <v/>
      </c>
      <c r="G9033" t="inlineStr">
        <is>
          <t>2020-07-13 07:12:47</t>
        </is>
      </c>
      <c r="H9033" t="inlineStr"/>
    </row>
    <row r="9034">
      <c r="A9034" t="inlineStr">
        <is>
          <t>hqg6k1</t>
        </is>
      </c>
      <c r="B9034" t="inlineStr">
        <is>
          <t>Best alcohol to drink?</t>
        </is>
      </c>
      <c r="C9034" t="inlineStr">
        <is>
          <t>I know that you shouldn’t drink alcohol with GERD, but what types of alcohol have you found that go better than others?  Any other tricks to getting away with drinking every once in a while?
Yesterday, I tried a seltzer called Crooked and Marker that is sugar (and artificial sweetener) free.  I still had a little reflux (mostly in the form of LPR symptoms) but it went better than some other drinks.  They were just ok on taste though.</t>
        </is>
      </c>
      <c r="D9034" t="n">
        <v>1</v>
      </c>
      <c r="E9034" t="n">
        <v>8</v>
      </c>
      <c r="F9034">
        <f>HYPERLINK("https://www.reddit.com/r/GERD/comments/hqg6k1/best_alcohol_to_drink/")</f>
        <v/>
      </c>
      <c r="G9034" t="inlineStr">
        <is>
          <t>2020-07-13 07:26:04</t>
        </is>
      </c>
      <c r="H9034" t="inlineStr"/>
    </row>
    <row r="9035">
      <c r="A9035" t="inlineStr">
        <is>
          <t>hqhr98</t>
        </is>
      </c>
      <c r="B9035" t="inlineStr">
        <is>
          <t>Case of the Gurps with a side of nagging back pain.</t>
        </is>
      </c>
      <c r="C9035" t="inlineStr">
        <is>
          <t>I was diagnosed with GERD about 2 months ago, am 36, and have been on pantoprazole for about 35 days.  My main symptoms are tightness in my throat and constant nagging pain in my shoulders/left chest.  I have been slowly working to change my diet but man does this suck.
Anyone else get the shoulder and upper back pain?  Is yours constant and nagging or does it come in waves?  
I also fall to the gerd/anxiety crowd which seems to go hand in hand.  Good to know there are a lot more people out there who know what others are going through with this.</t>
        </is>
      </c>
      <c r="D9035" t="n">
        <v>1</v>
      </c>
      <c r="E9035" t="n">
        <v>3</v>
      </c>
      <c r="F9035">
        <f>HYPERLINK("https://www.reddit.com/r/GERD/comments/hqhr98/case_of_the_gurps_with_a_side_of_nagging_back_pain/")</f>
        <v/>
      </c>
      <c r="G9035" t="inlineStr">
        <is>
          <t>2020-07-13 08:53:32</t>
        </is>
      </c>
      <c r="H9035" t="inlineStr"/>
    </row>
    <row r="9036">
      <c r="A9036" t="inlineStr">
        <is>
          <t>hqhts0</t>
        </is>
      </c>
      <c r="B9036" t="inlineStr">
        <is>
          <t>Seeing Gastro today. Anything important to bring up?</t>
        </is>
      </c>
      <c r="C9036" t="inlineStr">
        <is>
          <t>I have been on Prilosec 20 mg for one year.</t>
        </is>
      </c>
      <c r="D9036" t="n">
        <v>1</v>
      </c>
      <c r="E9036" t="n">
        <v>6</v>
      </c>
      <c r="F9036">
        <f>HYPERLINK("https://www.reddit.com/r/GERD/comments/hqhts0/seeing_gastro_today_anything_important_to_bring_up/")</f>
        <v/>
      </c>
      <c r="G9036" t="inlineStr">
        <is>
          <t>2020-07-13 08:57:09</t>
        </is>
      </c>
      <c r="H9036" t="inlineStr"/>
    </row>
    <row r="9037">
      <c r="A9037" t="inlineStr">
        <is>
          <t>hqieyj</t>
        </is>
      </c>
      <c r="B9037" t="inlineStr">
        <is>
          <t>Burping at work... Ettiquite help?</t>
        </is>
      </c>
      <c r="C9037" t="inlineStr">
        <is>
          <t>I am not taking am meds but I have nausea and upset tummy until I get my burps out, maybe 6 monster, loud, Homer Simpson burps, then I am fine. I get up at 5am and my burps come 8 - 9am.
My team is irritated because we will be returning to work soon in office cubicles... and I think our tempers will be a little frayed. I'd like to have good cubicle ettiquite.
How can I either get my burps out before I get to work or make them more socially acceptable or polite or less loud? Etc?</t>
        </is>
      </c>
      <c r="D9037" t="n">
        <v>1</v>
      </c>
      <c r="E9037" t="n">
        <v>7</v>
      </c>
      <c r="F9037">
        <f>HYPERLINK("https://www.reddit.com/r/GERD/comments/hqieyj/burping_at_work_ettiquite_help/")</f>
        <v/>
      </c>
      <c r="G9037" t="inlineStr">
        <is>
          <t>2020-07-13 09:26:30</t>
        </is>
      </c>
      <c r="H9037" t="inlineStr"/>
    </row>
    <row r="9038">
      <c r="A9038" t="inlineStr">
        <is>
          <t>hqiwmd</t>
        </is>
      </c>
      <c r="B9038" t="inlineStr">
        <is>
          <t>Does anyone else have "squeaky" hiccups?</t>
        </is>
      </c>
      <c r="C9038" t="inlineStr">
        <is>
          <t>It dawned on me today that my hiccups don't "hic" anymore and they haven't for years. It's like there's a leak and they are more of a weird little squeaky gasp.
I have a feeling that this "leak" is either causing gerd or is a result of it. Haven't been to a specialist yet but I plan on it. My normal doctor just keeps throwing PPIs and H2 blockers at it. Just wondering if this is a common thing. Makes sense to me.</t>
        </is>
      </c>
      <c r="D9038" t="n">
        <v>1</v>
      </c>
      <c r="E9038" t="n">
        <v>2</v>
      </c>
      <c r="F9038">
        <f>HYPERLINK("https://www.reddit.com/r/GERD/comments/hqiwmd/does_anyone_else_have_squeaky_hiccups/")</f>
        <v/>
      </c>
      <c r="G9038" t="inlineStr">
        <is>
          <t>2020-07-13 09:50:22</t>
        </is>
      </c>
      <c r="H9038" t="inlineStr"/>
    </row>
    <row r="9039">
      <c r="A9039" t="inlineStr">
        <is>
          <t>hqjfr3</t>
        </is>
      </c>
      <c r="B9039" t="inlineStr">
        <is>
          <t>Need to know if anybody else have stomach pain but no heartburn, pls help</t>
        </is>
      </c>
      <c r="C9039" t="inlineStr">
        <is>
          <t>So my doctors has told me the stomach problems I'm having are most likely related to acid reflux/gerd and nexium does seem to help (although I have only taken it on two occasions for a week at a time). I have this persistent problem of extreme pain in my upper stomach area in between my belly button and bottom of breast bone, it seems to be worse when I have the classic trigger foods (chilli, chocolate etc) and comes on usually at night although I have had it without having any food before. It is an intense and unrelenting pain that usually last 3-4 hours and no position helps but lying down is worse. 
The problem is, when I try to research acid reflux to figure out how to control this so I can actually sleep when I need to, there are all these other symptoms that I don't get at all. I've never really had any heartburn, no acid taste in mouth, only had the regurgitation thing a few times and sometimes I get burpy  but it's really just this horrible pain in my stomach. 
TLDR: Anybody else kept up at night with stomach pain but no heartburn at all?</t>
        </is>
      </c>
      <c r="D9039" t="n">
        <v>1</v>
      </c>
      <c r="E9039" t="n">
        <v>4</v>
      </c>
      <c r="F9039">
        <f>HYPERLINK("https://www.reddit.com/r/GERD/comments/hqjfr3/need_to_know_if_anybody_else_have_stomach_pain/")</f>
        <v/>
      </c>
      <c r="G9039" t="inlineStr">
        <is>
          <t>2020-07-13 10:17:22</t>
        </is>
      </c>
      <c r="H9039" t="inlineStr"/>
    </row>
    <row r="9040">
      <c r="A9040" t="inlineStr">
        <is>
          <t>hqjghg</t>
        </is>
      </c>
      <c r="B9040" t="inlineStr">
        <is>
          <t>Anti-anxiety meds?</t>
        </is>
      </c>
      <c r="C9040" t="inlineStr">
        <is>
          <t>Hi! I am just wondering if getting on anti-anxiety meds has helped anyone. I am 23, had GERD since ~18 years old. I take omeprazole 20mg every day, lots of pillows to prop myself up as I sleep, and do a decent job avoiding trigger foods. Right now I’m in professional school and working, and I’ve noticed I get flare ups during heavy exam weeks which is pretty much every week. The only reason I even considered anti-anxiety meds is because I’ve had lots of flare ups since starting professional school last August and they stopped the week after spring semester finals, so I think it’s stress related. 
Just looking for anyone’s experience adding anti-anxiety meds and/or therapy to the mix :)</t>
        </is>
      </c>
      <c r="D9040" t="n">
        <v>1</v>
      </c>
      <c r="E9040" t="n">
        <v>6</v>
      </c>
      <c r="F9040">
        <f>HYPERLINK("https://www.reddit.com/r/GERD/comments/hqjghg/antianxiety_meds/")</f>
        <v/>
      </c>
      <c r="G9040" t="inlineStr">
        <is>
          <t>2020-07-13 10:18:24</t>
        </is>
      </c>
      <c r="H9040" t="inlineStr"/>
    </row>
    <row r="9041">
      <c r="A9041" t="inlineStr">
        <is>
          <t>hqjh5j</t>
        </is>
      </c>
      <c r="B9041" t="inlineStr">
        <is>
          <t>Need your experience about my some symptoms like too much gas with and without empty stomach!</t>
        </is>
      </c>
      <c r="C9041" t="inlineStr">
        <is>
          <t>I never had this problem in my life but from the last few months suffering from severe gas with and without an empty stomach.
I did ultrasound and endoscopy, results are perfectly normal. Blood tests did show fewer white blood cells but nothing to worry in doc's term.
\*\*I had tuberculosis in November and was taken off the medication in may. Started having gerd after few months from the day tb I started medication.
Hoping to get your experience and how did you handle gastritis and bloating...</t>
        </is>
      </c>
      <c r="D9041" t="n">
        <v>1</v>
      </c>
      <c r="E9041" t="n">
        <v>4</v>
      </c>
      <c r="F9041">
        <f>HYPERLINK("https://www.reddit.com/r/GERD/comments/hqjh5j/need_your_experience_about_my_some_symptoms_like/")</f>
        <v/>
      </c>
      <c r="G9041" t="inlineStr">
        <is>
          <t>2020-07-13 10:19:25</t>
        </is>
      </c>
      <c r="H9041" t="inlineStr"/>
    </row>
    <row r="9042">
      <c r="A9042" t="inlineStr">
        <is>
          <t>hqlnde</t>
        </is>
      </c>
      <c r="B9042" t="inlineStr">
        <is>
          <t>Gerd/exercise/hoarse voice</t>
        </is>
      </c>
      <c r="C9042" t="inlineStr">
        <is>
          <t>I enjoy riding my bicycle, and when I ride for more than an hour, my voice goes hoarse.  Also, have a lot of Phlegm spitballs.     anyone else have this issue?</t>
        </is>
      </c>
      <c r="D9042" t="n">
        <v>1</v>
      </c>
      <c r="E9042" t="n">
        <v>2</v>
      </c>
      <c r="F9042">
        <f>HYPERLINK("https://www.reddit.com/r/GERD/comments/hqlnde/gerdexercisehoarse_voice/")</f>
        <v/>
      </c>
      <c r="G9042" t="inlineStr">
        <is>
          <t>2020-07-13 12:11:28</t>
        </is>
      </c>
      <c r="H9042" t="inlineStr"/>
    </row>
    <row r="9043">
      <c r="A9043" t="inlineStr">
        <is>
          <t>hqlni3</t>
        </is>
      </c>
      <c r="B9043" t="inlineStr">
        <is>
          <t>Constant nausea?</t>
        </is>
      </c>
      <c r="C9043" t="inlineStr">
        <is>
          <t>Hey guys, does anyone else have this?
I recently got diagnosed with GERD and since then things have just seemed to be getting worse. The Dr.  prescribed famotidine but it seemed to make the nausea worse so I stopped it and felt slightly better. The nausea, chest pain and dry throat were still there so I tried taking Nexium. The nausea won’t go, even drinking water. Can anyone help?</t>
        </is>
      </c>
      <c r="D9043" t="n">
        <v>1</v>
      </c>
      <c r="E9043" t="n">
        <v>9</v>
      </c>
      <c r="F9043">
        <f>HYPERLINK("https://www.reddit.com/r/GERD/comments/hqlni3/constant_nausea/")</f>
        <v/>
      </c>
      <c r="G9043" t="inlineStr">
        <is>
          <t>2020-07-13 12:11:39</t>
        </is>
      </c>
      <c r="H9043" t="inlineStr"/>
    </row>
    <row r="9044">
      <c r="A9044" t="inlineStr">
        <is>
          <t>hqlu7j</t>
        </is>
      </c>
      <c r="B9044" t="inlineStr">
        <is>
          <t>Gerd?</t>
        </is>
      </c>
      <c r="C9044" t="inlineStr">
        <is>
          <t>Hi 25M. Lately I've been having this feeling like something is stuck in my throat after I eat, I've been dealing with abdominal pain for months along with nausea/vomiting headaches and itching in my rectum, could this be gerd or something related?</t>
        </is>
      </c>
      <c r="D9044" t="n">
        <v>1</v>
      </c>
      <c r="E9044" t="n">
        <v>0</v>
      </c>
      <c r="F9044">
        <f>HYPERLINK("https://www.reddit.com/r/GERD/comments/hqlu7j/gerd/")</f>
        <v/>
      </c>
      <c r="G9044" t="inlineStr">
        <is>
          <t>2020-07-13 12:21:33</t>
        </is>
      </c>
      <c r="H9044" t="inlineStr"/>
    </row>
    <row r="9045">
      <c r="A9045" t="inlineStr">
        <is>
          <t>hqm4k2</t>
        </is>
      </c>
      <c r="B9045" t="inlineStr">
        <is>
          <t>I'm so done with my doctors. I need advice!!</t>
        </is>
      </c>
      <c r="C9045" t="inlineStr">
        <is>
          <t>Little info about how this hell began for me.
Start weight was 210**(imp?) Female, 27, 5' 7,
 Never had health issues befor
March - diagnosed with sever costochondritis in my drs office after a physical exam. Went to the hospital a few days after to make sure that it wasn't my heart. Ct scan, blood work and echo came back clear.
March - possible stomach ulcer from so much advil/aleve. Booked an ultrasound for june.
Weight check in **190-20 pounds gone in 4 weeks.
April/may - my doctor basically told me to suck it up, it couldn't be that bad and to wait for my ultrasound.
May/June- costo started to fade and stomach pains started to fade. Then bam! Ear infection in both ears, took a round of meds. Didnt help at all. Then my throat started to feel... spicy? Haha. 
June/July- where the real hell bagan- tight throat, panic, chest pains that didnt feel like costo, mucous stuck and the very back of my throat. Trouble swallowing, could only eat chicken, sweet potatoes and saltine crackers. Went back to the doctor and suggested gerd. He agrees without any testing and put me on 40 mg pantoprazole/once a day.
July- finally saw an ENT, he shoved that camera up my nose and down my throat (that was fun 👍) he suspected LPR, gave me a pamphlet and said change my diet.(still could only handle food mentioned above⬆️) he also upped my pantoprazole  to 40mg twice a day
The past 2 weeks- finally got my ultrasound on my entire stomach, like hips to chest) and also my thyroid. Still having tight throat, mucous, shortness of breathe,chest pains, constipation now too(yay) anxiety is added now too because i feel like my throat is going to close at any second. Calling my doctor and asked for the ultrasound results and requested a barium swollow and an endoscopy.
He hadn't received my results yet. Denied the barium swollow, and said hes gunna wait on the ultrasound results so he can decide if he wants the endoscopy. 
And he will give me a call. I also asked for a  blood panel to check iron and what not. I was anemic pregnant with my son, 4 years ago and I recognized the foggy feeling, he said my blood was checked at the hospital in march and its "probably fine"
I'm not sure what I'm asking for here but all I can say is I'm feeling loads frustration, and I'm literally about to have a mental break down. It feels like my family doesn't think I'm being serious but they dont help at all.
Sorry for this huge ass rant lol I'm at my whits end, and feel like I'm by myself. 
** looking into a naturopath **
* I also purchased the acid watchers diet book. It's very helpful and I'm going to start the diet pretty quick.</t>
        </is>
      </c>
      <c r="D9045" t="n">
        <v>1</v>
      </c>
      <c r="E9045" t="n">
        <v>11</v>
      </c>
      <c r="F9045">
        <f>HYPERLINK("https://www.reddit.com/r/GERD/comments/hqm4k2/im_so_done_with_my_doctors_i_need_advice/")</f>
        <v/>
      </c>
      <c r="G9045" t="inlineStr">
        <is>
          <t>2020-07-13 12:36:59</t>
        </is>
      </c>
      <c r="H9045" t="inlineStr"/>
    </row>
    <row r="9046">
      <c r="A9046" t="inlineStr">
        <is>
          <t>hqnv0f</t>
        </is>
      </c>
      <c r="B9046" t="inlineStr">
        <is>
          <t>Anyone successfully weaned off a PPI (long term)?</t>
        </is>
      </c>
      <c r="C9046" t="inlineStr">
        <is>
          <t>I've been on Rabeprazole 20mg for almost a decade now. My family doctor, who retired just a few months ago, would keep renewing the prescription, telling me it's "alright to be on it for life, and that it's what he's doing since he's obese and can't live without the foods he loves."
As a New Year's resolution, for the past few months, i've been slowly trying to tapper off of it, with mixed results, starting with the one pill every other day. After about three months of that I went to a pill every two days, and so on. At the one pill every four to five days I started having acid reflux that became so bad it would trigger my anxiety to the point of panic attack. I'm now back to one pill every two days.
I also suffer from severe anxiety and depression, which i'm sure triggers the reflux about half the time. I was on an anti-depressant for almost as long as the PPI, and I was forced to come off it cold-turkey due to a sudden massive series of blood clots. Apparently blood thinners and anti-depressants don't mix safely. The resulting withdrawal has lasted almost three, hellish years now.
 I've been through a colonoscopy, with no results thankfully. I've been eating as best I can, cutting out as many triggering foods and alcohol as I can, drinking and eating probiotic/prebiotic foods such as Kefir and yogurt with bananas. I exercise daily too, since that also helps with the anxiety.
Despite all this I still suffer from GERD effects, and am starting to wonder if I really am going to be stuck on this pill for the rest of my life as a result of a doctor's idiocy.
My question is; has anyone here been on a PPI long term, and successfully come off of it? Is there a light at the end of the tunnel?</t>
        </is>
      </c>
      <c r="D9046" t="n">
        <v>1</v>
      </c>
      <c r="E9046" t="n">
        <v>7</v>
      </c>
      <c r="F9046">
        <f>HYPERLINK("https://www.reddit.com/r/GERD/comments/hqnv0f/anyone_successfully_weaned_off_a_ppi_long_term/")</f>
        <v/>
      </c>
      <c r="G9046" t="inlineStr">
        <is>
          <t>2020-07-13 14:09:16</t>
        </is>
      </c>
      <c r="H9046" t="inlineStr"/>
    </row>
    <row r="9047">
      <c r="A9047" t="inlineStr">
        <is>
          <t>hqpo8s</t>
        </is>
      </c>
      <c r="B9047" t="inlineStr">
        <is>
          <t>Raising the head of my bed is having little to no effect</t>
        </is>
      </c>
      <c r="C9047" t="inlineStr">
        <is>
          <t>Hey guys, I've been suffering with GERD for about 4 years now. I believe the most damaging part for me is when I sleep, I always wake up with a sore throat and i can taste the acid in my mouth. After years of putting up with it, I decided to try and solve it.
I tried a wedge pillow, which I found uncomfortable and ended up slipping off. I moved to elevating the head of my bed about 6-7 inches and 2/3 weeks on and its having very little impact. Its a slight improvement don't get me wrong (I stayed at my girlfriends and instantly could tell how much worse I am lying flat), but its not doing much. Even with diet changes and holding off eating for 4 hours+, still no change. 
I'm particularly worried because I'm already experiencing dental erosion and I'm concerned about it getting worse, not to mention what other potential damage to my esophagus and throat.
Has anyone had the same issue? At this point I honestly feel like surgery is the only thing I can hope for. I have an appointment with my GP next week and I'm praying I can get things moving with a referral</t>
        </is>
      </c>
      <c r="D9047" t="n">
        <v>1</v>
      </c>
      <c r="E9047" t="n">
        <v>32</v>
      </c>
      <c r="F9047">
        <f>HYPERLINK("https://www.reddit.com/r/GERD/comments/hqpo8s/raising_the_head_of_my_bed_is_having_little_to_no/")</f>
        <v/>
      </c>
      <c r="G9047" t="inlineStr">
        <is>
          <t>2020-07-13 15:48:45</t>
        </is>
      </c>
      <c r="H9047" t="inlineStr"/>
    </row>
    <row r="9048">
      <c r="A9048" t="inlineStr">
        <is>
          <t>hqqh6y</t>
        </is>
      </c>
      <c r="B9048" t="inlineStr">
        <is>
          <t>Food!!</t>
        </is>
      </c>
      <c r="C9048" t="inlineStr">
        <is>
          <t>How do you get your full calories when you can’t stand food right now.</t>
        </is>
      </c>
      <c r="D9048" t="n">
        <v>1</v>
      </c>
      <c r="E9048" t="n">
        <v>1</v>
      </c>
      <c r="F9048">
        <f>HYPERLINK("https://www.reddit.com/r/GERD/comments/hqqh6y/food/")</f>
        <v/>
      </c>
      <c r="G9048" t="inlineStr">
        <is>
          <t>2020-07-13 16:36:26</t>
        </is>
      </c>
      <c r="H9048" t="inlineStr"/>
    </row>
    <row r="9049">
      <c r="A9049" t="inlineStr">
        <is>
          <t>hqqk9o</t>
        </is>
      </c>
      <c r="B9049" t="inlineStr">
        <is>
          <t>Is this GERD</t>
        </is>
      </c>
      <c r="C9049" t="inlineStr">
        <is>
          <t>Hey I made an earlier post if I had GERD and I’m still not sure. My symptoms have eased and now the only symptom I am getting is burping and having a tiny bit of stuff come up when I burp. I don’t know exactly what I’m burping up but I think it’s partially digested food. There is no heartburn or any pain anywhere. Sometimes I have a minor throw up feeling but it’s like SUPER minor. But the burping is going on always after eating and I get some normal burps and some with like liquid, those burps are usually deep. I may burp up to like 10 times after eating over the course of a few hours. My stomach growls a bit after eating too during those hours. I am pretty doubtful of it being acid reflux as my symptoms are really minor but I have fear of the “regurgitating” burps. I don’t have trouble sleeping and laying down doesn’t worsen any symptoms. I am eating fine and swallowing ok, my breath doesn’t stink, no sore throat. No fever either or chills. During the day my stomach may feel a tiny bit unsettling and my poop is normal. This all started a week ago as a sensitive gag reflex when brushing my teeth and idk if this is a coincidence or not but after drinking boba tea I got a throw up feeling and the burping started.</t>
        </is>
      </c>
      <c r="D9049" t="n">
        <v>1</v>
      </c>
      <c r="E9049" t="n">
        <v>0</v>
      </c>
      <c r="F9049">
        <f>HYPERLINK("https://www.reddit.com/r/GERD/comments/hqqk9o/is_this_gerd/")</f>
        <v/>
      </c>
      <c r="G9049" t="inlineStr">
        <is>
          <t>2020-07-13 16:41:24</t>
        </is>
      </c>
      <c r="H9049" t="inlineStr"/>
    </row>
    <row r="9050">
      <c r="A9050" t="inlineStr">
        <is>
          <t>hqrpjs</t>
        </is>
      </c>
      <c r="B9050" t="inlineStr">
        <is>
          <t>Iron deficiency?</t>
        </is>
      </c>
      <c r="C9050" t="inlineStr">
        <is>
          <t>Does anyone of you taking iron which is not causing reflux?</t>
        </is>
      </c>
      <c r="D9050" t="n">
        <v>1</v>
      </c>
      <c r="E9050" t="n">
        <v>4</v>
      </c>
      <c r="F9050">
        <f>HYPERLINK("https://www.reddit.com/r/GERD/comments/hqrpjs/iron_deficiency/")</f>
        <v/>
      </c>
      <c r="G9050" t="inlineStr">
        <is>
          <t>2020-07-13 17:53:23</t>
        </is>
      </c>
      <c r="H9050" t="inlineStr"/>
    </row>
    <row r="9051">
      <c r="A9051" t="inlineStr">
        <is>
          <t>hqsd4l</t>
        </is>
      </c>
      <c r="B9051" t="inlineStr">
        <is>
          <t>Strained throat?</t>
        </is>
      </c>
      <c r="C9051" t="inlineStr">
        <is>
          <t>Hello! My GERD flared up to the point I was coughing so much it went on for actual hours. I ended up at the ER to get it under control.
Next day now and my throat muscles HURT and it hurts when I swallow.
Has anyone experienced this? Should I be freaked out?</t>
        </is>
      </c>
      <c r="D9051" t="n">
        <v>1</v>
      </c>
      <c r="E9051" t="n">
        <v>1</v>
      </c>
      <c r="F9051">
        <f>HYPERLINK("https://www.reddit.com/r/GERD/comments/hqsd4l/strained_throat/")</f>
        <v/>
      </c>
      <c r="G9051" t="inlineStr">
        <is>
          <t>2020-07-13 18:35:33</t>
        </is>
      </c>
      <c r="H9051" t="inlineStr"/>
    </row>
    <row r="9052">
      <c r="A9052" t="inlineStr">
        <is>
          <t>hqt8fa</t>
        </is>
      </c>
      <c r="B9052" t="inlineStr">
        <is>
          <t>Stress &amp;amp; Immediate GERD symptoms experience</t>
        </is>
      </c>
      <c r="C9052" t="inlineStr">
        <is>
          <t>I thought I would post this in hopes that someone who is freaking out might read it and know, what many already know, that stress absolutely can exasperate GERD.  
Last week I had a particularly difficult day at work. I'm an essential worker and I'm very very burned out.  Over a week ago I learned of a possible exposure at work to the rona.  The very next morning I woke up with the worst GERD flare up that I've ever had.  I  had the elephant on my chest feeling, the sore throat, the ear ache and sinus pain, and on top of that exhaustion like I've never felt.  All of this brought on the worst anxiety attacks I've had in years, and then I continued with fatigue until my symptoms all went away, and I was back to normal.  No more anxiety attacks no more GERD symptoms.  
Today, while talking to boss, I learn of another possible exposure . . . the reality is that I know we're being exposed often working with the public, but when it's confirmed, it's a bit more of fear for me.  While sitting on the phone talking to her, I began to feel the fullness in my throat, the pressure in my chest, the ear pain . . .  and it was like I caught it.  Aha! Heard I'm stressed, well here you come GERD to add to it.  I had my first GERD episode in February and it was directly after a very stressful day at work. 
I know I'm stressed beyond what I can handle. I've begun to even lose my hair  . . . that's not a GERD issue, that's something that happened to me once years ago and the doctor said once it happens, you're more susceptible to having it happen again at a time of shock or stress . . .  well, this is the time. 
Everyone should get checked out by their doctor's, but if you're new to GERD like I am, and you can't believe that all these symptoms are due to it, I've learned that they can be.  Thanks to this subreddit, I've learned so much from you all.  It's like clockwork now for me, stressful day = day of GERD the next.</t>
        </is>
      </c>
      <c r="D9052" t="n">
        <v>1</v>
      </c>
      <c r="E9052" t="n">
        <v>4</v>
      </c>
      <c r="F9052">
        <f>HYPERLINK("https://www.reddit.com/r/GERD/comments/hqt8fa/stress_immediate_gerd_symptoms_experience/")</f>
        <v/>
      </c>
      <c r="G9052" t="inlineStr">
        <is>
          <t>2020-07-13 19:34:03</t>
        </is>
      </c>
      <c r="H9052" t="inlineStr"/>
    </row>
    <row r="9053">
      <c r="A9053" t="inlineStr">
        <is>
          <t>hqtrhp</t>
        </is>
      </c>
      <c r="B9053" t="inlineStr">
        <is>
          <t>Relatively new cold sensitivity in throat</t>
        </is>
      </c>
      <c r="C9053" t="inlineStr">
        <is>
          <t>I am dealing with cold sensitivity. Any drink or food that is colder than room temperature hurts my throat- and the colder it is, the more it hurts. This isn’t helped at all by taking anti acids or PPIs. I’ve been diagnosed with acid reflux nearly my entire life (my mom said it was caused by her being so stressed during her pregnancy that it interfered with organ development or whatever &amp;amp; caused acid reflux). 
Can this be caused by GERD? I currently don’t have insurance and can’t afford to see a doctor. It’s a new issue that I started experiencing less than a year ago (I’d say it started in January 2020 most likely). It’s caused by food or drink that’s any colder than room temperature, but this is obviously an avoidable issue. I just live in the south US and I’d like to be able to consume cold food or drink since it’s the summer and day temperatures are now pushing 90°F.</t>
        </is>
      </c>
      <c r="D9053" t="n">
        <v>1</v>
      </c>
      <c r="E9053" t="n">
        <v>3</v>
      </c>
      <c r="F9053">
        <f>HYPERLINK("https://www.reddit.com/r/GERD/comments/hqtrhp/relatively_new_cold_sensitivity_in_throat/")</f>
        <v/>
      </c>
      <c r="G9053" t="inlineStr">
        <is>
          <t>2020-07-13 20:10:01</t>
        </is>
      </c>
      <c r="H9053" t="inlineStr"/>
    </row>
    <row r="9054">
      <c r="A9054" t="inlineStr">
        <is>
          <t>hqudaw</t>
        </is>
      </c>
      <c r="B9054" t="inlineStr">
        <is>
          <t>Am I the only who can't breath when you talk too much like something is going up your esophagus ?</t>
        </is>
      </c>
      <c r="C9054" t="inlineStr">
        <is>
          <t>I may have a HH but I'm still getting my tests done its fine but its annoying because if I end up talking too much I feel like I cant breath as if my esophagus is filling up am the only one ?</t>
        </is>
      </c>
      <c r="D9054" t="n">
        <v>1</v>
      </c>
      <c r="E9054" t="n">
        <v>5</v>
      </c>
      <c r="F9054">
        <f>HYPERLINK("https://www.reddit.com/r/GERD/comments/hqudaw/am_i_the_only_who_cant_breath_when_you_talk_too/")</f>
        <v/>
      </c>
      <c r="G9054" t="inlineStr">
        <is>
          <t>2020-07-13 20:52:08</t>
        </is>
      </c>
      <c r="H9054" t="inlineStr"/>
    </row>
    <row r="9055">
      <c r="A9055" t="inlineStr">
        <is>
          <t>hquh5g</t>
        </is>
      </c>
      <c r="B9055" t="inlineStr">
        <is>
          <t>Hoarseness/ need to clear throat due to GERD or talking too much?</t>
        </is>
      </c>
      <c r="C9055" t="inlineStr">
        <is>
          <t>I’m sure I know the answer to this question but thought I’d ask for some input. My job requires me to talk on the phone for my whole 8 hour shift, and has for the last 11 years. I have had GERD for about 5 years- was on ranitidine and now famotidine before bed. Also take protonix for gastritis. In the last year or so, I have noticed while I’m working, I have to clear my throat a lot. I don’t get anything up, but it almost feels like phlegm. Could this be from GERD or just talking too much or having a dry throat?</t>
        </is>
      </c>
      <c r="D9055" t="n">
        <v>1</v>
      </c>
      <c r="E9055" t="n">
        <v>3</v>
      </c>
      <c r="F9055">
        <f>HYPERLINK("https://www.reddit.com/r/GERD/comments/hquh5g/hoarseness_need_to_clear_throat_due_to_gerd_or/")</f>
        <v/>
      </c>
      <c r="G9055" t="inlineStr">
        <is>
          <t>2020-07-13 20:59:57</t>
        </is>
      </c>
      <c r="H9055" t="inlineStr"/>
    </row>
    <row r="9056">
      <c r="A9056" t="inlineStr">
        <is>
          <t>hquiqr</t>
        </is>
      </c>
      <c r="B9056" t="inlineStr">
        <is>
          <t>I think i have silent reflux. Is changing your diet enough?</t>
        </is>
      </c>
      <c r="C9056" t="inlineStr">
        <is>
          <t>Hello, everyone. I'm kind of confused at the moment but i think i finally figured out what's happening to me. I've been having coughing fits for about 3 years now, i think? Maybe even more. I always thought it was because i'm allergic to mold and my old house was full of it. However, i moved houses and i'm still coughing, a year and a half later after i moved. It usually starts before and after i eat and when i'm about to sleep. After the coughing, came the weird random ear pain. I sometimes feel my ears plug and also hear weird noises in it. It isn't an infection nor excessive earwax. My friend said that maybe it's gerd but i thought it wasn't because i didn't feel any burning. Only now i learned that silent reflux is a thing. I haven't been to an ENT doctor yet. I was wondering if it was possible to get rid of this by changing my diet only? Or is it too late? As i said, i've been coughing for years now. I'm new to all this so any info is welcome. Thank you.</t>
        </is>
      </c>
      <c r="D9056" t="n">
        <v>1</v>
      </c>
      <c r="E9056" t="n">
        <v>0</v>
      </c>
      <c r="F9056">
        <f>HYPERLINK("https://www.reddit.com/r/GERD/comments/hquiqr/i_think_i_have_silent_reflux_is_changing_your/")</f>
        <v/>
      </c>
      <c r="G9056" t="inlineStr">
        <is>
          <t>2020-07-13 21:03:03</t>
        </is>
      </c>
      <c r="H9056" t="inlineStr"/>
    </row>
    <row r="9057">
      <c r="A9057" t="inlineStr">
        <is>
          <t>hquktf</t>
        </is>
      </c>
      <c r="B9057" t="inlineStr">
        <is>
          <t>It's getting better (LPR)</t>
        </is>
      </c>
      <c r="C9057" t="inlineStr">
        <is>
          <t>I just wanted to make a post because I really feel for every one of you. Also, keep in mind that for those who are healed, they just up and leave rather than stick around. I wanted to show that it can get better, just takes a ridiculous amount of patience
**how it happened**
I'm really annoyed with myself because I basically gave myself LPR - tried to make myself sick after some spicy noodles went down the wrong pipe.... and then made myself puke again! Two pukes + all that spice + some medication I was on basically spelled disaster. I had severe regurgitation that night, I had never had acid reflux before so I didn't even know what it was.
**my symptoms**
I would feel the lump in my throat, I would sometimes gasp for air when I tried to swallow. Pain in my chest, back, abdomen, kidneys, you name it. The first week I had no idea what it was, and I basically had panic attacks whenever I couldn't catch my breath. Regurgitation, sometimes I felt food go up my nose --&amp;gt; extremely shitty feeling. Ringing in my ears, and a few other symptoms. 
**now**
Right now, I'm not perfect, but I'm much better, and feeling better every day. I have this shitty compulsion to basically poke and prod physical issues to check how they're progressing. I was being very careful for quite a while, but this weekend I got married and decided to smoke a tiny bit to celebrate (i know this was dumb). just 1-2 puffs once or twice a day. Previously, that would make my throat feel like it was closing up, today, it barely impacted it. I still swallow way more often than I should, again, because I constantly want to see how it feels, what's changed. I can feel it's more mucous-y than usual 
**what I did**
- ate oatmeal with banana for breakfast. the texture, the blandness, and the banana were all really soothing on my throat. i didn't usually eat breakfast, but I found I've been a lot hungrier since quitting my morning coffee. this helped satiate my appetite, and I usually ate a smaller lunch in response. 
- no coffee or tea. I'll admit, this was incredibly hard and I would "cheat" sometimes. but for the most part, just switched from coffee to tea, then to just water
- cucumber water. I found that it was a lot more soothing than plain water
- PPIs for 4 weeks - prilosec
- **slept on an incline wedge**
- breathing exercise - inhale for 4, hold for 4, exhale for 8. this apparently strengthens the stomach sphincter. I actually had my pain go away very quickly when my symptoms were more severe
- eat earlier dinners, sometimes eat without my SO 
- almost no fruit, except watermelon and bananas. i once got an LPR attack from eating a handful of cherries, so that was a good indication I should stop!
- very little spice - god this was one of the hardest things to do! 
- little/no condiments - dry fries, ugh
- gaviscon advance tablets - ordered from amazon
In my case, the acid production was less of an issue in comparison to the throat irritation when I ate something acidic or spicy, so I didn't worry too much about eating fried or fatty foods, although in general I ate a pretty healthy-ish diet anyway. Anyway, I hope that helped somewhat!</t>
        </is>
      </c>
      <c r="D9057" t="n">
        <v>1</v>
      </c>
      <c r="E9057" t="n">
        <v>5</v>
      </c>
      <c r="F9057">
        <f>HYPERLINK("https://www.reddit.com/r/GERD/comments/hquktf/its_getting_better_lpr/")</f>
        <v/>
      </c>
      <c r="G9057" t="inlineStr">
        <is>
          <t>2020-07-13 21:06:49</t>
        </is>
      </c>
      <c r="H9057" t="inlineStr"/>
    </row>
    <row r="9058">
      <c r="A9058" t="inlineStr">
        <is>
          <t>hqvnb9</t>
        </is>
      </c>
      <c r="B9058" t="inlineStr">
        <is>
          <t>Hopefully my tablets kick in soon</t>
        </is>
      </c>
      <c r="C9058" t="inlineStr">
        <is>
          <t>So I had to be off omeprazole for three days because I was an idiot and didn’t collect my prescription before the drs closed for the weekend. But managed to get them yesterday (Monday) and the few days I didn’t take them i didn’t feel crazily horrible but yesterday I felt so tight in my chest and quite nauseous as well as more gassy and a sore throat like the usual heartburn/GERD feeling. Do you guys think it was the acid catching up on me? 
Normally i get through them but last night I woke up in a sort of panic I feel crazily horrible and very weird</t>
        </is>
      </c>
      <c r="D9058" t="n">
        <v>1</v>
      </c>
      <c r="E9058" t="n">
        <v>0</v>
      </c>
      <c r="F9058">
        <f>HYPERLINK("https://www.reddit.com/r/GERD/comments/hqvnb9/hopefully_my_tablets_kick_in_soon/")</f>
        <v/>
      </c>
      <c r="G9058" t="inlineStr">
        <is>
          <t>2020-07-13 22:26:42</t>
        </is>
      </c>
      <c r="H9058" t="inlineStr"/>
    </row>
    <row r="9059">
      <c r="A9059" t="inlineStr">
        <is>
          <t>hqw7co</t>
        </is>
      </c>
      <c r="B9059" t="inlineStr">
        <is>
          <t>LPR or Allergies?</t>
        </is>
      </c>
      <c r="C9059" t="inlineStr">
        <is>
          <t>For the past few days, I've had a scratchy and dry throat,throat clearing, and some post nasal drip. I also have year round seasonal allergies, and take claritin daily. Could allergies be causing this or is it lpr? I just turned 18 last week and I'm at a healthy weight.</t>
        </is>
      </c>
      <c r="D9059" t="n">
        <v>1</v>
      </c>
      <c r="E9059" t="n">
        <v>2</v>
      </c>
      <c r="F9059">
        <f>HYPERLINK("https://www.reddit.com/r/GERD/comments/hqw7co/lpr_or_allergies/")</f>
        <v/>
      </c>
      <c r="G9059" t="inlineStr">
        <is>
          <t>2020-07-13 23:10:56</t>
        </is>
      </c>
      <c r="H9059" t="inlineStr"/>
    </row>
    <row r="9060">
      <c r="A9060" t="inlineStr">
        <is>
          <t>hqwilw</t>
        </is>
      </c>
      <c r="B9060" t="inlineStr">
        <is>
          <t>GERD anxiety and all these test</t>
        </is>
      </c>
      <c r="C9060" t="inlineStr">
        <is>
          <t>Hello everyone. This damn anxiety is driving me crazy and I was hoping anyone else with a similar story can help me out with some calming words or anything. I’ve been having stomach issues for a long time now. I was first diagnosed with Hpylori from a stool sample. About a year or two later had it again (or it never went away, not sure). This last time it went away according to stool sample. I just have this weird pain in my left side that comes and goes. Often I’ll burp and it’ll go away but still comes and goes. I started having anxiety really bad last year and I’ve finally pinpointed it’s related to my stomach because it happens a few minutes after I eat. I told my doctor and she had me do a CT scan of my stomach. Everything was clear. No issues at all. She discussed GERD since I was having acid reflux so often. Fast forward a few months later and I’m still having stomach issues so I went to a new doctor, a gastro, and I explained it all and asked for some other test. He took a blood sample, allergy test, and scheduled an endoscopy. Allergy test came back to surprise me with things I didn’t know but not an issue because I’m allergic to things I barely eat. I thought I was lactose intolerant since the day my stomach issues began, a terrible doctor just said I was (no test just from conversation) and I’ve been avoiding dairy or taking lactaid pills ever since. Apparently I can stop that because I wasn’t allergic to dairy.  Now I’m having the endoscopy on Saturday and my anxiety is at max. I’m going crazy thinking about what’s going to happen or what they can find. He said cancer a few times and it’s like I’ve been in a fog ever since. I keep thinking the CT scan would have shown something terrible since that was just a few months ago. But the damn Cancer word has me sick with worry. He said the results from the endoscopy will be another week so that’s 14 days of this anxiety. I’m sorry for this long post and if anyone has experienced something similar and has some kind and uplifting words that can ease my anxiety, I’d appreciate it.</t>
        </is>
      </c>
      <c r="D9060" t="n">
        <v>1</v>
      </c>
      <c r="E9060" t="n">
        <v>7</v>
      </c>
      <c r="F9060">
        <f>HYPERLINK("https://www.reddit.com/r/GERD/comments/hqwilw/gerd_anxiety_and_all_these_test/")</f>
        <v/>
      </c>
      <c r="G9060" t="inlineStr">
        <is>
          <t>2020-07-13 23:37:41</t>
        </is>
      </c>
      <c r="H9060" t="inlineStr"/>
    </row>
    <row r="9061">
      <c r="A9061" t="inlineStr">
        <is>
          <t>hqxr3e</t>
        </is>
      </c>
      <c r="B9061" t="inlineStr">
        <is>
          <t>Newbie here! GERD stomach pain at the same time every night?</t>
        </is>
      </c>
      <c r="C9061" t="inlineStr">
        <is>
          <t>So doctors says I might have GERD and gave me Prilosec. 
Every night lately I’ll be fine but once I get up and go to bed I get this stomach pain. No matter how good I am about what I eat. 
The pain usually subsided when I lay on my right side but if I move it’ll come back. 
Is this normal?</t>
        </is>
      </c>
      <c r="D9061" t="n">
        <v>1</v>
      </c>
      <c r="E9061" t="n">
        <v>0</v>
      </c>
      <c r="F9061">
        <f>HYPERLINK("https://www.reddit.com/r/GERD/comments/hqxr3e/newbie_here_gerd_stomach_pain_at_the_same_time/")</f>
        <v/>
      </c>
      <c r="G9061" t="inlineStr">
        <is>
          <t>2020-07-14 01:26:45</t>
        </is>
      </c>
      <c r="H9061" t="inlineStr"/>
    </row>
    <row r="9062">
      <c r="A9062" t="inlineStr">
        <is>
          <t>hqy083</t>
        </is>
      </c>
      <c r="B9062" t="inlineStr">
        <is>
          <t>How many of you did have oesophagitis found on endoscopy ?</t>
        </is>
      </c>
      <c r="C9062" t="inlineStr">
        <is>
          <t>My only gerd symptom is dyspepsia, I was told by my GP to do an endoscopy and it showed an oesophagitis grade A, my gastro enterologist wasn’t alarmed at all. He was surprised when I told him my only symptom is dyspepsia, and that i never took anti acids in my life. When I google it, oesophagitis seems to be an indication that reflux is pretty bad so I was wondering if oesophagitis grade A is somehow frequent in young people ? (I’m a 30 yo male)</t>
        </is>
      </c>
      <c r="D9062" t="n">
        <v>1</v>
      </c>
      <c r="E9062" t="n">
        <v>3</v>
      </c>
      <c r="F9062">
        <f>HYPERLINK("https://www.reddit.com/r/GERD/comments/hqy083/how_many_of_you_did_have_oesophagitis_found_on/")</f>
        <v/>
      </c>
      <c r="G9062" t="inlineStr">
        <is>
          <t>2020-07-14 01:50:13</t>
        </is>
      </c>
      <c r="H9062" t="inlineStr"/>
    </row>
    <row r="9063">
      <c r="A9063" t="inlineStr">
        <is>
          <t>hqyf3s</t>
        </is>
      </c>
      <c r="B9063" t="inlineStr">
        <is>
          <t>Just been prescribed Omeprazole. (Not diagnosed with anything yet)</t>
        </is>
      </c>
      <c r="C9063" t="inlineStr">
        <is>
          <t>I've been dealing with digestive problems for about a month. Most likely caused by eating too much too quickly. I'm skinny fat (M18) and wanted to gain some muscle (didn't care about fat) but I messed up and rushed things.
At the start of June I was dealing with heartburn. Porridge (Oatmeal) helped a lot. Started taking Gaviscon Liquid which helped quite a bit. I do feel better but I'm still dealing with acid. Now I'm not really getting much heartburn but every time I wake up I get really bad breath and for the last few days my throat has been really dry.
Some of you guys here suffer really bad as I having been reading posts on this sub so I thought I'd post just to ask for some advice on how to handle this? 
I'm hoping to start working out again, 3 x a week, on a small deficit. I didn't workout during June because these problems kinda destroyed my motivation :(</t>
        </is>
      </c>
      <c r="D9063" t="n">
        <v>1</v>
      </c>
      <c r="E9063" t="n">
        <v>1</v>
      </c>
      <c r="F9063">
        <f>HYPERLINK("https://www.reddit.com/r/GERD/comments/hqyf3s/just_been_prescribed_omeprazole_not_diagnosed/")</f>
        <v/>
      </c>
      <c r="G9063" t="inlineStr">
        <is>
          <t>2020-07-14 02:26:43</t>
        </is>
      </c>
      <c r="H9063" t="inlineStr"/>
    </row>
    <row r="9064">
      <c r="A9064" t="inlineStr">
        <is>
          <t>hqz6ru</t>
        </is>
      </c>
      <c r="B9064" t="inlineStr">
        <is>
          <t>Esophagitis GI cocktail, and Carafate (sucralfate)</t>
        </is>
      </c>
      <c r="C9064" t="inlineStr">
        <is>
          <t>I made a similar post of r/ehlersdanlos but I just realized there is a subreddit for GERD so I thought I would post something here as well. I have a whole lot of weird illnesses (hEDS, hyper POTS) and I have issues with acid reflux every single day that have been suggested to be GERD by my GP as well as other specialists. I have been on prilosec for about a year after about the same time on pepcid, which eventually stopped working. 
Because of Covid-19 the Emergency Room I was seen at today was very rushed and didn't run a lot of tests but rather referrals and treatments. They said I had Esophagitis, caused by GERD, and that is the reason behind my extreme pain and issues swallowing food/beverage. I have a referral for a GI and have been prescribed to start taking Carafate (sucralfate). I think it is a syrup rather than a pill and i have researched it, but if possible I would like to talk to someone that has been on it before and ask how it has affected them and if it helped.
While I was there they also gave me a GI cocktail which had lidocane in it. I have EDS and like some that share that condition I am very resistant to lidocane and it does little to nothing for me. The full  numbing effect lasted a few minutes but within the span of an hour it was back to the full blown pain. I couldn't find any consistent information about how long the effects are intended to last but I assume longer than that. It also caused a lot of strange side effects (or some random symptoms popped up at the same time I have no way of knowing) such as muscle spasm and air hunger. I was wondering if anybody on here has experience with a GI cocktail or being told you have esophagitis with no testing done. 
Thanks to everyone that read this, I would really appreciate any feedback you are willing to give! :)</t>
        </is>
      </c>
      <c r="D9064" t="n">
        <v>2</v>
      </c>
      <c r="E9064" t="n">
        <v>15</v>
      </c>
      <c r="F9064">
        <f>HYPERLINK("https://www.reddit.com/r/GERD/comments/hqz6ru/esophagitis_gi_cocktail_and_carafate_sucralfate/")</f>
        <v/>
      </c>
      <c r="G9064" t="inlineStr">
        <is>
          <t>2020-07-14 03:37:16</t>
        </is>
      </c>
      <c r="H9064" t="inlineStr"/>
    </row>
    <row r="9065">
      <c r="A9065" t="inlineStr">
        <is>
          <t>hqzv10</t>
        </is>
      </c>
      <c r="B9065" t="inlineStr">
        <is>
          <t>Has anyone had TIF procedure?</t>
        </is>
      </c>
      <c r="C9065" t="inlineStr">
        <is>
          <t>Oh man, I’m at the end of my rope. I’ve tried everything, and have had GERD for the last 10 years. I’m hoping I can find a doctor in my area that does this and would be open to discussing it with me. Any success stories?</t>
        </is>
      </c>
      <c r="D9065" t="n">
        <v>9</v>
      </c>
      <c r="E9065" t="n">
        <v>33</v>
      </c>
      <c r="F9065">
        <f>HYPERLINK("https://www.reddit.com/r/GERD/comments/hqzv10/has_anyone_had_tif_procedure/")</f>
        <v/>
      </c>
      <c r="G9065" t="inlineStr">
        <is>
          <t>2020-07-14 04:35:16</t>
        </is>
      </c>
      <c r="H9065" t="inlineStr"/>
    </row>
    <row r="9066">
      <c r="A9066" t="inlineStr">
        <is>
          <t>hr2d44</t>
        </is>
      </c>
      <c r="B9066" t="inlineStr">
        <is>
          <t>Confused with dosage of omeprazole</t>
        </is>
      </c>
      <c r="C9066" t="inlineStr">
        <is>
          <t>Ive been having some issues with acid reflux and regurgitating for a few weeks now.
Doc put me on omeprazole once a day at a dosage of 20mg. 
A week later I wasn’t much better, so she told me to take 20mg two times a day. So 20mg morning and 20mg evening. 
This week I was admitted to the emergency room with severe stomach pain. It is likely to be my gallbladder but evidence also points to GERD (just my gallbladder is on top of this) 
The doctor in the ER told me to increase my omeprazole to 3 times a day at 20mg. So morning, midday and then evening, for 2 weeks and then drop back down to twice a day after that. 
He couldn’t give me much more of a breakdown as it was an ER so he was quick to see me and then get me out of there.
Does anyone know if this is a standard dosage? 3 different times a day at 20mg? The doctors I have seen do not specialise in gastro stuff and I’ve been referred to see a specialist gastro doctor but that likely won’t be for weeks or months.
Ever since moving up to 3 20mg tablets a day I have finally noticed a markedly improved response to them. I was told in the ER I would eventually be referred for an endoscopy to rule out stomach ulcers and also gastritis (as I have symptoms for both aswell as a hiatal hernia) but until then it’s likely best to treat me with caution on a high dose of omeprazole as he said omeprazole can sometimes fix stomach ulcers and gastritis. 
I am suddenly much less bloated after meals now I’ve increased my dosage. When I was taking just 1 20mg tablet a day I would notice I was very full after only eating a small amount - I am now coping with larger amounts. Is this a GERD symptom also?
Thanks.</t>
        </is>
      </c>
      <c r="D9066" t="n">
        <v>3</v>
      </c>
      <c r="E9066" t="n">
        <v>15</v>
      </c>
      <c r="F9066">
        <f>HYPERLINK("https://www.reddit.com/r/GERD/comments/hr2d44/confused_with_dosage_of_omeprazole/")</f>
        <v/>
      </c>
      <c r="G9066" t="inlineStr">
        <is>
          <t>2020-07-14 07:19:58</t>
        </is>
      </c>
      <c r="H9066" t="inlineStr"/>
    </row>
    <row r="9067">
      <c r="A9067" t="inlineStr">
        <is>
          <t>hr2ulz</t>
        </is>
      </c>
      <c r="B9067" t="inlineStr">
        <is>
          <t>Itching from omeprazole??</t>
        </is>
      </c>
      <c r="C9067" t="inlineStr">
        <is>
          <t>I've been taking 40mg omeprazole for about 3 weeks consistently. For the past few days, I have been experiencing itching all over. Has anyone experienced this before??</t>
        </is>
      </c>
      <c r="D9067" t="n">
        <v>2</v>
      </c>
      <c r="E9067" t="n">
        <v>24</v>
      </c>
      <c r="F9067">
        <f>HYPERLINK("https://www.reddit.com/r/GERD/comments/hr2ulz/itching_from_omeprazole/")</f>
        <v/>
      </c>
      <c r="G9067" t="inlineStr">
        <is>
          <t>2020-07-14 07:48:18</t>
        </is>
      </c>
      <c r="H9067" t="inlineStr"/>
    </row>
    <row r="9068">
      <c r="A9068" t="inlineStr">
        <is>
          <t>hr3l9f</t>
        </is>
      </c>
      <c r="B9068" t="inlineStr">
        <is>
          <t>What vitamins do you take?</t>
        </is>
      </c>
      <c r="C9068" t="inlineStr">
        <is>
          <t>I've been reading up on the side effects of medicine that is used to treat acid reflex and some other issues related to GERD and it seems like a lot of the non-GI pains come from nutrient deficiency. I dont know why it took me so long to realize that my constant fatigue and headaches were most likely caused by this, it makes sense since everyone is having trouble with the part of their body responsible for extracting the nutrients from the food. Low acid levels, high acid levels, PPis, H2 blockers, tums..etc can all cause different versions of this issue. I started taking B12 every other day and I started feeling much better and have much more energy. My wife even asked me why I was looking so pale prior to taking the B12 which can be a sign of B12 deficiency.
&amp;amp;#x200B;
What vitamins are you guys taking?  Im looking to possibly add some more to my list to avoid this going forward.</t>
        </is>
      </c>
      <c r="D9068" t="n">
        <v>2</v>
      </c>
      <c r="E9068" t="n">
        <v>7</v>
      </c>
      <c r="F9068">
        <f>HYPERLINK("https://www.reddit.com/r/GERD/comments/hr3l9f/what_vitamins_do_you_take/")</f>
        <v/>
      </c>
      <c r="G9068" t="inlineStr">
        <is>
          <t>2020-07-14 08:29:43</t>
        </is>
      </c>
      <c r="H9068" t="inlineStr"/>
    </row>
    <row r="9069">
      <c r="A9069" t="inlineStr">
        <is>
          <t>hr41k4</t>
        </is>
      </c>
      <c r="B9069" t="inlineStr">
        <is>
          <t>Are my symptoms of GERD improving? And can stress relief cure it?</t>
        </is>
      </c>
      <c r="C9069" t="inlineStr">
        <is>
          <t>Hello guys, Recently i had heartburn and i went to doctor. He prescribed me PPI's (proton pump inhibitor) medication. I have been taking them once in the morning and one more at night 1/2 hour before eating for 5 days. My heartburn is gone but now i have sore throat when i wake up in the morning and feel like something stuck in throat for 5-10mins as soon as i eat. Did my symptoms worsen or am i getting better? Also i always used to get heartburn as soon as i have panic attacks. So can stress relief good option for GERD?</t>
        </is>
      </c>
      <c r="D9069" t="n">
        <v>1</v>
      </c>
      <c r="E9069" t="n">
        <v>6</v>
      </c>
      <c r="F9069">
        <f>HYPERLINK("https://www.reddit.com/r/GERD/comments/hr41k4/are_my_symptoms_of_gerd_improving_and_can_stress/")</f>
        <v/>
      </c>
      <c r="G9069" t="inlineStr">
        <is>
          <t>2020-07-14 08:54:27</t>
        </is>
      </c>
      <c r="H9069" t="inlineStr"/>
    </row>
    <row r="9070">
      <c r="A9070" t="inlineStr">
        <is>
          <t>hr4pxt</t>
        </is>
      </c>
      <c r="B9070" t="inlineStr">
        <is>
          <t>Anything to help throat burning.</t>
        </is>
      </c>
      <c r="C9070" t="inlineStr">
        <is>
          <t>I feel it back of throat and up the back of my nostrils. It’s like I’ve swallowed a ton of mints. Any suggestions that have worked for you?</t>
        </is>
      </c>
      <c r="D9070" t="n">
        <v>1</v>
      </c>
      <c r="E9070" t="n">
        <v>9</v>
      </c>
      <c r="F9070">
        <f>HYPERLINK("https://www.reddit.com/r/GERD/comments/hr4pxt/anything_to_help_throat_burning/")</f>
        <v/>
      </c>
      <c r="G9070" t="inlineStr">
        <is>
          <t>2020-07-14 09:31:26</t>
        </is>
      </c>
      <c r="H9070" t="inlineStr"/>
    </row>
    <row r="9071">
      <c r="A9071" t="inlineStr">
        <is>
          <t>hr4xys</t>
        </is>
      </c>
      <c r="B9071" t="inlineStr">
        <is>
          <t>Just scared</t>
        </is>
      </c>
      <c r="C9071" t="inlineStr">
        <is>
          <t>Nausea almost non stop for 5 weeks now. Nasty, saliva-generating nausea.
Sometimes it goes away for a day or half a day.PPIs don't seem to have impact, Tums - nothing, Pepto -nothing. Antiemetics - nothing. Occasional  mild pain and burn in the abdomen. Mornings are the roughest. I eat - doesn't help. I don't eat -doesn't help. The only thing I know for sure alcohol seems to make it worse.
Just a constant background stream of feeling nauseated.
Scheduled for an h.p. test, coeliac antibodies, endoscopy... really don't want to do them, because covid. But I will, because 5 weeks of constant nausea (for the first time in my life) could be something even nastier. Or not. I don't know.  Just scared.</t>
        </is>
      </c>
      <c r="D9071" t="n">
        <v>1</v>
      </c>
      <c r="E9071" t="n">
        <v>9</v>
      </c>
      <c r="F9071">
        <f>HYPERLINK("https://www.reddit.com/r/GERD/comments/hr4xys/just_scared/")</f>
        <v/>
      </c>
      <c r="G9071" t="inlineStr">
        <is>
          <t>2020-07-14 09:43:47</t>
        </is>
      </c>
      <c r="H9071" t="inlineStr"/>
    </row>
    <row r="9072">
      <c r="A9072" t="inlineStr">
        <is>
          <t>hr59d7</t>
        </is>
      </c>
      <c r="B9072" t="inlineStr">
        <is>
          <t>Just Diagnosed</t>
        </is>
      </c>
      <c r="C9072" t="inlineStr">
        <is>
          <t>Hello!
So I found out yesterday I have GERD after I woke up at 4:30 AM to extreme chest pains two days in a row. I hadn’t had anything like that happen before then so I guess I got it in the beginning.
I am scared reading a little more about GERD I’m getting upset that I’m going to have to cut down on a lot of things I love (especially alcohol). 
From your experiences, can life get back to some what normal or am I going to have to just limit myself to certain foods for an indefinite time?</t>
        </is>
      </c>
      <c r="D9072" t="n">
        <v>1</v>
      </c>
      <c r="E9072" t="n">
        <v>25</v>
      </c>
      <c r="F9072">
        <f>HYPERLINK("https://www.reddit.com/r/GERD/comments/hr59d7/just_diagnosed/")</f>
        <v/>
      </c>
      <c r="G9072" t="inlineStr">
        <is>
          <t>2020-07-14 10:01:13</t>
        </is>
      </c>
      <c r="H9072" t="inlineStr"/>
    </row>
    <row r="9073">
      <c r="A9073" t="inlineStr">
        <is>
          <t>hr5x1h</t>
        </is>
      </c>
      <c r="B9073" t="inlineStr">
        <is>
          <t>LINX Band Procedure?</t>
        </is>
      </c>
      <c r="C9073" t="inlineStr">
        <is>
          <t>Have any of you had the Linx Band Surgery as treatment for your GERD? What were the outcomes for you? My boyfriend, 23yrold, went through the linx band procedure and 6 months later he’s back to having horrible heart burn flare ups. Now not only does he have his heartburn back, but he also has had to deal with dysphasia every single time he eats ever since the surgery... anyone else experience this or did you have a much better outcome?</t>
        </is>
      </c>
      <c r="D9073" t="n">
        <v>3</v>
      </c>
      <c r="E9073" t="n">
        <v>10</v>
      </c>
      <c r="F9073">
        <f>HYPERLINK("https://www.reddit.com/r/GERD/comments/hr5x1h/linx_band_procedure/")</f>
        <v/>
      </c>
      <c r="G9073" t="inlineStr">
        <is>
          <t>2020-07-14 10:34:55</t>
        </is>
      </c>
      <c r="H9073" t="inlineStr"/>
    </row>
    <row r="9074">
      <c r="A9074" t="inlineStr">
        <is>
          <t>hr71hp</t>
        </is>
      </c>
      <c r="B9074" t="inlineStr">
        <is>
          <t>OMG, it was gluten after all.</t>
        </is>
      </c>
      <c r="C9074" t="inlineStr">
        <is>
          <t xml:space="preserve">Hi, I'm suffering from gastritis and GERD for about a month, and was prescribed PPI 40mg a day. My symptoms include tight chest pain, sore throat, the feeling of lump in the throat as well as the upper stomach pain, almost like someone punched my stomach.
Since I started the medication, I cut down any greasy or spicy food. I just ate chicken soup, cereal, and bread. I seemed to get better with my upper stomach pain being gone for the first few days since I started the medication to the level that I was able to eat rice-based meals without the pain such as sushi. Then after 2.5 weeks, it gradually got worse again. My h. pyori test came as negative.
My doctor said to double up the PPI dosage to see if it works better until seeing a GI whose appointment is still a couple of weeks later, and when I sought a second opinion from another internist as I didn't feel comfortable taking 80mg of PPI, the new doctor prescribed famotidine 20mg at bed time on top of PPI 40mg.
In the mean time, I kind of suspected if gluten was the problem. Because I have noticed that every time I eat bread, my stomach pain came back. I also started baking a lot during the quarantine, so I was consuming a substantial amount of bread.
I'm originally from South Korea, and in my country, every doctor officially recommends to cut out the gluten when you're having GERD or gastritis and lists it as a trigger food, whereas in the US, it doesn't seem to be. This was really interesting to me because I wanted to understand if it's a cultural belief or genetic differences or something.
I asked three different doctors in the US about gluten, and they all said that it shouldn't be a problem. If I have gluten intolerance, I should be getting diarrhea, not indigestion. 
I love bread, so I ignored the Korean advice to cut off the gluten (even all of my Korean friends were telling me to cut it off as that's the medical common sense as we were told growing up). Except that I do feel worse eating bread. Then I hear about the similar complaints on gluten on this reddit.
As my condition was initially improving (also cut off the gluten for a week as I started the medication), I didn’t get immediate pain from eating bread as I used to be before medication, but this seemed to have a delayed reaction. 
So I started the gluten-free diet again. And.... OMG, 95% of my reflux symptoms are just gone. I don't get chest pain anymore, I only have a faint sore throat at night, but that's about it. The pain in the upper stomach was completely gone after three days with the gluten-free diet.
I guess gluten was indeed the trigger food for me. I will continue completely going gluten-free until I'm all healed and will be off from medication safely. I feel that whatever progress I made can be quickly reversed if I go back to the trigger-food diet. No medication seems to be strong enough to cancel out the trigger food. I don't think it's necessarily the new medication because it's only been two days since I added the famotidine, and I was already feeling better before this   
 extra medication. 
I just find it interesting how doctors that I talked to in the US didn't even consider that gluten can be the trigger food for some people unlike in this reddit or doctors from South Korea. </t>
        </is>
      </c>
      <c r="D9074" t="n">
        <v>25</v>
      </c>
      <c r="E9074" t="n">
        <v>81</v>
      </c>
      <c r="F9074">
        <f>HYPERLINK("https://www.reddit.com/r/GERD/comments/hr71hp/omg_it_was_gluten_after_all/")</f>
        <v/>
      </c>
      <c r="G9074" t="inlineStr">
        <is>
          <t>2020-07-14 11:32:21</t>
        </is>
      </c>
      <c r="H9074" t="inlineStr"/>
    </row>
    <row r="9075">
      <c r="A9075" t="inlineStr">
        <is>
          <t>hr7jru</t>
        </is>
      </c>
      <c r="B9075" t="inlineStr">
        <is>
          <t>Being told Globus but?</t>
        </is>
      </c>
      <c r="C9075" t="inlineStr">
        <is>
          <t>Hey guys, 
Just hoping for some input from you guys on what I should do. 
So for the past year I’ve been dealing with swallowing issues, mainly just feeling like there’s something in my throat, I can tell my swallowing isn’t how it used to be. 
So after a CT scan that show no masses, I get a Barium swallow study done. 
The barium swallow study showed a deviation in my swallowing in the upper part of my throat. They sent the study to the doctor ( 
Otolaryngology Head and Neck surgeon) and he sent me for another contrast CT scan. 
CT scan came back and still no noting of any masses etc. but this doctor is persistent I am experiencing globus sensation. 
Based on the Barium swallow test, it really looks like there is an issue with my throat. 
Do you guys think I should see a GI doctor now instead? I really don’t know what to do</t>
        </is>
      </c>
      <c r="D9075" t="n">
        <v>1</v>
      </c>
      <c r="E9075" t="n">
        <v>5</v>
      </c>
      <c r="F9075">
        <f>HYPERLINK("https://www.reddit.com/r/GERD/comments/hr7jru/being_told_globus_but/")</f>
        <v/>
      </c>
      <c r="G9075" t="inlineStr">
        <is>
          <t>2020-07-14 11:59:07</t>
        </is>
      </c>
      <c r="H9075" t="inlineStr"/>
    </row>
    <row r="9076">
      <c r="A9076" t="inlineStr">
        <is>
          <t>hr924z</t>
        </is>
      </c>
      <c r="B9076" t="inlineStr">
        <is>
          <t>Salmon makes me nauseous. Anyone else?</t>
        </is>
      </c>
      <c r="C9076" t="inlineStr">
        <is>
          <t>I kinda like salmon, it’s not my-favorite food but I’m ok with it but lately I’ve been get super nauseous when I eat it And even sometimes throw up. My doctor keeps telling me to only eat fish and chicken even though I like beef a lot more. I know in order to heal I’ll have to sacrifice but i just can’t stand it anymore</t>
        </is>
      </c>
      <c r="D9076" t="n">
        <v>1</v>
      </c>
      <c r="E9076" t="n">
        <v>10</v>
      </c>
      <c r="F9076">
        <f>HYPERLINK("https://www.reddit.com/r/GERD/comments/hr924z/salmon_makes_me_nauseous_anyone_else/")</f>
        <v/>
      </c>
      <c r="G9076" t="inlineStr">
        <is>
          <t>2020-07-14 13:17:13</t>
        </is>
      </c>
      <c r="H9076" t="inlineStr"/>
    </row>
    <row r="9077">
      <c r="A9077" t="inlineStr">
        <is>
          <t>hra6tp</t>
        </is>
      </c>
      <c r="B9077" t="inlineStr">
        <is>
          <t>Tested Positive for H. Pylori, do I need PPIs?</t>
        </is>
      </c>
      <c r="C9077" t="inlineStr">
        <is>
          <t>I've tested positive for H. Pylori but my symptoms are pretty mild:
\- Lump in throat sensation, tightness in throat making it difficult to swallow food that isn't soft
\- Burping, stomach gurgling
\- Dry throat in the mornings
I suspect that I have LPR rather than GERD. It has been almost a month of these symptoms but I feel they are slowly improving.
I don't have any heartburn or stomach pain or any other symptoms. Do I need to take PPIs for H. Pylori or can I cure this with diet?
&amp;amp;#x200B;
Thank you.</t>
        </is>
      </c>
      <c r="D9077" t="n">
        <v>1</v>
      </c>
      <c r="E9077" t="n">
        <v>2</v>
      </c>
      <c r="F9077">
        <f>HYPERLINK("https://www.reddit.com/r/GERD/comments/hra6tp/tested_positive_for_h_pylori_do_i_need_ppis/")</f>
        <v/>
      </c>
      <c r="G9077" t="inlineStr">
        <is>
          <t>2020-07-14 14:16:12</t>
        </is>
      </c>
      <c r="H9077" t="inlineStr"/>
    </row>
    <row r="9078">
      <c r="A9078" t="inlineStr">
        <is>
          <t>hraaq6</t>
        </is>
      </c>
      <c r="B9078" t="inlineStr">
        <is>
          <t>Endoscopy tomorrow</t>
        </is>
      </c>
      <c r="C9078" t="inlineStr">
        <is>
          <t>Super nervous, keep thinking they’re going to find something cancerous. What should I be expecting? Any pain/other symptoms as a result of the procedure?</t>
        </is>
      </c>
      <c r="D9078" t="n">
        <v>2</v>
      </c>
      <c r="E9078" t="n">
        <v>6</v>
      </c>
      <c r="F9078">
        <f>HYPERLINK("https://www.reddit.com/r/GERD/comments/hraaq6/endoscopy_tomorrow/")</f>
        <v/>
      </c>
      <c r="G9078" t="inlineStr">
        <is>
          <t>2020-07-14 14:21:48</t>
        </is>
      </c>
      <c r="H9078" t="inlineStr"/>
    </row>
    <row r="9079">
      <c r="A9079" t="inlineStr">
        <is>
          <t>hrbett</t>
        </is>
      </c>
      <c r="B9079" t="inlineStr">
        <is>
          <t>Do I have GERD?</t>
        </is>
      </c>
      <c r="C9079" t="inlineStr">
        <is>
          <t>Hi guys, I’m 23 and have been suffering with heart burn for 3 years, if I eat greasy foods, onions, tomatoes or spicy food I get bad gear burn. I have tried to change my diet but this has no effect. 
I’m constantly having gas come up my neck and out my mouth &amp;amp; burning sensation at the bottom of my esophagus
One year ago I heard about nexium (ppi) this changed my life, I take one every 2 days &amp;amp; I have no heart burn. 
I’d rather not take these for the rest of my life, does anyone have any advice or suggestions? 
Thanks</t>
        </is>
      </c>
      <c r="D9079" t="n">
        <v>1</v>
      </c>
      <c r="E9079" t="n">
        <v>2</v>
      </c>
      <c r="F9079">
        <f>HYPERLINK("https://www.reddit.com/r/GERD/comments/hrbett/do_i_have_gerd/")</f>
        <v/>
      </c>
      <c r="G9079" t="inlineStr">
        <is>
          <t>2020-07-14 15:22:47</t>
        </is>
      </c>
      <c r="H9079" t="inlineStr"/>
    </row>
    <row r="9080">
      <c r="A9080" t="inlineStr">
        <is>
          <t>hrbvzr</t>
        </is>
      </c>
      <c r="B9080" t="inlineStr">
        <is>
          <t>Do I have GERD</t>
        </is>
      </c>
      <c r="C9080" t="inlineStr">
        <is>
          <t>So a week ago everything started with gagging when brushing teeth and this has never happened before and some minor feeling of wanting to throw up in my throat. On Wednesday I drank a boba tea and coincidently or not things got worse and I started feeling more of the throw up feeling. A day or 2 later symptoms got a bit worse but after a good night sleep the feeling of wanting to throw up went down by a lot. I started experiencing more frequent burping (maybe like 10 times over a few hours after eating) and some of those burps resulted in food/liquid coming up but no pain/no heartburn. Now a week later I get some throw up feeling after eating but it goes away after a while. And my burping is still there after drinking and eating. I don’t know if this is worth seeing a doctor just yet and am wondering if anyone knows what this is. I’ve never had heartburn or any pain anywhere, these are my only symptoms. And the throw up feeling in my throat is like pressure above the collarbone but very mild. I’m thinking about waiting for another week to see what happens but am asking for advice. I don’t have the common symptoms of GERD like heartburn so idk if this is still GERD.</t>
        </is>
      </c>
      <c r="D9080" t="n">
        <v>2</v>
      </c>
      <c r="E9080" t="n">
        <v>0</v>
      </c>
      <c r="F9080">
        <f>HYPERLINK("https://www.reddit.com/r/GERD/comments/hrbvzr/do_i_have_gerd/")</f>
        <v/>
      </c>
      <c r="G9080" t="inlineStr">
        <is>
          <t>2020-07-14 15:50:03</t>
        </is>
      </c>
      <c r="H9080" t="inlineStr"/>
    </row>
    <row r="9081">
      <c r="A9081" t="inlineStr">
        <is>
          <t>hrc7i6</t>
        </is>
      </c>
      <c r="B9081" t="inlineStr">
        <is>
          <t>Chinese medicine &amp;amp; acid reflex</t>
        </is>
      </c>
      <c r="C9081" t="inlineStr">
        <is>
          <t>Hi all,
I had pretty bad acid reflex for two years. After each meal, I would feel like throwing up and didn't look forward to meals anymore because of the discomfort and nausea. 
A couple months ago I started seeing an acupuncturist who gave me chinese herbs for the acid reflex. I was really skeptical and didn't think it would help but then sure enough, after I took it for a couple of weeks, I didn't have bad acid reflex anymore. When I stopped taking it the first time, the acid reflux came back but after taking the medicine for three months and stopping, my nausea and acid is a lot better.
Did anyone have a similar experience? I'm curious if chinese medicine has also helped others or perhaps if its just a coincidence.</t>
        </is>
      </c>
      <c r="D9081" t="n">
        <v>4</v>
      </c>
      <c r="E9081" t="n">
        <v>24</v>
      </c>
      <c r="F9081">
        <f>HYPERLINK("https://www.reddit.com/r/GERD/comments/hrc7i6/chinese_medicine_acid_reflex/")</f>
        <v/>
      </c>
      <c r="G9081" t="inlineStr">
        <is>
          <t>2020-07-14 16:08:48</t>
        </is>
      </c>
      <c r="H9081" t="inlineStr"/>
    </row>
    <row r="9082">
      <c r="A9082" t="inlineStr">
        <is>
          <t>hrcpck</t>
        </is>
      </c>
      <c r="B9082" t="inlineStr">
        <is>
          <t>Burp</t>
        </is>
      </c>
      <c r="C9082" t="inlineStr">
        <is>
          <t>No acid reflux but i'm tired of the burpings. Endoscopy came out clean + bloodwork too. I just had bloodwork done today for gluten intolerance coeliaki and i'm waiting for the results, What should i do next?
Burping alot. I have to sit down if i lay down in order to burp otherwise i feel breathless.
Loose stool (I have to poop once in every 2 or 3 day now)
I can hear sounds from my stomach (gas)
Few farts here and there</t>
        </is>
      </c>
      <c r="D9082" t="n">
        <v>5</v>
      </c>
      <c r="E9082" t="n">
        <v>8</v>
      </c>
      <c r="F9082">
        <f>HYPERLINK("https://www.reddit.com/r/GERD/comments/hrcpck/burp/")</f>
        <v/>
      </c>
      <c r="G9082" t="inlineStr">
        <is>
          <t>2020-07-14 16:38:24</t>
        </is>
      </c>
      <c r="H9082" t="inlineStr"/>
    </row>
    <row r="9083">
      <c r="A9083" t="inlineStr">
        <is>
          <t>hrdj2x</t>
        </is>
      </c>
      <c r="B9083" t="inlineStr">
        <is>
          <t>Gut Health Book</t>
        </is>
      </c>
      <c r="C9083" t="inlineStr">
        <is>
          <t>Hello, first time post.  I’ve been diagnosed with GERD after that awful ER visit.  I also have polyps is my gallbladder.  
I’m looking for a great gut health book.  I had looked for a book thread already and failed to find one! Thanks</t>
        </is>
      </c>
      <c r="D9083" t="n">
        <v>1</v>
      </c>
      <c r="E9083" t="n">
        <v>3</v>
      </c>
      <c r="F9083">
        <f>HYPERLINK("https://www.reddit.com/r/GERD/comments/hrdj2x/gut_health_book/")</f>
        <v/>
      </c>
      <c r="G9083" t="inlineStr">
        <is>
          <t>2020-07-14 17:31:07</t>
        </is>
      </c>
      <c r="H9083" t="inlineStr"/>
    </row>
    <row r="9084">
      <c r="A9084" t="inlineStr">
        <is>
          <t>hrdwoi</t>
        </is>
      </c>
      <c r="B9084" t="inlineStr">
        <is>
          <t>Not much heartburn but chronic sore throat, anyone else here experience that? Any advice?</t>
        </is>
      </c>
      <c r="C9084" t="inlineStr">
        <is>
          <t>Been going on for months now. PPIs haven't helped much and make my stomach upset. Have an endoscopy in a few weeks. The image of acid constantly washing my throat is disconcerting. Doesn't seem to matter much what I eat.</t>
        </is>
      </c>
      <c r="D9084" t="n">
        <v>1</v>
      </c>
      <c r="E9084" t="n">
        <v>8</v>
      </c>
      <c r="F9084">
        <f>HYPERLINK("https://www.reddit.com/r/GERD/comments/hrdwoi/not_much_heartburn_but_chronic_sore_throat_anyone/")</f>
        <v/>
      </c>
      <c r="G9084" t="inlineStr">
        <is>
          <t>2020-07-14 17:55:36</t>
        </is>
      </c>
      <c r="H9084" t="inlineStr"/>
    </row>
    <row r="9085">
      <c r="A9085" t="inlineStr">
        <is>
          <t>hrelbz</t>
        </is>
      </c>
      <c r="B9085" t="inlineStr">
        <is>
          <t>How long does rebound reflux last after stopping PPIs?</t>
        </is>
      </c>
      <c r="C9085" t="inlineStr">
        <is>
          <t>I was taking 20mg omeprazole for three months and stopped taking it the other day. It hasn’t been very long since I stopped, my last dose was maybe 72 hours ago at the most. So far I’ve been pretty decent, though I started having heartburn earlier today (a symptom that I did not have before 🙃). Do you think it will get worse over the next few days? I’m really hoping it doesn’t. Anyway, how long does rebound reflux usually last after stopping PPIs?</t>
        </is>
      </c>
      <c r="D9085" t="n">
        <v>2</v>
      </c>
      <c r="E9085" t="n">
        <v>7</v>
      </c>
      <c r="F9085">
        <f>HYPERLINK("https://www.reddit.com/r/GERD/comments/hrelbz/how_long_does_rebound_reflux_last_after_stopping/")</f>
        <v/>
      </c>
      <c r="G9085" t="inlineStr">
        <is>
          <t>2020-07-14 18:40:31</t>
        </is>
      </c>
      <c r="H9085" t="inlineStr"/>
    </row>
    <row r="9086">
      <c r="A9086" t="inlineStr">
        <is>
          <t>hrf8jv</t>
        </is>
      </c>
      <c r="B9086" t="inlineStr">
        <is>
          <t>So. Full. All. The. Time. How does eating work now?</t>
        </is>
      </c>
      <c r="C9086" t="inlineStr">
        <is>
          <t>I've never had a GERD flare up this bad before (if that's what it is...I've got an upper GI &amp;amp; h-pylori test scheduled in the next few weeks). The PPI is finally starting to take care of some of the heartburn, but I still feel like food, no matter how much I chew it, gets a little stuck at the bottom of my esophagus and now I'm onto a new issue: early satiety. Maybe 1/4 of a  normal meal is enough to start me feeling full. Every meal comes with that weird coughing feeling in my chest after, too. If I eat half of what I would have considered a meal 3 weeks ago, I feel like I've eaten seconds at Thanksgiving. Is this normal?? (I mean, relatively. For us, anyway.)
I'm trying to do tiny meals throughout the day instead and I'm avoiding any triggers. Getting in my normal caloric intake is hard, especially since I'm timing everything around taking sucralfate, prescribed just in case I have an ulcer. I've had reflux before, and occasional heartburn, but never everything all at once. 
Trying not to panic and go to worst-case scenario. But to go from an occasional Tums after a big meal to scheduling pills and invasive tests, elevating my bed and barely being able to eat is a little disconcerting. How can I make eating easier on me? I feel ridiculous at dinner taking 5 chunks of watermelon and a sliver of chicken.</t>
        </is>
      </c>
      <c r="D9086" t="n">
        <v>1</v>
      </c>
      <c r="E9086" t="n">
        <v>9</v>
      </c>
      <c r="F9086">
        <f>HYPERLINK("https://www.reddit.com/r/GERD/comments/hrf8jv/so_full_all_the_time_how_does_eating_work_now/")</f>
        <v/>
      </c>
      <c r="G9086" t="inlineStr">
        <is>
          <t>2020-07-14 19:23:07</t>
        </is>
      </c>
      <c r="H9086" t="inlineStr"/>
    </row>
    <row r="9087">
      <c r="A9087" t="inlineStr">
        <is>
          <t>hrfrbb</t>
        </is>
      </c>
      <c r="B9087" t="inlineStr">
        <is>
          <t>Zegerid OTC</t>
        </is>
      </c>
      <c r="C9087" t="inlineStr">
        <is>
          <t>Do I need to speak with a doctor before taking this?  Not to get it of course, since it's OTC, but just in general.</t>
        </is>
      </c>
      <c r="D9087" t="n">
        <v>1</v>
      </c>
      <c r="E9087" t="n">
        <v>6</v>
      </c>
      <c r="F9087">
        <f>HYPERLINK("https://www.reddit.com/r/GERD/comments/hrfrbb/zegerid_otc/")</f>
        <v/>
      </c>
      <c r="G9087" t="inlineStr">
        <is>
          <t>2020-07-14 19:58:28</t>
        </is>
      </c>
      <c r="H9087" t="inlineStr"/>
    </row>
    <row r="9088">
      <c r="A9088" t="inlineStr">
        <is>
          <t>hrg5eb</t>
        </is>
      </c>
      <c r="B9088" t="inlineStr">
        <is>
          <t>Just found out I have GERD and am getting married</t>
        </is>
      </c>
      <c r="C9088" t="inlineStr">
        <is>
          <t>Some backstory: I have had a nagging cough and tightness of the chest for over a week, so I’ve been isolating just to be safe. I did not experience any other cold or COVID symptoms. I’ve had some reflux issues in the past, but suddenly I started getting it full force after the cough. After a scary episode of burning pain in my esophagus and stomach a few days ago, I went right to the ER for fear that it was some kind of blockage or medical emergency. After running multiple tests, the doctors determined I most likely have GERD, though I have a follow-up with a GI specialist soon to be sure. All I know is that I can’t stop coughing no matter what I try. Pepcid is controlling most of the reflux. I’m eating the blandest diet of my life.
I’m getting married next weekend. It’s a rescheduled wedding, and it’s one for which my fiancé and I have had to make many sacrifices just to have a basic ceremony and a little reception at our house. This has not been our year, for more reasons than I can get into right now. We love each other and are so excited to be married, so that’s the positive.
The negative is that on my wedding day, I might not be able to drink champagne or eat any of the food our caterer is making. I’m not going to be able to cut loose  and drink on our honeymoon, either. I’m feeling like my whole life is going to change for the worse right when I should be celebrating. I’m feeling depressed, and I know my fiancé can tell. She’s trying her best to be upbeat and supportive. I’m trying to be positive, and i know life could be worse, so I should be grateful. I just can’t help feeling depressed about it. Is that childish?
tl;dr I just found out I have GERD and I’m worried it’s going to ruin my wedding day and honeymoon.</t>
        </is>
      </c>
      <c r="D9088" t="n">
        <v>1</v>
      </c>
      <c r="E9088" t="n">
        <v>5</v>
      </c>
      <c r="F9088">
        <f>HYPERLINK("https://www.reddit.com/r/GERD/comments/hrg5eb/just_found_out_i_have_gerd_and_am_getting_married/")</f>
        <v/>
      </c>
      <c r="G9088" t="inlineStr">
        <is>
          <t>2020-07-14 20:24:48</t>
        </is>
      </c>
      <c r="H9088" t="inlineStr"/>
    </row>
    <row r="9089">
      <c r="A9089" t="inlineStr">
        <is>
          <t>hrgqw1</t>
        </is>
      </c>
      <c r="B9089" t="inlineStr">
        <is>
          <t>Should I be concerned.</t>
        </is>
      </c>
      <c r="C9089" t="inlineStr">
        <is>
          <t>I’m 14 and a guy and I’ve had acid reflux since I was born I believe. When I was like 3-4 I had some procedure I don’t know the name where a tub ran down my nose and through to presumably my stomach. For the past couple years I get heartburn every couple days and I just eat some tums. I’ve heard I could get cancer from this I want to live long should I have another procedure done. I’m real worried.</t>
        </is>
      </c>
      <c r="D9089" t="n">
        <v>1</v>
      </c>
      <c r="E9089" t="n">
        <v>6</v>
      </c>
      <c r="F9089">
        <f>HYPERLINK("https://www.reddit.com/r/GERD/comments/hrgqw1/should_i_be_concerned/")</f>
        <v/>
      </c>
      <c r="G9089" t="inlineStr">
        <is>
          <t>2020-07-14 21:05:52</t>
        </is>
      </c>
      <c r="H9089" t="inlineStr"/>
    </row>
    <row r="9090">
      <c r="A9090" t="inlineStr">
        <is>
          <t>hrgylc</t>
        </is>
      </c>
      <c r="B9090" t="inlineStr">
        <is>
          <t>Massive GERD problems after taking antibiotics</t>
        </is>
      </c>
      <c r="C9090" t="inlineStr">
        <is>
          <t>Long story short:
I had to take some antibiotics for a bacterial mouth infection.
On day 3 of taking the antibiotics my GERD went from controllable (using pills) to out of control.
Painful throat, sore chest etc.  Feels like someone is grabbing the upper part of my throat.
Have not had any of those symptoms whilst taking my GERD medication, so doubt it suddenly stopped being effective for no reason.
It has now been 3 weeks since this happened and my GERD is the worst it has ever been since before I was originally diagnosed.
Due to see a Doctor relatively soon, but what can I do in the meantime, and does anyone have any idea why this suddenly might occur?</t>
        </is>
      </c>
      <c r="D9090" t="n">
        <v>1</v>
      </c>
      <c r="E9090" t="n">
        <v>0</v>
      </c>
      <c r="F9090">
        <f>HYPERLINK("https://www.reddit.com/r/GERD/comments/hrgylc/massive_gerd_problems_after_taking_antibiotics/")</f>
        <v/>
      </c>
      <c r="G9090" t="inlineStr">
        <is>
          <t>2020-07-14 21:21:34</t>
        </is>
      </c>
      <c r="H9090" t="inlineStr"/>
    </row>
    <row r="9091">
      <c r="A9091" t="inlineStr">
        <is>
          <t>hrh1ed</t>
        </is>
      </c>
      <c r="B9091" t="inlineStr">
        <is>
          <t>should I stop nexium before starting pepcid?</t>
        </is>
      </c>
      <c r="C9091" t="inlineStr">
        <is>
          <t>i’ve been on nexium for 3 months it was working good but stopped a couple days ago so I want to try a h2 blocker instead of a ppi, does anyone know if I should stop taking the nexium immediately and start the h2 blockers by them selves or take both pills and slowly wean off of nexium?</t>
        </is>
      </c>
      <c r="D9091" t="n">
        <v>1</v>
      </c>
      <c r="E9091" t="n">
        <v>0</v>
      </c>
      <c r="F9091">
        <f>HYPERLINK("https://www.reddit.com/r/GERD/comments/hrh1ed/should_i_stop_nexium_before_starting_pepcid/")</f>
        <v/>
      </c>
      <c r="G9091" t="inlineStr">
        <is>
          <t>2020-07-14 21:27:25</t>
        </is>
      </c>
      <c r="H9091" t="inlineStr"/>
    </row>
    <row r="9092">
      <c r="A9092" t="inlineStr">
        <is>
          <t>hrhl8r</t>
        </is>
      </c>
      <c r="B9092" t="inlineStr">
        <is>
          <t>Can I have whole wheat bread? I know I can generally have whole grain. Very confused</t>
        </is>
      </c>
      <c r="C9092" t="inlineStr">
        <is>
          <t>As the title says, I’m really confused and this whole situation is a fucking mess and I am very stressed out.    
:(</t>
        </is>
      </c>
      <c r="D9092" t="n">
        <v>3</v>
      </c>
      <c r="E9092" t="n">
        <v>3</v>
      </c>
      <c r="F9092">
        <f>HYPERLINK("https://www.reddit.com/r/GERD/comments/hrhl8r/can_i_have_whole_wheat_bread_i_know_i_can/")</f>
        <v/>
      </c>
      <c r="G9092" t="inlineStr">
        <is>
          <t>2020-07-14 22:10:52</t>
        </is>
      </c>
      <c r="H9092" t="inlineStr"/>
    </row>
    <row r="9093">
      <c r="A9093" t="inlineStr">
        <is>
          <t>hriigi</t>
        </is>
      </c>
      <c r="B9093" t="inlineStr">
        <is>
          <t>Endoscopy and iron supplements</t>
        </is>
      </c>
      <c r="C9093" t="inlineStr">
        <is>
          <t>Hi guys! I’m scheduled for an endoscopy on Thursday morning. I usually take iron pills because I have very low iron. I’ve been taking them up until today. I looked at the prep sheet tonight and saw that I need to stop iron pills at least a week before my procedure. What should I do? I will be calling the office tomorrow. 
Is there any reason why iron needs to be stopped a week before? I’ve been trying to find an answer to this and I haven’t been able to yet. I will be calling tomorrow and asking, but until then I thought I’d post here and ask in case someone else might have the answer. 💕
Thanks guys</t>
        </is>
      </c>
      <c r="D9093" t="n">
        <v>1</v>
      </c>
      <c r="E9093" t="n">
        <v>0</v>
      </c>
      <c r="F9093">
        <f>HYPERLINK("https://www.reddit.com/r/GERD/comments/hriigi/endoscopy_and_iron_supplements/")</f>
        <v/>
      </c>
      <c r="G9093" t="inlineStr">
        <is>
          <t>2020-07-14 23:28:25</t>
        </is>
      </c>
      <c r="H9093" t="inlineStr"/>
    </row>
    <row r="9094">
      <c r="A9094" t="inlineStr">
        <is>
          <t>hripno</t>
        </is>
      </c>
      <c r="B9094" t="inlineStr">
        <is>
          <t>My life with GERD</t>
        </is>
      </c>
      <c r="C9094" t="inlineStr">
        <is>
          <t>My life has been a living hell since getting GERD. I started with nausea constantly for months on end, then on and off for months. Now my throat hurts so badly. I am on 40mg a day of Omeprazole and I can't take it any longer. Specialist deposits are 500$ without insurance and I don't know what to do anymore. I feel like every day is my own personal hell. I have no energy, I can do anything that I love to do. I want to go to the beach with friends but feel sick the entire time, or I want to go to the city, I'm too sick and can't eat or drink anything. Nothing has helped, it just keeps getting worse. I just turned 21 and I can't drink and now I can't smoke marijuana because my anxiety has gotten so bad.  Anxiety is one of the worst parts. I feel like I am overthinking everything now. I use to be so free spirited and was up for everything. Now I am a guy who stays in his apartment for the majority of the week. I get invited places but can't get the energy or the will to deal with the nausea and throat pain while I am out. Just me venting to the void I guess. It helps sometimes.</t>
        </is>
      </c>
      <c r="D9094" t="n">
        <v>2</v>
      </c>
      <c r="E9094" t="n">
        <v>5</v>
      </c>
      <c r="F9094">
        <f>HYPERLINK("https://www.reddit.com/r/GERD/comments/hripno/my_life_with_gerd/")</f>
        <v/>
      </c>
      <c r="G9094" t="inlineStr">
        <is>
          <t>2020-07-14 23:45:30</t>
        </is>
      </c>
      <c r="H9094" t="inlineStr"/>
    </row>
    <row r="9095">
      <c r="A9095" t="inlineStr">
        <is>
          <t>hriua8</t>
        </is>
      </c>
      <c r="B9095" t="inlineStr">
        <is>
          <t>Pretty much throwing in the towel on trying remedies</t>
        </is>
      </c>
      <c r="C9095" t="inlineStr">
        <is>
          <t>I’ve had LPR for 3 years now, done every test in the book &amp;amp; tried PPI’s, H2 blockers, all the other supplemental bullshit. I’m coming to the conclusion this might actually be a problem from my Brain, due to my untreated anxiety for several years. I have one of the WORST cases of hypochondria, and I think it may be tied. 
Has anyone here tried antidepressents in hopes to help LPR?  No matter what the hell I eat, even if I’m on 40 MG Nexium, I still get symptoms no matter what. SICK of it</t>
        </is>
      </c>
      <c r="D9095" t="n">
        <v>1</v>
      </c>
      <c r="E9095" t="n">
        <v>8</v>
      </c>
      <c r="F9095">
        <f>HYPERLINK("https://www.reddit.com/r/GERD/comments/hriua8/pretty_much_throwing_in_the_towel_on_trying/")</f>
        <v/>
      </c>
      <c r="G9095" t="inlineStr">
        <is>
          <t>2020-07-14 23:56:01</t>
        </is>
      </c>
      <c r="H9095" t="inlineStr"/>
    </row>
    <row r="9096">
      <c r="A9096" t="inlineStr">
        <is>
          <t>hrj6dg</t>
        </is>
      </c>
      <c r="B9096" t="inlineStr">
        <is>
          <t>Lately I've been obsessing about cancer because of LPR</t>
        </is>
      </c>
      <c r="C9096" t="inlineStr">
        <is>
          <t>I'm 30M and recently, I've been obsessing about cancer due to LPR. I know the chances are still small even if you have GERD/LPR, but I just worry about it a lot.
I had LPR for at least five years now and my only main symptom is excessive mucus on my throat which drives me crazy sometimes. It gets worse if I eat or even drink water. Sometimes, I get post nasal drip. I tend to overeat too so I do get bloating when I do that. Other than that, I'm okay. I don't get heartburn, sore throat, difficulty breathing, lump on throat, hoarseness, etc. 
I saw an ENT who did a nasal scope and said my throat is reddish and irritated due to reflux. Gave me 20mg omeprazole for a few months but never did anything. I do think I could do better with my diet because I thought the meds were enough.
I've basically learned how to live with the throat clearing/mucus until the pandemic. Because of the lockdowns, I've been obsessing about everything esp. my throat clearing and reading Dr. Google for cancer consults. Sometimes posts here on reddit also scare the hell out of me.
For the first time in 6 years, I'm making the most conscious choice to alter my diet. I recently bought Acid Watch and will try to see if it will alleviate my symptoms.
TLDR: Have LPR issues for more than five years and never really gave a chance to treat it aggressively until now. I've been obsessing about the worst case scenarios and I just decided to alter my diet just so I could give my throat to heal. Help.</t>
        </is>
      </c>
      <c r="D9096" t="n">
        <v>0</v>
      </c>
      <c r="E9096" t="n">
        <v>2</v>
      </c>
      <c r="F9096">
        <f>HYPERLINK("https://www.reddit.com/r/GERD/comments/hrj6dg/lately_ive_been_obsessing_about_cancer_because_of/")</f>
        <v/>
      </c>
      <c r="G9096" t="inlineStr">
        <is>
          <t>2020-07-15 00:25:20</t>
        </is>
      </c>
      <c r="H9096" t="inlineStr"/>
    </row>
    <row r="9097">
      <c r="A9097" t="inlineStr">
        <is>
          <t>hrl1fk</t>
        </is>
      </c>
      <c r="B9097" t="inlineStr">
        <is>
          <t>Does anyone else have what feels like air trapped in throat?</t>
        </is>
      </c>
      <c r="C9097" t="inlineStr">
        <is>
          <t>I can pull my skin on the throat and then a gurgle occurs and air/gas goes down the esophagus.</t>
        </is>
      </c>
      <c r="D9097" t="n">
        <v>1</v>
      </c>
      <c r="E9097" t="n">
        <v>19</v>
      </c>
      <c r="F9097">
        <f>HYPERLINK("https://www.reddit.com/r/GERD/comments/hrl1fk/does_anyone_else_have_what_feels_like_air_trapped/")</f>
        <v/>
      </c>
      <c r="G9097" t="inlineStr">
        <is>
          <t>2020-07-15 03:17:48</t>
        </is>
      </c>
      <c r="H9097" t="inlineStr"/>
    </row>
    <row r="9098">
      <c r="A9098" t="inlineStr">
        <is>
          <t>hrlocn</t>
        </is>
      </c>
      <c r="B9098" t="inlineStr">
        <is>
          <t>Abdominal pain exist even after H pylori eradication.</t>
        </is>
      </c>
      <c r="C9098" t="inlineStr">
        <is>
          <t>Thank God I only needed one course of the treatment but I finally tested negative and my stomach will not let me be great and acid reflux is killing me. Anyways I’ll be going in for an endoscopy so they can check to see how much damage has been caused. 
Question is : does the pain radiate to the pelvic area? Mine does. Like it’s below my belly button and sometimes it’s above but majority of the time it’s below. Spreads to my side and sometimes even down to my vaginal area lolol. Also it would spread to my back. I’ve done UTI and blood test work so it’s not like it’s a kidney problem but I don’t want to go do a pelvic ultrasound and waste money if this pain is just from this stupid ulcer I may have because of h pylori. Anyone else experience it? I really don’t understand why this pain didn’t go away with the treatment ugh</t>
        </is>
      </c>
      <c r="D9098" t="n">
        <v>1</v>
      </c>
      <c r="E9098" t="n">
        <v>12</v>
      </c>
      <c r="F9098">
        <f>HYPERLINK("https://www.reddit.com/r/GERD/comments/hrlocn/abdominal_pain_exist_even_after_h_pylori/")</f>
        <v/>
      </c>
      <c r="G9098" t="inlineStr">
        <is>
          <t>2020-07-15 04:12:18</t>
        </is>
      </c>
      <c r="H9098" t="inlineStr"/>
    </row>
    <row r="9099">
      <c r="A9099" t="inlineStr">
        <is>
          <t>hrm7ar</t>
        </is>
      </c>
      <c r="B9099" t="inlineStr">
        <is>
          <t>Nausea and Burps</t>
        </is>
      </c>
      <c r="C9099" t="inlineStr">
        <is>
          <t>Those are the only symptoms I have. No pain this time</t>
        </is>
      </c>
      <c r="D9099" t="n">
        <v>1</v>
      </c>
      <c r="E9099" t="n">
        <v>5</v>
      </c>
      <c r="F9099">
        <f>HYPERLINK("https://www.reddit.com/r/GERD/comments/hrm7ar/nausea_and_burps/")</f>
        <v/>
      </c>
      <c r="G9099" t="inlineStr">
        <is>
          <t>2020-07-15 04:55:31</t>
        </is>
      </c>
      <c r="H9099" t="inlineStr"/>
    </row>
    <row r="9100">
      <c r="A9100" t="inlineStr">
        <is>
          <t>hrnkrq</t>
        </is>
      </c>
      <c r="B9100" t="inlineStr">
        <is>
          <t>Help with dinners</t>
        </is>
      </c>
      <c r="C9100" t="inlineStr">
        <is>
          <t>I've had GERD for about 8 years, I know my triggers and only have them as a treat (and I know what to expect). My partner has just been diagnosed after his first episode of reflux where we actually called an ambulance because we were worried he had a heart concern. I want to support him by taking mine seriously again and ensuring he has good trigger free meals, before we start reintroducing possible problem foods to find his triggers.
Can anyone share some good recipes for this? I was a teenager on night shifts when I got my diagnosis, so I found it easy to live on chicken and veg because I had no appetite anyway, but he really loves his food!</t>
        </is>
      </c>
      <c r="D9100" t="n">
        <v>4</v>
      </c>
      <c r="E9100" t="n">
        <v>12</v>
      </c>
      <c r="F9100">
        <f>HYPERLINK("https://www.reddit.com/r/GERD/comments/hrnkrq/help_with_dinners/")</f>
        <v/>
      </c>
      <c r="G9100" t="inlineStr">
        <is>
          <t>2020-07-15 06:30:30</t>
        </is>
      </c>
      <c r="H9100" t="inlineStr"/>
    </row>
    <row r="9101">
      <c r="A9101" t="inlineStr">
        <is>
          <t>hros5s</t>
        </is>
      </c>
      <c r="B9101" t="inlineStr">
        <is>
          <t>Does anyone get unexplained bouts of Extreme Fatigue lasting weeks with LPR? Or is it just me?</t>
        </is>
      </c>
      <c r="C9101" t="inlineStr">
        <is>
          <t>Hello, I seem to have LPR, it causes many fun symptoms like burning in the back of my throat, gurgling in the back of my throat, indigestion and breathing issues, and I also seem to get IBS (Not sure if that’s related probably).
But perhaps my strangest symptom is Extreme Fatigue which can last 1-2 or maybe even 3 weeks at a time and is constant. I get these perhaps 2 or 3 times every 6 months. So around 50% of the time, what’s odd to me is that when I have these bouts of Extreme Fatigue I rarely ever suffer with IBS or Breathing issues with my fatigue. 
I have tend to found recently when I am extremely fatigued my stools are softer than usual and I’m thinking perhaps its a problem with food apsorbtion but I struggle to relate it to LPR. 
All I know is this fatigue, IBS and LPR seem all related somehow and I’ve been trying to work out the link for years so I can better understand how to tackle the symptoms.</t>
        </is>
      </c>
      <c r="D9101" t="n">
        <v>2</v>
      </c>
      <c r="E9101" t="n">
        <v>15</v>
      </c>
      <c r="F9101">
        <f>HYPERLINK("https://www.reddit.com/r/GERD/comments/hros5s/does_anyone_get_unexplained_bouts_of_extreme/")</f>
        <v/>
      </c>
      <c r="G9101" t="inlineStr">
        <is>
          <t>2020-07-15 07:41:14</t>
        </is>
      </c>
      <c r="H9101" t="inlineStr"/>
    </row>
    <row r="9102">
      <c r="A9102" t="inlineStr">
        <is>
          <t>hrps1q</t>
        </is>
      </c>
      <c r="B9102" t="inlineStr">
        <is>
          <t>Does Coca Cola trigger GERD?</t>
        </is>
      </c>
      <c r="C9102" t="inlineStr">
        <is>
          <t>My doc has diagnosed me with GERD recently. 
Is coke normally a trigger for GERD? I’ve noticed mine is worse ever since having two cans of coke yesterday.
Thanks</t>
        </is>
      </c>
      <c r="D9102" t="n">
        <v>0</v>
      </c>
      <c r="E9102" t="n">
        <v>11</v>
      </c>
      <c r="F9102">
        <f>HYPERLINK("https://www.reddit.com/r/GERD/comments/hrps1q/does_coca_cola_trigger_gerd/")</f>
        <v/>
      </c>
      <c r="G9102" t="inlineStr">
        <is>
          <t>2020-07-15 08:36:26</t>
        </is>
      </c>
      <c r="H9102" t="inlineStr"/>
    </row>
    <row r="9103">
      <c r="A9103" t="inlineStr">
        <is>
          <t>hrpu5t</t>
        </is>
      </c>
      <c r="B9103" t="inlineStr">
        <is>
          <t>Wipeout Diet for LPR?</t>
        </is>
      </c>
      <c r="C9103" t="inlineStr">
        <is>
          <t>Has anyone tried this diet?  Just curious what it looks like/if it’s helpful before I spend $59 to get the plan.  My LPR is out of control lately (even affecting my ears) and I need to do something.</t>
        </is>
      </c>
      <c r="D9103" t="n">
        <v>1</v>
      </c>
      <c r="E9103" t="n">
        <v>5</v>
      </c>
      <c r="F9103">
        <f>HYPERLINK("https://www.reddit.com/r/GERD/comments/hrpu5t/wipeout_diet_for_lpr/")</f>
        <v/>
      </c>
      <c r="G9103" t="inlineStr">
        <is>
          <t>2020-07-15 08:39:32</t>
        </is>
      </c>
      <c r="H9103" t="inlineStr"/>
    </row>
    <row r="9104">
      <c r="A9104" t="inlineStr">
        <is>
          <t>hrqik5</t>
        </is>
      </c>
      <c r="B9104" t="inlineStr">
        <is>
          <t>A bit lost on the GERD journey</t>
        </is>
      </c>
      <c r="C9104" t="inlineStr">
        <is>
          <t>Hi fellow GERD sufferers,
Just looking for some friendly advices, thoughts or anything helpful regarding my current situation. 
I'm a 28 male, diagnosed with small oesophageal hernia one year ago following the classic gastroscopy. Had a 5mm oesophagitis scar, which was not a big issue for the doctor (who is a cancer specialist).
Everything began for me in april 2019 when I felt kind of a lump in my throat which has never really disappeared since then. Gone to see my practician, gave me PPIs. Nothing changed. 
Induced changes in my diet, small improvement, still having a burning sensation in one side of my throat (the right one). 
Go to the doctor again, more PPIs, she tells me to sleep on the other side (the left one obviously), some relief but not much. 
The pain when swallowing gets worse, I search the internet for answers : bad idea. I'm now convinced I have throat cancer (I'm fucking terrified of it), I'm a musician, I often drink a lot on the weekends only, and smoke a bunch of ciggies only on the weekend as well. I've been enjoying myself this way for the past 6 or 7 years of my life since I graduated, so my concerns about cancer are somehow justified. 
So I take an appointment to a local special hospital which focuses on cancer diagnosis. Have my throat check by a specialist, "I see nothing" quoting. Relieved in a way but still suffering.
They give me more PPI's and let me go. 
At the beginning of the year and for a couple of months I had really bad pain in the stomach area which I almost never had before, my main symptoms consisting in a pain in my throat and neck. 
This gets worse and worse, even to the point I find myself with blood in my mouth getting out of bed. I call a relative who works at ICU who tells me to wait a couple of day to see if it happens again. 
This never came back since. Then all the stomach symptoms seems to disappeared when switching PPIs. 
Anyway I take an appointment with another gastroentorologist to see if I need to have a Nissen surgery, which implies a PH monitoring for 24 hours. 
That's when it gets crazy ... 
The graph shows that all my reflux are occuring during the day and almost none during night time. 
The doctor tells me that my symptoms on the throat are not corresponding with GERD and therefore that no surgery can be considered. And I'm once given PPIs, the classic doctor's move. 
I will also have my oesophageal pressure monitored and my gallbladder checked for stones, but I feel like my doctors are just running out of ideas. 
As for today, my throat still hurts when I swallow, the pain goes to my neck now and I'm still thinking about cancer because I'm obsessed with it. 
I feel like I'm having the typical GERD suffered "untreated" journey and that nothing will really resolve anytime soon. 
Do you gals or guys lived anything similar ? I think I need advices. 
(Sorry for the bad writing, english is not my main language)
Cheers !
PS : Sorry for the very long post</t>
        </is>
      </c>
      <c r="D9104" t="n">
        <v>1</v>
      </c>
      <c r="E9104" t="n">
        <v>5</v>
      </c>
      <c r="F9104">
        <f>HYPERLINK("https://www.reddit.com/r/GERD/comments/hrqik5/a_bit_lost_on_the_gerd_journey/")</f>
        <v/>
      </c>
      <c r="G9104" t="inlineStr">
        <is>
          <t>2020-07-15 09:15:44</t>
        </is>
      </c>
      <c r="H9104" t="inlineStr"/>
    </row>
    <row r="9105">
      <c r="A9105" t="inlineStr">
        <is>
          <t>hrqltx</t>
        </is>
      </c>
      <c r="B9105" t="inlineStr">
        <is>
          <t>Difficulty sleeping.</t>
        </is>
      </c>
      <c r="C9105" t="inlineStr">
        <is>
          <t>Ever since I developed my hiatal hernia and have had reflux from it, I have never ever slept the same. I have such trouble sleeping now, so much so that it’s turned me into an insomniac. So many times when I actually get to sleep I wake up in a panic, sweating, stomach aching, or choking and gasping for air with sore throat from reflux. I’m just wondering if anyone has problems sleeping just as bad? It’s ruined my sleep completely. It’s starting to become worrisome. I know the anxiety is probably a huge factor. I’m hoping therapy will help soon. I’m already taking melatonin every night and try not to eat close to bed time. I can’t sleep on an incline. I can really only fall asleep sleeping on my stomach because I have such a hard time falling and staying asleep. Thanks everyone, I hope everyone gets good rest!</t>
        </is>
      </c>
      <c r="D9105" t="n">
        <v>1</v>
      </c>
      <c r="E9105" t="n">
        <v>8</v>
      </c>
      <c r="F9105">
        <f>HYPERLINK("https://www.reddit.com/r/GERD/comments/hrqltx/difficulty_sleeping/")</f>
        <v/>
      </c>
      <c r="G9105" t="inlineStr">
        <is>
          <t>2020-07-15 09:20:43</t>
        </is>
      </c>
      <c r="H9105" t="inlineStr"/>
    </row>
    <row r="9106">
      <c r="A9106" t="inlineStr">
        <is>
          <t>hrt2ww</t>
        </is>
      </c>
      <c r="B9106" t="inlineStr">
        <is>
          <t>Gurgling in esophagus after swallowing and breathing</t>
        </is>
      </c>
      <c r="C9106" t="inlineStr">
        <is>
          <t>Do you ever hear the same? I have a very audible gurgling in my throat/esophagus after swallowing, it is more audible if I open my mouth after swallowing and breathe in. Lately I have had more reflux symptoms like breathlessness, throat tightness, bad taste in back of throat and bits in my throat. I also burp a lot almost daily.</t>
        </is>
      </c>
      <c r="D9106" t="n">
        <v>1</v>
      </c>
      <c r="E9106" t="n">
        <v>7</v>
      </c>
      <c r="F9106">
        <f>HYPERLINK("https://www.reddit.com/r/GERD/comments/hrt2ww/gurgling_in_esophagus_after_swallowing_and/")</f>
        <v/>
      </c>
      <c r="G9106" t="inlineStr">
        <is>
          <t>2020-07-15 11:30:01</t>
        </is>
      </c>
      <c r="H9106" t="inlineStr"/>
    </row>
    <row r="9107">
      <c r="A9107" t="inlineStr">
        <is>
          <t>hrtpc1</t>
        </is>
      </c>
      <c r="B9107" t="inlineStr">
        <is>
          <t>How to eat with the 24 hour ph test tube</t>
        </is>
      </c>
      <c r="C9107" t="inlineStr">
        <is>
          <t>I currently have the tube inside and it feels so weird to swallow, I can feel it on every swallow. Any tips will be appreciated</t>
        </is>
      </c>
      <c r="D9107" t="n">
        <v>1</v>
      </c>
      <c r="E9107" t="n">
        <v>3</v>
      </c>
      <c r="F9107">
        <f>HYPERLINK("https://www.reddit.com/r/GERD/comments/hrtpc1/how_to_eat_with_the_24_hour_ph_test_tube/")</f>
        <v/>
      </c>
      <c r="G9107" t="inlineStr">
        <is>
          <t>2020-07-15 12:01:59</t>
        </is>
      </c>
      <c r="H9107" t="inlineStr"/>
    </row>
    <row r="9108">
      <c r="A9108" t="inlineStr">
        <is>
          <t>hru99f</t>
        </is>
      </c>
      <c r="B9108" t="inlineStr">
        <is>
          <t>What does acid taste like?</t>
        </is>
      </c>
      <c r="C9108" t="inlineStr">
        <is>
          <t>I just had a taste like blood/salty liquid in my mouth. Could this be acid?</t>
        </is>
      </c>
      <c r="D9108" t="n">
        <v>2</v>
      </c>
      <c r="E9108" t="n">
        <v>10</v>
      </c>
      <c r="F9108">
        <f>HYPERLINK("https://www.reddit.com/r/GERD/comments/hru99f/what_does_acid_taste_like/")</f>
        <v/>
      </c>
      <c r="G9108" t="inlineStr">
        <is>
          <t>2020-07-15 12:29:26</t>
        </is>
      </c>
      <c r="H9108" t="inlineStr"/>
    </row>
    <row r="9109">
      <c r="A9109" t="inlineStr">
        <is>
          <t>hrvl0y</t>
        </is>
      </c>
      <c r="B9109" t="inlineStr">
        <is>
          <t>Clean endoscopy?</t>
        </is>
      </c>
      <c r="C9109" t="inlineStr">
        <is>
          <t>Just had an endoscopy after 10 moths of coronic sore throat and sinus. Burning esophagus etc...
How is the pain possible with no detection within the actual esophagus</t>
        </is>
      </c>
      <c r="D9109" t="n">
        <v>1</v>
      </c>
      <c r="E9109" t="n">
        <v>24</v>
      </c>
      <c r="F9109">
        <f>HYPERLINK("https://www.reddit.com/r/GERD/comments/hrvl0y/clean_endoscopy/")</f>
        <v/>
      </c>
      <c r="G9109" t="inlineStr">
        <is>
          <t>2020-07-15 13:38:14</t>
        </is>
      </c>
      <c r="H9109" t="inlineStr"/>
    </row>
    <row r="9110">
      <c r="A9110" t="inlineStr">
        <is>
          <t>hrw2rl</t>
        </is>
      </c>
      <c r="B9110" t="inlineStr">
        <is>
          <t>Help - 7 days 24/7 pressure in throat + Burping</t>
        </is>
      </c>
      <c r="C9110" t="inlineStr">
        <is>
          <t>Hello all - First time post here but thought I'd ask the community if anyone is familiar with these symptoms:
For 7 days straight (24/7 almost) I've had this uncomfortable pressure on my throat like something is stuck (and causes some nausea) with lots of burping. 
* A lot of actively sucking in my stomach to burp since it's so uncomfortable, specially after meals
* First days I was salivating like crazy; had to go spit it in the bathroom.
* No throat pressure when I wake up and for an hour afterwars; 
* Weirdly, I've had acid reflux for 15 years (burning stomach / esophagus, bubbles in throat) and taken omeprazole to manage it and/or via diet (lately mostly diet) and I haven't had this symptoms during the last week.
Treatment during the last week: Days 1-4 No change to diet or omeprazole; Day 5-7 small GERD-friendly meals and omeprazole and have seen no change other than less salivation.
Anyone in the same position? Any idea if it's GERD (based on some posts here)?</t>
        </is>
      </c>
      <c r="D9110" t="n">
        <v>1</v>
      </c>
      <c r="E9110" t="n">
        <v>3</v>
      </c>
      <c r="F9110">
        <f>HYPERLINK("https://www.reddit.com/r/GERD/comments/hrw2rl/help_7_days_247_pressure_in_throat_burping/")</f>
        <v/>
      </c>
      <c r="G9110" t="inlineStr">
        <is>
          <t>2020-07-15 14:04:27</t>
        </is>
      </c>
      <c r="H9110" t="inlineStr"/>
    </row>
    <row r="9111">
      <c r="A9111" t="inlineStr">
        <is>
          <t>hrw49y</t>
        </is>
      </c>
      <c r="B9111" t="inlineStr">
        <is>
          <t>Need advice about GERD + Alcohol (Date night)</t>
        </is>
      </c>
      <c r="C9111" t="inlineStr">
        <is>
          <t>Hey everyone, I have been diagnosed with Gastritis Type C and GERD in February, since then, I’ve been taking Pantoprazol and it kinda helped me, symptoms were still there though. I stopped taking them for like a week and the symptoms are quite worse but not that bad, I just feel my stomach burn if it’s empty etc.. 
So, one night (about 3 months ago)I was chilling with some friends and had like 2-3 bottles of beers (I rarely drink alcohol), I had a really bad headache and took some Paracetamol and it made it all worse, I had horrible stomach cramp and had to throw up intentionally to let the pain go..
So, I have missed alcohol and have a date this Saturday, We are planning to drink some alcohol but I’m kind of scared, what are the chances of it happening again? Should I take Pantoprazol before drinking or is it a very bad decision?</t>
        </is>
      </c>
      <c r="D9111" t="n">
        <v>1</v>
      </c>
      <c r="E9111" t="n">
        <v>16</v>
      </c>
      <c r="F9111">
        <f>HYPERLINK("https://www.reddit.com/r/GERD/comments/hrw49y/need_advice_about_gerd_alcohol_date_night/")</f>
        <v/>
      </c>
      <c r="G9111" t="inlineStr">
        <is>
          <t>2020-07-15 14:06:41</t>
        </is>
      </c>
      <c r="H9111" t="inlineStr"/>
    </row>
    <row r="9112">
      <c r="A9112" t="inlineStr">
        <is>
          <t>hryy4s</t>
        </is>
      </c>
      <c r="B9112" t="inlineStr">
        <is>
          <t>Having GERD attacks at night?</t>
        </is>
      </c>
      <c r="C9112" t="inlineStr">
        <is>
          <t>Heya,
So during the day I will get LPR but it won’t really be too much bother despite the Nasuea and breathing issues but when I sleep I get big issues
I will wake up around 2 hours into my sleep and have an almost attack of acid reflux, roughly every 5 seconds acid will come up and burn my throat badly and it occurs every 5 seconds and it makes me feel like I’m gonna puke,
Taking some anti acids when it occurs makes the acid less painful but doesn’t help the nausea or frequency of reflux.
I am typing this now whilst having one of these episodes, I’ve not eaten late or anything and my head has been propped up but yet this is awful
Any ideas what I should do ?</t>
        </is>
      </c>
      <c r="D9112" t="n">
        <v>1</v>
      </c>
      <c r="E9112" t="n">
        <v>7</v>
      </c>
      <c r="F9112">
        <f>HYPERLINK("https://www.reddit.com/r/GERD/comments/hryy4s/having_gerd_attacks_at_night/")</f>
        <v/>
      </c>
      <c r="G9112" t="inlineStr">
        <is>
          <t>2020-07-15 16:46:03</t>
        </is>
      </c>
      <c r="H9112" t="inlineStr"/>
    </row>
    <row r="9113">
      <c r="A9113" t="inlineStr">
        <is>
          <t>hrz23h</t>
        </is>
      </c>
      <c r="B9113" t="inlineStr">
        <is>
          <t>Dexilant 60mg 2x a day</t>
        </is>
      </c>
      <c r="C9113" t="inlineStr">
        <is>
          <t>Has anyone else ever taken this high a dose of PPI before? My GI acted like it was no big deal today as he told me to take it....</t>
        </is>
      </c>
      <c r="D9113" t="n">
        <v>1</v>
      </c>
      <c r="E9113" t="n">
        <v>17</v>
      </c>
      <c r="F9113">
        <f>HYPERLINK("https://www.reddit.com/r/GERD/comments/hrz23h/dexilant_60mg_2x_a_day/")</f>
        <v/>
      </c>
      <c r="G9113" t="inlineStr">
        <is>
          <t>2020-07-15 16:53:04</t>
        </is>
      </c>
      <c r="H9113" t="inlineStr"/>
    </row>
    <row r="9114">
      <c r="A9114" t="inlineStr">
        <is>
          <t>hrzfn1</t>
        </is>
      </c>
      <c r="B9114" t="inlineStr">
        <is>
          <t>Is my blood pressure because of my Acid reflux and medication ?</t>
        </is>
      </c>
      <c r="C9114" t="inlineStr">
        <is>
          <t>Hi Im 34 yo Male. This January when i measured blood pressure in doctors office when i went for a cold was normal. But yesterday when i went to the doctors office it was 130/85 and 145/85 which looks high. Doctor asked me to buy a omron monitor at home. I bought one today and taking reading at morning and evening I still see systolic pressure between 120-140 and dialostic between 83 and 94. Not sure what caused this rise in 6 months.
I was having acid reflux and stomach acid issues for last 2 months and a week before my doctor diagnosed with Hpylori. So he put me on antibiotics (2000mg amoxicillin in morning and 500mg clarithromycin in morning and same dose for evenings. Im also advised to take 40mg nexium Ppi daily until the h pylori is removed. 
Also 3 months back i had to go to ER for a very small 2mm kidney stone which i guess passed in the urine as i did not see the stone after my ER visit and i did not get any pain.
Can some one advise me what is happening. This is causing me nervousness and whenever i take my blood pressure my hear rate jumps to 115-130bpm (Both my apple watch and omron monitor shows similar). My normal resting rate at other time according to my apple watch is 76Bpm. 
Any advise would be greatly appreciated.</t>
        </is>
      </c>
      <c r="D9114" t="n">
        <v>1</v>
      </c>
      <c r="E9114" t="n">
        <v>4</v>
      </c>
      <c r="F9114">
        <f>HYPERLINK("https://www.reddit.com/r/GERD/comments/hrzfn1/is_my_blood_pressure_because_of_my_acid_reflux/")</f>
        <v/>
      </c>
      <c r="G9114" t="inlineStr">
        <is>
          <t>2020-07-15 17:16:14</t>
        </is>
      </c>
      <c r="H9114" t="inlineStr"/>
    </row>
    <row r="9115">
      <c r="A9115" t="inlineStr">
        <is>
          <t>hrzg0h</t>
        </is>
      </c>
      <c r="B9115" t="inlineStr">
        <is>
          <t>Need Advice on What to Eat</t>
        </is>
      </c>
      <c r="C9115" t="inlineStr">
        <is>
          <t>Hey all,
Last Monday I had a horrible acid reflux attack and that's when all of these complications started. I would get acid reflux before but never heartburn and I just thought it was normal.
The attack have me horribly painful heartburn, I had acid in my throat and I felt very sick. The whole rest of the week constantly swallowing, globus, sore throat, mucus pooling in the back of my throat. That's somewhat better, except since then I can not eat anything without refluxing and it's hard to swallow food (along with excessive burping). Literally anything. If I eat more than a handful of food my esophagus just tries to push it back up later. And I'm at a loss, do I eat and suffer from this or do I not eat and feel fatigued and have a migraine.
I'm on my second day of omeprazole, I've also been taking pepcid per doctor's suggestions. Normal antacid chews don't do anything. Not convinced the pepcid is helping either. I have a telehealth appointment with my GI  on Friday but I seriously can't take this anymore.</t>
        </is>
      </c>
      <c r="D9115" t="n">
        <v>1</v>
      </c>
      <c r="E9115" t="n">
        <v>3</v>
      </c>
      <c r="F9115">
        <f>HYPERLINK("https://www.reddit.com/r/GERD/comments/hrzg0h/need_advice_on_what_to_eat/")</f>
        <v/>
      </c>
      <c r="G9115" t="inlineStr">
        <is>
          <t>2020-07-15 17:17:03</t>
        </is>
      </c>
      <c r="H9115" t="inlineStr"/>
    </row>
    <row r="9116">
      <c r="A9116" t="inlineStr">
        <is>
          <t>hrzikl</t>
        </is>
      </c>
      <c r="B9116" t="inlineStr">
        <is>
          <t>Please dont shun me. Has anyone had such bad symptoms that they become suicidal?</t>
        </is>
      </c>
      <c r="C9116" t="inlineStr">
        <is>
          <t>I know it’s my anxiety attack talking. But the past five months have been utterly cruel. When I flare my anxiety gets worse and I start feeling like I want to end my life, that I’m so tired of it. On a daily basis I already suffer from depression. But this , on top of recent celiac diagnosis added more depression and isolation. I don’t even know what doctor to turn to anymore. My symptoms are so severe right now I can hardly swallow. It was what caused my current anxiety attack.</t>
        </is>
      </c>
      <c r="D9116" t="n">
        <v>1</v>
      </c>
      <c r="E9116" t="n">
        <v>16</v>
      </c>
      <c r="F9116">
        <f>HYPERLINK("https://www.reddit.com/r/GERD/comments/hrzikl/please_dont_shun_me_has_anyone_had_such_bad/")</f>
        <v/>
      </c>
      <c r="G9116" t="inlineStr">
        <is>
          <t>2020-07-15 17:21:13</t>
        </is>
      </c>
      <c r="H9116" t="inlineStr"/>
    </row>
    <row r="9117">
      <c r="A9117" t="inlineStr">
        <is>
          <t>hrzx20</t>
        </is>
      </c>
      <c r="B9117" t="inlineStr">
        <is>
          <t>Need Help! Doctors Aren't Helping!</t>
        </is>
      </c>
      <c r="C9117" t="inlineStr">
        <is>
          <t xml:space="preserve"> 
Hello Everyone,
31M, athletic.
**Symptoms (Symptoms are not persistent, varies throughout the day)**
* Chest tightness/pain
* Tightness in the throat
* Sore throat
* Post Nasal Drip
* Strained voice (hard to speak sometimes)
**No stomach cramps or bloating. Energy levels feel normal. No hives, rashes or any itchiness in my mouth or throat.**
Since March, this has been occurring every single day for me. Some days are better than others. I CANNOT pinpoint what's causing this. I've talked with my primary care several times, 2 different GI doctors, and 2 different Allergy doctors. First it was thought to be Acid Reflux then maybe Eosinophilic Esophagitis then possibly Allergies than even something called Oral Allergy Syndrome.
I have allergies to: Dust, Cats/Dogs, Trees (Seasonal). Got tested a few years ago and began allergy shots. Since March, the shots stopped and I missed several months of them. I take Allegra and Montelukast daily.
I have two cats and since March I've been working at home everyday so I've been spending a tremendous amount of time with them. Also, we clean often but maybe the house could be a little more clean?
Been on Omeprazole for 10+ weeks. Has done little to nothing for me. Tried pretty much every antacid there is. No difference.
Made several diet changes. Cut alcohol. Cut coffee for a week. Eating low-to-no acid food. Still no difference.
Is this Allergies? Asthma? GERD? Does anyone have a similar issue? Trying desperately to find answers.</t>
        </is>
      </c>
      <c r="D9117" t="n">
        <v>1</v>
      </c>
      <c r="E9117" t="n">
        <v>22</v>
      </c>
      <c r="F9117">
        <f>HYPERLINK("https://www.reddit.com/r/GERD/comments/hrzx20/need_help_doctors_arent_helping/")</f>
        <v/>
      </c>
      <c r="G9117" t="inlineStr">
        <is>
          <t>2020-07-15 17:46:13</t>
        </is>
      </c>
      <c r="H9117" t="inlineStr"/>
    </row>
    <row r="9118">
      <c r="A9118" t="inlineStr">
        <is>
          <t>hs0au1</t>
        </is>
      </c>
      <c r="B9118" t="inlineStr">
        <is>
          <t>What kind of symptom is this?</t>
        </is>
      </c>
      <c r="C9118" t="inlineStr">
        <is>
          <t>Along with burping and a throw up feeling in my throat I’ve noticed like a sort of dust like particle feeling in my lower throat around the trachea. It’s kind of ticklish and I can feel it when I swallow saliva only, any clues?</t>
        </is>
      </c>
      <c r="D9118" t="n">
        <v>1</v>
      </c>
      <c r="E9118" t="n">
        <v>1</v>
      </c>
      <c r="F9118">
        <f>HYPERLINK("https://www.reddit.com/r/GERD/comments/hs0au1/what_kind_of_symptom_is_this/")</f>
        <v/>
      </c>
      <c r="G9118" t="inlineStr">
        <is>
          <t>2020-07-15 18:11:24</t>
        </is>
      </c>
      <c r="H9118" t="inlineStr"/>
    </row>
    <row r="9119">
      <c r="A9119" t="inlineStr">
        <is>
          <t>hs0gn7</t>
        </is>
      </c>
      <c r="B9119" t="inlineStr">
        <is>
          <t>does anyone feel like they cant feel half of their throat?</t>
        </is>
      </c>
      <c r="C9119" t="inlineStr">
        <is>
          <t>i literally can't feel my right side. when i cough no pain. when i eat something hot no pain. i feel constantly swollen and like mucus is stuck there.
&amp;amp;#x200B;
on the flip side i have burning from hot food on the left and feel a cough there. i have yet to find anyone with the same symptoms
&amp;amp;#x200B;
i have been diagnosed with gerd and rhintisis and vcd</t>
        </is>
      </c>
      <c r="D9119" t="n">
        <v>1</v>
      </c>
      <c r="E9119" t="n">
        <v>4</v>
      </c>
      <c r="F9119">
        <f>HYPERLINK("https://www.reddit.com/r/GERD/comments/hs0gn7/does_anyone_feel_like_they_cant_feel_half_of/")</f>
        <v/>
      </c>
      <c r="G9119" t="inlineStr">
        <is>
          <t>2020-07-15 18:22:01</t>
        </is>
      </c>
      <c r="H9119" t="inlineStr"/>
    </row>
    <row r="9120">
      <c r="A9120" t="inlineStr">
        <is>
          <t>hs1w7q</t>
        </is>
      </c>
      <c r="B9120" t="inlineStr">
        <is>
          <t>Sore throat and tongue burning</t>
        </is>
      </c>
      <c r="C9120" t="inlineStr">
        <is>
          <t>Anybody have similar experience like  sore throat and tip of tongue burn for around 2-3 months.. 
My story- I March I got diagnosed with severe gastric and in may I developed sore throat and tongue burning...and it's not going away even after antibiotics taken.... Could it be something related to gastric or something else .. 
Suggestion.. Help... Appreciated
Thank you</t>
        </is>
      </c>
      <c r="D9120" t="n">
        <v>1</v>
      </c>
      <c r="E9120" t="n">
        <v>17</v>
      </c>
      <c r="F9120">
        <f>HYPERLINK("https://www.reddit.com/r/GERD/comments/hs1w7q/sore_throat_and_tongue_burning/")</f>
        <v/>
      </c>
      <c r="G9120" t="inlineStr">
        <is>
          <t>2020-07-15 19:58:02</t>
        </is>
      </c>
      <c r="H9120" t="inlineStr"/>
    </row>
    <row r="9121">
      <c r="A9121" t="inlineStr">
        <is>
          <t>hs20g6</t>
        </is>
      </c>
      <c r="B9121" t="inlineStr">
        <is>
          <t>Allergy shots helped me with GERD</t>
        </is>
      </c>
      <c r="C9121" t="inlineStr">
        <is>
          <t>I have always had really bad mucus buildup due to allergies. This always aggravated my asthma and about a year-and-a-half ago gave me GERD. I reckon I have had it for two or three years in a mild form before it became more serious a year-and-a-half ago. 
I just thought that I couldn't take acidic beers like ipas or eat spicy food fast until my doctor told me about acid reflux and GERD. A little while after I got diagnosed with it I started taking allergy shots and while it took some time as the mucus went away so did the GERD. I believe that the mucus dripping into my stomach cause more acid build-up which aggravated the GERD. 
I now only have mild symptoms that don't require medication now, I rarely have to take my asthma medication either, maybe only once a month or so  rewind 6 months ago and I was having to take dexilant and a probiotic because Omeprazole wasn't doing enough, this on top of asthma medication.</t>
        </is>
      </c>
      <c r="D9121" t="n">
        <v>1</v>
      </c>
      <c r="E9121" t="n">
        <v>21</v>
      </c>
      <c r="F9121">
        <f>HYPERLINK("https://www.reddit.com/r/GERD/comments/hs20g6/allergy_shots_helped_me_with_gerd/")</f>
        <v/>
      </c>
      <c r="G9121" t="inlineStr">
        <is>
          <t>2020-07-15 20:06:05</t>
        </is>
      </c>
      <c r="H9121" t="inlineStr"/>
    </row>
    <row r="9122">
      <c r="A9122" t="inlineStr">
        <is>
          <t>hs3a99</t>
        </is>
      </c>
      <c r="B9122" t="inlineStr">
        <is>
          <t>I really need help with some of your simple recipes.</t>
        </is>
      </c>
      <c r="C9122" t="inlineStr">
        <is>
          <t>I’m waiting on treatment and appointment from a ENT. I’m bot fully relying on this of course. I am eating what I need to for acid prevention but just running out of ideas. Please help!</t>
        </is>
      </c>
      <c r="D9122" t="n">
        <v>1</v>
      </c>
      <c r="E9122" t="n">
        <v>3</v>
      </c>
      <c r="F9122">
        <f>HYPERLINK("https://www.reddit.com/r/GERD/comments/hs3a99/i_really_need_help_with_some_of_your_simple/")</f>
        <v/>
      </c>
      <c r="G9122" t="inlineStr">
        <is>
          <t>2020-07-15 21:37:11</t>
        </is>
      </c>
      <c r="H9122" t="inlineStr"/>
    </row>
    <row r="9123">
      <c r="A9123" t="inlineStr">
        <is>
          <t>hs3d15</t>
        </is>
      </c>
      <c r="B9123" t="inlineStr">
        <is>
          <t>Mucus and breathing troubles</t>
        </is>
      </c>
      <c r="C9123" t="inlineStr">
        <is>
          <t>Does anyone else experience lots of mucus/post nasal drip and breathing troubles? It’s mostly fine during the day but at night it’s terrible and makes it hard to fall asleep when I feel I can’t breathe. I was diagnosed with gerd about 10 months ago. I feel like I can breathe in pretty good but it feels like I can’t get a full breath out. I’ve consulted my doctor but I’m starting to think I need a referral for a specialist. Feeling like I’m having trouble breathing gives me such intense anxiety</t>
        </is>
      </c>
      <c r="D9123" t="n">
        <v>1</v>
      </c>
      <c r="E9123" t="n">
        <v>20</v>
      </c>
      <c r="F9123">
        <f>HYPERLINK("https://www.reddit.com/r/GERD/comments/hs3d15/mucus_and_breathing_troubles/")</f>
        <v/>
      </c>
      <c r="G9123" t="inlineStr">
        <is>
          <t>2020-07-15 21:42:59</t>
        </is>
      </c>
      <c r="H9123" t="inlineStr"/>
    </row>
    <row r="9124">
      <c r="A9124" t="inlineStr">
        <is>
          <t>hs3q4q</t>
        </is>
      </c>
      <c r="B9124" t="inlineStr">
        <is>
          <t>I know this is the opposite of everyone but does anyone else have symptoms improve if they lay down?</t>
        </is>
      </c>
      <c r="C9124" t="inlineStr">
        <is>
          <t>I mean flat on your back?</t>
        </is>
      </c>
      <c r="D9124" t="n">
        <v>1</v>
      </c>
      <c r="E9124" t="n">
        <v>2</v>
      </c>
      <c r="F9124">
        <f>HYPERLINK("https://www.reddit.com/r/GERD/comments/hs3q4q/i_know_this_is_the_opposite_of_everyone_but_does/")</f>
        <v/>
      </c>
      <c r="G9124" t="inlineStr">
        <is>
          <t>2020-07-15 22:11:40</t>
        </is>
      </c>
      <c r="H9124" t="inlineStr"/>
    </row>
    <row r="9125">
      <c r="A9125" t="inlineStr">
        <is>
          <t>hs49qq</t>
        </is>
      </c>
      <c r="B9125" t="inlineStr">
        <is>
          <t>GERD</t>
        </is>
      </c>
      <c r="C9125" t="inlineStr">
        <is>
          <t>hello my name is rasbin i had came across this app to seek any advice to avoid any acid reflux trigger. i never in my life thought i would be diagnose with Gerd at the age of 18 with all this problems i started to develop anxiety made things worse for me i try to make the best out of the situation i just had an upper endoscopy procedure done week an half ago because of the esophagus being so narrow which  cause me to have difficult of swallowing. I had follow up with my GI doctor today and they going to run a few tests to see whats going on. wish me good luck :(</t>
        </is>
      </c>
      <c r="D9125" t="n">
        <v>1</v>
      </c>
      <c r="E9125" t="n">
        <v>0</v>
      </c>
      <c r="F9125">
        <f>HYPERLINK("https://www.reddit.com/r/GERD/comments/hs49qq/gerd/")</f>
        <v/>
      </c>
      <c r="G9125" t="inlineStr">
        <is>
          <t>2020-07-15 22:57:28</t>
        </is>
      </c>
      <c r="H9125" t="inlineStr"/>
    </row>
    <row r="9126">
      <c r="A9126" t="inlineStr">
        <is>
          <t>hs4gbh</t>
        </is>
      </c>
      <c r="B9126" t="inlineStr">
        <is>
          <t>acid reflux/gerd</t>
        </is>
      </c>
      <c r="C9126" t="inlineStr">
        <is>
          <t xml:space="preserve"> hello my name is rasbin i had came across this app to seek any advice to avoid any acid reflux trigger. i never in my life thought i would be diagnose with Gerd at the age of 18 with all of these problems i started to develop anxiety which made things worse for me i try to make the best out of the situation i just had an upper endoscopy procedure done week an half ago because of the esophagus being so narrow which cause me to have difficult of swallowing. I had follow up with my GI doctor today and they going to run a few tests to see what's going on. wish me good luck :(</t>
        </is>
      </c>
      <c r="D9126" t="n">
        <v>1</v>
      </c>
      <c r="E9126" t="n">
        <v>2</v>
      </c>
      <c r="F9126">
        <f>HYPERLINK("https://www.reddit.com/r/GERD/comments/hs4gbh/acid_refluxgerd/")</f>
        <v/>
      </c>
      <c r="G9126" t="inlineStr">
        <is>
          <t>2020-07-15 23:13:11</t>
        </is>
      </c>
      <c r="H9126" t="inlineStr"/>
    </row>
    <row r="9127">
      <c r="A9127" t="inlineStr">
        <is>
          <t>hs4sku</t>
        </is>
      </c>
      <c r="B9127" t="inlineStr">
        <is>
          <t>Does anyone else get so stressed out that they get nauseous or physically sick?</t>
        </is>
      </c>
      <c r="C9127" t="inlineStr">
        <is>
          <t>I swear it's insane.. I genuinely want to throw up right now from how bad my stomach is. I'm so stressed out and can't stop worrying that I've been in the worst health I've been in, in a while. It's awful and idk what to do. Already took my medication but it's not helping. It's like my stomach is boiling and I'm super nauseous.</t>
        </is>
      </c>
      <c r="D9127" t="n">
        <v>1</v>
      </c>
      <c r="E9127" t="n">
        <v>1</v>
      </c>
      <c r="F9127">
        <f>HYPERLINK("https://www.reddit.com/r/GERD/comments/hs4sku/does_anyone_else_get_so_stressed_out_that_they/")</f>
        <v/>
      </c>
      <c r="G9127" t="inlineStr">
        <is>
          <t>2020-07-15 23:43:30</t>
        </is>
      </c>
      <c r="H9127" t="inlineStr"/>
    </row>
    <row r="9128">
      <c r="A9128" t="inlineStr">
        <is>
          <t>hs5ae5</t>
        </is>
      </c>
      <c r="B9128" t="inlineStr">
        <is>
          <t>Is this weird tickling sensation acid reflux or not?</t>
        </is>
      </c>
      <c r="C9128" t="inlineStr">
        <is>
          <t>Hello, sorry for the millions of questions to this sub recently you’re all ace! 👌
So I’ve only recently discovered I have LPR but I think I’ve been suffering from it for a few months now but only started to pay attention to it.
Recently it’s got quite bad which is why I’ve started to notice the symptoms more perhaps.
Sometimes I get acid come up to my throat and I can feel a burning sensation , I presume that’s acid.
But more frequently than that I get what almost feels like air or like liquid slowly trickling down the back of my throat.
Is that also acid reflux? Or would I know if it was as it would burn?</t>
        </is>
      </c>
      <c r="D9128" t="n">
        <v>1</v>
      </c>
      <c r="E9128" t="n">
        <v>3</v>
      </c>
      <c r="F9128">
        <f>HYPERLINK("https://www.reddit.com/r/GERD/comments/hs5ae5/is_this_weird_tickling_sensation_acid_reflux_or/")</f>
        <v/>
      </c>
      <c r="G9128" t="inlineStr">
        <is>
          <t>2020-07-16 00:27:56</t>
        </is>
      </c>
      <c r="H9128" t="inlineStr"/>
    </row>
    <row r="9129">
      <c r="A9129" t="inlineStr">
        <is>
          <t>hs6bbw</t>
        </is>
      </c>
      <c r="B9129" t="inlineStr">
        <is>
          <t>Upper Abdomen always hard and bloated</t>
        </is>
      </c>
      <c r="C9129" t="inlineStr">
        <is>
          <t>I’m a bigger guy so I do have a big abdomen but I noticed the lower abdomen is flabby but the upper abdomen is always hard.  Affects my breathing at times.  I could not eat for hours or even a whole day and it still feels hard and bloated.
I’m rarely in pain.  No nausea.  
My diet:  I drink a lot of Mio and other artificially sweetened things.  I do eat a lot of meat.  
I’m willing to try anything to fix this.  I have an EGD in a couple of weeks to rule out anything serious.  
Any help would be appreciated!</t>
        </is>
      </c>
      <c r="D9129" t="n">
        <v>1</v>
      </c>
      <c r="E9129" t="n">
        <v>3</v>
      </c>
      <c r="F9129">
        <f>HYPERLINK("https://www.reddit.com/r/GERD/comments/hs6bbw/upper_abdomen_always_hard_and_bloated/")</f>
        <v/>
      </c>
      <c r="G9129" t="inlineStr">
        <is>
          <t>2020-07-16 02:05:29</t>
        </is>
      </c>
      <c r="H9129" t="inlineStr"/>
    </row>
    <row r="9130">
      <c r="A9130" t="inlineStr">
        <is>
          <t>hs6yaz</t>
        </is>
      </c>
      <c r="B9130" t="inlineStr">
        <is>
          <t>Reflux after going to the dentist!!!</t>
        </is>
      </c>
      <c r="C9130" t="inlineStr">
        <is>
          <t>Went to the dentist and one hour later did a work out. Terrible reflux!! Could the mint products used during my dental clean have triggered this??</t>
        </is>
      </c>
      <c r="D9130" t="n">
        <v>1</v>
      </c>
      <c r="E9130" t="n">
        <v>2</v>
      </c>
      <c r="F9130">
        <f>HYPERLINK("https://www.reddit.com/r/GERD/comments/hs6yaz/reflux_after_going_to_the_dentist/")</f>
        <v/>
      </c>
      <c r="G9130" t="inlineStr">
        <is>
          <t>2020-07-16 03:04:50</t>
        </is>
      </c>
      <c r="H9130" t="inlineStr"/>
    </row>
    <row r="9131">
      <c r="A9131" t="inlineStr">
        <is>
          <t>hs7dxt</t>
        </is>
      </c>
      <c r="B9131" t="inlineStr">
        <is>
          <t>Sweating and heat</t>
        </is>
      </c>
      <c r="C9131" t="inlineStr">
        <is>
          <t>Has anyone experienced sweating and heat in the evening before going to bed?
I believe its heartburn because if I take a tum it calms down. I also check my temp and it is normal so no fever.</t>
        </is>
      </c>
      <c r="D9131" t="n">
        <v>1</v>
      </c>
      <c r="E9131" t="n">
        <v>1</v>
      </c>
      <c r="F9131">
        <f>HYPERLINK("https://www.reddit.com/r/GERD/comments/hs7dxt/sweating_and_heat/")</f>
        <v/>
      </c>
      <c r="G9131" t="inlineStr">
        <is>
          <t>2020-07-16 03:44:04</t>
        </is>
      </c>
      <c r="H9131" t="inlineStr"/>
    </row>
    <row r="9132">
      <c r="A9132" t="inlineStr">
        <is>
          <t>hs84ad</t>
        </is>
      </c>
      <c r="B9132" t="inlineStr">
        <is>
          <t>iQoro vs inspiratory muscle trainer?</t>
        </is>
      </c>
      <c r="C9132" t="inlineStr">
        <is>
          <t>I have GERD and LPR. I recently found a post talking about the iQoro and inspiratory muscle trainers as cures. The post didn't really go into detail and it seems that iQoro is for hiatal hernias and increasing LES pressure, while inspiratory muscle trainers are for increasing LES pressure. I looked up the iQoro and apparently the way it helps for hernias is by training the LES. So...
Given the huge difference in price, I'd obviously prefer the more affordable option if they're both similar, but at the same time I'm not sure if I'm missing anything and if I should go for the iQoro instead (also, the fact that it's marketed as targeting reflux might as opposed to inspiratory muscle trainers that focus more on actual breathing in their marketing might count for something).
Any advice would be much appreciated!</t>
        </is>
      </c>
      <c r="D9132" t="n">
        <v>1</v>
      </c>
      <c r="E9132" t="n">
        <v>7</v>
      </c>
      <c r="F9132">
        <f>HYPERLINK("https://www.reddit.com/r/GERD/comments/hs84ad/iqoro_vs_inspiratory_muscle_trainer/")</f>
        <v/>
      </c>
      <c r="G9132" t="inlineStr">
        <is>
          <t>2020-07-16 04:43:02</t>
        </is>
      </c>
      <c r="H9132" t="inlineStr"/>
    </row>
    <row r="9133">
      <c r="A9133" t="inlineStr">
        <is>
          <t>hs8p5c</t>
        </is>
      </c>
      <c r="B9133" t="inlineStr">
        <is>
          <t>Tapering Question</t>
        </is>
      </c>
      <c r="C9133" t="inlineStr">
        <is>
          <t>I’m tapering down from 40mg am + 40mg pm of omeprazole. Anyone know how long of a time period I show take to reduce the doses? I take 2 20mg pills, so I have the option to step down by 20mgs each. 
Is it weeks? Or days?</t>
        </is>
      </c>
      <c r="D9133" t="n">
        <v>1</v>
      </c>
      <c r="E9133" t="n">
        <v>5</v>
      </c>
      <c r="F9133">
        <f>HYPERLINK("https://www.reddit.com/r/GERD/comments/hs8p5c/tapering_question/")</f>
        <v/>
      </c>
      <c r="G9133" t="inlineStr">
        <is>
          <t>2020-07-16 05:26:02</t>
        </is>
      </c>
      <c r="H9133" t="inlineStr"/>
    </row>
    <row r="9134">
      <c r="A9134" t="inlineStr">
        <is>
          <t>hs9f1i</t>
        </is>
      </c>
      <c r="B9134" t="inlineStr">
        <is>
          <t>How long before relief with low-acid diet?</t>
        </is>
      </c>
      <c r="C9134" t="inlineStr">
        <is>
          <t>For those of you who have done the low acid diet thing to help with LPR, how long until you started feeling significantly better?</t>
        </is>
      </c>
      <c r="D9134" t="n">
        <v>1</v>
      </c>
      <c r="E9134" t="n">
        <v>15</v>
      </c>
      <c r="F9134">
        <f>HYPERLINK("https://www.reddit.com/r/GERD/comments/hs9f1i/how_long_before_relief_with_lowacid_diet/")</f>
        <v/>
      </c>
      <c r="G9134" t="inlineStr">
        <is>
          <t>2020-07-16 06:14:00</t>
        </is>
      </c>
      <c r="H9134" t="inlineStr"/>
    </row>
    <row r="9135">
      <c r="A9135" t="inlineStr">
        <is>
          <t>hsanyd</t>
        </is>
      </c>
      <c r="B9135" t="inlineStr">
        <is>
          <t>Abdominal pain with heartburn makes working out difficult. Any tips?</t>
        </is>
      </c>
      <c r="C9135" t="inlineStr">
        <is>
          <t>So, I don’t technically have GERD - at least I haven’t been diagnosed with it - but I have GERD like symptoms. 
Heartburn and abdominal pain &amp;amp; discomfort over the stomach. I’ve run the gambit of every test there is. GI scope, ultrasound, MRI, etc etc. 
I don’t have a hernia or anything like that. Physically, everything looks pretty okay. So, they aren’t entirely sure what I’m dealing with. The term I’ve heard be used is visceral hypersensitivity. 
Anyways. 
I wanna start working out again but it makes my heartburn worse and pisses off my stomach. 
Any tips? 
Thank you.</t>
        </is>
      </c>
      <c r="D9135" t="n">
        <v>1</v>
      </c>
      <c r="E9135" t="n">
        <v>2</v>
      </c>
      <c r="F9135">
        <f>HYPERLINK("https://www.reddit.com/r/GERD/comments/hsanyd/abdominal_pain_with_heartburn_makes_working_out/")</f>
        <v/>
      </c>
      <c r="G9135" t="inlineStr">
        <is>
          <t>2020-07-16 07:32:15</t>
        </is>
      </c>
      <c r="H9135" t="inlineStr"/>
    </row>
    <row r="9136">
      <c r="A9136" t="inlineStr">
        <is>
          <t>hsb8nc</t>
        </is>
      </c>
      <c r="B9136" t="inlineStr">
        <is>
          <t>More Advice please</t>
        </is>
      </c>
      <c r="C9136" t="inlineStr">
        <is>
          <t>I’ve already posted a couple of times asking questions and I still have more. After suffering for a year with swallowing issues and not knowing what was wrong I went to the doctor to be told it was GERD. I was given Prilosec on June 11th and told to call in one month and let her know if I was seeing any progress. I called A month later and let her know that I really wasn’t seeing a lot of progress..Just a little relief in the throat. She said continue the Prilosec for one more month and then let her know because she thinks I just need a little more time and if things aren’t better that’s when she will refer me to a GI. I have now been on the meds for 35 days. I am still only drinking broth. I attempt to eat a bite of solids and it feels like it goes down my throat much more smoothly than it was BUT the feeling in my chest and at the bottom of my throat is unbearable so I return to my liquid dinners. I have almost an entire month to go before I call her back and I don’t know if I can tolerate this. I feel like I will always have this stuffy chest feeling for the rest of my life. I feel like something is stuffed in the bottom of my throat and chest and I can’t breath and sometimes feel I’m choking when I try A solid food(last time I spoke with my doctor she told me that I need to try to eat a solid but I physically cannot!!) All liquids go down just fine. Should I go ahead and demand a referral??? She is the type of doctor that will listen to what I want but does insist that she thinks the meds will start working so I just went with that. I’m still losing weight daily. Went from 214 a year ago and am now 157. I’m so depressed and all I do is cry and feel hopeless. Does anyone have any ideas of what I could make to comfortably eat ? Will this ever ever ever get better???????</t>
        </is>
      </c>
      <c r="D9136" t="n">
        <v>1</v>
      </c>
      <c r="E9136" t="n">
        <v>7</v>
      </c>
      <c r="F9136">
        <f>HYPERLINK("https://www.reddit.com/r/GERD/comments/hsb8nc/more_advice_please/")</f>
        <v/>
      </c>
      <c r="G9136" t="inlineStr">
        <is>
          <t>2020-07-16 08:05:49</t>
        </is>
      </c>
      <c r="H9136" t="inlineStr"/>
    </row>
    <row r="9137">
      <c r="A9137" t="inlineStr">
        <is>
          <t>hsc0ot</t>
        </is>
      </c>
      <c r="B9137" t="inlineStr">
        <is>
          <t>My dad has H Pylori. Should I be concerned for myself?</t>
        </is>
      </c>
      <c r="C9137" t="inlineStr">
        <is>
          <t>My dad was just diagnosed with H Pylori. It was revealed through an endoscopy after he had sever stomach burning.  He's taking antibiotics now.
&amp;amp;#x200B;
Should I be concerned for myself? I saw this bacteria is contagious through saliva, and my family and I share utensils, drinks out of the same glasses sometimes, and we are near him when talking. His older brother passed away from stomach cancer.</t>
        </is>
      </c>
      <c r="D9137" t="n">
        <v>1</v>
      </c>
      <c r="E9137" t="n">
        <v>2</v>
      </c>
      <c r="F9137">
        <f>HYPERLINK("https://www.reddit.com/r/GERD/comments/hsc0ot/my_dad_has_h_pylori_should_i_be_concerned_for/")</f>
        <v/>
      </c>
      <c r="G9137" t="inlineStr">
        <is>
          <t>2020-07-16 08:50:24</t>
        </is>
      </c>
      <c r="H9137" t="inlineStr"/>
    </row>
    <row r="9138">
      <c r="A9138" t="inlineStr">
        <is>
          <t>hscj13</t>
        </is>
      </c>
      <c r="B9138" t="inlineStr">
        <is>
          <t>Coughing?</t>
        </is>
      </c>
      <c r="C9138" t="inlineStr">
        <is>
          <t>Does anybody else get a dry cough that’s comes from more of the throat area? Are kind of like a feeling of always needing to cough? This has been me for the past few days. I went to doctor yesterday for something else but I asked him to check my lungs and he said they sounded good plus I had a 99 on my oximeter. On top of this cough feeling I’ve had a lot of mucus in the back of my throat and been burping a lot. I should say I had a scope in May and the doctor said my esophagus was slightly irritated.</t>
        </is>
      </c>
      <c r="D9138" t="n">
        <v>1</v>
      </c>
      <c r="E9138" t="n">
        <v>6</v>
      </c>
      <c r="F9138">
        <f>HYPERLINK("https://www.reddit.com/r/GERD/comments/hscj13/coughing/")</f>
        <v/>
      </c>
      <c r="G9138" t="inlineStr">
        <is>
          <t>2020-07-16 09:19:04</t>
        </is>
      </c>
      <c r="H9138" t="inlineStr"/>
    </row>
    <row r="9139">
      <c r="A9139" t="inlineStr">
        <is>
          <t>hsdi8i</t>
        </is>
      </c>
      <c r="B9139" t="inlineStr">
        <is>
          <t>LPR and Acid Watchers Questions</t>
        </is>
      </c>
      <c r="C9139" t="inlineStr">
        <is>
          <t>Does anyone else have acid reflux in their throat all day long? This started for me this month, out of no where after eating some ice cream one night and after over the course of 2 days I completely lost my voice.  
I went to a voice ENT specialist and he confirmed I had LPR. Didn't see anything else going on when he put the fun tube down my nose. I am struggling to recover my voice. Hoarse isn't even the word. It cuts in and out constantly. Some nights I think I might have it mostly back and the next morning I am back to nothing.  
A lot of people recommended Acid Watchers diet to me.... it has been a complete fail and not fail because it's hard to do, but fail because I cannot eat half the things that are recommended to consume. I feel like I am suddenly allergic and react to almost everything and anything I eat. Almost every recipe in that book includes Olive Oil and I noticed that any olive oil sends my reflux and indigestion into over drive. This has been happening with a lot of foods.  
I do not eat anything that's considered a "trigger" from the trigger list. I am wondering if anyone else has an issue with reacting to almost everything. Part of me wishes my GERD/LPR were not in my throat because it affecting my voice is overwhelming to say the least.</t>
        </is>
      </c>
      <c r="D9139" t="n">
        <v>1</v>
      </c>
      <c r="E9139" t="n">
        <v>9</v>
      </c>
      <c r="F9139">
        <f>HYPERLINK("https://www.reddit.com/r/GERD/comments/hsdi8i/lpr_and_acid_watchers_questions/")</f>
        <v/>
      </c>
      <c r="G9139" t="inlineStr">
        <is>
          <t>2020-07-16 10:04:53</t>
        </is>
      </c>
      <c r="H9139" t="inlineStr"/>
    </row>
    <row r="9140">
      <c r="A9140" t="inlineStr">
        <is>
          <t>hsdw6k</t>
        </is>
      </c>
      <c r="B9140" t="inlineStr">
        <is>
          <t>Lansoprozale</t>
        </is>
      </c>
      <c r="C9140" t="inlineStr">
        <is>
          <t>nothing to say, except it works for me, im so happy, i ate ice cream with next to zero symptoms, this is awesome</t>
        </is>
      </c>
      <c r="D9140" t="n">
        <v>1</v>
      </c>
      <c r="E9140" t="n">
        <v>3</v>
      </c>
      <c r="F9140">
        <f>HYPERLINK("https://www.reddit.com/r/GERD/comments/hsdw6k/lansoprozale/")</f>
        <v/>
      </c>
      <c r="G9140" t="inlineStr">
        <is>
          <t>2020-07-16 10:22:58</t>
        </is>
      </c>
      <c r="H9140" t="inlineStr"/>
    </row>
    <row r="9141">
      <c r="A9141" t="inlineStr">
        <is>
          <t>hsef7j</t>
        </is>
      </c>
      <c r="B9141" t="inlineStr">
        <is>
          <t>Have people had success trying a switch to a different PPI?</t>
        </is>
      </c>
      <c r="C9141" t="inlineStr">
        <is>
          <t>I went to an ENT and was diagnosed with LPR in mid-June using the flexible tube up the nose and down the throat.   Also had a espophagram and barium swallow and was diagnosed with moderate to severe reflux.  He has me taking 40mg omeprazole twice a day.   From what I can see, I don't think it is doing much for me.   I am still having throat issues and lung issues.   
I know that is a pretty strong dosage and if that much is not knocking out the symptoms, then I would consider that a fail.   I go for another appt on July 24 - my fear is he just says "give it another month".   Has anyone had success switching to a different PPI and saw better success?   Just thinking of questions I can ask the doctor when I go.</t>
        </is>
      </c>
      <c r="D9141" t="n">
        <v>1</v>
      </c>
      <c r="E9141" t="n">
        <v>7</v>
      </c>
      <c r="F9141">
        <f>HYPERLINK("https://www.reddit.com/r/GERD/comments/hsef7j/have_people_had_success_trying_a_switch_to_a/")</f>
        <v/>
      </c>
      <c r="G9141" t="inlineStr">
        <is>
          <t>2020-07-16 10:48:53</t>
        </is>
      </c>
      <c r="H9141" t="inlineStr"/>
    </row>
    <row r="9142">
      <c r="A9142" t="inlineStr">
        <is>
          <t>hsf23q</t>
        </is>
      </c>
      <c r="B9142" t="inlineStr">
        <is>
          <t>For those nervous about Endoscopy</t>
        </is>
      </c>
      <c r="C9142" t="inlineStr">
        <is>
          <t>I thought I would share a positive endoscopy experience for those who are nervous. I am such an anxious person and was very nervous about having an endoscopy done. I am an hour and a half out of mine now and it was such a breeze. As a bit of background I began having terrible bouts of regurgitation, indigestion, burping, acid reflux, and some stomach pains in February which were only relieved by PPI’s. My doctor wanted me to get an endoscopy since these symptoms came out of nowhere and so I went to do that today. My mother has GERD and my doctor suspected I might be developing it as well. 
They admitted me into a room where they draped a hospital gown over my clothes (I didn’t have to get undressed), and they propped me up on pillows and covered me with lots of blankets. The nurse started my IV, which was just saline fluids and had me get comfortable and wait to be wheeled into the procedure room. I had the sweetest nurse taking care of me and she went over the risks of the procedure with me and told me they would tell my husband (he was my driver, which was required)  and me what they found on the endoscopy as soon as I woke up in recovery. She said I probably wouldn’t remember it so they would send home a sheet explaining everything for me. 
I stayed in that room for about 30 minutes and then another nurse came and got me and wheeled me into the procedure room. They hooked me up to monitors, put me on oxygen,  and a blood pressure band and me and anesthesiologist talked about how shitty season 8 of Game of Thrones was until my doctor came in. The nurse had me roll onto my left side and put what appeared to be a weird BDSM gag in my mouth😂. It was just a piece of plastic with a hole to put the endoscopy camera through. As the anesthesiologist gave me the propofol the nurse said “you’re going to start getting sleepy.” And I’m pretty sure I blinked twice and do not remember anything else until I woke up in recovery. 
I woke up and another nurse told me I was in recovery and doing fine. To my surprise, I felt completely sober. I remember everything from the moment I woke up. She had me rest for about 15 more minutes and the doctor came in to explain what he had found (which was nothing, unfortunately so I still do not have answers, but am also a bit relieved it was nothing serious). They offered me something to drink but I refused as I felt fine.
After the 15 minutes of rest was up the nurse had me take off my gown and put my shoes back on and my husband pulled around back to pick me up. I got out of bed and felt fine, walked fine, again, felt completely sober and normal. 
They advised me to eat something bland first and if I tolerated that well I could eat whatever I wanted. They said not to drive for the rest of the day or make any important decisions. 
My husband and I got milk shakes on the way home. 
My throat feels fine. A little dry but not sore at all. I am pleasantly surprised at how easy it all went from start to finish and am pleasantly surprised to be feeling back to my normal self afterwards. 
I just wanted to share my experience for those of you who may be nervous about getting the endoscopy or about being under anesthesia during it. It was such a good sleep I asked the nurse if I could take some home! 
Best of luck to all of you.</t>
        </is>
      </c>
      <c r="D9142" t="n">
        <v>1</v>
      </c>
      <c r="E9142" t="n">
        <v>32</v>
      </c>
      <c r="F9142">
        <f>HYPERLINK("https://www.reddit.com/r/GERD/comments/hsf23q/for_those_nervous_about_endoscopy/")</f>
        <v/>
      </c>
      <c r="G9142" t="inlineStr">
        <is>
          <t>2020-07-16 11:19:54</t>
        </is>
      </c>
      <c r="H9142" t="inlineStr"/>
    </row>
    <row r="9143">
      <c r="A9143" t="inlineStr">
        <is>
          <t>hsfupg</t>
        </is>
      </c>
      <c r="B9143" t="inlineStr">
        <is>
          <t>If you can't drink coffee, try Forskohlii (energy, cognitive improvements)</t>
        </is>
      </c>
      <c r="C9143" t="inlineStr">
        <is>
          <t>I've been weaning off caffeine but my energy levels are super low and it's difficult to focus. foskohlii is a [nootropic that enhances learning, boosts mood, and memory function](https://supplementsinreview.com/nootropic/forskolin-nootropic/). I didn't realy notice it when I was drinking coffee (except if i took it too late in the day, it would keep me up at night), but now that I've been off coffee, it makes a huge difference. I feel so much more alert and awake, even though I had no coffee today. I haven't had any increase in GERD symptoms (I mostly have LPR anyway, but coffee or tea were SUPER irritating to my throat) and I only take around 125mg.</t>
        </is>
      </c>
      <c r="D9143" t="n">
        <v>1</v>
      </c>
      <c r="E9143" t="n">
        <v>0</v>
      </c>
      <c r="F9143">
        <f>HYPERLINK("https://www.reddit.com/r/GERD/comments/hsfupg/if_you_cant_drink_coffee_try_forskohlii_energy/")</f>
        <v/>
      </c>
      <c r="G9143" t="inlineStr">
        <is>
          <t>2020-07-16 12:00:05</t>
        </is>
      </c>
      <c r="H9143" t="inlineStr"/>
    </row>
    <row r="9144">
      <c r="A9144" t="inlineStr">
        <is>
          <t>hshka2</t>
        </is>
      </c>
      <c r="B9144" t="inlineStr">
        <is>
          <t>Is this GERD?</t>
        </is>
      </c>
      <c r="C9144" t="inlineStr">
        <is>
          <t>I’ve had sort of a burning sensation and pain in my esophagus while swallowing certain foods for about 2 weeks. Not severe, but enough to be bothersome and worry about what I’m eating.
I drink a large shake every night before bed for probably the last 18 months, like 16 oz of milk with protein. Do you think this alone could be irritating my esophagus? 
How soon before bed do I need to stop drinking or eating?</t>
        </is>
      </c>
      <c r="D9144" t="n">
        <v>1</v>
      </c>
      <c r="E9144" t="n">
        <v>4</v>
      </c>
      <c r="F9144">
        <f>HYPERLINK("https://www.reddit.com/r/GERD/comments/hshka2/is_this_gerd/")</f>
        <v/>
      </c>
      <c r="G9144" t="inlineStr">
        <is>
          <t>2020-07-16 13:21:32</t>
        </is>
      </c>
      <c r="H9144" t="inlineStr"/>
    </row>
    <row r="9145">
      <c r="A9145" t="inlineStr">
        <is>
          <t>hsig1y</t>
        </is>
      </c>
      <c r="B9145" t="inlineStr">
        <is>
          <t>Manometry is the worst test created in existence</t>
        </is>
      </c>
      <c r="C9145" t="inlineStr">
        <is>
          <t>I’ve been struck by a car, fractured my whole leg, had surgery twice, but god damn does that feel more appealing than What I went through with this test. The nurse made me snort half a cup of liquid lidocaine , then some spray in my mouth which tasted like poison. I read many comments and watched multiple videos on the procedure but god damn I was not prepared for what came after. Getting the tube down at first wasn’t so bad since it’s numb, but after that is the true hellish part. Every push you feel it push and tug inside your esophagus and after it was adjusted multiple times to find the right length. Then I had to hold my swallow for a minute and my saliva kept building up and it’s so hard to now swallow. Then she gave me 10 sips of disgusting salty water, just use normal water ffs, she put like so much at once and I could barely swallow all of it at once. Then the viscous jelly like substance came and god did I not wish for death after it. She put half a gallon of jelly in my mouth and told me to swallow but it’s literally impossible. I could barely swallow without pain from the tube and with so much in my mouth I ended up choking and it made it so much worse. The test might have not even been done properly and if I don’t get the report and have to redo it , I might just give up on getting a diagnosis and fuck it. I’d rather stay up all night with burning in my throat than those 20 minutes. I’d recommend everyone to ask for extra numbing solution.</t>
        </is>
      </c>
      <c r="D9145" t="n">
        <v>1</v>
      </c>
      <c r="E9145" t="n">
        <v>9</v>
      </c>
      <c r="F9145">
        <f>HYPERLINK("https://www.reddit.com/r/GERD/comments/hsig1y/manometry_is_the_worst_test_created_in_existence/")</f>
        <v/>
      </c>
      <c r="G9145" t="inlineStr">
        <is>
          <t>2020-07-16 14:08:03</t>
        </is>
      </c>
      <c r="H9145" t="inlineStr"/>
    </row>
    <row r="9146">
      <c r="A9146" t="inlineStr">
        <is>
          <t>hsjoe4</t>
        </is>
      </c>
      <c r="B9146" t="inlineStr">
        <is>
          <t>Food stuck in chest, feels like Im drowning.</t>
        </is>
      </c>
      <c r="C9146" t="inlineStr">
        <is>
          <t>ive had GERD since i was bottle fed. my poor mum had to get a special bottle for me in everything. 
unfortunately, while eating, that weird drowning feeling had been the worst its ever been. i can breathe fine, it just feels like im drowning, its pretty damn painful and i cant even imagine the face im pulling. prob like a pineapple is being shoved up my arse of something.
anyone else going through the same thing?</t>
        </is>
      </c>
      <c r="D9146" t="n">
        <v>1</v>
      </c>
      <c r="E9146" t="n">
        <v>1</v>
      </c>
      <c r="F9146">
        <f>HYPERLINK("https://www.reddit.com/r/GERD/comments/hsjoe4/food_stuck_in_chest_feels_like_im_drowning/")</f>
        <v/>
      </c>
      <c r="G9146" t="inlineStr">
        <is>
          <t>2020-07-16 15:17:38</t>
        </is>
      </c>
      <c r="H9146" t="inlineStr"/>
    </row>
    <row r="9147">
      <c r="A9147" t="inlineStr">
        <is>
          <t>hsjykm</t>
        </is>
      </c>
      <c r="B9147" t="inlineStr">
        <is>
          <t>Dysphagia / Pain While Eating</t>
        </is>
      </c>
      <c r="C9147" t="inlineStr">
        <is>
          <t>Hi everyone. I want to know if some of you also suffer from pain while eating. I began to show symptons of GERD about two months before the pain started. It was so bad I couldn‘t possibily eat. It hurts in the esophagus right above the stomach. That‘s when I went to find a doctor. 
I was on omeprazols for a month, which did help the pain but didn’t solve it. It also ended all of my other symptons (heartburn and reflux). Now, I have to wait 60 days to get an endoscopy. My doctor says it‘s not really necessary because I just turned 18 (F), am completely healthy (I did a full blood work) and my symptons aren‘t bad. Although, some days I still feel a lot of pain, specially when eating dry food (fries, rice, pasta) and I also notice that when eating hurts the worst, I get reflux after. 
I am starting to get scared that I might have some kind of tumor or something serious and honestly I just want the pain to stop. Everyone‘s always talking about how painful heartbun is, but I always get pain when I‘m eating, not heartburn or reflux. The doctor says it‘s not abnormal but no one understands how I feel. I just want to know if any of you feel it too and if there‘s anything you do to manage it. I am on a diet, I eat healthy most of the time (except for a burger every once in a while) and I still somedays I have to stop eating because I can‘t bear the pain. I would be happy to hear from you, if you suffer from this too.</t>
        </is>
      </c>
      <c r="D9147" t="n">
        <v>1</v>
      </c>
      <c r="E9147" t="n">
        <v>4</v>
      </c>
      <c r="F9147">
        <f>HYPERLINK("https://www.reddit.com/r/GERD/comments/hsjykm/dysphagia_pain_while_eating/")</f>
        <v/>
      </c>
      <c r="G9147" t="inlineStr">
        <is>
          <t>2020-07-16 15:34:05</t>
        </is>
      </c>
      <c r="H9147" t="inlineStr"/>
    </row>
    <row r="9148">
      <c r="A9148" t="inlineStr">
        <is>
          <t>hske7f</t>
        </is>
      </c>
      <c r="B9148" t="inlineStr">
        <is>
          <t>Heartburn?</t>
        </is>
      </c>
      <c r="C9148" t="inlineStr">
        <is>
          <t>Does anyone else get burning in the face/back of the head during heartburn? Or a prickly like heat feeling in the chest/ back ? This mainly happens to me when I lay down and as soon I get up I get relief.</t>
        </is>
      </c>
      <c r="D9148" t="n">
        <v>1</v>
      </c>
      <c r="E9148" t="n">
        <v>1</v>
      </c>
      <c r="F9148">
        <f>HYPERLINK("https://www.reddit.com/r/GERD/comments/hske7f/heartburn/")</f>
        <v/>
      </c>
      <c r="G9148" t="inlineStr">
        <is>
          <t>2020-07-16 16:00:05</t>
        </is>
      </c>
      <c r="H9148" t="inlineStr"/>
    </row>
    <row r="9149">
      <c r="A9149" t="inlineStr">
        <is>
          <t>hskksg</t>
        </is>
      </c>
      <c r="B9149" t="inlineStr">
        <is>
          <t>Anyone want to try or expand upon this simple technique?</t>
        </is>
      </c>
      <c r="C9149" t="inlineStr">
        <is>
          <t>So I had no idea acid reflux was that big of an issue for me, but it is.  It affects my breathing, my speech, my sleep.
Ive done a simple method the past 2 days and I wake up with clarity.  Not acid-y burps, or locked up wind pipes, or feeling of disconnection or anxiety.  First, which I’m sure almost everyone knows is that you don’t eat that close to bedtime, 4 hours.
You eat one meal in an hour window a day.  You do not slouch, you don’t lay down, and you don’t drink much water in the next 4 hours.  Maybe 1/2 cup to 1 cup of water in that 4 hours.  Then you can drink as much as you want.
I was curious about this, because I thought staying super hydrated kept me feeling good.  But I feel no real difference staying very hydrated or low hydrated if I wait between that 4 hour window.  Which leads me to believe all that water creates a bigger cycle of more stomach acid.
I could only find one study.  And it showed just one glass of water increased stomach Ph with a meal.
I should add I’ve been an idiot and eating pretty fatty foods, but I do think correcting iron issues has also made it a bit harder, because iron has a somewhat close relationship to stomach acid and true GERD.</t>
        </is>
      </c>
      <c r="D9149" t="n">
        <v>1</v>
      </c>
      <c r="E9149" t="n">
        <v>2</v>
      </c>
      <c r="F9149">
        <f>HYPERLINK("https://www.reddit.com/r/GERD/comments/hskksg/anyone_want_to_try_or_expand_upon_this_simple/")</f>
        <v/>
      </c>
      <c r="G9149" t="inlineStr">
        <is>
          <t>2020-07-16 16:11:31</t>
        </is>
      </c>
      <c r="H9149" t="inlineStr"/>
    </row>
    <row r="9150">
      <c r="A9150" t="inlineStr">
        <is>
          <t>hsl566</t>
        </is>
      </c>
      <c r="B9150" t="inlineStr">
        <is>
          <t>Belching triggered when raising arms or arms elevated</t>
        </is>
      </c>
      <c r="C9150" t="inlineStr">
        <is>
          <t>Anyone get excessive belching from raising their arms medium to high or carrying thing, mainly things a that are heavy?</t>
        </is>
      </c>
      <c r="D9150" t="n">
        <v>1</v>
      </c>
      <c r="E9150" t="n">
        <v>1</v>
      </c>
      <c r="F9150">
        <f>HYPERLINK("https://www.reddit.com/r/GERD/comments/hsl566/belching_triggered_when_raising_arms_or_arms/")</f>
        <v/>
      </c>
      <c r="G9150" t="inlineStr">
        <is>
          <t>2020-07-16 16:46:04</t>
        </is>
      </c>
      <c r="H9150" t="inlineStr"/>
    </row>
    <row r="9151">
      <c r="A9151" t="inlineStr">
        <is>
          <t>hsm8vl</t>
        </is>
      </c>
      <c r="B9151" t="inlineStr">
        <is>
          <t>Dear Gerd Family</t>
        </is>
      </c>
      <c r="C9151" t="inlineStr">
        <is>
          <t>I'm tired of gass. I have to burp and fart a lot since few months. I got rid of my acid reflux somehow but this is not going away plz help.
Endoscopy came perfect
Bloodwork came perfect
I started yesterday with a gluten free and lactose free diet to see if i got any intolerance but i'm still burping and farting like i used to before so i'm not sure if it's too soon to say anything but i'll give this diet a week atleast.
I ordered digestive enzymes and gas-x which will take another week or 2 because i ordered both from states and i live in Europe.
If you have any advice please share.</t>
        </is>
      </c>
      <c r="D9151" t="n">
        <v>1</v>
      </c>
      <c r="E9151" t="n">
        <v>1</v>
      </c>
      <c r="F9151">
        <f>HYPERLINK("https://www.reddit.com/r/GERD/comments/hsm8vl/dear_gerd_family/")</f>
        <v/>
      </c>
      <c r="G9151" t="inlineStr">
        <is>
          <t>2020-07-16 17:57:47</t>
        </is>
      </c>
      <c r="H9151" t="inlineStr"/>
    </row>
    <row r="9152">
      <c r="A9152" t="inlineStr">
        <is>
          <t>hsmto0</t>
        </is>
      </c>
      <c r="B9152" t="inlineStr">
        <is>
          <t>Is it normal with this to feel like there is a pit in your chest?</t>
        </is>
      </c>
      <c r="C9152" t="inlineStr">
        <is>
          <t>I have been taking Prilosec for almost 2 weeks now and I can feel like a dull feeling in my chest that sometimes feels like heartburn and it comes up into my throat. On top of that I also have abdominal pain sometimes. Does Prilosec have some side effects or is this something else?</t>
        </is>
      </c>
      <c r="D9152" t="n">
        <v>1</v>
      </c>
      <c r="E9152" t="n">
        <v>5</v>
      </c>
      <c r="F9152">
        <f>HYPERLINK("https://www.reddit.com/r/GERD/comments/hsmto0/is_it_normal_with_this_to_feel_like_there_is_a/")</f>
        <v/>
      </c>
      <c r="G9152" t="inlineStr">
        <is>
          <t>2020-07-16 18:36:33</t>
        </is>
      </c>
      <c r="H9152" t="inlineStr"/>
    </row>
    <row r="9153">
      <c r="A9153" t="inlineStr">
        <is>
          <t>hsn37g</t>
        </is>
      </c>
      <c r="B9153" t="inlineStr">
        <is>
          <t>Endoscopy Complete! I have Esophagitis!</t>
        </is>
      </c>
      <c r="C9153" t="inlineStr">
        <is>
          <t>Hi all, long time lurker here. One time prior poster. 
I've been dealing with GERD for nearly two years. Today I finally got an Endoscopy and was diagnosed with Esophagitis. My GI believes I have a food allergy or perhaps multiple food allergies, he did not see any sign of GERD or HH. It's entirely possible I don't have GERD at all, and instead my reflux is being cause by eating foods that I am allergic/intolerant too. I might even have a Gluten allergy (if I can't eat Chick-fil-A anymore....)
Allergy stuff aside, it's difficult to describe how happy I am to finally have a diagnosis. For years now I've been stressing about having a HH, GERD, or even cancer. To those of you that do have it, you are incredibly strong people. You pump me up. You are warriors.
I'm ranting a bit, but here is my message with this post:
1 - Don't delay on getting an endoscopy. I saw a GI about a year after my symptoms showed up and he said "It's probably just GERD. Tough. Take some Zantac for six months and come back if you're still having issues."
I foolishly complied with this. If I could go back now I would've told that GI he could stuff it and schedule me for an endoscopy or I'd find a new GI to give money to. As soon as I saw my present GI he immediately scheduled me for an endoscopy and was extremely helpful.
2 - Do not be nervous about getting an endoscopy. I wasn't nervous till they rolled me into the procedure room..then I got very nervous. My heart rate shot to like 90 beats a minute. My anxiety was unnecessary. It's the easiest thing ever. They sedated me and I was in REM sleep mode in seconds. It was honestly the best sleep I've gotten in a few days, dreams and all. 
Thanks for all the help and guidance throughout the last two years.</t>
        </is>
      </c>
      <c r="D9153" t="n">
        <v>1</v>
      </c>
      <c r="E9153" t="n">
        <v>22</v>
      </c>
      <c r="F9153">
        <f>HYPERLINK("https://www.reddit.com/r/GERD/comments/hsn37g/endoscopy_complete_i_have_esophagitis/")</f>
        <v/>
      </c>
      <c r="G9153" t="inlineStr">
        <is>
          <t>2020-07-16 18:54:22</t>
        </is>
      </c>
      <c r="H9153" t="inlineStr"/>
    </row>
    <row r="9154">
      <c r="A9154" t="inlineStr">
        <is>
          <t>hsobxf</t>
        </is>
      </c>
      <c r="B9154" t="inlineStr">
        <is>
          <t>Reflux symptoms worse after starting Famotidine?</t>
        </is>
      </c>
      <c r="C9154" t="inlineStr">
        <is>
          <t>Hi, I (20F) had an endoscopy a week ago. I was diagnosed with reflux esophagitis and acute gastritis. My GI doctor put me on 20 mg Famotidine, twice a day. It's been about a week of taking this medication - I also have been making an effort to avoid common trigger foods, eating 3 hours before bed, etc. But for some reason my symptoms have actually been worse than they were before I started taking the medicine (before I was just taking Mylanta as needed). 
Has this happened to anyone else after starting a medication? Should I wait it out or should I tell my doctor that I haven't seen any improvements?</t>
        </is>
      </c>
      <c r="D9154" t="n">
        <v>1</v>
      </c>
      <c r="E9154" t="n">
        <v>4</v>
      </c>
      <c r="F9154">
        <f>HYPERLINK("https://www.reddit.com/r/GERD/comments/hsobxf/reflux_symptoms_worse_after_starting_famotidine/")</f>
        <v/>
      </c>
      <c r="G9154" t="inlineStr">
        <is>
          <t>2020-07-16 20:20:15</t>
        </is>
      </c>
      <c r="H9154" t="inlineStr"/>
    </row>
    <row r="9155">
      <c r="A9155" t="inlineStr">
        <is>
          <t>hsp3cq</t>
        </is>
      </c>
      <c r="B9155" t="inlineStr">
        <is>
          <t>Acid reflux from melatonin?</t>
        </is>
      </c>
      <c r="C9155" t="inlineStr">
        <is>
          <t>Does anyone else get acid reflux/heartburn or general discomfort from using melatonin? I can eat anything spicy or acidic at night and my omeprazole seems to handle it, but my melatonin always seems to give me acid reflux. Does anyone else experience this?</t>
        </is>
      </c>
      <c r="D9155" t="n">
        <v>1</v>
      </c>
      <c r="E9155" t="n">
        <v>7</v>
      </c>
      <c r="F9155">
        <f>HYPERLINK("https://www.reddit.com/r/GERD/comments/hsp3cq/acid_reflux_from_melatonin/")</f>
        <v/>
      </c>
      <c r="G9155" t="inlineStr">
        <is>
          <t>2020-07-16 21:14:50</t>
        </is>
      </c>
      <c r="H9155" t="inlineStr"/>
    </row>
    <row r="9156">
      <c r="A9156" t="inlineStr">
        <is>
          <t>hsq1r8</t>
        </is>
      </c>
      <c r="B9156" t="inlineStr">
        <is>
          <t>Does anyone else get upper abdominal pain and diarrhea?</t>
        </is>
      </c>
      <c r="C9156" t="inlineStr">
        <is>
          <t>I'm not sure if there is something else wrong with me or if this is normal with GERD. I've been getting really bad acid reflux for months and I've been taking my medication everyday but I doesn't seem to help much. ( I am suppose to have an endoscopy soon so i've been waiting for that.) Most days I am very bloated and have upper abdominal pain and heart burn. It almost feels like whenever I eat, the food just stays in my upper stomach/esophagus area.  I  am a very picky eater and my diet is good so i'm getting frustrated with how often I feel sick.  I woke up today with the runs and pretty bad stomach pain that is currently keeping me awake right now.  I've also felt nauseated all day and think I would feel much better if I could just throw up, but I'm terrified of throwing up so i'm an anxious wreck. The stomach pain is in the centre, just below my ribs.  I also find that my bowel movements are not "on schedule" anymore.  I used to go every morning but now sometimes I wont go for 3 days, and then next thing you know i'm going 3 times a day. Is this normal?
Any advice is greatly appreciated :)</t>
        </is>
      </c>
      <c r="D9156" t="n">
        <v>1</v>
      </c>
      <c r="E9156" t="n">
        <v>2</v>
      </c>
      <c r="F9156">
        <f>HYPERLINK("https://www.reddit.com/r/GERD/comments/hsq1r8/does_anyone_else_get_upper_abdominal_pain_and/")</f>
        <v/>
      </c>
      <c r="G9156" t="inlineStr">
        <is>
          <t>2020-07-16 22:28:12</t>
        </is>
      </c>
      <c r="H9156" t="inlineStr"/>
    </row>
    <row r="9157">
      <c r="A9157" t="inlineStr">
        <is>
          <t>hsq38p</t>
        </is>
      </c>
      <c r="B9157" t="inlineStr">
        <is>
          <t>Does pepcid or Tagamet affect anyone else?</t>
        </is>
      </c>
      <c r="C9157" t="inlineStr">
        <is>
          <t>I will probably do a post about it sometime, but I'm the guy who did a long post about the TIF procedure back in December. I got it done in November and for the first month or two everything was fantastic. But at some point I started getting symptoms again, and LPR symptoms. 
Anyways, I hated being on PPIs as they always made it feel like I couldn't breathe, and then I switched to zantac which works best for me but as we all know they got rid of zantac. 
When I take pepcid I get a similar feeling where I feel like I can't breathe well, and I've tried tagamet recently, but it makes my body ache and feel like total crap. I almost wonder if I'm allergic to something in the pill itself like some inactive ingredient or something. 
Has anyone else had negative side effects with H2 blockers or PPIs?</t>
        </is>
      </c>
      <c r="D9157" t="n">
        <v>1</v>
      </c>
      <c r="E9157" t="n">
        <v>7</v>
      </c>
      <c r="F9157">
        <f>HYPERLINK("https://www.reddit.com/r/GERD/comments/hsq38p/does_pepcid_or_tagamet_affect_anyone_else/")</f>
        <v/>
      </c>
      <c r="G9157" t="inlineStr">
        <is>
          <t>2020-07-16 22:31:45</t>
        </is>
      </c>
      <c r="H9157" t="inlineStr"/>
    </row>
    <row r="9158">
      <c r="A9158" t="inlineStr">
        <is>
          <t>hsqc22</t>
        </is>
      </c>
      <c r="B9158" t="inlineStr">
        <is>
          <t>Oxygen saturation between 90%and 94%.</t>
        </is>
      </c>
      <c r="C9158" t="inlineStr">
        <is>
          <t>So sense yesterday my oxygen levels have been between 90 and 94%. When my reflux issues started after my allergic reaction to an antibiotic back in April randomly my oxygen would go below 95%. For me I've always been 95% or higher.
Today I woke up and checked on my phone again and I was at 92%. So I called my doctor. Her assistant let her know what was going on and she said that it wasn't a cause for concern to leave it alone. But it doesn't go above 95% unless I'm starting to panic.
I'm worried that acid is causing damage to my lung? I'm not weezing or anything like that. I feel dizziness/lightheaded also weak. Constantly paying attention to my breathing. I am recently trying to make myself actually eat even if I get reflux. My diet is really really bland so I don't know why its still causing so much pain. I'm malnourished. I tried mixing vitamins with some soy milk yogurt but maybe half way through it my stomach burned and hurt pretty bad. I'm really stressed,anxious and worried.
I called the hospital to get advice and they said they couldn't do that. I would have to go to the ER and I really don't want to do that bc of this pandemic bs. 
Any advice would be greatly appreciated.</t>
        </is>
      </c>
      <c r="D9158" t="n">
        <v>1</v>
      </c>
      <c r="E9158" t="n">
        <v>31</v>
      </c>
      <c r="F9158">
        <f>HYPERLINK("https://www.reddit.com/r/GERD/comments/hsqc22/oxygen_saturation_between_90and_94/")</f>
        <v/>
      </c>
      <c r="G9158" t="inlineStr">
        <is>
          <t>2020-07-16 22:52:35</t>
        </is>
      </c>
      <c r="H9158" t="inlineStr"/>
    </row>
    <row r="9159">
      <c r="A9159" t="inlineStr">
        <is>
          <t>hsqnvl</t>
        </is>
      </c>
      <c r="B9159" t="inlineStr">
        <is>
          <t>Gaviscon Advance, How do you swallow it without choking?</t>
        </is>
      </c>
      <c r="C9159" t="inlineStr">
        <is>
          <t>My first time trying this stuff. It does seem to work great. But it's so super thick that 1 teaspoon and I throw a coughing fit. I have to drink and gargle because it gets caught in the back of my throat and then runs down into my wind pipe.  Today I tried drinking some water after and it seemed to break it up quicker. But maybe you folks have some tricks?</t>
        </is>
      </c>
      <c r="D9159" t="n">
        <v>1</v>
      </c>
      <c r="E9159" t="n">
        <v>2</v>
      </c>
      <c r="F9159">
        <f>HYPERLINK("https://www.reddit.com/r/GERD/comments/hsqnvl/gaviscon_advance_how_do_you_swallow_it_without/")</f>
        <v/>
      </c>
      <c r="G9159" t="inlineStr">
        <is>
          <t>2020-07-16 23:21:38</t>
        </is>
      </c>
      <c r="H9159" t="inlineStr"/>
    </row>
    <row r="9160">
      <c r="A9160" t="inlineStr">
        <is>
          <t>hsrdg8</t>
        </is>
      </c>
      <c r="B9160" t="inlineStr">
        <is>
          <t>Which side do you non-back sleepers sleep on? Left or right?</t>
        </is>
      </c>
      <c r="C9160" t="inlineStr">
        <is>
          <t>In my experience, my symptoms have been a lot more tame when I sleep on my left side. I’d be interested in hearing your experiences.</t>
        </is>
      </c>
      <c r="D9160" t="n">
        <v>1</v>
      </c>
      <c r="E9160" t="n">
        <v>18</v>
      </c>
      <c r="F9160">
        <f>HYPERLINK("https://www.reddit.com/r/GERD/comments/hsrdg8/which_side_do_you_nonback_sleepers_sleep_on_left/")</f>
        <v/>
      </c>
      <c r="G9160" t="inlineStr">
        <is>
          <t>2020-07-17 00:24:50</t>
        </is>
      </c>
      <c r="H9160" t="inlineStr"/>
    </row>
    <row r="9161">
      <c r="A9161" t="inlineStr">
        <is>
          <t>hsu52v</t>
        </is>
      </c>
      <c r="B9161" t="inlineStr">
        <is>
          <t>Is buying an air fryer worth it to help with GERD symptoms?</t>
        </is>
      </c>
      <c r="C9161" t="inlineStr">
        <is>
          <t>We all know that fried, fatty foods are bad for you. But does anyone know if an air fryer is better for cooking and worth an investment? It uses minimal oil.</t>
        </is>
      </c>
      <c r="D9161" t="n">
        <v>1</v>
      </c>
      <c r="E9161" t="n">
        <v>21</v>
      </c>
      <c r="F9161">
        <f>HYPERLINK("https://www.reddit.com/r/GERD/comments/hsu52v/is_buying_an_air_fryer_worth_it_to_help_with_gerd/")</f>
        <v/>
      </c>
      <c r="G9161" t="inlineStr">
        <is>
          <t>2020-07-17 04:37:40</t>
        </is>
      </c>
      <c r="H9161" t="inlineStr"/>
    </row>
    <row r="9162">
      <c r="A9162" t="inlineStr">
        <is>
          <t>hsud29</t>
        </is>
      </c>
      <c r="B9162" t="inlineStr">
        <is>
          <t>Journey with Reflux</t>
        </is>
      </c>
      <c r="C9162" t="inlineStr">
        <is>
          <t>Full disclosure, I was not professionally diagnosed with GERD or LPR. However, the symptoms were quite obvious. I got sick earlier this year and was given antibiotics for about a week. I really believe it messed up my digestion because once I stopped my reflux began. My initial symptoms started with regurgitation of food and would wake up with phlegm in my throat. Side bar- I wasn't eating healthy at all and struggled with over consumption of coffee and definitely did not meet my water requirements for the day. 
I was determined to beat this without any medications, so I tried this alkalize diet and began to drink a ton of alkaline water for a few weeks.  I also cut coffee, alcohol and many of the popular trigger foods you find online. I also started consuming more probiotics as I read the terrible effects of antibiotics on the gut and figured there was a correlation. After a few weeks, I felt better and tested the waters with coffee and felt great. Thought I was cured LOL
Fast forward a few months ago, and I was back on my regular shitty diet and over consumption of coffee and the symptoms returned and with a vengeance. I started feeling pain in my chest, as if the bolus was just stuck in my esophagus. Then I'd feel bloating and trapped gas to the point where I felt like a balloon ready to pop. Worst of all, I started having panic attacks. When you experience pain in you chest you literally wonder wtf is going on and start to overthink and all of sudden your palms are sweaty and having shortness of breath. Gosh, that was the worst.
I forgot to add earlier this year I did go on Teledoc and spoke to a Dr who told me to try Pepcid. I didn't listen of course but after experiencing these panic attacks I wanted to commit to the process. June came around and I started to take 10mg Pepcid AC before bed every night for 2 weeks. Pretty safe, lose dosage for me. I started working out at least 60 minutes per day and after eating meals either sitting up right fully or even going on walks to help digestion. I've definitely been consuming more water to aid in digestion but could be drinking more. I've also eliminated again trigger foods that I noticed to bring up the reflux like greasy foods, processed foods specifically. Lastly, I try not to eat 3-4 hours before bed and when I lay down to rest I kind of sleep on an incline now.
So to end this lengthy post, I hope that I can share some approaches that has worked for me because everyday my symptoms have improved since. Diet and lifestyle changes, I will say, was the single most important factor for me. Of course, I'm sure some people are further down with severe damage but if these symptoms are new to you practice a lifestyle change. 
I recommend reading Fast Track Digestion which put a lot of emphasis on gut health. This book really has help me navigate through the science of digestion. 
Best of luck and thanks for reading :)</t>
        </is>
      </c>
      <c r="D9162" t="n">
        <v>1</v>
      </c>
      <c r="E9162" t="n">
        <v>7</v>
      </c>
      <c r="F9162">
        <f>HYPERLINK("https://www.reddit.com/r/GERD/comments/hsud29/journey_with_reflux/")</f>
        <v/>
      </c>
      <c r="G9162" t="inlineStr">
        <is>
          <t>2020-07-17 04:55:24</t>
        </is>
      </c>
      <c r="H9162" t="inlineStr"/>
    </row>
    <row r="9163">
      <c r="A9163" t="inlineStr">
        <is>
          <t>hswm5v</t>
        </is>
      </c>
      <c r="B9163" t="inlineStr">
        <is>
          <t>Has my gerd turn into barrets oesophagus?</t>
        </is>
      </c>
      <c r="C9163" t="inlineStr">
        <is>
          <t xml:space="preserve">
I’m 18 and a Male 
I’ve been having heartburn and chest pains and shortness of breath for a few weeks now especially when I lie down on my back and sometimes my back hurts as well. I went to the doctor and he gave me a drug called nexium to take every day. But I’m thinking this could be something much more.</t>
        </is>
      </c>
      <c r="D9163" t="n">
        <v>1</v>
      </c>
      <c r="E9163" t="n">
        <v>4</v>
      </c>
      <c r="F9163">
        <f>HYPERLINK("https://www.reddit.com/r/GERD/comments/hswm5v/has_my_gerd_turn_into_barrets_oesophagus/")</f>
        <v/>
      </c>
      <c r="G9163" t="inlineStr">
        <is>
          <t>2020-07-17 07:27:25</t>
        </is>
      </c>
      <c r="H9163" t="inlineStr"/>
    </row>
    <row r="9164">
      <c r="A9164" t="inlineStr">
        <is>
          <t>hsytbr</t>
        </is>
      </c>
      <c r="B9164" t="inlineStr">
        <is>
          <t>Vaping cannabis gives me heartburn ...</t>
        </is>
      </c>
      <c r="C9164" t="inlineStr">
        <is>
          <t>Only THC bud not CBD bud... but also only when I have a low tolerance. I just took a break for a bunch of medical procedures for the first time and my tolerance is low again and now it’s giving me heartburn. Anyone have a similar experience?
**PLEASE READ:** Don’t comment if it’s just going to be to tell me to stop using cannabis or to switch to edibles or tinctures. *I’m not looking for advice, I’m looking for information and people who relate.*</t>
        </is>
      </c>
      <c r="D9164" t="n">
        <v>1</v>
      </c>
      <c r="E9164" t="n">
        <v>12</v>
      </c>
      <c r="F9164">
        <f>HYPERLINK("https://www.reddit.com/r/GERD/comments/hsytbr/vaping_cannabis_gives_me_heartburn/")</f>
        <v/>
      </c>
      <c r="G9164" t="inlineStr">
        <is>
          <t>2020-07-17 09:30:13</t>
        </is>
      </c>
      <c r="H9164" t="inlineStr"/>
    </row>
    <row r="9165">
      <c r="A9165" t="inlineStr">
        <is>
          <t>hsyxu5</t>
        </is>
      </c>
      <c r="B9165" t="inlineStr">
        <is>
          <t>Fresh Aloe Vera for LPR/Throat Burn</t>
        </is>
      </c>
      <c r="C9165" t="inlineStr">
        <is>
          <t>I just wanted to come on here and share; I purchased a fresh stem(? leaf) of aloe from the grocery store, cleaned it and cut it into chunks. I've been consuming it for a week now and its really helped with soothe my throat and minimize flare ups. 
10/10 Would recommend \~ 
[https://www.youtube.com/watch?v=53PNLFugC0U](https://www.youtube.com/watch?v=53PNLFugC0U)</t>
        </is>
      </c>
      <c r="D9165" t="n">
        <v>1</v>
      </c>
      <c r="E9165" t="n">
        <v>19</v>
      </c>
      <c r="F9165">
        <f>HYPERLINK("https://www.reddit.com/r/GERD/comments/hsyxu5/fresh_aloe_vera_for_lprthroat_burn/")</f>
        <v/>
      </c>
      <c r="G9165" t="inlineStr">
        <is>
          <t>2020-07-17 09:37:05</t>
        </is>
      </c>
      <c r="H9165" t="inlineStr"/>
    </row>
    <row r="9166">
      <c r="A9166" t="inlineStr">
        <is>
          <t>hszog1</t>
        </is>
      </c>
      <c r="B9166" t="inlineStr">
        <is>
          <t>Tips for dealing with nausea?</t>
        </is>
      </c>
      <c r="C9166" t="inlineStr">
        <is>
          <t>Hi all, hoping I can get some advice. Around mid- March, I woke up one morning with really bad nausea and I haven’t known peace since. Everything, even “safe” foods, make me really nauseous. Doctor said it was probably acid reflux, and prescribed Riva Pantoprazole, which I’ve been taking for two months with minimal effects. 
I cut down on everything (all trigger foods and alcohol) and have started the acid watchers diet. The only thing I haven’t stopped is smoking weed ( I KNOW it’s bad) but that’s because it’s the only thing that helps with the nausea and I really don’t know what else to do. 
Other symptoms I have are: 
- feeling something stuck in throat constantly 
- acid taste 
- stomach pain
- headaches 
- fatigue 
All my doctor appointments keep getting cancelled or push backed and the soonest I can see a gastro specialist is the 27th. I’m honestly getting really depressed because I can’t eat anything (my mood is very hunger sensitive) and I don’t have the energy to do anything, in addition to isolation and quarantine and everything else going on. 
All this to say is that does anyone have any suggestions on dealing with nausea (assume I’ve tried all the usual solutions like ginger, gravol etc)? Or how to combat fatigue and low energy without caffeine? I really feel like I’m at my wits end here 😞</t>
        </is>
      </c>
      <c r="D9166" t="n">
        <v>1</v>
      </c>
      <c r="E9166" t="n">
        <v>7</v>
      </c>
      <c r="F9166">
        <f>HYPERLINK("https://www.reddit.com/r/GERD/comments/hszog1/tips_for_dealing_with_nausea/")</f>
        <v/>
      </c>
      <c r="G9166" t="inlineStr">
        <is>
          <t>2020-07-17 10:15:45</t>
        </is>
      </c>
      <c r="H9166" t="inlineStr"/>
    </row>
    <row r="9167">
      <c r="A9167" t="inlineStr">
        <is>
          <t>ht22g5</t>
        </is>
      </c>
      <c r="B9167" t="inlineStr">
        <is>
          <t>Severe reflux remedies</t>
        </is>
      </c>
      <c r="C9167" t="inlineStr">
        <is>
          <t>Hi everyone I’ve been diagnosed with GERD for about 6 months now. I was on nexium at first but that didn’t really help so now I’ve been put on dexilant 60 mg once a day. 
At first this worked super well and I was kind of shocked but now about a week and a half in and my acid reflux is back and worse than ever. The past 3 days I have had a sharp stabbing pain in the left side of my throat and in my chest every time I inhale. Gaviscon has been helping make it manageable until today it is currently worse than ever, every breath hurts an unbearable amount and gaviscon did not help whatsoever.
So I’m hoping anyone can give me some tips on what to do when it gets this bad, the dexilant isn’t working and neither is the gaviscon and idk what else to try. Any help would be very appreciated</t>
        </is>
      </c>
      <c r="D9167" t="n">
        <v>1</v>
      </c>
      <c r="E9167" t="n">
        <v>9</v>
      </c>
      <c r="F9167">
        <f>HYPERLINK("https://www.reddit.com/r/GERD/comments/ht22g5/severe_reflux_remedies/")</f>
        <v/>
      </c>
      <c r="G9167" t="inlineStr">
        <is>
          <t>2020-07-17 12:24:37</t>
        </is>
      </c>
      <c r="H9167" t="inlineStr"/>
    </row>
    <row r="9168">
      <c r="A9168" t="inlineStr">
        <is>
          <t>ht2nh8</t>
        </is>
      </c>
      <c r="B9168" t="inlineStr">
        <is>
          <t>Chewing gum!</t>
        </is>
      </c>
      <c r="C9168" t="inlineStr">
        <is>
          <t>I want to put this out there- I really scoffed that this could help at all, but somewhere I read that chewing non-mint flavored sugar free gum may help with GERD symptoms. I gave it a try last week, I chew a piece of gum after meals for about a half hour/hour , and it has helped me. I’ve been experimenting with a few things to help manage the GERD while I’m experiencing a current stress-induced flare up(thanks virus), so I don’t know if I can attribute all of the current relief I’m feeling to the gum, but when I start to feel the pressure in my throat and I chew gum, it gets a lot better. Worth a try for anyone who is curious. :)</t>
        </is>
      </c>
      <c r="D9168" t="n">
        <v>1</v>
      </c>
      <c r="E9168" t="n">
        <v>24</v>
      </c>
      <c r="F9168">
        <f>HYPERLINK("https://www.reddit.com/r/GERD/comments/ht2nh8/chewing_gum/")</f>
        <v/>
      </c>
      <c r="G9168" t="inlineStr">
        <is>
          <t>2020-07-17 12:55:41</t>
        </is>
      </c>
      <c r="H9168" t="inlineStr"/>
    </row>
    <row r="9169">
      <c r="A9169" t="inlineStr">
        <is>
          <t>ht342b</t>
        </is>
      </c>
      <c r="B9169" t="inlineStr">
        <is>
          <t>Shortness of breath</t>
        </is>
      </c>
      <c r="C9169" t="inlineStr">
        <is>
          <t>I’ve had shortness of breath the past 3 days after I ate something with mustard and it caused a flare up. It’s progressively gotten better since I’ve adjusted my diet to bland foods. It just feels like I have a lump in my throat, and I can’t get a full breath of air. I’ve had my lungs checked and they’re fine, but I also have anxiety so it’s all I can think about. I’m worried I’ll stop breathing or something.</t>
        </is>
      </c>
      <c r="D9169" t="n">
        <v>1</v>
      </c>
      <c r="E9169" t="n">
        <v>3</v>
      </c>
      <c r="F9169">
        <f>HYPERLINK("https://www.reddit.com/r/GERD/comments/ht342b/shortness_of_breath/")</f>
        <v/>
      </c>
      <c r="G9169" t="inlineStr">
        <is>
          <t>2020-07-17 13:21:18</t>
        </is>
      </c>
      <c r="H9169" t="inlineStr"/>
    </row>
    <row r="9170">
      <c r="A9170" t="inlineStr">
        <is>
          <t>ht3puq</t>
        </is>
      </c>
      <c r="B9170" t="inlineStr">
        <is>
          <t>Anyone here have constant burning and chest pain?</t>
        </is>
      </c>
      <c r="C9170" t="inlineStr">
        <is>
          <t>My is pretty consistent and never really goes away. Usually at about 3/10 pain scale, but does spike to like 7/10 at times. I am unsure what triggers these spikes.
I’ve just recently had an endoscopy that came back clean. No major irritation or hiatal hernia. It was like I have no symptoms of acid. I’m going on a year straight of daily esophagus burning/pain with sore throats and slight sinus burning. I still can’t wrap my head around how a years worth of pain produced no evidence of the pain.
My chest and back ache generally and sometimes the aches go down to my legs. I wonder if there is something neurological causing all of this, but haven’t found much data.
Was just curious who in the community consistently feels pain? It’s hard to tell by some of the posts and I assume it’s after meals for an hour or so.</t>
        </is>
      </c>
      <c r="D9170" t="n">
        <v>1</v>
      </c>
      <c r="E9170" t="n">
        <v>4</v>
      </c>
      <c r="F9170">
        <f>HYPERLINK("https://www.reddit.com/r/GERD/comments/ht3puq/anyone_here_have_constant_burning_and_chest_pain/")</f>
        <v/>
      </c>
      <c r="G9170" t="inlineStr">
        <is>
          <t>2020-07-17 13:55:12</t>
        </is>
      </c>
      <c r="H9170" t="inlineStr"/>
    </row>
    <row r="9171">
      <c r="A9171" t="inlineStr">
        <is>
          <t>ht426s</t>
        </is>
      </c>
      <c r="B9171" t="inlineStr">
        <is>
          <t>Aspirin is the only pain killer that helps me</t>
        </is>
      </c>
      <c r="C9171" t="inlineStr">
        <is>
          <t>I get serious headaches and chest pains at night and one glass of aspirin causes everything to go in minutes. Why is that? I’m on nexium as well (I take it every second day)</t>
        </is>
      </c>
      <c r="D9171" t="n">
        <v>1</v>
      </c>
      <c r="E9171" t="n">
        <v>1</v>
      </c>
      <c r="F9171">
        <f>HYPERLINK("https://www.reddit.com/r/GERD/comments/ht426s/aspirin_is_the_only_pain_killer_that_helps_me/")</f>
        <v/>
      </c>
      <c r="G9171" t="inlineStr">
        <is>
          <t>2020-07-17 14:14:15</t>
        </is>
      </c>
      <c r="H9171" t="inlineStr"/>
    </row>
    <row r="9172">
      <c r="A9172" t="inlineStr">
        <is>
          <t>ht4hp2</t>
        </is>
      </c>
      <c r="B9172" t="inlineStr">
        <is>
          <t>Has anyone here ever experienced insomnia from Pepcid?</t>
        </is>
      </c>
      <c r="C9172" t="inlineStr">
        <is>
          <t>I take 40mg before bed time, usually it’s a godsend for my Indigestion and acid problems in the morning; as of recent though It’s began to take a toll on my sleep. I’ve began to feel incredibly restless in late hours and fall asleep when it’s began to be light whenever I take it out.Has anyone had similar experiences and if so how have you dealt with them?</t>
        </is>
      </c>
      <c r="D9172" t="n">
        <v>1</v>
      </c>
      <c r="E9172" t="n">
        <v>1</v>
      </c>
      <c r="F9172">
        <f>HYPERLINK("https://www.reddit.com/r/GERD/comments/ht4hp2/has_anyone_here_ever_experienced_insomnia_from/")</f>
        <v/>
      </c>
      <c r="G9172" t="inlineStr">
        <is>
          <t>2020-07-17 14:37:36</t>
        </is>
      </c>
      <c r="H9172" t="inlineStr"/>
    </row>
    <row r="9173">
      <c r="A9173" t="inlineStr">
        <is>
          <t>ht4i28</t>
        </is>
      </c>
      <c r="B9173" t="inlineStr">
        <is>
          <t>Can anyone help me understand silent reflux or eye reflux?</t>
        </is>
      </c>
      <c r="C9173" t="inlineStr">
        <is>
          <t>I have severely dry eyes and I have pain, pressure, and light sensitivity in my eyes after eating anything that makes my gerd worse. Even vitamins, medications, protein powder, all make my eye hurt.</t>
        </is>
      </c>
      <c r="D9173" t="n">
        <v>1</v>
      </c>
      <c r="E9173" t="n">
        <v>0</v>
      </c>
      <c r="F9173">
        <f>HYPERLINK("https://www.reddit.com/r/GERD/comments/ht4i28/can_anyone_help_me_understand_silent_reflux_or/")</f>
        <v/>
      </c>
      <c r="G9173" t="inlineStr">
        <is>
          <t>2020-07-17 14:38:07</t>
        </is>
      </c>
      <c r="H9173" t="inlineStr"/>
    </row>
    <row r="9174">
      <c r="A9174" t="inlineStr">
        <is>
          <t>ht4s8x</t>
        </is>
      </c>
      <c r="B9174" t="inlineStr">
        <is>
          <t>Does it get better?</t>
        </is>
      </c>
      <c r="C9174" t="inlineStr">
        <is>
          <t>Hi, everyone! This is my first time posting on this sub and I'm in mobile so bear with me.
Five days ago, I (F20) went to the ER with heartburn so bad I thought I was dying. Couldn't breathe, palpations, the works. Been having heartburn my whole life but never this bad.
The ER doctors told me to take Prevacid. I was discharged and began taking it only to receive the following horrifying symptoms for the next two days following:
•Severe Tremors
•Unshakable Nausea
•Brain Fog
•Confusions (Liam, my boyfriend, was concerned as multiple times through the day I could not remember where I was/what was happening
•Extreme Panic Attacks - I am already diagnosed with PTSD and MDD (major depressive Disorder) and this made me feel like I was dying.
•Heart Palpitations
•Severely increased heart rate
•Inability to walk/function
•Inability to swallow
I've been diagnosed with PTSD/MDD (major depressive disorder) for about two years now. I'm not on medication as my grandmother who raised me was against it. The Prevacid has fucked me up beyond belief. Had to go to the ER and receive Xanax for the next two days.
I feel better after stopping the Prevacid (only 2 days off) but I still don't feel myself and my GERD has returned so bad.
I ordered cbd bc the doctors believe it's a mix between my lifestyle/diet/ and anxiety causing the GERD symptoms. 
I'm currently just not feeling myself, still in a brain fog and the heartburn returning keeps causing me panic attacks.
I hear the best option is to see a G.I. doctor but I can't find anyone who accepts my insurance.
Has anyone else here had a problem with PPI effects and returning to normal?
I just want to feel like me again
 I can barely walk, operate, function. Just eat crackers, relax, sleep.</t>
        </is>
      </c>
      <c r="D9174" t="n">
        <v>1</v>
      </c>
      <c r="E9174" t="n">
        <v>10</v>
      </c>
      <c r="F9174">
        <f>HYPERLINK("https://www.reddit.com/r/GERD/comments/ht4s8x/does_it_get_better/")</f>
        <v/>
      </c>
      <c r="G9174" t="inlineStr">
        <is>
          <t>2020-07-17 14:53:54</t>
        </is>
      </c>
      <c r="H9174" t="inlineStr"/>
    </row>
    <row r="9175">
      <c r="A9175" t="inlineStr">
        <is>
          <t>ht582y</t>
        </is>
      </c>
      <c r="B9175" t="inlineStr">
        <is>
          <t>What do you think is best GERD surgery/procedure?</t>
        </is>
      </c>
      <c r="C9175" t="inlineStr">
        <is>
          <t>Hi. In April 2020 I was diagnosed with sliding hiatal hernia 2cms, esophagitis, and GERD. 
My understanding is the following options are for GERD:
• Transoral incisionless fundoplication procedure (TIF)
• Open fundoplication / laparoscopic surgery
• Nissen fundoplication (also to repair hiatal hernia) surgery
• Endoscopic Injection of bulking agent surgery
• Endoluminal gastroplication surgery
• Endoscopic augmentation with Gidrogel implants surgery
• Endoscopic radiofrequency ablation surgery
• Laparoscopic insertion of a magnetic bead band (LINX) surgery
I’m taking RX’s Sucralfate 1GM tablets, one 4x per day on empty stomach 03 mins before food, Famotidine 40MG tablets, one 1x per day at bedtime, and Pantoprazole 40MG tablets one 1x per day 1 hour before first meal. Also taking supplements such as Betaine Hydrochloride with Pepsin 600mg tablets two with each protein meal, DGL Deglycyrrhizinated Licorice Root Extract chewable tablets, one 20 mins before each meal, Enzymedica Heartburn Relief chewable tablets 1-2 after each meal, Lily of the Desert Aloe Herbal Stomach Formula liquid 2-4 Tbsp (aloesorb, peppermint leaf, chamomile leaf, ginger root, slippery elm bark, fennel seed) taken 2 to 3 x per day 30 mins before food.
Acid keeps burning my esophagus too much.
I look forward to your thoughts. Thank you.</t>
        </is>
      </c>
      <c r="D9175" t="n">
        <v>1</v>
      </c>
      <c r="E9175" t="n">
        <v>20</v>
      </c>
      <c r="F9175">
        <f>HYPERLINK("https://www.reddit.com/r/GERD/comments/ht582y/what_do_you_think_is_best_gerd_surgeryprocedure/")</f>
        <v/>
      </c>
      <c r="G9175" t="inlineStr">
        <is>
          <t>2020-07-17 15:19:17</t>
        </is>
      </c>
      <c r="H9175" t="inlineStr"/>
    </row>
    <row r="9176">
      <c r="A9176" t="inlineStr">
        <is>
          <t>ht5cg6</t>
        </is>
      </c>
      <c r="B9176" t="inlineStr">
        <is>
          <t>Continuous chest tightness and lightness.</t>
        </is>
      </c>
      <c r="C9176" t="inlineStr">
        <is>
          <t>Hello all,
Had a pretty nasty flare up about 5 days ago. Pain level was 8/10 (stabbing/pressure pain on chest only). Woke up next day and since then I have had continuous chest tightness and lightness. I am not having breathing problems nor do I have a cough (the occasion cough when clearing my throat which does feel hoarse at times). In fact I can take a deep breath and not feel it, but then stand up and feel the tightness. Feels like it’s the lungs but cold be muscles? 
I take Pantaprazole once a day. I have been incredibly anxious for a multitude of reason lately which could also be a factor. 
Just wondering if anyone else has had continuous tightness after a flare up or perhaps any muscle strain/spasm in the chest that may have been cause by flare up? 
Please and thanks.</t>
        </is>
      </c>
      <c r="D9176" t="n">
        <v>1</v>
      </c>
      <c r="E9176" t="n">
        <v>14</v>
      </c>
      <c r="F9176">
        <f>HYPERLINK("https://www.reddit.com/r/GERD/comments/ht5cg6/continuous_chest_tightness_and_lightness/")</f>
        <v/>
      </c>
      <c r="G9176" t="inlineStr">
        <is>
          <t>2020-07-17 15:26:13</t>
        </is>
      </c>
      <c r="H9176" t="inlineStr"/>
    </row>
    <row r="9177">
      <c r="A9177" t="inlineStr">
        <is>
          <t>ht85ix</t>
        </is>
      </c>
      <c r="B9177" t="inlineStr">
        <is>
          <t>Lost my ability to swallow</t>
        </is>
      </c>
      <c r="C9177" t="inlineStr">
        <is>
          <t>I have this strange symptom of waking up from my sleep freaking out because I’m unable to swallow my saliva. It’s scary and feels like I’m chocking unable to breath. This only happens at night so it scares me to go to sleep. I heard this could be acid reflux. Did Anyone else experience this?</t>
        </is>
      </c>
      <c r="D9177" t="n">
        <v>1</v>
      </c>
      <c r="E9177" t="n">
        <v>5</v>
      </c>
      <c r="F9177">
        <f>HYPERLINK("https://www.reddit.com/r/GERD/comments/ht85ix/lost_my_ability_to_swallow/")</f>
        <v/>
      </c>
      <c r="G9177" t="inlineStr">
        <is>
          <t>2020-07-17 18:26:08</t>
        </is>
      </c>
      <c r="H9177" t="inlineStr"/>
    </row>
    <row r="9178">
      <c r="A9178" t="inlineStr">
        <is>
          <t>ht8t2r</t>
        </is>
      </c>
      <c r="B9178" t="inlineStr">
        <is>
          <t>Lesson</t>
        </is>
      </c>
      <c r="C9178" t="inlineStr">
        <is>
          <t>I wore some new yoga pants pants I got today. I felt bloated the entire day and tight feeling around my abdomen. My reflux also bothered me. When I took those pants off for good My abdomen felt a lot better.</t>
        </is>
      </c>
      <c r="D9178" t="n">
        <v>1</v>
      </c>
      <c r="E9178" t="n">
        <v>8</v>
      </c>
      <c r="F9178">
        <f>HYPERLINK("https://www.reddit.com/r/GERD/comments/ht8t2r/lesson/")</f>
        <v/>
      </c>
      <c r="G9178" t="inlineStr">
        <is>
          <t>2020-07-17 19:11:52</t>
        </is>
      </c>
      <c r="H9178" t="inlineStr"/>
    </row>
    <row r="9179">
      <c r="A9179" t="inlineStr">
        <is>
          <t>ht9afv</t>
        </is>
      </c>
      <c r="B9179" t="inlineStr">
        <is>
          <t>Linx Procedure Question</t>
        </is>
      </c>
      <c r="C9179" t="inlineStr">
        <is>
          <t>I am 21 years old and my doctor has recommened I get the linx procedure or try a new medication. Have any of you had the linx procedure? Has it helped? What was your experience recovering?</t>
        </is>
      </c>
      <c r="D9179" t="n">
        <v>1</v>
      </c>
      <c r="E9179" t="n">
        <v>4</v>
      </c>
      <c r="F9179">
        <f>HYPERLINK("https://www.reddit.com/r/GERD/comments/ht9afv/linx_procedure_question/")</f>
        <v/>
      </c>
      <c r="G9179" t="inlineStr">
        <is>
          <t>2020-07-17 19:46:15</t>
        </is>
      </c>
      <c r="H9179" t="inlineStr"/>
    </row>
    <row r="9180">
      <c r="A9180" t="inlineStr">
        <is>
          <t>ht9o0v</t>
        </is>
      </c>
      <c r="B9180" t="inlineStr">
        <is>
          <t>Looking for some relief</t>
        </is>
      </c>
      <c r="C9180" t="inlineStr">
        <is>
          <t>Hi all! I've been perusing this sub for the past few days and it's been incredibly helpful, so thank you all for that! 
A little background: I've had VERY sporadic GERD/heartburn issues for around years now, and have had 2-3 super severe flare-ups throughout that time. Earlier this week, I woke up in the middle of the night burping uncontrollably, barley able to breathe, and w/ really extreme water brash. I took it really easy for the last few days, sipping water slowly, not eating much, etc. I was feeling okay today and wound up having a half a slice of pizza and half an eggplant parm. sandwich for dinner and maybe 20 minutes later, had really bad diarrhea. I've now been sick all night. I'm not experiencing any GERD issues, though, which is strange. During my last flareup in 2017, I was prescribed Dexilant by a gastro doc., but only took if for a week or so until my symptoms subsided. 
Any ideas on how to proceed now? I'm thinking I may have some of issue (lactose? gluten?) and my stomach/esophagus is clearly totally out of whack. Should I try an elimination diet and go from there? Note: I'm quite obese (just under 300 lbs), so I"m taking this as a sign that it's time to lose a substantial amount of weight and go from there.
That's all for now - hope I didn't blather! Thanks so much again for the help this week and I hope y'all van provide some more assistance now, too - you all seem so knowledgable.</t>
        </is>
      </c>
      <c r="D9180" t="n">
        <v>1</v>
      </c>
      <c r="E9180" t="n">
        <v>0</v>
      </c>
      <c r="F9180">
        <f>HYPERLINK("https://www.reddit.com/r/GERD/comments/ht9o0v/looking_for_some_relief/")</f>
        <v/>
      </c>
      <c r="G9180" t="inlineStr">
        <is>
          <t>2020-07-17 20:14:47</t>
        </is>
      </c>
      <c r="H9180" t="inlineStr"/>
    </row>
    <row r="9181">
      <c r="A9181" t="inlineStr">
        <is>
          <t>htamtt</t>
        </is>
      </c>
      <c r="B9181" t="inlineStr">
        <is>
          <t>People with hiatal hernias, have you heard about this surgery?</t>
        </is>
      </c>
      <c r="C9181" t="inlineStr">
        <is>
          <t>Has anyone heard about the procedure called BICORN (Biological Conservative Reconstruction) developed by a German surgeon. 
The website is in German.
[https://www.sodbrennen-zwerchfellbruch.de/de/bicorn-verfahren/](https://www.sodbrennen-zwerchfellbruch.de/de/bicorn-verfahren/)</t>
        </is>
      </c>
      <c r="D9181" t="n">
        <v>1</v>
      </c>
      <c r="E9181" t="n">
        <v>16</v>
      </c>
      <c r="F9181">
        <f>HYPERLINK("https://www.reddit.com/r/GERD/comments/htamtt/people_with_hiatal_hernias_have_you_heard_about/")</f>
        <v/>
      </c>
      <c r="G9181" t="inlineStr">
        <is>
          <t>2020-07-17 21:28:10</t>
        </is>
      </c>
      <c r="H9181" t="inlineStr"/>
    </row>
    <row r="9182">
      <c r="A9182" t="inlineStr">
        <is>
          <t>htassx</t>
        </is>
      </c>
      <c r="B9182" t="inlineStr">
        <is>
          <t>Head tightness?</t>
        </is>
      </c>
      <c r="C9182" t="inlineStr">
        <is>
          <t>Does anyone else get super weird feeling headaches? Like it’s more pressure in your nose and front of head?</t>
        </is>
      </c>
      <c r="D9182" t="n">
        <v>1</v>
      </c>
      <c r="E9182" t="n">
        <v>1</v>
      </c>
      <c r="F9182">
        <f>HYPERLINK("https://www.reddit.com/r/GERD/comments/htassx/head_tightness/")</f>
        <v/>
      </c>
      <c r="G9182" t="inlineStr">
        <is>
          <t>2020-07-17 21:41:20</t>
        </is>
      </c>
      <c r="H9182" t="inlineStr"/>
    </row>
    <row r="9183">
      <c r="A9183" t="inlineStr">
        <is>
          <t>htb0nj</t>
        </is>
      </c>
      <c r="B9183" t="inlineStr">
        <is>
          <t>Think I drank too much Aloe Vera</t>
        </is>
      </c>
      <c r="C9183" t="inlineStr">
        <is>
          <t>I tried using Aloe Vera as a possible treatment for what I now know to be GERD. I want to try diluting a small amount of natural aloe vera gel and increasing the dosage little by little. 
Right now all I feel is burning. It is not enough to keep me from sleeping but it is worrisome none the less. 
I sleep with an acid reflux pillow and It has been 5 hours since I have eaten.</t>
        </is>
      </c>
      <c r="D9183" t="n">
        <v>1</v>
      </c>
      <c r="E9183" t="n">
        <v>3</v>
      </c>
      <c r="F9183">
        <f>HYPERLINK("https://www.reddit.com/r/GERD/comments/htb0nj/think_i_drank_too_much_aloe_vera/")</f>
        <v/>
      </c>
      <c r="G9183" t="inlineStr">
        <is>
          <t>2020-07-17 21:58:45</t>
        </is>
      </c>
      <c r="H9183" t="inlineStr"/>
    </row>
    <row r="9184">
      <c r="A9184" t="inlineStr">
        <is>
          <t>htbvbh</t>
        </is>
      </c>
      <c r="B9184" t="inlineStr">
        <is>
          <t>Constant belching, is it GERD?</t>
        </is>
      </c>
      <c r="C9184" t="inlineStr">
        <is>
          <t>Hey guys, as usual I am here to ask some advise regarding my condition. I will start from the beginning 
So I started belching when I started vaping. And it became routine now. I stopped vaping when it became very annoying. Every time I vape I belch a lot. Therefore, I stopped vaping altogether. However the belching didn’t stopped and soon my throat became red and I got a white puss bump in the back of the throat. Check the image, it still look like this.
https://imgur.com/ZK6l6EJ
Now this is what scared me a lot. I contacted a doctor via an app since visiting hospital these days is not good for me. So I told the doctor about this and she said there is nothing to worry about and prescribed me some anti allergic tablet, Enzymes and PPI. I start taking the medicine the belching stopped but the throat bump just doesn’t go away. After two weeks of taking the medicine I stopped as per my doctor. 
Now the belching started again mostly after I have my meals. But not as annoying as it was earlier. And throat still looks like as it was eight months ago.
Recently I found a gerd home remedy which is ACV (Apple cider vinegar) by Dr. Berg on youtube. I have ordered ACV but it’s not yet delivered. 
My question is, is any one have similar symptoms to mine? Am I really having GERD or is it something else? Does ACV really effective in GERD? 
Please help me as I really wanted to fix this issue. 
P.s: I rarely face heartburn as many people face who suffer from GERD. However, I do face acid reflux some times, I mean rarely.</t>
        </is>
      </c>
      <c r="D9184" t="n">
        <v>1</v>
      </c>
      <c r="E9184" t="n">
        <v>7</v>
      </c>
      <c r="F9184">
        <f>HYPERLINK("https://www.reddit.com/r/GERD/comments/htbvbh/constant_belching_is_it_gerd/")</f>
        <v/>
      </c>
      <c r="G9184" t="inlineStr">
        <is>
          <t>2020-07-17 23:11:50</t>
        </is>
      </c>
      <c r="H9184" t="inlineStr"/>
    </row>
    <row r="9185">
      <c r="A9185" t="inlineStr">
        <is>
          <t>htcpj4</t>
        </is>
      </c>
      <c r="B9185" t="inlineStr">
        <is>
          <t>Symptoms got worse very quickly</t>
        </is>
      </c>
      <c r="C9185" t="inlineStr">
        <is>
          <t>Hello everyone, 
I'm sorry for the long post, I just wanted to be detailed.
23M here. I've had acid reflux symptoms as early as I can remember, mostly just bad heartburn, though. I've taken all kinds of OTCs, with simple Tums being the most effective (up until recently). At 16, I had such bad heartburn that I ended up going to an Urgent Care, to which I got the GI cocktail and told to "Avoid spicy foods", which is what I've always been told. At the time, I wouldn't say that my diet was the best, but it wasn't the worst, either. I was in pretty good shape, too. Once I joined the Marine Corps, I was in the best shape of my life, and I was eating healthier than before. Yet, it was as if the symptoms never changed/went away. However, last year, I went to another Urgent care, because this time, the heartburn was accompanied by a little pressure in my chest (which I now know is another symptom) and it freaked me out. Docs did blood tests and an EKG, all clear. Another GI cocktail and the diet lecture, and I was out the door again, still the same symptoms. Now, just last month, I was outside smoking weed (which I have been smoking since I got out of the military, and I'd also smoked before joining, too), when I feel this huge pressure in my chest, along with shortness of breath, but NO heartburn. So, I freaked out again, because it truly felt like a heart attack, and I went to the ER. EKG, X-Rays, blood tests, all clear. Now I'm on Cimetidine until my Gastroenterologist Appointment in 11 days. That same pressure/shortness of breath is still happening, and it seems to be totally random (even though I'm on a VERY strict diet, with trigger foods cut our and very basic, plain foods eaten in small portions). I have found no pattern/trend in what I do/eat that prevents this, other than eating very little for a couple days in a row.
TL;DR, in one month, my symptoms have gone from manageable to very strong, and I don't know why.
Hope everyone is feeling well out there!</t>
        </is>
      </c>
      <c r="D9185" t="n">
        <v>1</v>
      </c>
      <c r="E9185" t="n">
        <v>3</v>
      </c>
      <c r="F9185">
        <f>HYPERLINK("https://www.reddit.com/r/GERD/comments/htcpj4/symptoms_got_worse_very_quickly/")</f>
        <v/>
      </c>
      <c r="G9185" t="inlineStr">
        <is>
          <t>2020-07-18 00:31:28</t>
        </is>
      </c>
      <c r="H9185" t="inlineStr"/>
    </row>
    <row r="9186">
      <c r="A9186" t="inlineStr">
        <is>
          <t>hte1zw</t>
        </is>
      </c>
      <c r="B9186" t="inlineStr">
        <is>
          <t>Should I quit the gym because of GERD?</t>
        </is>
      </c>
      <c r="C9186" t="inlineStr">
        <is>
          <t>Hi all. I was diagnosed with GERD about a 6 weeks ago. Been given PPIs and H2 blockers but with no significant improvement, now exploring the naturopath/nutritionist route as well. My main symptoms are nausea and burping. In this time I haven’t been to the gym once. I have no motivation to exercise and feeling sick all the time makes me think I wouldn’t be able to do much anyway. Even if I have an empty stomach I feel ‘full’ and think that if I were to jump up and down or exert myself too much I will feel worse or vomit. It’s really bumming me out because it’s not clear when it’s going to be manageable (if it ever does so) and I’m worried about wasting my money. Has anyone else been in the same situation and had to cancel their membership or were they able to try different workouts and not feel terrible? Thanks in advance.</t>
        </is>
      </c>
      <c r="D9186" t="n">
        <v>1</v>
      </c>
      <c r="E9186" t="n">
        <v>1</v>
      </c>
      <c r="F9186">
        <f>HYPERLINK("https://www.reddit.com/r/GERD/comments/hte1zw/should_i_quit_the_gym_because_of_gerd/")</f>
        <v/>
      </c>
      <c r="G9186" t="inlineStr">
        <is>
          <t>2020-07-18 02:44:55</t>
        </is>
      </c>
      <c r="H9186" t="inlineStr"/>
    </row>
    <row r="9187">
      <c r="A9187" t="inlineStr">
        <is>
          <t>hte3gs</t>
        </is>
      </c>
      <c r="B9187" t="inlineStr">
        <is>
          <t>Sleep disturbance and GERD! Please help</t>
        </is>
      </c>
      <c r="C9187" t="inlineStr">
        <is>
          <t>Over the last year I’ve been struggling with GERD, particularly when I try to sleep, to the point where I hate sleeping now, or trying to sleep should I say. I’m posting to see if anyone’s had a similar experience and found any treatments or solutions that worked. 
I’ve had both a gastroscopy and a barium swallow test that showed a 3 cm hiatal hernia and reflux. The symptoms I have include, difficulty swallowing, regurgitation of food, acid reflux, centralised chest pain, bloating/gas and cardiac disturbance after meals including palpitations. 
Whenever I lie down at night the chest pain starts to come on and palpitations. I sleep just on my back now to try and ease symptoms. If I fall asleep I continually wake up with chest pain, palpitations, pain down the arms sometimes and rapid heartbeat with a little reflux. I’ve had every heart test available and the doctors have ruled out any cardiac issues. 
This happens 2-3 times a week but I’ve noticed it more particularly after I exercise in the day. I don’t have any symptoms whilst exercising, nor do I get fatigued or tired during or after the exercise, just the sleep disturbance at night. I get no anxiety or panic during these incidents but have tried a range of anxiety medication based on the doctors advice all of which had no effect on these symptoms. 
I sleep in an elevated position on a wedge pillow and don’t eat after 7 pm. I’m really at a loss as to how to deal with this so wanted to reach out to see if anyone else in the sub has experienced this. I just wake up with the pain and heart disturbances throughout the night. Every morning I also wake up with dry mouth with acidic taste and pain/ache down centre chest. 
I currently take Gaviscon Advance after every meal and Famotidine (Pepcid) at night. I find PPIs make me feel worse. Any experience or advice is appreciated!</t>
        </is>
      </c>
      <c r="D9187" t="n">
        <v>1</v>
      </c>
      <c r="E9187" t="n">
        <v>4</v>
      </c>
      <c r="F9187">
        <f>HYPERLINK("https://www.reddit.com/r/GERD/comments/hte3gs/sleep_disturbance_and_gerd_please_help/")</f>
        <v/>
      </c>
      <c r="G9187" t="inlineStr">
        <is>
          <t>2020-07-18 02:49:16</t>
        </is>
      </c>
      <c r="H9187" t="inlineStr"/>
    </row>
    <row r="9188">
      <c r="A9188" t="inlineStr">
        <is>
          <t>hterrv</t>
        </is>
      </c>
      <c r="B9188" t="inlineStr">
        <is>
          <t>Is there anything that heps relieve the symptoms of h pylori?</t>
        </is>
      </c>
      <c r="C9188" t="inlineStr">
        <is>
          <t>I had my endoscpoy 6 days ago, and there was no visible major change in my stomach. They took biopsy as well, and i'll probably have h pylori. Which sounds really scary because of the antibiotic treatment. But the results still haven't come back, and even then I'll need an appointment to my doctor to get the treatment started. (btw i have been on ppi for 3 months) 
My question is, if there is anything that helps the symptoms (until i dont have my antibiotics) , or i could do whatever i want but the bacteria will act the same? For 8 months i thought my constant nausea was only acid reflux, but i always found it weird that nothing really helped my symptoms, only ppi for the worst of it, but i still have daily nausea. And i feel like since my endoscopy i have been feeling worse again, i dont know if its just coincidence.</t>
        </is>
      </c>
      <c r="D9188" t="n">
        <v>1</v>
      </c>
      <c r="E9188" t="n">
        <v>2</v>
      </c>
      <c r="F9188">
        <f>HYPERLINK("https://www.reddit.com/r/GERD/comments/hterrv/is_there_anything_that_heps_relieve_the_symptoms/")</f>
        <v/>
      </c>
      <c r="G9188" t="inlineStr">
        <is>
          <t>2020-07-18 03:56:51</t>
        </is>
      </c>
      <c r="H9188" t="inlineStr"/>
    </row>
    <row r="9189">
      <c r="A9189" t="inlineStr">
        <is>
          <t>htf16q</t>
        </is>
      </c>
      <c r="B9189" t="inlineStr">
        <is>
          <t>FODMAP</t>
        </is>
      </c>
      <c r="C9189" t="inlineStr">
        <is>
          <t>I found a quick pdf on the fodmap diet this morning.   All the foods I love are on the bad side.  Was very surprised at things like beans not being allowed. 
Working on a menu for the week and it's going to take more time and effort. 
[fodmap pdf](https://www.ibsdiets.org/fodmap-diet/fodmap-diet-chart/)</t>
        </is>
      </c>
      <c r="D9189" t="n">
        <v>1</v>
      </c>
      <c r="E9189" t="n">
        <v>7</v>
      </c>
      <c r="F9189">
        <f>HYPERLINK("https://www.reddit.com/r/GERD/comments/htf16q/fodmap/")</f>
        <v/>
      </c>
      <c r="G9189" t="inlineStr">
        <is>
          <t>2020-07-18 04:21:22</t>
        </is>
      </c>
      <c r="H9189" t="inlineStr"/>
    </row>
    <row r="9190">
      <c r="A9190" t="inlineStr">
        <is>
          <t>htfea8</t>
        </is>
      </c>
      <c r="B9190" t="inlineStr">
        <is>
          <t>Can I beat this without PPIs?</t>
        </is>
      </c>
      <c r="C9190" t="inlineStr">
        <is>
          <t>I am on Pantropazol for about 2 weeks now. I am supposed to take them for a month and I don't wanna take them after if it's not 100% neccessary.
I don't have very serious side effects but I often feel nauseous and my health anxiety is also triggered by this stuff. I just had stings in my side with some nausea and instantly felt threatened and scared for my kidney. I know it's normal to have occasional pains and maybe otherwise I would just be mildly concerened as long as it goes away again but I link it to the meds in my head and panic. I really don't wanna take them any longer than this month. 
I am on the acid watcher diet, have a wedge pillow and follow common rules for reflux/especially LPR. 
I am currently in therapy for my health anxiety so now I am fighting two battles at a time (psychologial and physiological problems) while trying not to lose control and sanity completely which doesnt make it any easier :(</t>
        </is>
      </c>
      <c r="D9190" t="n">
        <v>1</v>
      </c>
      <c r="E9190" t="n">
        <v>4</v>
      </c>
      <c r="F9190">
        <f>HYPERLINK("https://www.reddit.com/r/GERD/comments/htfea8/can_i_beat_this_without_ppis/")</f>
        <v/>
      </c>
      <c r="G9190" t="inlineStr">
        <is>
          <t>2020-07-18 04:53:56</t>
        </is>
      </c>
      <c r="H9190" t="inlineStr"/>
    </row>
    <row r="9191">
      <c r="A9191" t="inlineStr">
        <is>
          <t>hti73j</t>
        </is>
      </c>
      <c r="B9191" t="inlineStr">
        <is>
          <t>Question about aspiration</t>
        </is>
      </c>
      <c r="C9191" t="inlineStr">
        <is>
          <t>Hey all. I’ve had GERD my whole life and Barrett’s for most of my life (was born with tracheoesophageal fistula and other stomach issues from VATER) but I was wondering what causes such severe fever, body pains, chills, and chest pain after aspirating food or acid into the lungs? I understand the chest pain, but the fever symptoms are confusing to me. I couldn’t find much online so I figured I’d reach out here!</t>
        </is>
      </c>
      <c r="D9191" t="n">
        <v>1</v>
      </c>
      <c r="E9191" t="n">
        <v>3</v>
      </c>
      <c r="F9191">
        <f>HYPERLINK("https://www.reddit.com/r/GERD/comments/hti73j/question_about_aspiration/")</f>
        <v/>
      </c>
      <c r="G9191" t="inlineStr">
        <is>
          <t>2020-07-18 08:14:32</t>
        </is>
      </c>
      <c r="H9191" t="inlineStr"/>
    </row>
    <row r="9192">
      <c r="A9192" t="inlineStr">
        <is>
          <t>hti8vg</t>
        </is>
      </c>
      <c r="B9192" t="inlineStr">
        <is>
          <t>GERD or something else?</t>
        </is>
      </c>
      <c r="C9192" t="inlineStr">
        <is>
          <t>Every so often I'll wake up with bad stomach and back pain right in the middle of my upper abdomen. At first I thought it was back pain due to bad posture but then I realized it feels more like it's coming from my stomach than back. It usually slowly fades away over several hours after I take an Advil and eat something but it's pretty annoying because I cannot sleep until it starts to fade. Sometimes I'll go a month or two without it happening, sometimes it's weekly. The last two times it happened I had eaten the same thing the day before, so I'm assuming that is some kind of trigger food but does this sound like GERD or something else causing the pain? (I get reflux in general but not 100% sure if that's what's causing this pain)</t>
        </is>
      </c>
      <c r="D9192" t="n">
        <v>1</v>
      </c>
      <c r="E9192" t="n">
        <v>0</v>
      </c>
      <c r="F9192">
        <f>HYPERLINK("https://www.reddit.com/r/GERD/comments/hti8vg/gerd_or_something_else/")</f>
        <v/>
      </c>
      <c r="G9192" t="inlineStr">
        <is>
          <t>2020-07-18 08:17:45</t>
        </is>
      </c>
      <c r="H9192" t="inlineStr"/>
    </row>
    <row r="9193">
      <c r="A9193" t="inlineStr">
        <is>
          <t>htk25n</t>
        </is>
      </c>
      <c r="B9193" t="inlineStr">
        <is>
          <t>taking pepcid for a long time?</t>
        </is>
      </c>
      <c r="C9193" t="inlineStr">
        <is>
          <t>Hi! Anyone here know if it’s safe to take Pepcid long term? I’ve been taking it for almost 2 years and was wondering if it has long term effects?</t>
        </is>
      </c>
      <c r="D9193" t="n">
        <v>4</v>
      </c>
      <c r="E9193" t="n">
        <v>20</v>
      </c>
      <c r="F9193">
        <f>HYPERLINK("https://www.reddit.com/r/GERD/comments/htk25n/taking_pepcid_for_a_long_time/")</f>
        <v/>
      </c>
      <c r="G9193" t="inlineStr">
        <is>
          <t>2020-07-18 10:06:29</t>
        </is>
      </c>
      <c r="H9193" t="inlineStr"/>
    </row>
    <row r="9194">
      <c r="A9194" t="inlineStr">
        <is>
          <t>htknhf</t>
        </is>
      </c>
      <c r="B9194" t="inlineStr">
        <is>
          <t>Ear pain outta nowhere!</t>
        </is>
      </c>
      <c r="C9194" t="inlineStr">
        <is>
          <t>I'm new to GERD but I've had costochondritis since about December. On Tuesday I had pain in my jaw and back that spread to my chest and I thought I might be having a heart attack or something. It passed. Wednesday I had another attack in the morning and managed to stagger out for some Gaviscon. That fixed it crazy fast, so I guessed it was GERD. Thursday I was fine until lunch, which brought on a big attack so booked a doctor's appointment for Friday and didn't eat for about 28 hrs. The whole time I didn't eat, I had no pain. Friday, the doctor gave me SMA suspension and Pantoprazole, but told me I should get checked for angina. I ate a big evening meal happily with my medicine and slept great. Today, Saturday, I had a nice, pain free day with normal meals and medicine, and everything was cool right before bedtime, I felt.my ears hurting again, then WHAM, pain enough that I was really wondering whether to call 911 for a heart attack or whatnot. Gaviscon and SMA didn't seem to work this time. I guess it's been 2 hours now and I'm not looking green or pale, so I'm hoping its just GERD: the pain was mainly in my shoulders, jaw and ears: it only really ran through my heart for 15 terrifying minutes, lol. 
So what gives? Does anyone have similar experiences? More importantly, are the night attacks a thing? I ate at about 7:00, so I thought I'd be in the clear by midnight, but perhaps not? Anyway, I'm going to see the doc again ASAP, but I'd like any tips or experience you can share. If these attacks are very typical or very anomalous, I'll have a better idea of what treatment to ask for, so thanks!</t>
        </is>
      </c>
      <c r="D9194" t="n">
        <v>1</v>
      </c>
      <c r="E9194" t="n">
        <v>6</v>
      </c>
      <c r="F9194">
        <f>HYPERLINK("https://www.reddit.com/r/GERD/comments/htknhf/ear_pain_outta_nowhere/")</f>
        <v/>
      </c>
      <c r="G9194" t="inlineStr">
        <is>
          <t>2020-07-18 10:41:03</t>
        </is>
      </c>
      <c r="H9194" t="inlineStr"/>
    </row>
    <row r="9195">
      <c r="A9195" t="inlineStr">
        <is>
          <t>htkzvt</t>
        </is>
      </c>
      <c r="B9195" t="inlineStr">
        <is>
          <t>Anxiety causing GERD?</t>
        </is>
      </c>
      <c r="C9195" t="inlineStr">
        <is>
          <t>My severe GERD starting out of the blue 2 years ago when I moved to a new state on my own for the first time. 
I’ve been to many doctors and no one knows what could be causing my GERD. It’s getting to the point where it’s absolutely miserable and taking Pepcid everyday.
Anyone here experience this as well?
Any advice is appreciated!!!</t>
        </is>
      </c>
      <c r="D9195" t="n">
        <v>11</v>
      </c>
      <c r="E9195" t="n">
        <v>16</v>
      </c>
      <c r="F9195">
        <f>HYPERLINK("https://www.reddit.com/r/GERD/comments/htkzvt/anxiety_causing_gerd/")</f>
        <v/>
      </c>
      <c r="G9195" t="inlineStr">
        <is>
          <t>2020-07-18 11:01:03</t>
        </is>
      </c>
      <c r="H9195" t="inlineStr"/>
    </row>
    <row r="9196">
      <c r="A9196" t="inlineStr">
        <is>
          <t>htllrt</t>
        </is>
      </c>
      <c r="B9196" t="inlineStr">
        <is>
          <t>acid reflux</t>
        </is>
      </c>
      <c r="C9196" t="inlineStr">
        <is>
          <t>can gerd/lrp make you have trouble speaking and swallowing because my tongue feel strain</t>
        </is>
      </c>
      <c r="D9196" t="n">
        <v>1</v>
      </c>
      <c r="E9196" t="n">
        <v>4</v>
      </c>
      <c r="F9196">
        <f>HYPERLINK("https://www.reddit.com/r/GERD/comments/htllrt/acid_reflux/")</f>
        <v/>
      </c>
      <c r="G9196" t="inlineStr">
        <is>
          <t>2020-07-18 11:36:28</t>
        </is>
      </c>
      <c r="H9196" t="inlineStr"/>
    </row>
    <row r="9197">
      <c r="A9197" t="inlineStr">
        <is>
          <t>htndkc</t>
        </is>
      </c>
      <c r="B9197" t="inlineStr">
        <is>
          <t>Clicking sound in throat</t>
        </is>
      </c>
      <c r="C9197" t="inlineStr">
        <is>
          <t>Why do I have a clicking/popping sound in my throat?
Could it be that I am still intolerant to something?</t>
        </is>
      </c>
      <c r="D9197" t="n">
        <v>2</v>
      </c>
      <c r="E9197" t="n">
        <v>16</v>
      </c>
      <c r="F9197">
        <f>HYPERLINK("https://www.reddit.com/r/GERD/comments/htndkc/clicking_sound_in_throat/")</f>
        <v/>
      </c>
      <c r="G9197" t="inlineStr">
        <is>
          <t>2020-07-18 13:17:39</t>
        </is>
      </c>
      <c r="H9197" t="inlineStr"/>
    </row>
    <row r="9198">
      <c r="A9198" t="inlineStr">
        <is>
          <t>htnjlg</t>
        </is>
      </c>
      <c r="B9198" t="inlineStr">
        <is>
          <t>Sour taste in mouth all the time?</t>
        </is>
      </c>
      <c r="C9198" t="inlineStr">
        <is>
          <t>Lately I've been experiencing a sour taste in my mouth (presumably from stomach acid) in my mouth from the moment I have my first meal of the day to the time I go to sleep. Does anyone else experience this regularly too? Any advice on how to get rid of this?
I'm currently taking Famotidine 20 mg, twice a day.</t>
        </is>
      </c>
      <c r="D9198" t="n">
        <v>2</v>
      </c>
      <c r="E9198" t="n">
        <v>20</v>
      </c>
      <c r="F9198">
        <f>HYPERLINK("https://www.reddit.com/r/GERD/comments/htnjlg/sour_taste_in_mouth_all_the_time/")</f>
        <v/>
      </c>
      <c r="G9198" t="inlineStr">
        <is>
          <t>2020-07-18 13:27:42</t>
        </is>
      </c>
      <c r="H9198" t="inlineStr"/>
    </row>
    <row r="9199">
      <c r="A9199" t="inlineStr">
        <is>
          <t>htnn4r</t>
        </is>
      </c>
      <c r="B9199" t="inlineStr">
        <is>
          <t>stabbing sharp twisting pain</t>
        </is>
      </c>
      <c r="C9199" t="inlineStr">
        <is>
          <t>Hi, I' back again. Sigh. After a handful of misdiagnosis's. 
I'm so tired so I'm gonna keep this short and sweet. 
After thinking I had kidney stones/gallbladder stones. I don't apparently. 
So, I was wondering if anyone could help me out as I've been told there's a long waiting list for an endoscopy in the UK at the moment due to the nhs covid situation. 
I've got pain in my central abdomen, that radiates straight through to the same spot on my back. The pain is like a stabbing sharp twisting pain almost. It happens all over my back and inbetween my shoulder blades. I have a raw throat sometimes and I have occasional ear aches. I'm very bloated and constipated. 
I'm on no medication at the moment, shit terrified of PPI'S, but tbh I think I might need them atm they way the wait is looking. Can anyone shed light onto what is happening, or has anyone had any similar experiences? 
I had an ultra sound that showed nothing but a fatty liver, are hernia's picked up on ultrasounds? She went right over the area of pain. Didn't mention anything. 
Oh and one more thing, I'm morbid obese according to my BMI, so I'm working on losing weight. The doctors are convinced it's the weight causing GERD. 
I'm not looking for medical diagnosis btw, just need some kind of idea.</t>
        </is>
      </c>
      <c r="D9199" t="n">
        <v>1</v>
      </c>
      <c r="E9199" t="n">
        <v>0</v>
      </c>
      <c r="F9199">
        <f>HYPERLINK("https://www.reddit.com/r/GERD/comments/htnn4r/stabbing_sharp_twisting_pain/")</f>
        <v/>
      </c>
      <c r="G9199" t="inlineStr">
        <is>
          <t>2020-07-18 13:33:36</t>
        </is>
      </c>
      <c r="H9199" t="inlineStr"/>
    </row>
    <row r="9200">
      <c r="A9200" t="inlineStr">
        <is>
          <t>htno81</t>
        </is>
      </c>
      <c r="B9200" t="inlineStr">
        <is>
          <t>Sharp stabbing twisting pains</t>
        </is>
      </c>
      <c r="C9200" t="inlineStr">
        <is>
          <t xml:space="preserve"> 
Hi, I' back again. Sigh. After a handful of misdiagnosis's.
I'm so tired so I'm gonna keep this short and sweet.
After thinking I had kidney stones/gallbladder stones. I don't apparently.
So, I was wondering if anyone could help me out as I've been told there's a long waiting list for an endoscopy in the UK at the moment due to the curent situation.
I've got pain in my central abdomen, that radiates straight through to the same spot on my back. The pain is like a stabbing sharp twisting pain almost. It happens all over my back and inbetween my shoulder blades. I have a raw throat sometimes and I have occasional ear aches. I'm very bloated and constipated.
I'm on no medication at the moment, shit terrified of PPI'S, but tbh I think I might need them atm they way the wait is looking. Can anyone shed light onto what is happening, or has anyone had any similar experiences?
I had an ultra sound that showed nothing but a fatty liver, are hernia's picked up on ultrasounds? She went right over the area of pain. Didn't mention anything.
Oh and one more thing, I'm morbid obese according to my BMI, so I'm working on losing weight. The doctors are convinced it's the weight causing GERD.
I'm not looking for medical diagnosis btw, just need some kind of idea.</t>
        </is>
      </c>
      <c r="D9200" t="n">
        <v>6</v>
      </c>
      <c r="E9200" t="n">
        <v>8</v>
      </c>
      <c r="F9200">
        <f>HYPERLINK("https://www.reddit.com/r/GERD/comments/htno81/sharp_stabbing_twisting_pains/")</f>
        <v/>
      </c>
      <c r="G9200" t="inlineStr">
        <is>
          <t>2020-07-18 13:35:20</t>
        </is>
      </c>
      <c r="H9200" t="inlineStr"/>
    </row>
    <row r="9201">
      <c r="A9201" t="inlineStr">
        <is>
          <t>htnuwv</t>
        </is>
      </c>
      <c r="B9201" t="inlineStr">
        <is>
          <t>I (25F) feel like someone's pinching my heart</t>
        </is>
      </c>
      <c r="C9201" t="inlineStr">
        <is>
          <t>So it's been happening to me for a few months. I sometimes when I lay in bed, or just in a random moment during the day feel pain near my left breast area, and sometimes I need to take a deep breath to feel a higher amount of pain for it to go away. Does anyone have any idea why this is happening? When I was teenager I used to feel something a bit similar, and it was explained as magnesium deficiency. I don't know if it's the same thing because this hurts more.</t>
        </is>
      </c>
      <c r="D9201" t="n">
        <v>3</v>
      </c>
      <c r="E9201" t="n">
        <v>25</v>
      </c>
      <c r="F9201">
        <f>HYPERLINK("https://www.reddit.com/r/GERD/comments/htnuwv/i_25f_feel_like_someones_pinching_my_heart/")</f>
        <v/>
      </c>
      <c r="G9201" t="inlineStr">
        <is>
          <t>2020-07-18 13:46:16</t>
        </is>
      </c>
      <c r="H9201" t="inlineStr"/>
    </row>
    <row r="9202">
      <c r="A9202" t="inlineStr">
        <is>
          <t>htoslm</t>
        </is>
      </c>
      <c r="B9202" t="inlineStr">
        <is>
          <t>GERD/ gases in colon anyone?</t>
        </is>
      </c>
      <c r="C9202" t="inlineStr">
        <is>
          <t>anyone have chest pain/ some burping coming from stomach but cant burp, trouble eating/swallowing also gases in right colon?</t>
        </is>
      </c>
      <c r="D9202" t="n">
        <v>1</v>
      </c>
      <c r="E9202" t="n">
        <v>6</v>
      </c>
      <c r="F9202">
        <f>HYPERLINK("https://www.reddit.com/r/GERD/comments/htoslm/gerd_gases_in_colon_anyone/")</f>
        <v/>
      </c>
      <c r="G9202" t="inlineStr">
        <is>
          <t>2020-07-18 14:43:27</t>
        </is>
      </c>
      <c r="H9202" t="inlineStr"/>
    </row>
    <row r="9203">
      <c r="A9203" t="inlineStr">
        <is>
          <t>htp618</t>
        </is>
      </c>
      <c r="B9203" t="inlineStr">
        <is>
          <t>ANY opinions please? sudden rattling cough</t>
        </is>
      </c>
      <c r="C9203" t="inlineStr">
        <is>
          <t>21F diagnosed with GERD. 
After eating a hefty lunch about an hour ago i developed a rattling lung cough where my chest vibrates (buzzing/humming sound) any time i cough. i’ve sometimes gotten a dry cough after having acid reflux, but never one so suddenly with a chesty rattle (with some mucus coughed up and a lot of sudden postnasal drip), and i’m freaking out with the pandemic going on. 
does anyone have experience with this kind of cough? no other symptoms at all, didn’t even feel the acid coming up. just started hacking up suddenly. could it be serious? or in your experience does it go away pretty fast? please help! really anxious right now.</t>
        </is>
      </c>
      <c r="D9203" t="n">
        <v>1</v>
      </c>
      <c r="E9203" t="n">
        <v>0</v>
      </c>
      <c r="F9203">
        <f>HYPERLINK("https://www.reddit.com/r/GERD/comments/htp618/any_opinions_please_sudden_rattling_cough/")</f>
        <v/>
      </c>
      <c r="G9203" t="inlineStr">
        <is>
          <t>2020-07-18 15:06:08</t>
        </is>
      </c>
      <c r="H9203" t="inlineStr"/>
    </row>
    <row r="9204">
      <c r="A9204" t="inlineStr">
        <is>
          <t>htposv</t>
        </is>
      </c>
      <c r="B9204" t="inlineStr">
        <is>
          <t>Do you ever just randomly vomit?</t>
        </is>
      </c>
      <c r="C9204" t="inlineStr">
        <is>
          <t>Every 6-8 months I’ll just vomit out of no where. I’m not sure if it’s GERD related. When my gerd flares up I’ll feel like it comes in waves and that I could vomit but rarely do. But then out of no where I’ll just randomly puke at times. Does this happen to anyone else?</t>
        </is>
      </c>
      <c r="D9204" t="n">
        <v>3</v>
      </c>
      <c r="E9204" t="n">
        <v>33</v>
      </c>
      <c r="F9204">
        <f>HYPERLINK("https://www.reddit.com/r/GERD/comments/htposv/do_you_ever_just_randomly_vomit/")</f>
        <v/>
      </c>
      <c r="G9204" t="inlineStr">
        <is>
          <t>2020-07-18 15:37:33</t>
        </is>
      </c>
      <c r="H9204" t="inlineStr"/>
    </row>
    <row r="9205">
      <c r="A9205" t="inlineStr">
        <is>
          <t>htq86u</t>
        </is>
      </c>
      <c r="B9205" t="inlineStr">
        <is>
          <t>anyone have a burning sensation in the upper-middle stomach - sometimes it moves to upper-middle chest</t>
        </is>
      </c>
      <c r="C9205" t="inlineStr">
        <is>
          <t>in addition, i also experienced the pinching pain underneath the skin around the stomach area - it makes the spot itchy.</t>
        </is>
      </c>
      <c r="D9205" t="n">
        <v>3</v>
      </c>
      <c r="E9205" t="n">
        <v>2</v>
      </c>
      <c r="F9205">
        <f>HYPERLINK("https://www.reddit.com/r/GERD/comments/htq86u/anyone_have_a_burning_sensation_in_the/")</f>
        <v/>
      </c>
      <c r="G9205" t="inlineStr">
        <is>
          <t>2020-07-18 16:11:31</t>
        </is>
      </c>
      <c r="H9205" t="inlineStr"/>
    </row>
    <row r="9206">
      <c r="A9206" t="inlineStr">
        <is>
          <t>htqdm8</t>
        </is>
      </c>
      <c r="B9206" t="inlineStr">
        <is>
          <t>Scared</t>
        </is>
      </c>
      <c r="C9206" t="inlineStr">
        <is>
          <t>I posted here a day or two ago regarding my recent experience with Prevacid/Pantoprazal. It's been giving me so much hell since I stopped.
Yesterday was fine. I woke up okay, heartburn, but not bad and was able to live my day quite normally yesterday.
Today, I thought I'd be better too. I sat down with my bf and then boom. A jolt of severe pain in my heart. I had to stop and breathe. I then thought I was having a heartattack, since a few days ago I was rushed to the ER with a Panic Attack that attributed to my GERD.
I've been on Xanax and I only have one left with no refills. Tums don't help..Every breath I'm taking I'm scared it will be my last. My appt with a doctor is on the 24th. I've had 2 ER visits in the past week. I feel pathetic and don't know what to do. After taking the Xanax, my heartburn stoped, my tremors and panic attack stopped and I felt normal.
I don't want to know what'll happen without the Xanax. I'm terrified and the ER said they can't refill til my Dr date. I am so scared and lost.</t>
        </is>
      </c>
      <c r="D9206" t="n">
        <v>1</v>
      </c>
      <c r="E9206" t="n">
        <v>10</v>
      </c>
      <c r="F9206">
        <f>HYPERLINK("https://www.reddit.com/r/GERD/comments/htqdm8/scared/")</f>
        <v/>
      </c>
      <c r="G9206" t="inlineStr">
        <is>
          <t>2020-07-18 16:21:23</t>
        </is>
      </c>
      <c r="H9206" t="inlineStr"/>
    </row>
    <row r="9207">
      <c r="A9207" t="inlineStr">
        <is>
          <t>htqhib</t>
        </is>
      </c>
      <c r="B9207" t="inlineStr">
        <is>
          <t>Should I go to the hospital?</t>
        </is>
      </c>
      <c r="C9207" t="inlineStr">
        <is>
          <t>I’ve been experiencing trouble swallowing (even my own saliva at times) and my throat constantly feels sore due to coughing, I’ve been experiencing pain in my sinuses too and constantly feel the urge to eat but when I try to I have to usually eat my food with water so it goes down because it feels like I’m almost choking. I’ve been attempting to change my diet and things I eat but my dad is saying I should go to the hospital emergency room and wait there for hours so the doctors can test me. What’s everyone’s opinion? I’ve read that doctors may not even be able to help me and I really don’t wanna waste my time in the ER if that’s the case. Is there any tips someone could give me? I’m only 16 and definitely don’t want this to get any worse</t>
        </is>
      </c>
      <c r="D9207" t="n">
        <v>13</v>
      </c>
      <c r="E9207" t="n">
        <v>76</v>
      </c>
      <c r="F9207">
        <f>HYPERLINK("https://www.reddit.com/r/GERD/comments/htqhib/should_i_go_to_the_hospital/")</f>
        <v/>
      </c>
      <c r="G9207" t="inlineStr">
        <is>
          <t>2020-07-18 16:28:40</t>
        </is>
      </c>
      <c r="H9207" t="inlineStr"/>
    </row>
    <row r="9208">
      <c r="A9208" t="inlineStr">
        <is>
          <t>htr3kj</t>
        </is>
      </c>
      <c r="B9208" t="inlineStr">
        <is>
          <t>2cm hiatal hernia and gerd</t>
        </is>
      </c>
      <c r="C9208" t="inlineStr">
        <is>
          <t>Hi, so I found out I have a hiatal hernia and gerd about 7 months ago and got put on esomeprozal and gaviscon liquid after meals. The gaviscon definitely helps but still struggled with acid reflux and gas for month’s, only after about 5 months it started to get better and stupid I know but was slowly testing the waters on alcohol I could drink, had a heavy weekend and boom back to awful acid reflux everyday. 
Really don’t want to have this pain for months again so was wondering if there’s anything else i could try? I’ve not taken any H2 blockers yet, don’t know whether I can take them with my PPI (esomeprozal) or come of that and try a H2 blocker? Any advice would be greatly appreciated.</t>
        </is>
      </c>
      <c r="D9208" t="n">
        <v>2</v>
      </c>
      <c r="E9208" t="n">
        <v>2</v>
      </c>
      <c r="F9208">
        <f>HYPERLINK("https://www.reddit.com/r/GERD/comments/htr3kj/2cm_hiatal_hernia_and_gerd/")</f>
        <v/>
      </c>
      <c r="G9208" t="inlineStr">
        <is>
          <t>2020-07-18 17:09:45</t>
        </is>
      </c>
      <c r="H9208" t="inlineStr"/>
    </row>
    <row r="9209">
      <c r="A9209" t="inlineStr">
        <is>
          <t>htr79h</t>
        </is>
      </c>
      <c r="B9209" t="inlineStr">
        <is>
          <t>Has anyone had some arm and leg hair thinning and red pimples that came and go after being on PPIs?</t>
        </is>
      </c>
      <c r="C9209" t="inlineStr">
        <is>
          <t>Have had some thinning there and a bit of body hair loss. It just seems thinner than usual. I used to get the red pimples randomly on my neck too, think it might be gluten or dairy related</t>
        </is>
      </c>
      <c r="D9209" t="n">
        <v>2</v>
      </c>
      <c r="E9209" t="n">
        <v>4</v>
      </c>
      <c r="F9209">
        <f>HYPERLINK("https://www.reddit.com/r/GERD/comments/htr79h/has_anyone_had_some_arm_and_leg_hair_thinning_and/")</f>
        <v/>
      </c>
      <c r="G9209" t="inlineStr">
        <is>
          <t>2020-07-18 17:16:59</t>
        </is>
      </c>
      <c r="H9209" t="inlineStr"/>
    </row>
    <row r="9210">
      <c r="A9210" t="inlineStr">
        <is>
          <t>htttz6</t>
        </is>
      </c>
      <c r="B9210" t="inlineStr">
        <is>
          <t>PPI and H2 blockers</t>
        </is>
      </c>
      <c r="C9210" t="inlineStr">
        <is>
          <t>Does anyone take both? I just started dexilant today, taken when I woke up. I worked great for most of the day, but now just before bed I’m feeling the heartburn come back and am thinking of taking a Pepcid. My doctor didn’t give any instructions on this and I can’t get in contact until Monday. I was on Pepcid before starting dexilant, just wasn’t sure if they can or should be taken together...</t>
        </is>
      </c>
      <c r="D9210" t="n">
        <v>2</v>
      </c>
      <c r="E9210" t="n">
        <v>6</v>
      </c>
      <c r="F9210">
        <f>HYPERLINK("https://www.reddit.com/r/GERD/comments/htttz6/ppi_and_h2_blockers/")</f>
        <v/>
      </c>
      <c r="G9210" t="inlineStr">
        <is>
          <t>2020-07-18 20:24:40</t>
        </is>
      </c>
      <c r="H9210" t="inlineStr"/>
    </row>
    <row r="9211">
      <c r="A9211" t="inlineStr">
        <is>
          <t>htu4f1</t>
        </is>
      </c>
      <c r="B9211" t="inlineStr">
        <is>
          <t>Does it go away? Silent reflux?</t>
        </is>
      </c>
      <c r="C9211" t="inlineStr">
        <is>
          <t>I just got my period but wasn’t eating anything oily or fatty. I’ve been salivating quite a bit and mild discomfort in my throat no pain or anything. Been feeling like burping but that makes it worse. I did drink coffee on a empty stomach this morning and have been drinking soda and lemonade for the past few days quite truthfully not drinking a lot of water. I think that’s what may have caused it. I’m only 18 Im scared it won’t go away from what I’ve read online.</t>
        </is>
      </c>
      <c r="D9211" t="n">
        <v>6</v>
      </c>
      <c r="E9211" t="n">
        <v>5</v>
      </c>
      <c r="F9211">
        <f>HYPERLINK("https://www.reddit.com/r/GERD/comments/htu4f1/does_it_go_away_silent_reflux/")</f>
        <v/>
      </c>
      <c r="G9211" t="inlineStr">
        <is>
          <t>2020-07-18 20:45:41</t>
        </is>
      </c>
      <c r="H9211" t="inlineStr"/>
    </row>
    <row r="9212">
      <c r="A9212" t="inlineStr">
        <is>
          <t>htuah2</t>
        </is>
      </c>
      <c r="B9212" t="inlineStr">
        <is>
          <t>Problem With Gerd</t>
        </is>
      </c>
      <c r="C9212" t="inlineStr">
        <is>
          <t>Hey guys i really need some help. Im 22 and I've been experiencing some insane pain in the middle of my back that radiates to the front. This all started when unfortunately my father has fell into a coma and later on passed away. I recently had a endoscopy done and on the report it says
"LA grade A reflux esophagitis. Biopsed
\-Small Hiatal hernia
\-Gastritis"
He has prescribed me Pantroazole 40mg once daily, although he told me to take it in the morning for breakfest.
As well now i have a werid cough that i developed. I was reading through reddit and i just ordered some alkaline water. Please guys this pain is insane! it seriously makes me not even wanna live although that does sound dramatic but it really is annoying. The Prescription does help me but i feel like its not enough. I also feel like i have to clear my throat more than often and it feels like my throat is being bothered, i cant explain the feeling its like a sharp pain that isnt that painful but it doesnt feel normal. Please if you guys can help me out id greatly appriciate it! Btw this is my first ever reddit post im not that familiar with replying and etc. I have a picture of the report but i dont know how to post it with this post. I also feel like sometimes i get a shortness of breath and the inside of my nose has a weird tingling feeling.</t>
        </is>
      </c>
      <c r="D9212" t="n">
        <v>6</v>
      </c>
      <c r="E9212" t="n">
        <v>22</v>
      </c>
      <c r="F9212">
        <f>HYPERLINK("https://www.reddit.com/r/GERD/comments/htuah2/problem_with_gerd/")</f>
        <v/>
      </c>
      <c r="G9212" t="inlineStr">
        <is>
          <t>2020-07-18 20:59:03</t>
        </is>
      </c>
      <c r="H9212" t="inlineStr"/>
    </row>
    <row r="9213">
      <c r="A9213" t="inlineStr">
        <is>
          <t>htuzx3</t>
        </is>
      </c>
      <c r="B9213" t="inlineStr">
        <is>
          <t>Getting more and more frustrated</t>
        </is>
      </c>
      <c r="C9213" t="inlineStr">
        <is>
          <t>Some days I feel I am really getting better with my GERD where I only feel a small discomfort but some days I’m in so much pain and I get so much reflux creeping up my throat. I’m taking omeprazole every day but some days it’s just not enough! I try to eat clean but don’t get me wrong I do have days where I eat greasy food and have fizzy drinks but should that really be effecting me as much as it’s doing?</t>
        </is>
      </c>
      <c r="D9213" t="n">
        <v>12</v>
      </c>
      <c r="E9213" t="n">
        <v>13</v>
      </c>
      <c r="F9213">
        <f>HYPERLINK("https://www.reddit.com/r/GERD/comments/htuzx3/getting_more_and_more_frustrated/")</f>
        <v/>
      </c>
      <c r="G9213" t="inlineStr">
        <is>
          <t>2020-07-18 21:55:38</t>
        </is>
      </c>
      <c r="H9213" t="inlineStr"/>
    </row>
    <row r="9214">
      <c r="A9214" t="inlineStr">
        <is>
          <t>htv8tx</t>
        </is>
      </c>
      <c r="B9214" t="inlineStr">
        <is>
          <t>To Nissen or not to Nissen?</t>
        </is>
      </c>
      <c r="C9214" t="inlineStr">
        <is>
          <t>Looks like I’m a candidate for a procedure. Looking at my options. I’m kind of scared of the mid to long term adverse effects of getting a procedure done.</t>
        </is>
      </c>
      <c r="D9214" t="n">
        <v>4</v>
      </c>
      <c r="E9214" t="n">
        <v>24</v>
      </c>
      <c r="F9214">
        <f>HYPERLINK("https://www.reddit.com/r/GERD/comments/htv8tx/to_nissen_or_not_to_nissen/")</f>
        <v/>
      </c>
      <c r="G9214" t="inlineStr">
        <is>
          <t>2020-07-18 22:17:03</t>
        </is>
      </c>
      <c r="H9214" t="inlineStr"/>
    </row>
    <row r="9215">
      <c r="A9215" t="inlineStr">
        <is>
          <t>htv9jw</t>
        </is>
      </c>
      <c r="B9215" t="inlineStr">
        <is>
          <t>Antidepressants and GERD</t>
        </is>
      </c>
      <c r="C9215" t="inlineStr">
        <is>
          <t>Hi all. 27F. For a few years I was taking pristiq (desvenlafaxine) for about 2 years for generalised anxiety disorder. I stopped taking it in April of this year (under drs guidance) and about 3 weeks later I had developed reflux symptoms and have since been diagnosed with GERD. I have done a bit of research about this and it seems that some antidepressants can help with reflux and LES pressure. Has anyone been in the same boat? Did their symptoms change with the addition or removal of antidepressants? Probably doesn’t help that because of the GERD, my anxiety has become much worse which in turn probably makes my symptoms worse. Thanks in advance for all or any feedback!</t>
        </is>
      </c>
      <c r="D9215" t="n">
        <v>9</v>
      </c>
      <c r="E9215" t="n">
        <v>27</v>
      </c>
      <c r="F9215">
        <f>HYPERLINK("https://www.reddit.com/r/GERD/comments/htv9jw/antidepressants_and_gerd/")</f>
        <v/>
      </c>
      <c r="G9215" t="inlineStr">
        <is>
          <t>2020-07-18 22:18:50</t>
        </is>
      </c>
      <c r="H9215" t="inlineStr"/>
    </row>
    <row r="9216">
      <c r="A9216" t="inlineStr">
        <is>
          <t>htvmkx</t>
        </is>
      </c>
      <c r="B9216" t="inlineStr">
        <is>
          <t>PEOPLE TAKING PEPCID 40mg</t>
        </is>
      </c>
      <c r="C9216" t="inlineStr">
        <is>
          <t>Hiya I’m just really curious I’m thinking about having two beers and I know it’s say to avoid drinking but has anyone still did it? If you did was it bad? Thank you!!!!</t>
        </is>
      </c>
      <c r="D9216" t="n">
        <v>2</v>
      </c>
      <c r="E9216" t="n">
        <v>8</v>
      </c>
      <c r="F9216">
        <f>HYPERLINK("https://www.reddit.com/r/GERD/comments/htvmkx/people_taking_pepcid_40mg/")</f>
        <v/>
      </c>
      <c r="G9216" t="inlineStr">
        <is>
          <t>2020-07-18 22:50:44</t>
        </is>
      </c>
      <c r="H9216" t="inlineStr"/>
    </row>
    <row r="9217">
      <c r="A9217" t="inlineStr">
        <is>
          <t>htwexa</t>
        </is>
      </c>
      <c r="B9217" t="inlineStr">
        <is>
          <t>Those who have had the Nissen, are you able to vomit?</t>
        </is>
      </c>
      <c r="C9217" t="inlineStr">
        <is>
          <t>I’ve been seriously nauseous for about a week and I’m ready to just let it out for the sake of relief. Zofran gives me side effects so I take it extremely rarely. I had the Nissen in November and have not tried to throw up since then. Some reassurance or experiences would be appreciated!</t>
        </is>
      </c>
      <c r="D9217" t="n">
        <v>9</v>
      </c>
      <c r="E9217" t="n">
        <v>35</v>
      </c>
      <c r="F9217">
        <f>HYPERLINK("https://www.reddit.com/r/GERD/comments/htwexa/those_who_have_had_the_nissen_are_you_able_to/")</f>
        <v/>
      </c>
      <c r="G9217" t="inlineStr">
        <is>
          <t>2020-07-19 00:05:47</t>
        </is>
      </c>
      <c r="H9217" t="inlineStr"/>
    </row>
    <row r="9218">
      <c r="A9218" t="inlineStr">
        <is>
          <t>htx3zg</t>
        </is>
      </c>
      <c r="B9218" t="inlineStr">
        <is>
          <t>Food goes right through me causing horrible symptoms</t>
        </is>
      </c>
      <c r="C9218" t="inlineStr">
        <is>
          <t>When I eat I almost always need to go to the toilet immediately after. Food literally goes right through me, I have tested it. I have gone weeks without eating spinach or nuts, then ate them, and I can clearly see them undigested in the toilet bowl minutes later. I can even feel it passing through me.
With how rapid my digestion is I also experience hot flashes or cold chills, dehydration with dry itchy skin, sensitivity to touch and temperature, headaches ect. immediately after eating. It’s fucking awful.
Do any of you also experience these symptoms?</t>
        </is>
      </c>
      <c r="D9218" t="n">
        <v>3</v>
      </c>
      <c r="E9218" t="n">
        <v>2</v>
      </c>
      <c r="F9218">
        <f>HYPERLINK("https://www.reddit.com/r/GERD/comments/htx3zg/food_goes_right_through_me_causing_horrible/")</f>
        <v/>
      </c>
      <c r="G9218" t="inlineStr">
        <is>
          <t>2020-07-19 01:13:43</t>
        </is>
      </c>
      <c r="H9218" t="inlineStr"/>
    </row>
    <row r="9219">
      <c r="A9219" t="inlineStr">
        <is>
          <t>htyrmp</t>
        </is>
      </c>
      <c r="B9219" t="inlineStr">
        <is>
          <t>Dairy causing excessive hunger pangs?</t>
        </is>
      </c>
      <c r="C9219" t="inlineStr">
        <is>
          <t>When I go a week without milk/minimal dairy i feel pretty good. No excessive hunger, I can eat a whole meal and remain full for a long time.
If i start having alot of dairy or milk then i my hunger starts getting uncomfortably strong. I wake up absolutely starving, i can eat a meal and be hungry an hour later.
No nausea or shits.
Does this sound like some sort of lactose/dairy intolerance?</t>
        </is>
      </c>
      <c r="D9219" t="n">
        <v>1</v>
      </c>
      <c r="E9219" t="n">
        <v>12</v>
      </c>
      <c r="F9219">
        <f>HYPERLINK("https://www.reddit.com/r/GERD/comments/htyrmp/dairy_causing_excessive_hunger_pangs/")</f>
        <v/>
      </c>
      <c r="G9219" t="inlineStr">
        <is>
          <t>2020-07-19 04:05:34</t>
        </is>
      </c>
      <c r="H9219" t="inlineStr"/>
    </row>
    <row r="9220">
      <c r="A9220" t="inlineStr">
        <is>
          <t>htz9lj</t>
        </is>
      </c>
      <c r="B9220" t="inlineStr">
        <is>
          <t>How often should I be belching?</t>
        </is>
      </c>
      <c r="C9220" t="inlineStr">
        <is>
          <t>I been thinking about this the past few days. Ever since I got GERD I don't really belch that often. 
Also before I had GERD I had a terrible reaction to lentils and other legumes. Constant farting and diarrhea and IBS. Now it seems as if all that has been cured and GERD is the only thing I'm dealing with.
For three months everyday I have been taking vitamin c, zinc, adhl, 5000 ieu of vitamin d, Heavy duty probiotics, B12 and biotin.
I am getting good sleep at night but I have routinely suffered from insomnia for years.
I wonder if years of improper sleep could have caused this issue as well?</t>
        </is>
      </c>
      <c r="D9220" t="n">
        <v>1</v>
      </c>
      <c r="E9220" t="n">
        <v>1</v>
      </c>
      <c r="F9220">
        <f>HYPERLINK("https://www.reddit.com/r/GERD/comments/htz9lj/how_often_should_i_be_belching/")</f>
        <v/>
      </c>
      <c r="G9220" t="inlineStr">
        <is>
          <t>2020-07-19 04:50:22</t>
        </is>
      </c>
      <c r="H9220" t="inlineStr"/>
    </row>
    <row r="9221">
      <c r="A9221" t="inlineStr">
        <is>
          <t>hu03ts</t>
        </is>
      </c>
      <c r="B9221" t="inlineStr">
        <is>
          <t>How long after drinking coffee does acid reflux occur?</t>
        </is>
      </c>
      <c r="C9221" t="inlineStr">
        <is>
          <t>I stopped drinking espresso a couple months ago when my acid reflux become worse, and a couple days ago I decided to try espresso again. I felt fine until the next morning. Do you think it effected me almost 24 hours later or was it just a coincidence?</t>
        </is>
      </c>
      <c r="D9221" t="n">
        <v>12</v>
      </c>
      <c r="E9221" t="n">
        <v>24</v>
      </c>
      <c r="F9221">
        <f>HYPERLINK("https://www.reddit.com/r/GERD/comments/hu03ts/how_long_after_drinking_coffee_does_acid_reflux/")</f>
        <v/>
      </c>
      <c r="G9221" t="inlineStr">
        <is>
          <t>2020-07-19 05:59:14</t>
        </is>
      </c>
      <c r="H9221" t="inlineStr"/>
    </row>
    <row r="9222">
      <c r="A9222" t="inlineStr">
        <is>
          <t>hu1ek5</t>
        </is>
      </c>
      <c r="B9222" t="inlineStr">
        <is>
          <t>Constant glue-like mucus, cold sensation in throat and tight shoulders.</t>
        </is>
      </c>
      <c r="C9222" t="inlineStr">
        <is>
          <t>Hi all, 
6 months into being diagnosed with LPR and suffering many of the usual symptoms. 
Any have a remedy for the constant glue-like mucus stuck in your throat? Makes it hard to breathe at times and even hard to drink when it’s bad, as many times as I bring it up and spit it out it’s back within a minute. 
Also does anyone get that ice cold type sensation at the base of their throat? Lasts a couple hours, really uncomfortable sensation. 
Side note: Could be due to the anxiety side but does anyone else suffer with extremely tight shoulders and neck?</t>
        </is>
      </c>
      <c r="D9222" t="n">
        <v>14</v>
      </c>
      <c r="E9222" t="n">
        <v>50</v>
      </c>
      <c r="F9222">
        <f>HYPERLINK("https://www.reddit.com/r/GERD/comments/hu1ek5/constant_gluelike_mucus_cold_sensation_in_throat/")</f>
        <v/>
      </c>
      <c r="G9222" t="inlineStr">
        <is>
          <t>2020-07-19 07:31:48</t>
        </is>
      </c>
      <c r="H9222" t="inlineStr"/>
    </row>
    <row r="9223">
      <c r="A9223" t="inlineStr">
        <is>
          <t>hu1for</t>
        </is>
      </c>
      <c r="B9223" t="inlineStr">
        <is>
          <t>Discovered I have GERD and grade A Esophagitis 2 days ago. Will Pantoprazole side effects level off?</t>
        </is>
      </c>
      <c r="C9223" t="inlineStr">
        <is>
          <t>After Years of stomach pain 2 days ago I had a full Gastroscopy and Colonoscopy(fun stuff) and was diagnosed with GERD and Esophagitis Grade A. I was put on 40mg of Pantoprazole twice a day(80mg daily) for 3 months and suspect i am feeling some side effects. Now my Stomach is starting to feel worlds better for the first time in years but.... Yesterday i has some nasty hand/arm pain after gaming with my kids and woke up feeling drunk dizzy at 5 am. I read about the side effects and took a multivitamin this morning to hopefully mitigate side effect from nutrient/vitamin loss the drug causes. 
&amp;amp;#x200B;
I was wondering if anyone had any tips or experience juggling this drug or even experience working through their prescription?</t>
        </is>
      </c>
      <c r="D9223" t="n">
        <v>4</v>
      </c>
      <c r="E9223" t="n">
        <v>8</v>
      </c>
      <c r="F9223">
        <f>HYPERLINK("https://www.reddit.com/r/GERD/comments/hu1for/discovered_i_have_gerd_and_grade_a_esophagitis_2/")</f>
        <v/>
      </c>
      <c r="G9223" t="inlineStr">
        <is>
          <t>2020-07-19 07:33:56</t>
        </is>
      </c>
      <c r="H9223" t="inlineStr"/>
    </row>
    <row r="9224">
      <c r="A9224" t="inlineStr">
        <is>
          <t>hu3u2g</t>
        </is>
      </c>
      <c r="B9224" t="inlineStr">
        <is>
          <t>Constant burping and stomach pain</t>
        </is>
      </c>
      <c r="C9224" t="inlineStr">
        <is>
          <t>I have no regurgitation although a faint sour taste, Sometimes sharp pain behind chest and constantly burping over 20 times a day.</t>
        </is>
      </c>
      <c r="D9224" t="n">
        <v>1</v>
      </c>
      <c r="E9224" t="n">
        <v>3</v>
      </c>
      <c r="F9224">
        <f>HYPERLINK("https://www.reddit.com/r/GERD/comments/hu3u2g/constant_burping_and_stomach_pain/")</f>
        <v/>
      </c>
      <c r="G9224" t="inlineStr">
        <is>
          <t>2020-07-19 10:03:19</t>
        </is>
      </c>
      <c r="H9224" t="inlineStr"/>
    </row>
    <row r="9225">
      <c r="A9225" t="inlineStr">
        <is>
          <t>hu4g7i</t>
        </is>
      </c>
      <c r="B9225" t="inlineStr">
        <is>
          <t>I feel like my sternum hurts. Anyone else?</t>
        </is>
      </c>
      <c r="C9225" t="inlineStr">
        <is>
          <t>I have GERD/SIBO. I’ve felt every symptom under the sun. But lately, I’ve been feeling like my sternum hurts. It’s not really accompanied with any other symptoms but maybe some belching. Does anyone else experience this?</t>
        </is>
      </c>
      <c r="D9225" t="n">
        <v>2</v>
      </c>
      <c r="E9225" t="n">
        <v>2</v>
      </c>
      <c r="F9225">
        <f>HYPERLINK("https://www.reddit.com/r/GERD/comments/hu4g7i/i_feel_like_my_sternum_hurts_anyone_else/")</f>
        <v/>
      </c>
      <c r="G9225" t="inlineStr">
        <is>
          <t>2020-07-19 10:39:21</t>
        </is>
      </c>
      <c r="H9225" t="inlineStr"/>
    </row>
    <row r="9226">
      <c r="A9226" t="inlineStr">
        <is>
          <t>hu4oih</t>
        </is>
      </c>
      <c r="B9226" t="inlineStr">
        <is>
          <t>I just unsubscribed!!!!!!</t>
        </is>
      </c>
      <c r="C9226" t="inlineStr">
        <is>
          <t>After dealing with GERD for about 16 months, I'm finally reflux-free! My GERD started after going through a traumatic loss and a very rough year in general, and I've learned a lot of reflux/GERD is due to stress and anxiety. Getting my stress under control and avoiding triggers has helped me immensely- I'm no longer on PPI's and can have certain trigger foods in *moderation*. I understand there are many people out there who deal with this for life and I wish I could hug each of you because it is absolutely terrible. I hope this advice is helpful in some way and wish all of you the best of luck.</t>
        </is>
      </c>
      <c r="D9226" t="n">
        <v>126</v>
      </c>
      <c r="E9226" t="n">
        <v>116</v>
      </c>
      <c r="F9226">
        <f>HYPERLINK("https://www.reddit.com/r/GERD/comments/hu4oih/i_just_unsubscribed/")</f>
        <v/>
      </c>
      <c r="G9226" t="inlineStr">
        <is>
          <t>2020-07-19 10:51:50</t>
        </is>
      </c>
      <c r="H9226" t="inlineStr"/>
    </row>
    <row r="9227">
      <c r="A9227" t="inlineStr">
        <is>
          <t>hu4thy</t>
        </is>
      </c>
      <c r="B9227" t="inlineStr">
        <is>
          <t>Scared of endoscopy</t>
        </is>
      </c>
      <c r="C9227" t="inlineStr">
        <is>
          <t>I’m 15 and I have to get an upper endoscopy on Friday because reflux. They said I’d be asleep so I’m assuming I’m getting sedation. I’m actually kinda scared because I’ve never really had any medical procedure done and I’ve read stories here about people who got sedation and they remember every second of it and we’re wide awake but I’ve also seen stories of people sleeping through the whole thing and I don’t know what to think. Will I most likely not remember it or be asleep? Will it be painful? Thanks</t>
        </is>
      </c>
      <c r="D9227" t="n">
        <v>1</v>
      </c>
      <c r="E9227" t="n">
        <v>32</v>
      </c>
      <c r="F9227">
        <f>HYPERLINK("https://www.reddit.com/r/GERD/comments/hu4thy/scared_of_endoscopy/")</f>
        <v/>
      </c>
      <c r="G9227" t="inlineStr">
        <is>
          <t>2020-07-19 10:59:59</t>
        </is>
      </c>
      <c r="H9227" t="inlineStr"/>
    </row>
    <row r="9228">
      <c r="A9228" t="inlineStr">
        <is>
          <t>hu88ck</t>
        </is>
      </c>
      <c r="B9228" t="inlineStr">
        <is>
          <t>Is Chicken wings good for gerd</t>
        </is>
      </c>
      <c r="C9228" t="inlineStr">
        <is>
          <t>Not buffalo wings but actual chicken wings (not drumsticks) good for gerd. I just baked some chicken in the air-fryer and want to know how you guys normally cook it.</t>
        </is>
      </c>
      <c r="D9228" t="n">
        <v>2</v>
      </c>
      <c r="E9228" t="n">
        <v>2</v>
      </c>
      <c r="F9228">
        <f>HYPERLINK("https://www.reddit.com/r/GERD/comments/hu88ck/is_chicken_wings_good_for_gerd/")</f>
        <v/>
      </c>
      <c r="G9228" t="inlineStr">
        <is>
          <t>2020-07-19 14:10:39</t>
        </is>
      </c>
      <c r="H9228" t="inlineStr"/>
    </row>
    <row r="9229">
      <c r="A9229" t="inlineStr">
        <is>
          <t>hu8sde</t>
        </is>
      </c>
      <c r="B9229" t="inlineStr">
        <is>
          <t>What probiotic do you use?</t>
        </is>
      </c>
      <c r="C9229" t="inlineStr">
        <is>
          <t>I was reading that to combat h.pylori one needs to take L.gasseri. I’m wondering if anyone has found products that contain this strain and what your experience has been. Looking for specific probiotics.</t>
        </is>
      </c>
      <c r="D9229" t="n">
        <v>1</v>
      </c>
      <c r="E9229" t="n">
        <v>2</v>
      </c>
      <c r="F9229">
        <f>HYPERLINK("https://www.reddit.com/r/GERD/comments/hu8sde/what_probiotic_do_you_use/")</f>
        <v/>
      </c>
      <c r="G9229" t="inlineStr">
        <is>
          <t>2020-07-19 14:42:19</t>
        </is>
      </c>
      <c r="H9229" t="inlineStr"/>
    </row>
    <row r="9230">
      <c r="A9230" t="inlineStr">
        <is>
          <t>hu905j</t>
        </is>
      </c>
      <c r="B9230" t="inlineStr">
        <is>
          <t>could this possibly be related to GERD???</t>
        </is>
      </c>
      <c r="C9230" t="inlineStr">
        <is>
          <t xml:space="preserve">
M/19/5'9/110 lbs
caught (what seemed to be) your regular common cold somewhere around september 2016 and recovered fine for the most part, though after this i’ve quickly noticed that i still had post nasal drip symptoms. whenever i wake up in the morning, the first thing i do is clear brown/yellow phlegm out of my throat and spit it out. sometimes i have to hack up multiple tonsil stones throughout the day, which was only rare before the cold. somewhere mid-late april i had some dysphagia issues, but those went away within a week. ff to early may and i started having full on gerd symptoms with the worst being the (voluntary) regurgitation, burping and issues swallowing/globus. i’ve read somewhere that these symptoms could be cause by damage to the nerves after a cold and could be 100% solved with amitriptyline/elavil/gabapentin. i have a GI appointment on 8/17, but i’ve been wondering if my LPR could possibly be linked to this; since i only had reflux 3 times for the months i had it (last time i ate a potential trigger my throat just got sore) and never had any chest pain or pain with doing pushups/weightlifting (thought ive stopped early on as i heard it could make gerd worse???)</t>
        </is>
      </c>
      <c r="D9230" t="n">
        <v>1</v>
      </c>
      <c r="E9230" t="n">
        <v>0</v>
      </c>
      <c r="F9230">
        <f>HYPERLINK("https://www.reddit.com/r/GERD/comments/hu905j/could_this_possibly_be_related_to_gerd/")</f>
        <v/>
      </c>
      <c r="G9230" t="inlineStr">
        <is>
          <t>2020-07-19 14:55:00</t>
        </is>
      </c>
      <c r="H9230" t="inlineStr"/>
    </row>
    <row r="9231">
      <c r="A9231" t="inlineStr">
        <is>
          <t>hu9e2o</t>
        </is>
      </c>
      <c r="B9231" t="inlineStr">
        <is>
          <t>Bloated and shortbreathed</t>
        </is>
      </c>
      <c r="C9231" t="inlineStr">
        <is>
          <t>Have you guys ever ate went out to walk a long time and got so bloated that your chest felt tight and short breathed</t>
        </is>
      </c>
      <c r="D9231" t="n">
        <v>4</v>
      </c>
      <c r="E9231" t="n">
        <v>9</v>
      </c>
      <c r="F9231">
        <f>HYPERLINK("https://www.reddit.com/r/GERD/comments/hu9e2o/bloated_and_shortbreathed/")</f>
        <v/>
      </c>
      <c r="G9231" t="inlineStr">
        <is>
          <t>2020-07-19 15:17:21</t>
        </is>
      </c>
      <c r="H9231" t="inlineStr"/>
    </row>
    <row r="9232">
      <c r="A9232" t="inlineStr">
        <is>
          <t>hu9o2e</t>
        </is>
      </c>
      <c r="B9232" t="inlineStr">
        <is>
          <t>I found something that seems to really help my GERD/LPR symptoms</t>
        </is>
      </c>
      <c r="C9232" t="inlineStr">
        <is>
          <t>I was diagnosed with GERD, but my symptoms are more consistent with LPR or silent reflux. I never get heartburn, only ever feel the lump in the throat, burning in the throat, cough, acid coming far up (yuck) etc. I've been on a low acid diet for at least a month now, and I think that did help albeit slowly and with many setbacks as I figured out my trigger foods. Each time I ate a trigger food, or ate a little too much or too late my progress would be set back by 3-4 days. It was frustrating, especially as these flare-ups sometimes made me totally miserable. 
I'm feeling a lot better now probably as a result of figuring out my triggers, daily PPI use (for now), and also alkaline water. My use of alkaline water was actually inspired by [this article](https://pubmed.ncbi.nlm.nih.gov/22844861/) shared to me by another redditor, an in vitro study to determine if pepsin is permanently deactivated by alkaline water (pH 8.8 or higher). I wasn't sure if it was helping because of course I've done a lot of other things concurrently, just to feel better however I could. Recently though, I moved to a new house and had a bad flare-up after eating some cake the night before last (sugar is apparently my biggest trigger!) I didn't know where my alkaline drops were and so I didn't have alkaline water immediately after, and the symptoms went into the next day probably due to pepsin hanging around. Last night I found the drops after doing more unpacking, and had a couple glasses of alkaline water. This morning, I feel great. It doesn't even feel like I have GERD (although I'm sure that'd change if I ate some cake lol). I've found that this stuff helps a lot in that when I have a flare-up, I don't suffer for days afterwards.
For anyone that wants to try it, I got [these drops](https://www.amazon.com/dp/B079N3CP9D/ref=sspa_dk_detail_3?psc=1&amp;amp;pd_rd_i=B079N3CP9D&amp;amp;pd_rd_w=IcH5Z&amp;amp;pf_rd_p=48d372c1-f7e1-4b8b-9d02-4bd86f5158c5&amp;amp;pd_rd_wg=WUIZv&amp;amp;pf_rd_r=9DVDHBV9R3BKTXKGKPVZ&amp;amp;pd_rd_r=ba1e7ec4-6dec-4314-a047-4d7793564560&amp;amp;smid=A2EJCTH67GJMT3&amp;amp;spLa=ZW5jcnlwdGVkUXVhbGlmaWVyPUFFNjM5RzQ5RkZCTUUmZW5jcnlwdGVkSWQ9QTAzMDg2NDVMOUZGN0hOODhRRkYmZW5jcnlwdGVkQWRJZD1BMDA5MTk5MjNBRjYzSFhHWk9EWTgmd2lkZ2V0TmFtZT1zcF9kZXRhaWwmYWN0aW9uPWNsaWNrUmVkaXJlY3QmZG9Ob3RMb2dDbGljaz10cnVl) and [this pH paper](https://www.amazon.com/Litmus-Strips-Universal-Application-Paper/dp/B085W2QPK9/ref=sxts_sxwds-bia-wc-drs1_0?cv_ct_cx=ph+paper&amp;amp;dchild=1&amp;amp;keywords=ph+paper&amp;amp;pd_rd_i=B085W2QPK9&amp;amp;pd_rd_r=77fd97ae-25cf-450a-b1da-dffac8613b58&amp;amp;pd_rd_w=FHWYQ&amp;amp;pd_rd_wg=rJSGX&amp;amp;pf_rd_p=055f7364-94db-4b93-80d6-346300592c66&amp;amp;pf_rd_r=E0W7PBNEQNFH3X40E8WC&amp;amp;psc=1&amp;amp;qid=1595197804&amp;amp;sr=1-1-f7123c3d-6c2e-4dbe-9d7a-6185fb77bc58). The drops have a nice flavor, but I find that you have to add more drops than recommended depending on the water. The water at my old place was closer to 6-6.5 than 7. I just keep adding drops until pH is around \~9-10 to be sure it is higher than 8.8. 
Hope this helps anyone! It helped me!</t>
        </is>
      </c>
      <c r="D9232" t="n">
        <v>6</v>
      </c>
      <c r="E9232" t="n">
        <v>0</v>
      </c>
      <c r="F9232">
        <f>HYPERLINK("https://www.reddit.com/r/GERD/comments/hu9o2e/i_found_something_that_seems_to_really_help_my/")</f>
        <v/>
      </c>
      <c r="G9232" t="inlineStr">
        <is>
          <t>2020-07-19 15:34:22</t>
        </is>
      </c>
      <c r="H9232" t="inlineStr"/>
    </row>
    <row r="9233">
      <c r="A9233" t="inlineStr">
        <is>
          <t>hu9u11</t>
        </is>
      </c>
      <c r="B9233" t="inlineStr">
        <is>
          <t>Questions about LPR/GERD</t>
        </is>
      </c>
      <c r="C9233" t="inlineStr">
        <is>
          <t>Hello all! First of all, I am so glad I found this community. I have a few questions about your experience with LPR/GERD. Those of you who experienced it, how long did it take for your throat to fully heal? Did you have symptoms like pain the the clavicle area, difficulty swallowing, hiccups/small burps? If you were on Omeprazole, for how long? I've been experiencing throat tightness since early March. I am feeling better now, but there are some days when my throat really hurts. I saw an ENT back in May and had my throat scoped, but they did not find anything. I asked to get a referral to a GI, but was told to go on Omeprazole for another 3 months and then come back if my throat is not healed. Just wanted to hear your stories. I'm a bit hypochondriac and I just keep thinking about esophageal cancer.</t>
        </is>
      </c>
      <c r="D9233" t="n">
        <v>3</v>
      </c>
      <c r="E9233" t="n">
        <v>2</v>
      </c>
      <c r="F9233">
        <f>HYPERLINK("https://www.reddit.com/r/GERD/comments/hu9u11/questions_about_lprgerd/")</f>
        <v/>
      </c>
      <c r="G9233" t="inlineStr">
        <is>
          <t>2020-07-19 15:44:40</t>
        </is>
      </c>
      <c r="H9233" t="inlineStr"/>
    </row>
    <row r="9234">
      <c r="A9234" t="inlineStr">
        <is>
          <t>huab67</t>
        </is>
      </c>
      <c r="B9234" t="inlineStr">
        <is>
          <t>New here</t>
        </is>
      </c>
      <c r="C9234" t="inlineStr">
        <is>
          <t>Is it normal to have a tight throat, shortness of breath and mucus with GERD? I'm so anxious because of these symptoms I'm driving myself crazy. Especially with this pandemic going on.</t>
        </is>
      </c>
      <c r="D9234" t="n">
        <v>1</v>
      </c>
      <c r="E9234" t="n">
        <v>4</v>
      </c>
      <c r="F9234">
        <f>HYPERLINK("https://www.reddit.com/r/GERD/comments/huab67/new_here/")</f>
        <v/>
      </c>
      <c r="G9234" t="inlineStr">
        <is>
          <t>2020-07-19 16:14:27</t>
        </is>
      </c>
      <c r="H9234" t="inlineStr"/>
    </row>
    <row r="9235">
      <c r="A9235" t="inlineStr">
        <is>
          <t>huawsx</t>
        </is>
      </c>
      <c r="B9235" t="inlineStr">
        <is>
          <t>I just ate ALL the trigger foods for brunch</t>
        </is>
      </c>
      <c r="C9235" t="inlineStr">
        <is>
          <t>I was at a socially distant brunch potluck and had cheesy, buttery egg casserole, chocolate chip cookies, chocolate cake and double berry sorbet. It was  glorious.
I'm lactose intolerant and have GERD. I also suffer from serious lack of self control.
I just wanted to share :D</t>
        </is>
      </c>
      <c r="D9235" t="n">
        <v>4</v>
      </c>
      <c r="E9235" t="n">
        <v>8</v>
      </c>
      <c r="F9235">
        <f>HYPERLINK("https://www.reddit.com/r/GERD/comments/huawsx/i_just_ate_all_the_trigger_foods_for_brunch/")</f>
        <v/>
      </c>
      <c r="G9235" t="inlineStr">
        <is>
          <t>2020-07-19 16:52:46</t>
        </is>
      </c>
      <c r="H9235" t="inlineStr"/>
    </row>
    <row r="9236">
      <c r="A9236" t="inlineStr">
        <is>
          <t>huba6v</t>
        </is>
      </c>
      <c r="B9236" t="inlineStr">
        <is>
          <t>What can I eat!?</t>
        </is>
      </c>
      <c r="C9236" t="inlineStr">
        <is>
          <t>I feel like I can't eat anything and I'm so depressed...half the time I just skip meals because I just don't know what to do. Please help.</t>
        </is>
      </c>
      <c r="D9236" t="n">
        <v>2</v>
      </c>
      <c r="E9236" t="n">
        <v>8</v>
      </c>
      <c r="F9236">
        <f>HYPERLINK("https://www.reddit.com/r/GERD/comments/huba6v/what_can_i_eat/")</f>
        <v/>
      </c>
      <c r="G9236" t="inlineStr">
        <is>
          <t>2020-07-19 17:16:41</t>
        </is>
      </c>
      <c r="H9236" t="inlineStr"/>
    </row>
    <row r="9237">
      <c r="A9237" t="inlineStr">
        <is>
          <t>hubgq2</t>
        </is>
      </c>
      <c r="B9237" t="inlineStr">
        <is>
          <t>Difficulty Speaking... anyone relate?</t>
        </is>
      </c>
      <c r="C9237" t="inlineStr">
        <is>
          <t>Every time, especially after a meal.. it’s so hard to talk to people. I have to explain, while taking pauses in my sentences, that it’s difficult to speak. I say it hurts to speak, but that’s just because it’s easier to get the point across. Idk exactly what it is, if it is the breathlessness or the acid reflux pushing against my upper esophageal sphincter ... but it’s so fucking hard to talk. I remember a few years ago in therapy stopping in the middle of every sentence to take a sip of water because stuff kept coming up!
19 M
Prilosec 20mg</t>
        </is>
      </c>
      <c r="D9237" t="n">
        <v>1</v>
      </c>
      <c r="E9237" t="n">
        <v>6</v>
      </c>
      <c r="F9237">
        <f>HYPERLINK("https://www.reddit.com/r/GERD/comments/hubgq2/difficulty_speaking_anyone_relate/")</f>
        <v/>
      </c>
      <c r="G9237" t="inlineStr">
        <is>
          <t>2020-07-19 17:28:54</t>
        </is>
      </c>
      <c r="H9237" t="inlineStr"/>
    </row>
    <row r="9238">
      <c r="A9238" t="inlineStr">
        <is>
          <t>hubj4n</t>
        </is>
      </c>
      <c r="B9238" t="inlineStr">
        <is>
          <t>First severe reflux attack in months...</t>
        </is>
      </c>
      <c r="C9238" t="inlineStr">
        <is>
          <t>Went to bed early tonight after a day of having fun at my aunties. I hadn’t seen my cousins since before lockdown and they put out a spread of delicious goodies. I thought why not? I deserve a treat! (Trying to lose weight for reflux surgery, 11lbs down so far!) so had some chicken nuggets, some garlic bread and some chocolate and one glass of amaretto and diet coke. 
Well, do I regret everything. Woke up with crushing pain in the middle of my chest and gasping for a huge breath. Immediately took some gaviscon advance and tried to relax, but then the shortness of breath kicked in. My blood oxygen reader said I was at 99% so I knew I was okay and not having a heart attack but my heartbeat measured 119. Tried to listen to some asmr and relax but ran to the toilet to burp and regurgitate stuff. Breathlessness was horrendous, dizziness kicked in and my heart was racing. 
Nearly woke my other half up because I thought “I wonder if this is the time I actually have a heart attack..” however just as I was about to grab my phone, my heartbeat started to settle. I puked up more foam and the crushing pain subsided.
Sigh. Why is this my life? It’s not fair. I wanted to be a normal just for one evening. 
My doctor wants me to have some sort of gastric bypass (the one where it helps with reflux - I forget the name) but I was always scared of this life changing surgery. It was always meant to be an absolute last resort but now I can’t help thinking that it can’t be any worse than my life is now. Has anyone ever had something like that done to help with reflux? My endoscopy showed excess acid in my stomach and my Oesophageal manometry (modern day torture) results haven’t come through, even after 6 months. (Damn COVID...) 
Anyway... thanks for listening to me rant. It has helped calm me down and focus my mind. I hope you’re all having a better evening than me.  
More information - I was diagnosed with GERD two years ago after I was having troubles swallowing, was hospitalised for 7 days, barium swallow showed dismotility, never have heartburn but do get central chest pain and heart palpitations, been on medication for 1 year (Lansoprazole) has two endoscopies, an oesophageal manometry and a 24 hour PH test done. (Also not pleasant at all.) Was on Omeprazole for one year but changed last year. I get mild manageable flare ups about once a week and constant burping and regurgitation at least once a day. 
TLDR: I ate some chocolate and chicken nuggets and regret everything.</t>
        </is>
      </c>
      <c r="D9238" t="n">
        <v>7</v>
      </c>
      <c r="E9238" t="n">
        <v>8</v>
      </c>
      <c r="F9238">
        <f>HYPERLINK("https://www.reddit.com/r/GERD/comments/hubj4n/first_severe_reflux_attack_in_months/")</f>
        <v/>
      </c>
      <c r="G9238" t="inlineStr">
        <is>
          <t>2020-07-19 17:33:19</t>
        </is>
      </c>
      <c r="H9238" t="inlineStr"/>
    </row>
    <row r="9239">
      <c r="A9239" t="inlineStr">
        <is>
          <t>hudesj</t>
        </is>
      </c>
      <c r="B9239" t="inlineStr">
        <is>
          <t>Worried about continuing my physical job with symptoms</t>
        </is>
      </c>
      <c r="C9239" t="inlineStr">
        <is>
          <t>I (28F) have been struggling with what was narrowed down to allergies or lpr for a while. On and off sore throat, clogged and painful ears, bad post nasal drip, sometimes a clogged nose, tingling tongue, and wheezing in chest when I breathe in (but not out), food getting stuck about once every two weeks, and an on and off wet cough. Antihistamines get rid of most of the wheezing and cough (except close to bedtime when they are wearing off) but not the rest. I’ve seen the ENT for this twice in four years, she has put the scope down my nose both times and said it literally looks perfect. Not even any irritation or redness in my throat. But said maybe lpr as she had no other suggestions and said to change my diet. (my pcp was leaning towards allergies). 
I am already on a very low acid, no caffeine, no spicy food diet due to a bladder issue and have been for a year and a half. Like literally I was handed the GERD diet by the ENT and then only “bad” things I still ate were Parmesan cheese, butter, and garlic powder (not even real garlic). I am really strict about it to as otherwise I feel like I have to pee 24/7. And otherwise I eat healthy, little takeout (can’t have gluten either as it made me throw up every morning for a year back in college, 8 years ago, which limits me to very little prepackaged or restaurant food). I’ve stopped those things too now and still no improvement. Raising my bed 7 inches did literally nothing and alkaline water doesn’t help at all. 
So, I was told to start Prilosec, because I had heart burn for two days after one moment of weakness (my first in a month and a half) when I ate half a can of store bought icing. 
It’s been two weeks and I swear all it’s done is give me reflux. I feel burning in my mouth, nose, and throat when I never have before. I threw up a bit in my mouth today while swimming and I have gurgling in my throat. I’ve never had this before and I can now say for sure the tingling mouth and sore throat I had before did not feel like this burning. 
The worst day was when I was out in the field digging (I’m an archaeologist). We bend over all day and it was awful. I can’t not be able to do my job. I’m getting my PhD in this and am about to start my last summer of fieldwork. I literally can’t switch careers at this point and don’t want to. 
I guess I am wondering if anyone has experienced the same and how long it took for the reflux symptoms to go away after you stopped the PPI. And any suggestions for how to get through a day when I have to be bent over, lifting heavy things, and there is no way not to exercise after eating for hours (there is an hour lunch break and then immediately back to work).</t>
        </is>
      </c>
      <c r="D9239" t="n">
        <v>1</v>
      </c>
      <c r="E9239" t="n">
        <v>1</v>
      </c>
      <c r="F9239">
        <f>HYPERLINK("https://www.reddit.com/r/GERD/comments/hudesj/worried_about_continuing_my_physical_job_with/")</f>
        <v/>
      </c>
      <c r="G9239" t="inlineStr">
        <is>
          <t>2020-07-19 19:40:37</t>
        </is>
      </c>
      <c r="H9239" t="inlineStr"/>
    </row>
    <row r="9240">
      <c r="A9240" t="inlineStr">
        <is>
          <t>huecji</t>
        </is>
      </c>
      <c r="B9240" t="inlineStr">
        <is>
          <t>Hi I am new here. I just wanted to know if this happens to anyone else!!!!</t>
        </is>
      </c>
      <c r="C9240" t="inlineStr">
        <is>
          <t>I have a question
Hi! So I just joined here today and I wanted to know if anyone ever has the feeling of what I can describe as your throat forcing a swallow on it’s own? It doesn’t cause pain and it just feels very very uncomfortable and sometimes wakes me up when I’m sleeping. (I also do have anxiety) Thank you :)</t>
        </is>
      </c>
      <c r="D9240" t="n">
        <v>1</v>
      </c>
      <c r="E9240" t="n">
        <v>0</v>
      </c>
      <c r="F9240">
        <f>HYPERLINK("https://www.reddit.com/r/GERD/comments/huecji/hi_i_am_new_here_i_just_wanted_to_know_if_this/")</f>
        <v/>
      </c>
      <c r="G9240" t="inlineStr">
        <is>
          <t>2020-07-19 20:47:02</t>
        </is>
      </c>
      <c r="H9240" t="inlineStr"/>
    </row>
    <row r="9241">
      <c r="A9241" t="inlineStr">
        <is>
          <t>hui98n</t>
        </is>
      </c>
      <c r="B9241" t="inlineStr">
        <is>
          <t>Attacks out of nowhere.</t>
        </is>
      </c>
      <c r="C9241" t="inlineStr">
        <is>
          <t>Last Tuesday I knew GERD was a thing, but hadn't really had it. Burning in the esophagus, sometimes, but not like heartburn etc. After a very stressful Monday, I was out and was hit with a weird attack that really hurt my heart, back and jaw. I thought it might be angina or GERD. Since then, I've had one or two attacks a day, usually after breakfast or before bed. Is this common? I mean to go from "normal" to "crippling attacks daily" without any lead-up or warning?</t>
        </is>
      </c>
      <c r="D9241" t="n">
        <v>1</v>
      </c>
      <c r="E9241" t="n">
        <v>1</v>
      </c>
      <c r="F9241">
        <f>HYPERLINK("https://www.reddit.com/r/GERD/comments/hui98n/attacks_out_of_nowhere/")</f>
        <v/>
      </c>
      <c r="G9241" t="inlineStr">
        <is>
          <t>2020-07-20 02:21:49</t>
        </is>
      </c>
      <c r="H9241" t="inlineStr"/>
    </row>
    <row r="9242">
      <c r="A9242" t="inlineStr">
        <is>
          <t>hukcpy</t>
        </is>
      </c>
      <c r="B9242" t="inlineStr">
        <is>
          <t>Acid Reflux help</t>
        </is>
      </c>
      <c r="C9242" t="inlineStr">
        <is>
          <t>Hi all, currently been suffering from acid reflux for past 1/2 months. Not my first time but before it has gone away. Currently on omeprazole 20mg and have been for 3 weeks now but it hasn’t had any effect ? 
Getting lump in throat feeling pretty much all day aswell as some chest pains.
I’ve got a call with my doctor on Friday to see what’s up but just looking for advice as I rly want to get rid off it as joining military soon.
Thanks guys just wanting any advice and if it sounds like acid reflux ? .</t>
        </is>
      </c>
      <c r="D9242" t="n">
        <v>2</v>
      </c>
      <c r="E9242" t="n">
        <v>14</v>
      </c>
      <c r="F9242">
        <f>HYPERLINK("https://www.reddit.com/r/GERD/comments/hukcpy/acid_reflux_help/")</f>
        <v/>
      </c>
      <c r="G9242" t="inlineStr">
        <is>
          <t>2020-07-20 05:26:40</t>
        </is>
      </c>
      <c r="H9242" t="inlineStr"/>
    </row>
    <row r="9243">
      <c r="A9243" t="inlineStr">
        <is>
          <t>hulwvf</t>
        </is>
      </c>
      <c r="B9243" t="inlineStr">
        <is>
          <t>Endoscopy in an hour</t>
        </is>
      </c>
      <c r="C9243" t="inlineStr">
        <is>
          <t>I'm absolutely petrified.  I'm scared to be put under. My procedure will be at an outpatient center and not a hospital. Im scared of an allergic reaction to the meds; I0 found out I was allergic to morphine the hard way. Basically, I am making my already severe GERD act up before I go in. Im normally an anxious person to begin with but even my meditation techniques are not working. 
Any advice? Experiences? Thanks guys.</t>
        </is>
      </c>
      <c r="D9243" t="n">
        <v>1</v>
      </c>
      <c r="E9243" t="n">
        <v>32</v>
      </c>
      <c r="F9243">
        <f>HYPERLINK("https://www.reddit.com/r/GERD/comments/hulwvf/endoscopy_in_an_hour/")</f>
        <v/>
      </c>
      <c r="G9243" t="inlineStr">
        <is>
          <t>2020-07-20 07:10:57</t>
        </is>
      </c>
      <c r="H9243" t="inlineStr"/>
    </row>
    <row r="9244">
      <c r="A9244" t="inlineStr">
        <is>
          <t>humvyh</t>
        </is>
      </c>
      <c r="B9244" t="inlineStr">
        <is>
          <t>ONLY ONE MEAL: Jasmine Rice + Chicken</t>
        </is>
      </c>
      <c r="C9244" t="inlineStr">
        <is>
          <t>We will see if this helps! I really don’t care about taste anymore, I’d prefer to not be in physical and mental pain.</t>
        </is>
      </c>
      <c r="D9244" t="n">
        <v>45</v>
      </c>
      <c r="E9244" t="n">
        <v>103</v>
      </c>
      <c r="F9244">
        <f>HYPERLINK("https://www.reddit.com/r/GERD/comments/humvyh/only_one_meal_jasmine_rice_chicken/")</f>
        <v/>
      </c>
      <c r="G9244" t="inlineStr">
        <is>
          <t>2020-07-20 08:07:55</t>
        </is>
      </c>
      <c r="H9244" t="inlineStr"/>
    </row>
    <row r="9245">
      <c r="A9245" t="inlineStr">
        <is>
          <t>hun9sl</t>
        </is>
      </c>
      <c r="B9245" t="inlineStr">
        <is>
          <t>Omeprazole experience/Advice</t>
        </is>
      </c>
      <c r="C9245" t="inlineStr">
        <is>
          <t>Hi everyone, 
I’d like to hear some of your personal experiences with Omeprazole and what side affects may have lead you to seek different options. 
When I first started taking it I had really bad gas, bloating and stomach pain which from what I understand is fairly common. It’s never really worried me that much as I have IBS and kind of just live with that fairly often as is. 
Lately though I’ve been having more worrisome symptoms which I’m not sure are even associated with it. My urine has been really dark almost auburn colored and my stool has been just weird. Like a dark yellow color and I’ve been experiencing diarrhea. 
Sorry for the gross imagery. I would just like some advice on what direction I should go. Should I continue to take it? I’m on a 60 day treatment prescribed by my doctor. I’m on day 20 or so. 
I should also note that it has slightly helped with the lump feeling I had in my throat as well as decreased my nausea but only a little. I still have that fairly often. 
Thanks everyone.</t>
        </is>
      </c>
      <c r="D9245" t="n">
        <v>3</v>
      </c>
      <c r="E9245" t="n">
        <v>7</v>
      </c>
      <c r="F9245">
        <f>HYPERLINK("https://www.reddit.com/r/GERD/comments/hun9sl/omeprazole_experienceadvice/")</f>
        <v/>
      </c>
      <c r="G9245" t="inlineStr">
        <is>
          <t>2020-07-20 08:29:51</t>
        </is>
      </c>
      <c r="H9245" t="inlineStr"/>
    </row>
    <row r="9246">
      <c r="A9246" t="inlineStr">
        <is>
          <t>hunuu0</t>
        </is>
      </c>
      <c r="B9246" t="inlineStr">
        <is>
          <t>Think I overdosed on nexium</t>
        </is>
      </c>
      <c r="C9246" t="inlineStr">
        <is>
          <t xml:space="preserve">Took one in the morning and one just right now but I forgot my new prescription was once a day instead of twice a day like my old prescription. This new nexium is more powerful than my old one so I’m a bit worried </t>
        </is>
      </c>
      <c r="D9246" t="n">
        <v>2</v>
      </c>
      <c r="E9246" t="n">
        <v>8</v>
      </c>
      <c r="F9246">
        <f>HYPERLINK("https://www.reddit.com/r/GERD/comments/hunuu0/think_i_overdosed_on_nexium/")</f>
        <v/>
      </c>
      <c r="G9246" t="inlineStr">
        <is>
          <t>2020-07-20 09:02:22</t>
        </is>
      </c>
      <c r="H9246" t="inlineStr"/>
    </row>
    <row r="9247">
      <c r="A9247" t="inlineStr">
        <is>
          <t>huobbe</t>
        </is>
      </c>
      <c r="B9247" t="inlineStr">
        <is>
          <t>Endoscopy/Biopsy Question</t>
        </is>
      </c>
      <c r="C9247" t="inlineStr">
        <is>
          <t>Hello, I had an upper Endoscopy done today.
&amp;amp;#x200B;
I was discharged without seeing the doctor who preformed the test.
The Nurse said he did some random biopsies, but could not elaborate further.
He discharged me with a sheet that said
Findings:
 \-Looked Normal
\- No Ulcer
Plan:
\- pantoptrazole 40mg twice a day for 90 days
Follow up:
\- Call his office in 2 weeks to get the results of the biopsies.
&amp;amp;#x200B;
Does this seem normal, to take biopsies when everything looked normal, and what does random biopsies generally mean?</t>
        </is>
      </c>
      <c r="D9247" t="n">
        <v>1</v>
      </c>
      <c r="E9247" t="n">
        <v>4</v>
      </c>
      <c r="F9247">
        <f>HYPERLINK("https://www.reddit.com/r/GERD/comments/huobbe/endoscopybiopsy_question/")</f>
        <v/>
      </c>
      <c r="G9247" t="inlineStr">
        <is>
          <t>2020-07-20 09:27:21</t>
        </is>
      </c>
      <c r="H9247" t="inlineStr"/>
    </row>
    <row r="9248">
      <c r="A9248" t="inlineStr">
        <is>
          <t>huocxd</t>
        </is>
      </c>
      <c r="B9248" t="inlineStr">
        <is>
          <t>Could it be silent reflux?</t>
        </is>
      </c>
      <c r="C9248" t="inlineStr">
        <is>
          <t>I’m burping and belching so much once every min honestly, I also have a sour taste my mouth every once and while. Not vomiting or having any actual reflux come up just extreme gas, pain in belly and gurgling noises Thought it could be gas but it’s been like this for over two months, I’m now on Nexium 40mg and considering getting a endoscopy. Anyone else have similar symptoms?</t>
        </is>
      </c>
      <c r="D9248" t="n">
        <v>3</v>
      </c>
      <c r="E9248" t="n">
        <v>11</v>
      </c>
      <c r="F9248">
        <f>HYPERLINK("https://www.reddit.com/r/GERD/comments/huocxd/could_it_be_silent_reflux/")</f>
        <v/>
      </c>
      <c r="G9248" t="inlineStr">
        <is>
          <t>2020-07-20 09:29:55</t>
        </is>
      </c>
      <c r="H9248" t="inlineStr"/>
    </row>
    <row r="9249">
      <c r="A9249" t="inlineStr">
        <is>
          <t>huox8k</t>
        </is>
      </c>
      <c r="B9249" t="inlineStr">
        <is>
          <t>Non caloric acid soaker.</t>
        </is>
      </c>
      <c r="C9249" t="inlineStr">
        <is>
          <t>Is there a "food" that will just pass through my system with no calories, fat or carbs that will soak up acid?</t>
        </is>
      </c>
      <c r="D9249" t="n">
        <v>0</v>
      </c>
      <c r="E9249" t="n">
        <v>10</v>
      </c>
      <c r="F9249">
        <f>HYPERLINK("https://www.reddit.com/r/GERD/comments/huox8k/non_caloric_acid_soaker/")</f>
        <v/>
      </c>
      <c r="G9249" t="inlineStr">
        <is>
          <t>2020-07-20 09:59:18</t>
        </is>
      </c>
      <c r="H9249" t="inlineStr"/>
    </row>
    <row r="9250">
      <c r="A9250" t="inlineStr">
        <is>
          <t>hupxe4</t>
        </is>
      </c>
      <c r="B9250" t="inlineStr">
        <is>
          <t>Migraines?</t>
        </is>
      </c>
      <c r="C9250" t="inlineStr">
        <is>
          <t>Does acid reflux cause migraines because Ive had this terrible pain in my head since it started about 2 weeks ago and it doesn't feel like a headache
(I've never had a migraine before so I don't know what it feels like or if this is even a migraine)
Help please</t>
        </is>
      </c>
      <c r="D9250" t="n">
        <v>1</v>
      </c>
      <c r="E9250" t="n">
        <v>18</v>
      </c>
      <c r="F9250">
        <f>HYPERLINK("https://www.reddit.com/r/GERD/comments/hupxe4/migraines/")</f>
        <v/>
      </c>
      <c r="G9250" t="inlineStr">
        <is>
          <t>2020-07-20 10:50:05</t>
        </is>
      </c>
      <c r="H9250" t="inlineStr"/>
    </row>
    <row r="9251">
      <c r="A9251" t="inlineStr">
        <is>
          <t>huqn7h</t>
        </is>
      </c>
      <c r="B9251" t="inlineStr">
        <is>
          <t>Clearing my throat constantly</t>
        </is>
      </c>
      <c r="C9251" t="inlineStr">
        <is>
          <t>Anyone else feel like they have phlegm in their throat almost always after they eat? I feel like I’m clearing my throat so much after I eat, because it feels like I have something stuck in my throat. It also happens right when I wake up. I can’t tell if it’s GERD or just allergies maybe.</t>
        </is>
      </c>
      <c r="D9251" t="n">
        <v>3</v>
      </c>
      <c r="E9251" t="n">
        <v>8</v>
      </c>
      <c r="F9251">
        <f>HYPERLINK("https://www.reddit.com/r/GERD/comments/huqn7h/clearing_my_throat_constantly/")</f>
        <v/>
      </c>
      <c r="G9251" t="inlineStr">
        <is>
          <t>2020-07-20 11:26:33</t>
        </is>
      </c>
      <c r="H9251" t="inlineStr"/>
    </row>
    <row r="9252">
      <c r="A9252" t="inlineStr">
        <is>
          <t>huqwy3</t>
        </is>
      </c>
      <c r="B9252" t="inlineStr">
        <is>
          <t>Can amitriptyline cause/worsen gerd?</t>
        </is>
      </c>
      <c r="C9252" t="inlineStr">
        <is>
          <t>Bare with me, because I have a long history of medications for conditions including steroids. I recently switched over to gastroresistant steroids but to no avail. I’m wondering if it’s another medicine I’m taking. 
I went through the lists online of what meds I’m taking which could contribute to gerd, and the one left is amitriptyline. I’m on 30mg. It’s a low-ish dose, but could that be worsening it?
I’ve been in a lot of pain the last month, which I really don’t understand... surely the gastroresistant steroids couldn’t be making it worse? I mean the whole point is that they don’t digest until they reach the intestines.
So... is it the steroids? Or amitriptyline? I wanted to come down/off amitriptyline for a little while now, in fact I was on 40mg well I suppose until recently too. 
But I can never come off the steroids because I have Addison’s disease 😕 That would probably fix everything. I could enjoy food again and eat normal sized meals at normal times of the day.
I am trying to be on the lowest steroid dose possible. I have to say maybe it’s not bad that I’m losing the steroidal weight from not eating... but obviously it can’t go on especially that I’m in pain.
Thoughts?</t>
        </is>
      </c>
      <c r="D9252" t="n">
        <v>1</v>
      </c>
      <c r="E9252" t="n">
        <v>4</v>
      </c>
      <c r="F9252">
        <f>HYPERLINK("https://www.reddit.com/r/GERD/comments/huqwy3/can_amitriptyline_causeworsen_gerd/")</f>
        <v/>
      </c>
      <c r="G9252" t="inlineStr">
        <is>
          <t>2020-07-20 11:39:57</t>
        </is>
      </c>
      <c r="H9252" t="inlineStr"/>
    </row>
    <row r="9253">
      <c r="A9253" t="inlineStr">
        <is>
          <t>hur3rr</t>
        </is>
      </c>
      <c r="B9253" t="inlineStr">
        <is>
          <t>Drink Recommendations ?</t>
        </is>
      </c>
      <c r="C9253" t="inlineStr">
        <is>
          <t>Hello, everyone! I am super new to the struggles of GERD. I was diagnosed with GERD about 2 months ago. I’ve changed my diet significantly, I use to eat nothing but spicy food, and coffee. I kind of got the diet down to where I don’t get any heart burn but from time to time I’ll experiment with new foods to see if it’s a trigger for me. The only thing I haven’t played with is drinks. I’ve stuck 100% to water cause almost everything else is either carbonated or has caffeine. But I’m getting really tired of water lol. Wanted to get some feedback on what drinks you’ve tried that work or don’t work. I appreciate all the feedback.</t>
        </is>
      </c>
      <c r="D9253" t="n">
        <v>1</v>
      </c>
      <c r="E9253" t="n">
        <v>37</v>
      </c>
      <c r="F9253">
        <f>HYPERLINK("https://www.reddit.com/r/GERD/comments/hur3rr/drink_recommendations/")</f>
        <v/>
      </c>
      <c r="G9253" t="inlineStr">
        <is>
          <t>2020-07-20 11:49:27</t>
        </is>
      </c>
      <c r="H9253" t="inlineStr"/>
    </row>
    <row r="9254">
      <c r="A9254" t="inlineStr">
        <is>
          <t>hur6ca</t>
        </is>
      </c>
      <c r="B9254" t="inlineStr">
        <is>
          <t>What are your evening routines to help you sleep?</t>
        </is>
      </c>
      <c r="C9254" t="inlineStr">
        <is>
          <t>I have elevated bed, don't eat for 3 hours before bed and take Somac before going to bed. Worst part of this condition for me is that it disturbs my sleep and all help is welcome.</t>
        </is>
      </c>
      <c r="D9254" t="n">
        <v>1</v>
      </c>
      <c r="E9254" t="n">
        <v>4</v>
      </c>
      <c r="F9254">
        <f>HYPERLINK("https://www.reddit.com/r/GERD/comments/hur6ca/what_are_your_evening_routines_to_help_you_sleep/")</f>
        <v/>
      </c>
      <c r="G9254" t="inlineStr">
        <is>
          <t>2020-07-20 11:53:11</t>
        </is>
      </c>
      <c r="H9254" t="inlineStr"/>
    </row>
    <row r="9255">
      <c r="A9255" t="inlineStr">
        <is>
          <t>hurfih</t>
        </is>
      </c>
      <c r="B9255" t="inlineStr">
        <is>
          <t>Do a lot of you fellow GERDERS have also Rosacea?</t>
        </is>
      </c>
      <c r="C9255" t="inlineStr">
        <is>
          <t>I'm interested in the possible link between these two conditions.</t>
        </is>
      </c>
      <c r="D9255" t="n">
        <v>2</v>
      </c>
      <c r="E9255" t="n">
        <v>6</v>
      </c>
      <c r="F9255">
        <f>HYPERLINK("https://www.reddit.com/r/GERD/comments/hurfih/do_a_lot_of_you_fellow_gerders_have_also_rosacea/")</f>
        <v/>
      </c>
      <c r="G9255" t="inlineStr">
        <is>
          <t>2020-07-20 12:06:05</t>
        </is>
      </c>
      <c r="H9255" t="inlineStr"/>
    </row>
    <row r="9256">
      <c r="A9256" t="inlineStr">
        <is>
          <t>husfa8</t>
        </is>
      </c>
      <c r="B9256" t="inlineStr">
        <is>
          <t>Does anyone get Breathing Problems after eating Cheese?</t>
        </is>
      </c>
      <c r="C9256" t="inlineStr">
        <is>
          <t>Kinda a weird one I know, but just wondered how many people get this?
I noticed a pattern recently, 
* October 2019 - I had a large Cheese Pizza. (Had my first ever episode of GERD, and I also had other GI issues)
* March 2020 - I had another Large Cheese Pizza. (Had breathing issues for around a week after)
* June 2020 - I had another Large Cheese Pizza. (Had breathing issues for around a week after)
* Decided to stop eating cheese, I only had 1 day where I had breathing issues in 2 weeks.
* Had a tiny slither of cheese yesterday (I have breathing issues again today and a sore throat)
So it seems like I have LPR from what my Doctor says and I'm wondering if cheese is a mega trigger for LPR and perhaps its burning my throat and causing issues. I've not experimented enough with other dairy products but thinking maybe to cut them out.
Anyone else have this? Or am I looking way to much into it?</t>
        </is>
      </c>
      <c r="D9256" t="n">
        <v>6</v>
      </c>
      <c r="E9256" t="n">
        <v>23</v>
      </c>
      <c r="F9256">
        <f>HYPERLINK("https://www.reddit.com/r/GERD/comments/husfa8/does_anyone_get_breathing_problems_after_eating/")</f>
        <v/>
      </c>
      <c r="G9256" t="inlineStr">
        <is>
          <t>2020-07-20 12:55:32</t>
        </is>
      </c>
      <c r="H9256" t="inlineStr"/>
    </row>
    <row r="9257">
      <c r="A9257" t="inlineStr">
        <is>
          <t>hut5gr</t>
        </is>
      </c>
      <c r="B9257" t="inlineStr">
        <is>
          <t>Difficulty breathing</t>
        </is>
      </c>
      <c r="C9257" t="inlineStr">
        <is>
          <t>How do you guys deal with this side effect from gerd? It sucks having this especially with the whole COVID thing going around, I sometimes freak out identifying the difference between the two ... I usually just have a cup of tea and drink lots of water until it goes away but what are some things you guys do to control the difficulty breathing ?</t>
        </is>
      </c>
      <c r="D9257" t="n">
        <v>3</v>
      </c>
      <c r="E9257" t="n">
        <v>12</v>
      </c>
      <c r="F9257">
        <f>HYPERLINK("https://www.reddit.com/r/GERD/comments/hut5gr/difficulty_breathing/")</f>
        <v/>
      </c>
      <c r="G9257" t="inlineStr">
        <is>
          <t>2020-07-20 13:33:36</t>
        </is>
      </c>
      <c r="H9257" t="inlineStr"/>
    </row>
    <row r="9258">
      <c r="A9258" t="inlineStr">
        <is>
          <t>hutvry</t>
        </is>
      </c>
      <c r="B9258" t="inlineStr">
        <is>
          <t>Bad reflux a year ago, got symptoms under control...a year later, just a sore throat. Typical?</t>
        </is>
      </c>
      <c r="C9258" t="inlineStr">
        <is>
          <t>Over a year ago, I had a bad acid attack in the middle of the night. Intense burning, acid in the throat, the whole thing. I'd had a few of these in years past, but this was clearly the worst. In the months that followed, I had pretty bad daily reflux, with a burning sensation in my lower esophagus after most meals, along with near-constant discomfort in my upper-stomach.  
I went on a 2-month-long omeprazole plan, then transitioned to famotidine. I cut alcohol altogether (I had been a 2-3 drinks a night guy, often shortly before bed). I still drank caffeine, but I limited it to a cup or two. I elevated my sleeping position, stopped eating/drinking a few hours before bed, etc. Gradually, things got better. By the holidays, I was practically asymptomatic.  
Since then, I've slowly re-introduced certain offending elements. I'm drinking again on the weekends--though not too much outside of the occasional party. I'm a little less careful about not eating/drinking before bed. My wife recently had a baby, so naps (and thus lying down) are more frequent now.  
For the first half of this year, I would have mild reflux about once a month. This was my cue to cut back on the re-introductions. Take a week off of alcohol, be more careful before bedtime, etc. But it was working fine for me, because the mild reflux wasn't too bad, and it was a perfect warning sign, mostly in line with my symptoms from last year.  
But now I'm getting a sore throat, left side, off and on. There for 2 days, gone for 3. Back for another day, and so on. It seems to get worse at night. It can range from hardly noticeable to uncomfortable to the point of distracting. I've exchanged one email with my doctor, and he was quick to say it's probably a reflux/GERD symptom. I believe him, but I think what's weird is that the symptoms seem to have just *switched* over night. No more upper stomach discomfort or esophageal pain. But now an on-again, off-again sore throat, especially when swallowing.  
I assume this is LPR (laryngopharyngeal reflux or "silent reflux"). My question is whether this "year later," "symptoms switching/evolving" thing is typical. And also, what sort of remedies seem to work best?  
(For the record, I'm a 33M, 150lbs...down from 170lbs before all this started...I guess that's one positive side effect of reflux!)</t>
        </is>
      </c>
      <c r="D9258" t="n">
        <v>3</v>
      </c>
      <c r="E9258" t="n">
        <v>10</v>
      </c>
      <c r="F9258">
        <f>HYPERLINK("https://www.reddit.com/r/GERD/comments/hutvry/bad_reflux_a_year_ago_got_symptoms_under_controla/")</f>
        <v/>
      </c>
      <c r="G9258" t="inlineStr">
        <is>
          <t>2020-07-20 14:12:17</t>
        </is>
      </c>
      <c r="H9258" t="inlineStr"/>
    </row>
    <row r="9259">
      <c r="A9259" t="inlineStr">
        <is>
          <t>huwlca</t>
        </is>
      </c>
      <c r="B9259" t="inlineStr">
        <is>
          <t>Pepcid?</t>
        </is>
      </c>
      <c r="C9259" t="inlineStr">
        <is>
          <t>Did anyone else get this for a prescription from the doctor? I did my first visit I'm required now to take 2 famotudine (pepcid ac) tablets a day until my gets is gone does anyone else do this or alternate meds?</t>
        </is>
      </c>
      <c r="D9259" t="n">
        <v>6</v>
      </c>
      <c r="E9259" t="n">
        <v>16</v>
      </c>
      <c r="F9259">
        <f>HYPERLINK("https://www.reddit.com/r/GERD/comments/huwlca/pepcid/")</f>
        <v/>
      </c>
      <c r="G9259" t="inlineStr">
        <is>
          <t>2020-07-20 16:42:27</t>
        </is>
      </c>
      <c r="H9259" t="inlineStr"/>
    </row>
    <row r="9260">
      <c r="A9260" t="inlineStr">
        <is>
          <t>huyrc1</t>
        </is>
      </c>
      <c r="B9260" t="inlineStr">
        <is>
          <t>Surgery</t>
        </is>
      </c>
      <c r="C9260" t="inlineStr">
        <is>
          <t>So i (27) have pretty sever LPR since i was about 10 years old. I also have multiple chronic issues which make surgery very complicated and risky. Also being only 27 Drs dont even want to discuss surgery even though I can hardly breath 24/7. Looking into types of surgery and wondering if anyone has had success woth the Linx? Seems way less invasive and I wouldn't have to worry about healing issues as much. Don't know much about it, but getting tired of taking multiple meds a day that bring it from like a bad 9 to only a bad 7 on scale.</t>
        </is>
      </c>
      <c r="D9260" t="n">
        <v>6</v>
      </c>
      <c r="E9260" t="n">
        <v>36</v>
      </c>
      <c r="F9260">
        <f>HYPERLINK("https://www.reddit.com/r/GERD/comments/huyrc1/surgery/")</f>
        <v/>
      </c>
      <c r="G9260" t="inlineStr">
        <is>
          <t>2020-07-20 19:01:45</t>
        </is>
      </c>
      <c r="H9260" t="inlineStr"/>
    </row>
    <row r="9261">
      <c r="A9261" t="inlineStr">
        <is>
          <t>huz0qf</t>
        </is>
      </c>
      <c r="B9261" t="inlineStr">
        <is>
          <t>GERD and Natural Remedies</t>
        </is>
      </c>
      <c r="C9261" t="inlineStr">
        <is>
          <t>Hi (56F) I have suffered from GERD all my life and have recently stopped medication (Somac). Have been off it for 5months approx. I have been going well, but the last month or so, reflux has returned badly, suffering with regurgitation, burning throat and chest pain attacks. I've never had chest pain before but I have heard it can be common with this condition. I am scheduled to see Dr about pain this week. 
Has anyone tried natural remedies that have helped them with dealing with the symptoms of GERD?
Will go on medication again if that is the recommendation of my doctor, but would like to try other methods.
Any advice will be appreciated. Thank you.</t>
        </is>
      </c>
      <c r="D9261" t="n">
        <v>1</v>
      </c>
      <c r="E9261" t="n">
        <v>14</v>
      </c>
      <c r="F9261">
        <f>HYPERLINK("https://www.reddit.com/r/GERD/comments/huz0qf/gerd_and_natural_remedies/")</f>
        <v/>
      </c>
      <c r="G9261" t="inlineStr">
        <is>
          <t>2020-07-20 19:19:14</t>
        </is>
      </c>
      <c r="H9261" t="inlineStr"/>
    </row>
    <row r="9262">
      <c r="A9262" t="inlineStr">
        <is>
          <t>huzvhm</t>
        </is>
      </c>
      <c r="B9262" t="inlineStr">
        <is>
          <t>So what CAN I eat?</t>
        </is>
      </c>
      <c r="C9262" t="inlineStr">
        <is>
          <t>So I have gerd, this eliminates a lot of food as you know. But I also have a stomach ulcer which means no spicy and no acidic, no fat. No fruit, no tea, no coffee. I also have IBS so there goes a lot of vegetables and low acidic fruit. So what do I eat. I've been living off of eggs, bread, meat, and cheese and apple juice (ya know, so I don't get scurvy) and yogurt. How the hell am I supposed to get any nutrition if most veggies and fruit are off the table? I think the only vegetables that are ok are lettuce and carrots, but again, it's really not healthy to only eat 8 foods. What do I eat?!</t>
        </is>
      </c>
      <c r="D9262" t="n">
        <v>3</v>
      </c>
      <c r="E9262" t="n">
        <v>4</v>
      </c>
      <c r="F9262">
        <f>HYPERLINK("https://www.reddit.com/r/GERD/comments/huzvhm/so_what_can_i_eat/")</f>
        <v/>
      </c>
      <c r="G9262" t="inlineStr">
        <is>
          <t>2020-07-20 20:17:34</t>
        </is>
      </c>
      <c r="H9262" t="inlineStr"/>
    </row>
    <row r="9263">
      <c r="A9263" t="inlineStr">
        <is>
          <t>hv04dg</t>
        </is>
      </c>
      <c r="B9263" t="inlineStr">
        <is>
          <t>I cured my GERD completely</t>
        </is>
      </c>
      <c r="C9263" t="inlineStr">
        <is>
          <t>Sup GERD HERD (yeah, I just thought of that and yes you can use it). I wanted to spread some good news into the universe and say that I am 100% cured! 
This was one of the hardest things I ever had to do and going into the internet many times made it worse as there were so many people saying they had it for years so I truly sympathize for anyone going through it still.
The whole process took me a total of 4 weeks of the most extreme diet and regimen I could come up with, and 2 weeks of slowing reintroducing food and habits. Now not only is my GERD gone, but I am healthier than before I had it. 
I also want to thank people on this subreddit as I used a lot of the tools they listed. I went extreme and did every single thing I found. Here is a comprehensive list of everything I did. 
1. I took an antacid. I started with PPI’s like Prilosec, but it made me extremely ill and made all of my symptoms worse. I switched to the H2 blocker Pepcid and that worked just fine. (The H2’s did give me symptoms like dizziness but it was worth it to reduce my acid). I also had huge success taking a pill in the morning and a pill at night which is recommended for treating GERD.
2. I took DGL Licorice 20-30 minutes before meals to protect my stomach and my esophagus. I was also able to use it like a tums if I felt any acid coming up. 
3. I took supplements to heal my stomach and esophagus. I started taking Callagen and digestive enzymes (I had the best results if the Callagen was the first thing on my stomach). I used a brand called Vital Proteins which is also high in protein for the Callagen, and a brand called Enzymedica for the digestive enzymes. Then I started to juice my own cabbage juice and and drink aloe water. Cabbage juice straight is very very strong so I would put a carrot in there. A few weeks in I also added L-glutamine which is supposed to promote healing. Last but definitely not least was melatonin to strengthen my lower esophageal sphincter which takes about 2 months for the full results.
4. I had extreme diet and liquid restrictions, and chewed my food way more than ever before. My dietary restrictions included every single restriction I read online and on this subreddit. There is a lot of info so I recommend you google it if you have more in depth questions. I also only drank water, cabbage juice, soy milk, and aloe water. Also I never drank while I ate as it mixes with the acid and comes up on you. This made it hard to consume enough water so I made sure I drank a hefty amount of water in the morning. This was tedious because I risked acid coming up if I drank it too quickly so I would take a drink, then wait five minutes, and drink again. If I drank juice I would do the same thing but wait 15 minutes. The diet and water restrictions were by far the hardest part and took a lot of trial and error. I found I could consume about a cups worth of food, and then an hour later I would eat again. Pro tip, since only bland foods are allowed, seasoning food was extremely difficult. I found that nutritional yeast was a life saver. Most people have never heard of it, but my wife remembered it from her days of being vegan and I put that on everything to add a wonderful cheesy flavor and I highly recommend it with the other seasonings that are allowed. I also believe that having a high amount of protein is crucial for healing and make sure you don’t lose all your muscle mass (I exercised as well to help keep on the muscle). And please please please! Don’t forget to chew your food. Also another tip is to make sure all your food and drinks are warm. I couldn’t do this with things that had to be refrigerated of course, but cold things caused my stomach to tighten and made it so I couldn’t consume as much.
5. I lost weight and wore loose fitting clothing. Not only is this recommended, but I believe my belly fat was putting pressure on my stomach and causing acid to come up. I will be honest, this part wasn’t too difficult as I was already eating smaller portions and healthier foods. 
6. I slept on a bed with a 7 inch incline and an empty stomach. If you can raise your whole bed with bricks, that is by far the best way to do it in my opinion.
7. Bending over or stooping was not aloud. If I ever needed to do anything even close to this, I always made sure I had an empty stomach like in the morning. Otherwise acid would come up on me like a water balloon being squeezed. 
8. I monitored my progress and made adjustments when needed. For example in the beginning my diet was great for progress, but I found out that I was not getting nearly enough calories so I tracked everything and adjusted where I got those calories which made a huge difference.
9. I had to work on my anxiety as stress played a huge roll on my acid levels and made all of my symptoms worse. I have also read studies that show a correlation between stress and people with GERD so I recommend looking at that closely.
10. Don’t give up and stay positive. As you can see this is a lot of stuff I had to do and along the way. I had a ton of days where I had no idea if I would ever get better, and frankly the internet didn’t help. I read for hours and hours trying to find a silver lining, but everywhere I turned was filled with things that filled me with dread. That is until I found a website that talked about a study that showed many subjects healed after 2-4 weeks and they were called fast healers. Then there was a group that took 6-8 weeks and they were called slow healers. Either way it said that MOST people can heal and that gave me so much hope. 
11. I had to slowly ween off of the medication and slowly reintroduce the things I had restricted. At first I tried going off the medicine cold turkey, but I had terrible acid the very first day. I adjusted my plan to taking half the dose for two days, than half of the half, and then taking DGL Licorice before going to bed. I personally believe that taking your pill at night is more important than during the day as it’s harder to monitor and control acid levels while you sleep. I am also still slowly increasing my calorie amounts and exercising to make sure I don’t put back on all the weight I lost.
I wish you the best of luck on your journey back to your normal life. Maybe that article that gave me so much hope can give you hope to. Here is a quote from the very last part “At each 2-week interval, approximately two-thirds of patients who had been unhealed at the previous exam had healed in the interim. The authors indicate that clinically, this means that completely refractory RO is rare, and some patients need long treatment durations with good acid suppression to heal.”
I wanted to add one last warning, I am not sure if this is common but it happened to me. At 4 weeks the H2’s started giving me worse symptoms, and it seemed like the lack of stomach acid started to affect me as I was struggling to digest food. That’s my theory as least. Once I weened off this went away.</t>
        </is>
      </c>
      <c r="D9263" t="n">
        <v>84</v>
      </c>
      <c r="E9263" t="n">
        <v>100</v>
      </c>
      <c r="F9263">
        <f>HYPERLINK("https://www.reddit.com/r/GERD/comments/hv04dg/i_cured_my_gerd_completely/")</f>
        <v/>
      </c>
      <c r="G9263" t="inlineStr">
        <is>
          <t>2020-07-20 20:34:54</t>
        </is>
      </c>
      <c r="H9263" t="inlineStr"/>
    </row>
    <row r="9264">
      <c r="A9264" t="inlineStr">
        <is>
          <t>hv0q82</t>
        </is>
      </c>
      <c r="B9264" t="inlineStr">
        <is>
          <t>My 2 Months With GERD</t>
        </is>
      </c>
      <c r="C9264" t="inlineStr">
        <is>
          <t>so i am 15 almost turning 16 and these past two months have been the worse for me. It all started out when i would be really anxious and because stress over a dumb video game... i was really competitive with it and one game i lost it, i was nervous the whole game and suddenly i burst into anger. it didn’t take long (30 minutes) to take control over me. i started having pains in the left side of my chest and didnt think much of it because they would go away but this one didn’t. i ate hours later and i felt full after just a bit of eating, then i went to the restroom and attempted to throw up but nothing came out. I felt weak all over my body not being able to stand up. when i went to sleep and woke up i felt normal for around 5 minutes then it came back. For 2 weeks i tried to keep it under control and i did but we decided to go to the hospital. It was an online meeting and they gave me some pills but didnt really help so we went to a doctor in real life and they diagnosed me with Acid Reflux or GERD. the medications calmed/lessened the chest pains which mostly are in the left side of my chest occasionally in the right. but someone days i feel like im improving and feel like to none chest pains but i honestly dont know what i did to feel that great. But then other days chest pains constantly happen every hour. Its either that or stomach pains. The doctor said my heart was irregular and possibly can or cannot be linked to whats happening to me. But that appointment isn’t until November. When i work out or am having a good time stress free there is hardly any chest pains many times none! but when that is over i come back to chest pains. When typing this i haven’t experienced many chest pains or stomach pain. Ive seen many people here with GERD for many years and its honestly scary to me. And don’t want this to affect my whole life being stressed and having these pains everyday. I want to change ive changed many things in my life already since this has happened. Please anyone with tips please help me please.</t>
        </is>
      </c>
      <c r="D9264" t="n">
        <v>2</v>
      </c>
      <c r="E9264" t="n">
        <v>6</v>
      </c>
      <c r="F9264">
        <f>HYPERLINK("https://www.reddit.com/r/GERD/comments/hv0q82/my_2_months_with_gerd/")</f>
        <v/>
      </c>
      <c r="G9264" t="inlineStr">
        <is>
          <t>2020-07-20 21:19:22</t>
        </is>
      </c>
      <c r="H9264" t="inlineStr"/>
    </row>
    <row r="9265">
      <c r="A9265" t="inlineStr">
        <is>
          <t>hv0sbu</t>
        </is>
      </c>
      <c r="B9265" t="inlineStr">
        <is>
          <t>Ear ache?</t>
        </is>
      </c>
      <c r="C9265" t="inlineStr">
        <is>
          <t>Does anyone else get ear ache and sore throat while suffering from gerd or is it totally unrelated?</t>
        </is>
      </c>
      <c r="D9265" t="n">
        <v>2</v>
      </c>
      <c r="E9265" t="n">
        <v>13</v>
      </c>
      <c r="F9265">
        <f>HYPERLINK("https://www.reddit.com/r/GERD/comments/hv0sbu/ear_ache/")</f>
        <v/>
      </c>
      <c r="G9265" t="inlineStr">
        <is>
          <t>2020-07-20 21:23:33</t>
        </is>
      </c>
      <c r="H9265" t="inlineStr"/>
    </row>
    <row r="9266">
      <c r="A9266" t="inlineStr">
        <is>
          <t>hv0x5l</t>
        </is>
      </c>
      <c r="B9266" t="inlineStr">
        <is>
          <t>Has anyone cured their bad breath?</t>
        </is>
      </c>
      <c r="C9266" t="inlineStr">
        <is>
          <t>Title. My breath smells like acid death from my GERD/LPR (not sure which one I have honestly). I've seen a lot of success stories, but none really talk about the bad breath part. Does it go away?</t>
        </is>
      </c>
      <c r="D9266" t="n">
        <v>4</v>
      </c>
      <c r="E9266" t="n">
        <v>1</v>
      </c>
      <c r="F9266">
        <f>HYPERLINK("https://www.reddit.com/r/GERD/comments/hv0x5l/has_anyone_cured_their_bad_breath/")</f>
        <v/>
      </c>
      <c r="G9266" t="inlineStr">
        <is>
          <t>2020-07-20 21:33:19</t>
        </is>
      </c>
      <c r="H9266" t="inlineStr"/>
    </row>
    <row r="9267">
      <c r="A9267" t="inlineStr">
        <is>
          <t>hv1in4</t>
        </is>
      </c>
      <c r="B9267" t="inlineStr">
        <is>
          <t>Gerd after gastritis?</t>
        </is>
      </c>
      <c r="C9267" t="inlineStr">
        <is>
          <t>So, about a year ago i had gastritis, i went to the doc and he gave me an anti-acid, my gastritis went away after a couple weeks. Now, i’m having heartburn, belching all the time, bloated while laying down, I haven’t experienced any coughing or throat problems. I’m honestly paranoid, i’ve been having this for the past 1 year and my family haven’t been taking this seriously. I heard that it could cause cancer, i’m too young to die. 
I honestly don’t even know why i had gastritis but i remember that i had a lot of stress due to my toxic old friendship. I’m scared, i can barely sleep. 
What do i do?
Edit: this isn’t a diagnosis post but more of a vent.</t>
        </is>
      </c>
      <c r="D9267" t="n">
        <v>3</v>
      </c>
      <c r="E9267" t="n">
        <v>8</v>
      </c>
      <c r="F9267">
        <f>HYPERLINK("https://www.reddit.com/r/GERD/comments/hv1in4/gerd_after_gastritis/")</f>
        <v/>
      </c>
      <c r="G9267" t="inlineStr">
        <is>
          <t>2020-07-20 22:19:21</t>
        </is>
      </c>
      <c r="H9267" t="inlineStr"/>
    </row>
    <row r="9268">
      <c r="A9268" t="inlineStr">
        <is>
          <t>hv32z6</t>
        </is>
      </c>
      <c r="B9268" t="inlineStr">
        <is>
          <t>Will stopping my PPI for a week for the h.pylori test affect my GERD symptoms?</t>
        </is>
      </c>
      <c r="C9268" t="inlineStr">
        <is>
          <t>I've been taking pantoprazole 40 mg for about 4 months and have had a reoccurrence of GERD symptoms. I haven't done the breath test before so am unsure about how not taking the PPI for a week will affect me.
I'd like to hear other people's experiences about preparing the urea breath test!
Thanks</t>
        </is>
      </c>
      <c r="D9268" t="n">
        <v>2</v>
      </c>
      <c r="E9268" t="n">
        <v>2</v>
      </c>
      <c r="F9268">
        <f>HYPERLINK("https://www.reddit.com/r/GERD/comments/hv32z6/will_stopping_my_ppi_for_a_week_for_the_hpylori/")</f>
        <v/>
      </c>
      <c r="G9268" t="inlineStr">
        <is>
          <t>2020-07-21 00:29:12</t>
        </is>
      </c>
      <c r="H9268" t="inlineStr"/>
    </row>
    <row r="9269">
      <c r="A9269" t="inlineStr">
        <is>
          <t>hv3n1i</t>
        </is>
      </c>
      <c r="B9269" t="inlineStr">
        <is>
          <t>Gaviscon advance aniseed</t>
        </is>
      </c>
      <c r="C9269" t="inlineStr">
        <is>
          <t>Anybody notice the aniseed version makes your mouth kinda numb? It goes away in like 15 mins maybe 30 but it worries me and I was wondering if anyone else had the issue</t>
        </is>
      </c>
      <c r="D9269" t="n">
        <v>2</v>
      </c>
      <c r="E9269" t="n">
        <v>0</v>
      </c>
      <c r="F9269">
        <f>HYPERLINK("https://www.reddit.com/r/GERD/comments/hv3n1i/gaviscon_advance_aniseed/")</f>
        <v/>
      </c>
      <c r="G9269" t="inlineStr">
        <is>
          <t>2020-07-21 01:20:28</t>
        </is>
      </c>
      <c r="H9269" t="inlineStr"/>
    </row>
    <row r="9270">
      <c r="A9270" t="inlineStr">
        <is>
          <t>hv5ox3</t>
        </is>
      </c>
      <c r="B9270" t="inlineStr">
        <is>
          <t>If I wake up early do I take my PPI early?</t>
        </is>
      </c>
      <c r="C9270" t="inlineStr">
        <is>
          <t>I usually like to take my PPI at like 11:00 AM but I’ve been up and hungry since 5:00 AM. What do you guys do in these situations? Do I take the pill early?</t>
        </is>
      </c>
      <c r="D9270" t="n">
        <v>2</v>
      </c>
      <c r="E9270" t="n">
        <v>2</v>
      </c>
      <c r="F9270">
        <f>HYPERLINK("https://www.reddit.com/r/GERD/comments/hv5ox3/if_i_wake_up_early_do_i_take_my_ppi_early/")</f>
        <v/>
      </c>
      <c r="G9270" t="inlineStr">
        <is>
          <t>2020-07-21 04:26:41</t>
        </is>
      </c>
      <c r="H9270" t="inlineStr"/>
    </row>
    <row r="9271">
      <c r="A9271" t="inlineStr">
        <is>
          <t>hv5xcv</t>
        </is>
      </c>
      <c r="B9271" t="inlineStr">
        <is>
          <t>Can't take deep breaths and constant yawning.</t>
        </is>
      </c>
      <c r="C9271" t="inlineStr">
        <is>
          <t>Two months before I have difficulty initiate swallowing and sudden shortness of breath,went to ER and they took all test heart lungs and found I have GERD took ppi after four days my swallowing increased,but I still have SOB that I cannot take deep breath.I took endoscopy and impression was Reflux esophagitis.now am taking ppi for one and half months ,feel better but can't sort out my difficulty breathing..Any suggestions.</t>
        </is>
      </c>
      <c r="D9271" t="n">
        <v>7</v>
      </c>
      <c r="E9271" t="n">
        <v>2</v>
      </c>
      <c r="F9271">
        <f>HYPERLINK("https://www.reddit.com/r/GERD/comments/hv5xcv/cant_take_deep_breaths_and_constant_yawning/")</f>
        <v/>
      </c>
      <c r="G9271" t="inlineStr">
        <is>
          <t>2020-07-21 04:45:40</t>
        </is>
      </c>
      <c r="H9271" t="inlineStr"/>
    </row>
    <row r="9272">
      <c r="A9272" t="inlineStr">
        <is>
          <t>hv602p</t>
        </is>
      </c>
      <c r="B9272" t="inlineStr">
        <is>
          <t>Recently got diagnosed with GERD, I have so much questions.</t>
        </is>
      </c>
      <c r="C9272" t="inlineStr">
        <is>
          <t>Hello all, recently I've got diagnosed(only external physical examination) by my General practitioner and she suggested I should avoid certain foods, try to exercise more, etc. Also she gave me Esomeprazole PPI medication. I'm 29 y.o. and before this, I had acid reflux on very very rare occasions, so for me it came really out of the blue.
I started the prescribed diet and medication and my heartburns almost vanished, but as soon as I started lowering my medication (suggested by the GP)  I started feeling a lump in my throat which feels sometimes non-existant anymore but worse other times. Got back to the originally prescribed medication while maintaining the diet but it feels the lump won't go away...
Should I ask for more examination? Is it normal if the same food has different effect on two different days? Should I ask my doctor if healing my stomach additional to the PPI and diet is something I should focus on or that comes later?</t>
        </is>
      </c>
      <c r="D9272" t="n">
        <v>2</v>
      </c>
      <c r="E9272" t="n">
        <v>8</v>
      </c>
      <c r="F9272">
        <f>HYPERLINK("https://www.reddit.com/r/GERD/comments/hv602p/recently_got_diagnosed_with_gerd_i_have_so_much/")</f>
        <v/>
      </c>
      <c r="G9272" t="inlineStr">
        <is>
          <t>2020-07-21 04:51:44</t>
        </is>
      </c>
      <c r="H9272" t="inlineStr"/>
    </row>
    <row r="9273">
      <c r="A9273" t="inlineStr">
        <is>
          <t>hv64yk</t>
        </is>
      </c>
      <c r="B9273" t="inlineStr">
        <is>
          <t>Chewing gum?</t>
        </is>
      </c>
      <c r="C9273" t="inlineStr">
        <is>
          <t>Hey! I read that chewing gum can help with GERD symptoms. How? Does somebody has a positive/negative experience with chewing gum and GERD? Thanks :)</t>
        </is>
      </c>
      <c r="D9273" t="n">
        <v>4</v>
      </c>
      <c r="E9273" t="n">
        <v>12</v>
      </c>
      <c r="F9273">
        <f>HYPERLINK("https://www.reddit.com/r/GERD/comments/hv64yk/chewing_gum/")</f>
        <v/>
      </c>
      <c r="G9273" t="inlineStr">
        <is>
          <t>2020-07-21 05:02:25</t>
        </is>
      </c>
      <c r="H9273" t="inlineStr"/>
    </row>
    <row r="9274">
      <c r="A9274" t="inlineStr">
        <is>
          <t>hv6v2x</t>
        </is>
      </c>
      <c r="B9274" t="inlineStr">
        <is>
          <t>All plant based Mediterranean diet?</t>
        </is>
      </c>
      <c r="C9274" t="inlineStr">
        <is>
          <t>I did an endoscopy with the gi who confirmed acid reflux and then went to an ent because of my inflamed throat. He said it's because of acid reflux.  He said the way he treats it is not through drugs but through life style change, especially diet. He said to go on all plant based Mediterranean diet for 2 months and see how it goes. Anyone else did this with success??  I'm already struggling on day 1 because I eat meat/fish/dairy product every meal lol I dont know the cause for Gerd tho..</t>
        </is>
      </c>
      <c r="D9274" t="n">
        <v>3</v>
      </c>
      <c r="E9274" t="n">
        <v>4</v>
      </c>
      <c r="F9274">
        <f>HYPERLINK("https://www.reddit.com/r/GERD/comments/hv6v2x/all_plant_based_mediterranean_diet/")</f>
        <v/>
      </c>
      <c r="G9274" t="inlineStr">
        <is>
          <t>2020-07-21 05:56:18</t>
        </is>
      </c>
      <c r="H9274" t="inlineStr"/>
    </row>
    <row r="9275">
      <c r="A9275" t="inlineStr">
        <is>
          <t>hv8y2a</t>
        </is>
      </c>
      <c r="B9275" t="inlineStr">
        <is>
          <t>need help</t>
        </is>
      </c>
      <c r="C9275" t="inlineStr">
        <is>
          <t>what's the difference between esophagitis and epiglottitis or they both the same thing?</t>
        </is>
      </c>
      <c r="D9275" t="n">
        <v>2</v>
      </c>
      <c r="E9275" t="n">
        <v>10</v>
      </c>
      <c r="F9275">
        <f>HYPERLINK("https://www.reddit.com/r/GERD/comments/hv8y2a/need_help/")</f>
        <v/>
      </c>
      <c r="G9275" t="inlineStr">
        <is>
          <t>2020-07-21 08:06:38</t>
        </is>
      </c>
      <c r="H9275" t="inlineStr"/>
    </row>
    <row r="9276">
      <c r="A9276" t="inlineStr">
        <is>
          <t>hv9dk7</t>
        </is>
      </c>
      <c r="B9276" t="inlineStr">
        <is>
          <t>24 hr ph impedance study</t>
        </is>
      </c>
      <c r="C9276" t="inlineStr">
        <is>
          <t>Anyone have this done? How unpleasant? I had manometry test done and it was awful</t>
        </is>
      </c>
      <c r="D9276" t="n">
        <v>2</v>
      </c>
      <c r="E9276" t="n">
        <v>6</v>
      </c>
      <c r="F9276">
        <f>HYPERLINK("https://www.reddit.com/r/GERD/comments/hv9dk7/24_hr_ph_impedance_study/")</f>
        <v/>
      </c>
      <c r="G9276" t="inlineStr">
        <is>
          <t>2020-07-21 08:30:12</t>
        </is>
      </c>
      <c r="H9276" t="inlineStr"/>
    </row>
    <row r="9277">
      <c r="A9277" t="inlineStr">
        <is>
          <t>hv9myj</t>
        </is>
      </c>
      <c r="B9277" t="inlineStr">
        <is>
          <t>Can ppi's give you gerd?</t>
        </is>
      </c>
      <c r="C9277" t="inlineStr">
        <is>
          <t>I (24m) had no symptoms of gerd, just bloating and abdominal cramps/spasms, was put on ppi's ...for some reason...now I'm getting full on burping, chest pain, regurgitation and today was diagnosed with gerd, might have a gastroscopy if things don't improve.
As I understand this, reflux is caused by low stomach acid. If your stomach acid is ok but you take ppi's that can theoretically caused gerd.
Did ppi's caused this or did it just amplify some silent reflux?</t>
        </is>
      </c>
      <c r="D9277" t="n">
        <v>6</v>
      </c>
      <c r="E9277" t="n">
        <v>28</v>
      </c>
      <c r="F9277">
        <f>HYPERLINK("https://www.reddit.com/r/GERD/comments/hv9myj/can_ppis_give_you_gerd/")</f>
        <v/>
      </c>
      <c r="G9277" t="inlineStr">
        <is>
          <t>2020-07-21 08:43:46</t>
        </is>
      </c>
      <c r="H9277" t="inlineStr"/>
    </row>
    <row r="9278">
      <c r="A9278" t="inlineStr">
        <is>
          <t>hv9nen</t>
        </is>
      </c>
      <c r="B9278" t="inlineStr">
        <is>
          <t>Poptarts stopped my heartburn. Can anyone willing to try let me know?</t>
        </is>
      </c>
      <c r="C9278" t="inlineStr">
        <is>
          <t>I remember seeing someone posted about how Poptarts helped them with heart burn. I gave it a try yesterday and the heartburn went away by the time I finished eating. I know it could be any other million variables that could have stopped my heartburn but I'm curious if it helped anybody else.
Can anyone who is willing to try, let me know if it works? Thanks!
1 pack (2 slices). Strawberry flavor. **NOT** toasted!</t>
        </is>
      </c>
      <c r="D9278" t="n">
        <v>5</v>
      </c>
      <c r="E9278" t="n">
        <v>50</v>
      </c>
      <c r="F9278">
        <f>HYPERLINK("https://www.reddit.com/r/GERD/comments/hv9nen/poptarts_stopped_my_heartburn_can_anyone_willing/")</f>
        <v/>
      </c>
      <c r="G9278" t="inlineStr">
        <is>
          <t>2020-07-21 08:44:24</t>
        </is>
      </c>
      <c r="H9278" t="inlineStr"/>
    </row>
    <row r="9279">
      <c r="A9279" t="inlineStr">
        <is>
          <t>hva3dm</t>
        </is>
      </c>
      <c r="B9279" t="inlineStr">
        <is>
          <t>To burp or not to burp?</t>
        </is>
      </c>
      <c r="C9279" t="inlineStr">
        <is>
          <t>Am I supposed to actively burp all the air out or not?</t>
        </is>
      </c>
      <c r="D9279" t="n">
        <v>2</v>
      </c>
      <c r="E9279" t="n">
        <v>6</v>
      </c>
      <c r="F9279">
        <f>HYPERLINK("https://www.reddit.com/r/GERD/comments/hva3dm/to_burp_or_not_to_burp/")</f>
        <v/>
      </c>
      <c r="G9279" t="inlineStr">
        <is>
          <t>2020-07-21 09:06:53</t>
        </is>
      </c>
      <c r="H9279" t="inlineStr"/>
    </row>
    <row r="9280">
      <c r="A9280" t="inlineStr">
        <is>
          <t>hvaf4p</t>
        </is>
      </c>
      <c r="B9280" t="inlineStr">
        <is>
          <t>Heartburn, bringing up acid, lumps on the back of my throat and a globus sensation.</t>
        </is>
      </c>
      <c r="C9280" t="inlineStr">
        <is>
          <t>Hey guys, just quickly to add, I have major health anxiety as my dad passed away from a quick terminal illness 3 years ago. I’m 21F. 
Over the past few days, it feels like something has been stuck in my throat. My throat also feels dry. I had a look and it looks like I’ve got red lumps at the back (cobble stone throat). As well as this, I’ve been having really bad acidic reflux which can be present in burps, randomly come up or sometimes I’m actually sick. Eating soothes this, but after a little bit, the feeling just comes back. Anyone else has experience with this?
I’ve had a lot of anxiety from fear of catching Covid-19 and potentially spreading it to vulnerable people, I’ve been stressing about work as I’ve been on furlough since March and wasn’t aware of my job security, and now I’m panicking about this.</t>
        </is>
      </c>
      <c r="D9280" t="n">
        <v>3</v>
      </c>
      <c r="E9280" t="n">
        <v>6</v>
      </c>
      <c r="F9280">
        <f>HYPERLINK("https://www.reddit.com/r/GERD/comments/hvaf4p/heartburn_bringing_up_acid_lumps_on_the_back_of/")</f>
        <v/>
      </c>
      <c r="G9280" t="inlineStr">
        <is>
          <t>2020-07-21 09:23:32</t>
        </is>
      </c>
      <c r="H9280" t="inlineStr"/>
    </row>
    <row r="9281">
      <c r="A9281" t="inlineStr">
        <is>
          <t>hvcap1</t>
        </is>
      </c>
      <c r="B9281" t="inlineStr">
        <is>
          <t>Does anyone not experience heartburn but still have GERD?</t>
        </is>
      </c>
      <c r="C9281" t="inlineStr">
        <is>
          <t>My only symptom is almost constant acid reflux. I have started to feel nauseous but not sure if that is related. I don’t have heartburn, trouble swallowing or coughing but I have dull stomach pain at times. Does anyone experience this? I am trying to stop the acid reflux and have had this for as long as I can remember.</t>
        </is>
      </c>
      <c r="D9281" t="n">
        <v>1</v>
      </c>
      <c r="E9281" t="n">
        <v>8</v>
      </c>
      <c r="F9281">
        <f>HYPERLINK("https://www.reddit.com/r/GERD/comments/hvcap1/does_anyone_not_experience_heartburn_but_still/")</f>
        <v/>
      </c>
      <c r="G9281" t="inlineStr">
        <is>
          <t>2020-07-21 11:00:00</t>
        </is>
      </c>
      <c r="H9281" t="inlineStr"/>
    </row>
    <row r="9282">
      <c r="A9282" t="inlineStr">
        <is>
          <t>hvcbjf</t>
        </is>
      </c>
      <c r="B9282" t="inlineStr">
        <is>
          <t>Some relief</t>
        </is>
      </c>
      <c r="C9282" t="inlineStr">
        <is>
          <t>So I have experienced relief in my symptoms but I am still not a 100%.
I started taking my collagen 2 hours after I ate. It has bought a ton of relief. I take the supplements out of my pills as the plastic tends to irritate me. I am now practicing to eat only a little portion of food. I currently just eat 3 times a day. I am thinking of lowering back down to 2.
I also have an acid reflux pillow I use that has be.en of some help.
I considering taking my vitamin c, D3, DGL, Zinc, Probiotics, biotin before I eat.
I am also thinking of warming up my cantaloupe before I eat it in the morning.
I hope it helps. I have been going through this for at-least 5 months now:
1. Slight shortness of breath when I talk
2. Pain in upper chest cavity
I only get relief when my stomach is close to empty or empty.</t>
        </is>
      </c>
      <c r="D9282" t="n">
        <v>1</v>
      </c>
      <c r="E9282" t="n">
        <v>0</v>
      </c>
      <c r="F9282">
        <f>HYPERLINK("https://www.reddit.com/r/GERD/comments/hvcbjf/some_relief/")</f>
        <v/>
      </c>
      <c r="G9282" t="inlineStr">
        <is>
          <t>2020-07-21 11:01:10</t>
        </is>
      </c>
      <c r="H9282" t="inlineStr"/>
    </row>
    <row r="9283">
      <c r="A9283" t="inlineStr">
        <is>
          <t>hvcvsy</t>
        </is>
      </c>
      <c r="B9283" t="inlineStr">
        <is>
          <t>Any experiences with a product called PRELIEF?</t>
        </is>
      </c>
      <c r="C9283" t="inlineStr">
        <is>
          <t>A product typically used for painful bladder symptoms caused by acidic foods. Wondering if it might help with GERD as it claims to remove 95% of acid from “top trigger foods.” Ingredients are: calcium glycerophosphate and magnesium stearate. [prelief](www.prelief.com)</t>
        </is>
      </c>
      <c r="D9283" t="n">
        <v>2</v>
      </c>
      <c r="E9283" t="n">
        <v>2</v>
      </c>
      <c r="F9283">
        <f>HYPERLINK("https://www.reddit.com/r/GERD/comments/hvcvsy/any_experiences_with_a_product_called_prelief/")</f>
        <v/>
      </c>
      <c r="G9283" t="inlineStr">
        <is>
          <t>2020-07-21 11:29:50</t>
        </is>
      </c>
      <c r="H9283" t="inlineStr"/>
    </row>
    <row r="9284">
      <c r="A9284" t="inlineStr">
        <is>
          <t>hvdo4w</t>
        </is>
      </c>
      <c r="B9284" t="inlineStr">
        <is>
          <t>Globus sensation</t>
        </is>
      </c>
      <c r="C9284" t="inlineStr">
        <is>
          <t>Please, if anybody here has dealt with this before, I need advice, I really don't think I can take this anymore.  How do I stop this?  What can I do to make this go away?</t>
        </is>
      </c>
      <c r="D9284" t="n">
        <v>1</v>
      </c>
      <c r="E9284" t="n">
        <v>6</v>
      </c>
      <c r="F9284">
        <f>HYPERLINK("https://www.reddit.com/r/GERD/comments/hvdo4w/globus_sensation/")</f>
        <v/>
      </c>
      <c r="G9284" t="inlineStr">
        <is>
          <t>2020-07-21 12:10:55</t>
        </is>
      </c>
      <c r="H9284" t="inlineStr"/>
    </row>
    <row r="9285">
      <c r="A9285" t="inlineStr">
        <is>
          <t>hve71k</t>
        </is>
      </c>
      <c r="B9285" t="inlineStr">
        <is>
          <t>Has anyone had surgery (Fundoplication) on the NHS? Or in the UK?</t>
        </is>
      </c>
      <c r="C9285" t="inlineStr">
        <is>
          <t>I've had GERD for a few years now. Gone through a series of different prescriptions, at increasing doses. I'm currently on a diet and hoping that the reduction in acidic foods as well as the weight loss will help alleviate the symptoms but lately they seeem to have got worse, with worsening shortness of breath added to the mix.
I wouldn't call the symptoms of my condition very serious. I've read stories from people with GERD who seem to have it awful. I can live a relatively normal life, but those symptoms are very very annoying. Constantly burping, frequent heartburn, now an increase in shortness of breath (difficulty to take a full deep breath), as well as frequent discomfort after eating most things (not talking about trigger foods here which really make things worse). Personally, I don't feel like I'm bad enough that I would require surgery but I also feel like I'm going to be on medication for the rest of my life.
Has anyone had experience with surgery in the UK? How bad was your GERD? How long did you have to wait for your GP to refer you? I'd love to hear your stories. Also, don't want to exclude any non-UK people - I'd be interested to hear whether surgery was the answer for you.</t>
        </is>
      </c>
      <c r="D9285" t="n">
        <v>2</v>
      </c>
      <c r="E9285" t="n">
        <v>23</v>
      </c>
      <c r="F9285">
        <f>HYPERLINK("https://www.reddit.com/r/GERD/comments/hve71k/has_anyone_had_surgery_fundoplication_on_the_nhs/")</f>
        <v/>
      </c>
      <c r="G9285" t="inlineStr">
        <is>
          <t>2020-07-21 12:38:18</t>
        </is>
      </c>
      <c r="H9285" t="inlineStr"/>
    </row>
    <row r="9286">
      <c r="A9286" t="inlineStr">
        <is>
          <t>hvf5xe</t>
        </is>
      </c>
      <c r="B9286" t="inlineStr">
        <is>
          <t>Getting my first endoscopy, scared shitless</t>
        </is>
      </c>
      <c r="C9286" t="inlineStr">
        <is>
          <t>How bad is it ? I have an INSANE gag reflex and I don’t want there to be any chance of me remembering or feeling anything. Should I ask for general anesthesia? How were your experiences</t>
        </is>
      </c>
      <c r="D9286" t="n">
        <v>2</v>
      </c>
      <c r="E9286" t="n">
        <v>35</v>
      </c>
      <c r="F9286">
        <f>HYPERLINK("https://www.reddit.com/r/GERD/comments/hvf5xe/getting_my_first_endoscopy_scared_shitless/")</f>
        <v/>
      </c>
      <c r="G9286" t="inlineStr">
        <is>
          <t>2020-07-21 13:28:54</t>
        </is>
      </c>
      <c r="H9286" t="inlineStr"/>
    </row>
    <row r="9287">
      <c r="A9287" t="inlineStr">
        <is>
          <t>hvgtvv</t>
        </is>
      </c>
      <c r="B9287" t="inlineStr">
        <is>
          <t>So this is what's been causing my back pain</t>
        </is>
      </c>
      <c r="C9287" t="inlineStr">
        <is>
          <t>I've been eating very minimally the last few days, and have woken up with my back feeling way better.</t>
        </is>
      </c>
      <c r="D9287" t="n">
        <v>4</v>
      </c>
      <c r="E9287" t="n">
        <v>1</v>
      </c>
      <c r="F9287">
        <f>HYPERLINK("https://www.reddit.com/r/GERD/comments/hvgtvv/so_this_is_whats_been_causing_my_back_pain/")</f>
        <v/>
      </c>
      <c r="G9287" t="inlineStr">
        <is>
          <t>2020-07-21 14:56:30</t>
        </is>
      </c>
      <c r="H9287" t="inlineStr"/>
    </row>
    <row r="9288">
      <c r="A9288" t="inlineStr">
        <is>
          <t>hvgv66</t>
        </is>
      </c>
      <c r="B9288" t="inlineStr">
        <is>
          <t>Does PPIs affect HPylori blood test?</t>
        </is>
      </c>
      <c r="C9288" t="inlineStr">
        <is>
          <t>I’ve been on pantaprazole for a month and recently got tested for HPylori, I was wondering if the PPIs would affect the blood work.</t>
        </is>
      </c>
      <c r="D9288" t="n">
        <v>3</v>
      </c>
      <c r="E9288" t="n">
        <v>11</v>
      </c>
      <c r="F9288">
        <f>HYPERLINK("https://www.reddit.com/r/GERD/comments/hvgv66/does_ppis_affect_hpylori_blood_test/")</f>
        <v/>
      </c>
      <c r="G9288" t="inlineStr">
        <is>
          <t>2020-07-21 14:58:25</t>
        </is>
      </c>
      <c r="H9288" t="inlineStr"/>
    </row>
    <row r="9289">
      <c r="A9289" t="inlineStr">
        <is>
          <t>hvhjww</t>
        </is>
      </c>
      <c r="B9289" t="inlineStr">
        <is>
          <t>Does pepcid make anyone tired/sleepy?</t>
        </is>
      </c>
      <c r="C9289" t="inlineStr">
        <is>
          <t>I think my nervous system is very sensitive to medicine. No one else I ask seem to have this symptom from it.</t>
        </is>
      </c>
      <c r="D9289" t="n">
        <v>1</v>
      </c>
      <c r="E9289" t="n">
        <v>2</v>
      </c>
      <c r="F9289">
        <f>HYPERLINK("https://www.reddit.com/r/GERD/comments/hvhjww/does_pepcid_make_anyone_tiredsleepy/")</f>
        <v/>
      </c>
      <c r="G9289" t="inlineStr">
        <is>
          <t>2020-07-21 15:35:46</t>
        </is>
      </c>
      <c r="H9289" t="inlineStr"/>
    </row>
    <row r="9290">
      <c r="A9290" t="inlineStr">
        <is>
          <t>hvicwa</t>
        </is>
      </c>
      <c r="B9290" t="inlineStr">
        <is>
          <t>My "GERD" or whatever it is is ruining my life</t>
        </is>
      </c>
      <c r="C9290" t="inlineStr">
        <is>
          <t>Long post.  Sorry not sorry.
I'm 34F, with prior history of "IBS" like symptoms (likely from overuse of antibiotics as a child).  I've been a singer in bands for about ten years now and over the last few years I've noticed my voice is wearing down.  My range is diminished, and it gets sore quickly.  I feel the need to clear my throat all the time.  I saw an ENT, and while he didn't look directly at my vocal chords, he said that the upper part of my esophagus looked red and irritated.  He said he suspected GERD and gave me a prescription for PPI's.  Knowing how awful these things could be, I used an H2 blocker for a while with the only result being pain similar to gastritis pain, and constipation. No vocal improvement.
I did some research and decided to try HCL, which improved my stomach problems (no more pain, and bowel movements are regular and comfortable).  I also started sleeping on a wedge pillow at night. 
 However, there has been no improvement at all in my voice.  It hurts all day every day, every word I speak, and it sound hoarse and gravely.   Don't even get me started on my singing voice.  It's awful.
My doctor gave me a referral to an ENT but in Canada it takes nearly years sometimes to get in, if they successfully send in the referral in the first place (they often don't). I'm looking for any direction or feedback relating to western medicine, or eastern medicine - I don't care.  I'm at my whits end.  I can't fathom not being able to sing.  It's soul crushing.
*EDIT* I know I sound super dramatic, but music is really my being.</t>
        </is>
      </c>
      <c r="D9290" t="n">
        <v>20</v>
      </c>
      <c r="E9290" t="n">
        <v>117</v>
      </c>
      <c r="F9290">
        <f>HYPERLINK("https://www.reddit.com/r/GERD/comments/hvicwa/my_gerd_or_whatever_it_is_is_ruining_my_life/")</f>
        <v/>
      </c>
      <c r="G9290" t="inlineStr">
        <is>
          <t>2020-07-21 16:22:30</t>
        </is>
      </c>
      <c r="H9290" t="inlineStr"/>
    </row>
    <row r="9291">
      <c r="A9291" t="inlineStr">
        <is>
          <t>hvimid</t>
        </is>
      </c>
      <c r="B9291" t="inlineStr">
        <is>
          <t>Air stuck in throat and alway force myself to burp..</t>
        </is>
      </c>
      <c r="C9291" t="inlineStr">
        <is>
          <t>I don’t have GERD.. but when I eat or even if I drink water in the morning.. I start feeling alot of air stuck in my throat and feel pressure from it.. I spend all the day trying to burp and make myself fake burping to feel better. I even feel that “my breath is bein taken away” sensation. Could it be silent reflux? What can I do about it? Thank u!</t>
        </is>
      </c>
      <c r="D9291" t="n">
        <v>1</v>
      </c>
      <c r="E9291" t="n">
        <v>6</v>
      </c>
      <c r="F9291">
        <f>HYPERLINK("https://www.reddit.com/r/GERD/comments/hvimid/air_stuck_in_throat_and_alway_force_myself_to_burp/")</f>
        <v/>
      </c>
      <c r="G9291" t="inlineStr">
        <is>
          <t>2020-07-21 16:37:56</t>
        </is>
      </c>
      <c r="H9291" t="inlineStr"/>
    </row>
    <row r="9292">
      <c r="A9292" t="inlineStr">
        <is>
          <t>hviq8x</t>
        </is>
      </c>
      <c r="B9292" t="inlineStr">
        <is>
          <t>Usual symptoms</t>
        </is>
      </c>
      <c r="C9292" t="inlineStr">
        <is>
          <t>Hey! I've been diagnosed with ERD/GERD a few months ago. It's been pretty awful, but it's slightly getting better. I have been doing other exams and stuff just to rule out the obvious (lactose intolerance, celiac, HP, etc.) before my next appointment. However, I'm dealing with some other health issues which started prior (or at least I believe so) to all this. I understand there is a no-diagnostic rule in this sub, but I don't think it applies because I'm just looking to ask if these symptoms are common/someone had a similar experience.
Basically, every morning I wake up with an incredibly sore throat and white coating on my tongue. The throat pain goes away as soon as I drink some water/have breakfast, but the white coating stays despite eating, drinking, washing my teeth, gargling, etc. I've gone to 3 different doctors and through some medication and suggestions (elevated bed, avoid acids, sleep on my right side) but still nothing. Then came along GERD and I thought that with progress, it'd get better. But it hasn't.
If someone could share their experience, I'd be really grateful!</t>
        </is>
      </c>
      <c r="D9292" t="n">
        <v>1</v>
      </c>
      <c r="E9292" t="n">
        <v>2</v>
      </c>
      <c r="F9292">
        <f>HYPERLINK("https://www.reddit.com/r/GERD/comments/hviq8x/usual_symptoms/")</f>
        <v/>
      </c>
      <c r="G9292" t="inlineStr">
        <is>
          <t>2020-07-21 16:43:51</t>
        </is>
      </c>
      <c r="H9292" t="inlineStr"/>
    </row>
    <row r="9293">
      <c r="A9293" t="inlineStr">
        <is>
          <t>hviw2u</t>
        </is>
      </c>
      <c r="B9293" t="inlineStr">
        <is>
          <t>Severe reflux from small bowl of jasmine rice...</t>
        </is>
      </c>
      <c r="C9293" t="inlineStr">
        <is>
          <t>Endoscopy tomorrow... but I mean come on. I can’t even eat rice without regurgitating it up into my sinuses and mouth for the next few hours. And by then... I have to eat again 😞</t>
        </is>
      </c>
      <c r="D9293" t="n">
        <v>1</v>
      </c>
      <c r="E9293" t="n">
        <v>5</v>
      </c>
      <c r="F9293">
        <f>HYPERLINK("https://www.reddit.com/r/GERD/comments/hviw2u/severe_reflux_from_small_bowl_of_jasmine_rice/")</f>
        <v/>
      </c>
      <c r="G9293" t="inlineStr">
        <is>
          <t>2020-07-21 16:53:39</t>
        </is>
      </c>
      <c r="H9293" t="inlineStr"/>
    </row>
    <row r="9294">
      <c r="A9294" t="inlineStr">
        <is>
          <t>hvj2jr</t>
        </is>
      </c>
      <c r="B9294" t="inlineStr">
        <is>
          <t>Hypersalivation</t>
        </is>
      </c>
      <c r="C9294" t="inlineStr">
        <is>
          <t>I've had GERD for a very long time and take omeprazole as well as the occasional tums. I've always coughed after eating, lost my voice, mild scratchy throat. Lately I've developed a new strange symptom- too much saliva. Any suggestions for this? It's annoying and uncomfortable. I feel like my mouth is watering all day long.</t>
        </is>
      </c>
      <c r="D9294" t="n">
        <v>2</v>
      </c>
      <c r="E9294" t="n">
        <v>4</v>
      </c>
      <c r="F9294">
        <f>HYPERLINK("https://www.reddit.com/r/GERD/comments/hvj2jr/hypersalivation/")</f>
        <v/>
      </c>
      <c r="G9294" t="inlineStr">
        <is>
          <t>2020-07-21 17:04:22</t>
        </is>
      </c>
      <c r="H9294" t="inlineStr"/>
    </row>
    <row r="9295">
      <c r="A9295" t="inlineStr">
        <is>
          <t>hvjnqf</t>
        </is>
      </c>
      <c r="B9295" t="inlineStr">
        <is>
          <t>Does this happen to anyone else ?</t>
        </is>
      </c>
      <c r="C9295" t="inlineStr">
        <is>
          <t>Ever since my GERD/reflux got worse when u drink water I feel like it sits in my throat for a bit and it kinda freaks me out. Is this just me or?</t>
        </is>
      </c>
      <c r="D9295" t="n">
        <v>1</v>
      </c>
      <c r="E9295" t="n">
        <v>10</v>
      </c>
      <c r="F9295">
        <f>HYPERLINK("https://www.reddit.com/r/GERD/comments/hvjnqf/does_this_happen_to_anyone_else/")</f>
        <v/>
      </c>
      <c r="G9295" t="inlineStr">
        <is>
          <t>2020-07-21 17:40:44</t>
        </is>
      </c>
      <c r="H9295" t="inlineStr"/>
    </row>
    <row r="9296">
      <c r="A9296" t="inlineStr">
        <is>
          <t>hvjryu</t>
        </is>
      </c>
      <c r="B9296" t="inlineStr">
        <is>
          <t>The Acid Watcher diet is so hard</t>
        </is>
      </c>
      <c r="C9296" t="inlineStr">
        <is>
          <t>I feel like I’m doing so much work just to eat a meal. I also feel like I’m not eating as much because I’m just not motivated to do all the prep work! I have a counter full of almond flour, oats, hemp seeds, wheat germ, etc etc. Not super appetizing. I eat a lot of watermelon. And I feel like I’ve discovered that kale — as low-acid as it is — is actually a trigger food for me. Some days I feel ok. Other days, I feel like my throat and chest are raw all over again. 
I’m trying to stick it out. Anyone who is doing this diet, what good easy recipes do you have?</t>
        </is>
      </c>
      <c r="D9296" t="n">
        <v>25</v>
      </c>
      <c r="E9296" t="n">
        <v>46</v>
      </c>
      <c r="F9296">
        <f>HYPERLINK("https://www.reddit.com/r/GERD/comments/hvjryu/the_acid_watcher_diet_is_so_hard/")</f>
        <v/>
      </c>
      <c r="G9296" t="inlineStr">
        <is>
          <t>2020-07-21 17:48:09</t>
        </is>
      </c>
      <c r="H9296" t="inlineStr"/>
    </row>
    <row r="9297">
      <c r="A9297" t="inlineStr">
        <is>
          <t>hvkvwv</t>
        </is>
      </c>
      <c r="B9297" t="inlineStr">
        <is>
          <t>Developed Acid Reflux from Stress</t>
        </is>
      </c>
      <c r="C9297" t="inlineStr">
        <is>
          <t>Hi everyone, I (20F) am otherwise healthy and started to experience my first acid reflux symptoms in the middle of March, back when the COVID pandemic started getting worse here in the US. I am mostly worried about my parents, who are both fairly old and not in the best health - my mom is especially high risk, getting COVID. My GI doctor thinks that my symptoms are caused by stress. I've changed a lot of habits: I go on walks every day, eat smaller portions, avoid the common trigger foods,  taking Famotidine, etc. but everytime I get slightly stressed out my acid reflux flares up worse than ever before.
Does anyone else have stress-induced acid reflux? How do you manage your stress/anxiety, do you have any tips or links to helpful videos, blog posts, etc.?
I'm starting to feel very hopeless and my health problems are just making me even more stressed.</t>
        </is>
      </c>
      <c r="D9297" t="n">
        <v>1</v>
      </c>
      <c r="E9297" t="n">
        <v>5</v>
      </c>
      <c r="F9297">
        <f>HYPERLINK("https://www.reddit.com/r/GERD/comments/hvkvwv/developed_acid_reflux_from_stress/")</f>
        <v/>
      </c>
      <c r="G9297" t="inlineStr">
        <is>
          <t>2020-07-21 18:57:45</t>
        </is>
      </c>
      <c r="H9297" t="inlineStr"/>
    </row>
    <row r="9298">
      <c r="A9298" t="inlineStr">
        <is>
          <t>hvkxn5</t>
        </is>
      </c>
      <c r="B9298" t="inlineStr">
        <is>
          <t>EGD Complete</t>
        </is>
      </c>
      <c r="C9298" t="inlineStr">
        <is>
          <t>One week after my EGD, my 1 cm hiatal hernia that was considered sliding isn’t present, biopsies look clean, and LES and throat appear good. Acid Watchers Diet has been minimal at best and Gastro has no idea what’s going on. Needless to say after this time, it seems excessive and overworked when I swallow and now I have a sore throat again. All of this is after the EGD. I have never had such a rough experience like this. GERD can GTFO.</t>
        </is>
      </c>
      <c r="D9298" t="n">
        <v>3</v>
      </c>
      <c r="E9298" t="n">
        <v>0</v>
      </c>
      <c r="F9298">
        <f>HYPERLINK("https://www.reddit.com/r/GERD/comments/hvkxn5/egd_complete/")</f>
        <v/>
      </c>
      <c r="G9298" t="inlineStr">
        <is>
          <t>2020-07-21 19:00:55</t>
        </is>
      </c>
      <c r="H9298" t="inlineStr"/>
    </row>
    <row r="9299">
      <c r="A9299" t="inlineStr">
        <is>
          <t>hvlu2a</t>
        </is>
      </c>
      <c r="B9299" t="inlineStr">
        <is>
          <t>A New Freaky Update</t>
        </is>
      </c>
      <c r="C9299" t="inlineStr">
        <is>
          <t>So you can check alot of my posting history on my profile. Putting it short, I have been dealing with random chest pains and sit fir the most of the team in akward postures to work on a laptop. I had a good day yesterday, actually I work in night shifts. Soo today I decided to run and 3 rd step into running it hurt my chest so bad, almost like a cramp , stiff pain, on the right side, spreading from middle to shoulder diagonally up. A little faint one didspread on the right. Can't run. I basically did walk for an hour after this episode. With clean perfect ECG, and normal vitals. Age 25 Male Indian Height 6'1 Weight 81Kgs. Should be the next steps? I burped alot too.</t>
        </is>
      </c>
      <c r="D9299" t="n">
        <v>1</v>
      </c>
      <c r="E9299" t="n">
        <v>8</v>
      </c>
      <c r="F9299">
        <f>HYPERLINK("https://www.reddit.com/r/GERD/comments/hvlu2a/a_new_freaky_update/")</f>
        <v/>
      </c>
      <c r="G9299" t="inlineStr">
        <is>
          <t>2020-07-21 19:59:02</t>
        </is>
      </c>
      <c r="H9299" t="inlineStr"/>
    </row>
    <row r="9300">
      <c r="A9300" t="inlineStr">
        <is>
          <t>hvlxlx</t>
        </is>
      </c>
      <c r="B9300" t="inlineStr">
        <is>
          <t>What next? LPR</t>
        </is>
      </c>
      <c r="C9300" t="inlineStr">
        <is>
          <t>Hi all - I’ve had severe LPR symptoms since Feb and started on a PPI and Pepcid in May.  After about a month of being on the meds and doing a low acid diet only one of my symptoms has gotten better (wheezy cough).  It’s now been three months on the meds and I’m back to eating normally and drinking coffee, etc, but I am still not eating 4 hours before bed.  I still have all my other symptoms, especially the breathing in problem and post nasal drip, belching, throat mucus and sinus congestion. 
Does anyone have any advice on what I can do next to resolve the rest of my symptoms? Do I need to go back on the low acid diet? It took so long to resolve just one symptom I thought if the diet would have helped with the others it would have resolved everything at the same time?? 
My endoscopy last month showed gastritis and esophagitis and signs of acid reflux but my GI has run out of ideas on what caused my silent reflux and just told me to stick with the meds and that people are usually on them for 3-6 months.
I was sick in Jan/feb with food poisoning and an upper respiratory infection back to back which I think may have caused my reflux...it’s just so hard to fully heal and I don’t know what else I can do. Any advice is appreciated!</t>
        </is>
      </c>
      <c r="D9300" t="n">
        <v>1</v>
      </c>
      <c r="E9300" t="n">
        <v>4</v>
      </c>
      <c r="F9300">
        <f>HYPERLINK("https://www.reddit.com/r/GERD/comments/hvlxlx/what_next_lpr/")</f>
        <v/>
      </c>
      <c r="G9300" t="inlineStr">
        <is>
          <t>2020-07-21 20:05:28</t>
        </is>
      </c>
      <c r="H9300" t="inlineStr"/>
    </row>
    <row r="9301">
      <c r="A9301" t="inlineStr">
        <is>
          <t>hvmvh1</t>
        </is>
      </c>
      <c r="B9301" t="inlineStr">
        <is>
          <t>Tapioca?</t>
        </is>
      </c>
      <c r="C9301" t="inlineStr">
        <is>
          <t>Hi everyone,
This might be a long shot, but I was wondering if anybody has had any experiences with tapioca, specifically tapioca pearls/boba being a trigger food to avoid (or vice-versa)? 
I've seen some mention of tapioca starch being gentle on the stomach, but not specifically tapioca pearls... as an avid boba drinker I would love to know if anyone else has any testimonies!! Thank you &amp;lt;3
(For some background information, the past few weeks I've had ongoing acid reflux/GERD-like issues and was recently prescribed omeprazole.)</t>
        </is>
      </c>
      <c r="D9301" t="n">
        <v>2</v>
      </c>
      <c r="E9301" t="n">
        <v>0</v>
      </c>
      <c r="F9301">
        <f>HYPERLINK("https://www.reddit.com/r/GERD/comments/hvmvh1/tapioca/")</f>
        <v/>
      </c>
      <c r="G9301" t="inlineStr">
        <is>
          <t>2020-07-21 21:09:18</t>
        </is>
      </c>
      <c r="H9301" t="inlineStr"/>
    </row>
    <row r="9302">
      <c r="A9302" t="inlineStr">
        <is>
          <t>hvn9mr</t>
        </is>
      </c>
      <c r="B9302" t="inlineStr">
        <is>
          <t>Can PPIs cause GERD?</t>
        </is>
      </c>
      <c r="C9302" t="inlineStr">
        <is>
          <t>I am underweight. The months of May and June were extremely stressful. I was barely having one meal per day. I wasn't eating super healthy, I was depressed and my intake was very very very low. I lost 15 pounds. However, I was already underweight from before.
On June 13th, I did not eat anything the whole day. I suddenly felt my throat become a little sore. It was irritating. At first, I was scared it was COVID but my test came back negative. I couldn't go to the doctors because of a lockdown. So for 2 weeks, I just tried all home remedies for a regular sore throat but it didn't work. From now, I was eating normally. After 2 weeks, it didn't go away. I spoke to an ENT specialist online about my throat and described my symptoms. She gave me antibiotics, allergy meds, and PPIs for 5 days. After a week, I felt a little better. But after eating a curry, the sore throat came back and I started coughing. After the 3rd week with the sore throat not going away, I spoke to another ENT specialist online and he told me I could possibly have LPR. He told me to continue taking PPIs and an antacid he recommended, and gave me a few lifestyle and diet suggestions. After 2 weeks on PPIs and one week on antacids, the symptoms became worse. Now, I was getting heartburn, it got worse after every meal. Could the PPIs have made it worse? I could feel the acid come back, I would sometimes have a bitter taste in my mouth. At this point, I was convinced that I had GERD with PPI and figured that I would try meeting a GI. She also said it is probably GERD and changed my PPIs to something else and prescribed it only for 2 weeks and made me buy Gaviscon.
The symptoms have not got better but they have not gotten worse either. I have been eating small meals but I am also worried about that because I am already underweight. I have even given up carbs for the last 4 days. I am in much better control of my anxiety.
What suggestions do you have? I don't know what else to do. How long will should I follow this?</t>
        </is>
      </c>
      <c r="D9302" t="n">
        <v>5</v>
      </c>
      <c r="E9302" t="n">
        <v>3</v>
      </c>
      <c r="F9302">
        <f>HYPERLINK("https://www.reddit.com/r/GERD/comments/hvn9mr/can_ppis_cause_gerd/")</f>
        <v/>
      </c>
      <c r="G9302" t="inlineStr">
        <is>
          <t>2020-07-21 21:37:23</t>
        </is>
      </c>
      <c r="H9302" t="inlineStr"/>
    </row>
    <row r="9303">
      <c r="A9303" t="inlineStr">
        <is>
          <t>hvnj9j</t>
        </is>
      </c>
      <c r="B9303" t="inlineStr">
        <is>
          <t>Breathing problems</t>
        </is>
      </c>
      <c r="C9303" t="inlineStr">
        <is>
          <t>I’ve had shortness of breath for the past week due to GERD and gastritis I’m assuming. I used to have asthma as a kid but it went away by the time I was about 10. Can having GERD trigger having asthma again or is it just asthma like symptoms? I’m not wheezing or anything which is a common symptom of asthma, and I’ve had my lungs checked out right before I started getting shortness of breath. They said everything was fine. I also have anxiety so it’s all I can think about, and I’m trying to avoid going to the doctor again.</t>
        </is>
      </c>
      <c r="D9303" t="n">
        <v>2</v>
      </c>
      <c r="E9303" t="n">
        <v>3</v>
      </c>
      <c r="F9303">
        <f>HYPERLINK("https://www.reddit.com/r/GERD/comments/hvnj9j/breathing_problems/")</f>
        <v/>
      </c>
      <c r="G9303" t="inlineStr">
        <is>
          <t>2020-07-21 21:57:15</t>
        </is>
      </c>
      <c r="H9303" t="inlineStr"/>
    </row>
    <row r="9304">
      <c r="A9304" t="inlineStr">
        <is>
          <t>hvnq05</t>
        </is>
      </c>
      <c r="B9304" t="inlineStr">
        <is>
          <t>Would having a pet trigger GERD?</t>
        </is>
      </c>
      <c r="C9304" t="inlineStr">
        <is>
          <t>I have lpr and it really sucks. I want a little furry companion when I move into my next apartment. Would this at all effect it? I’m kinda freaking out.</t>
        </is>
      </c>
      <c r="D9304" t="n">
        <v>3</v>
      </c>
      <c r="E9304" t="n">
        <v>4</v>
      </c>
      <c r="F9304">
        <f>HYPERLINK("https://www.reddit.com/r/GERD/comments/hvnq05/would_having_a_pet_trigger_gerd/")</f>
        <v/>
      </c>
      <c r="G9304" t="inlineStr">
        <is>
          <t>2020-07-21 22:11:32</t>
        </is>
      </c>
      <c r="H9304" t="inlineStr"/>
    </row>
    <row r="9305">
      <c r="A9305" t="inlineStr">
        <is>
          <t>hvnz5z</t>
        </is>
      </c>
      <c r="B9305" t="inlineStr">
        <is>
          <t>Awakened by reflux</t>
        </is>
      </c>
      <c r="C9305" t="inlineStr">
        <is>
          <t>Hello all,
First, I’d like to thank this community for helping me over the past several days as I was introduced to life with GERD. I was in a MUCH worse place a week ago than I am now, and while my GI specialist was part of that, all of you are also part of it. Thanks.
That being said, I am still awakened at night sometimes by reflux, no matter what precautions I take. I do not eat for 2 hours before bed, and never eat large meals. No alcohol, acidic foods, caffeine, or any other obvious triggers. I am on pantoprazole, which is good during the day—the past two days have been my best so far. I am going for walks. I sleep using a wedge pillow at night. I drink aloe vera juice throughout the day in small amounts. Before bed, I take melatonin, which generally works for me (and I read can have positive effects on the digestive system).
When I have an attack, I usually take aloe gel capsules or use baking soda and water. Pepto and Tums have little effect.
Thoughts?</t>
        </is>
      </c>
      <c r="D9305" t="n">
        <v>1</v>
      </c>
      <c r="E9305" t="n">
        <v>8</v>
      </c>
      <c r="F9305">
        <f>HYPERLINK("https://www.reddit.com/r/GERD/comments/hvnz5z/awakened_by_reflux/")</f>
        <v/>
      </c>
      <c r="G9305" t="inlineStr">
        <is>
          <t>2020-07-21 22:31:51</t>
        </is>
      </c>
      <c r="H9305" t="inlineStr"/>
    </row>
    <row r="9306">
      <c r="A9306" t="inlineStr">
        <is>
          <t>hvo5yi</t>
        </is>
      </c>
      <c r="B9306" t="inlineStr">
        <is>
          <t>Anxiety after eating</t>
        </is>
      </c>
      <c r="C9306" t="inlineStr">
        <is>
          <t>Does anybody else get anxiety after eating ?? Idk if i get it because i have heartburn but its horrible i feel a constant need to catch my breath its annoying. Sometimes the only way to relieve it a little is if i drink a soda and burp because i have difficulty burping on my own ... i cant enjoy a damn meal because of this and heart burn pills dont work at all.</t>
        </is>
      </c>
      <c r="D9306" t="n">
        <v>19</v>
      </c>
      <c r="E9306" t="n">
        <v>38</v>
      </c>
      <c r="F9306">
        <f>HYPERLINK("https://www.reddit.com/r/GERD/comments/hvo5yi/anxiety_after_eating/")</f>
        <v/>
      </c>
      <c r="G9306" t="inlineStr">
        <is>
          <t>2020-07-21 22:47:26</t>
        </is>
      </c>
      <c r="H9306" t="inlineStr"/>
    </row>
    <row r="9307">
      <c r="A9307" t="inlineStr">
        <is>
          <t>hvoops</t>
        </is>
      </c>
      <c r="B9307" t="inlineStr">
        <is>
          <t>Tips to heal from LPR</t>
        </is>
      </c>
      <c r="C9307" t="inlineStr">
        <is>
          <t>Hi all - I’ve been experiencing chest pain, coughing, clearing of the throat and choking episodes since March. I got an endoscopy done and was diagnosed with LPR. I just bought the book dropping acid as some have recommended and am taking omeprazole in the mornings and ppi at night. My chest has constantly felt pain/like it’s on fire since March. Sometimes better, sometimes worse. Did anyone feel this way for this long? I sometimes lose hope but am hoping there may be some more tips out there to help with the pain. Thank you!</t>
        </is>
      </c>
      <c r="D9307" t="n">
        <v>2</v>
      </c>
      <c r="E9307" t="n">
        <v>4</v>
      </c>
      <c r="F9307">
        <f>HYPERLINK("https://www.reddit.com/r/GERD/comments/hvoops/tips_to_heal_from_lpr/")</f>
        <v/>
      </c>
      <c r="G9307" t="inlineStr">
        <is>
          <t>2020-07-21 23:31:26</t>
        </is>
      </c>
      <c r="H9307" t="inlineStr"/>
    </row>
    <row r="9308">
      <c r="A9308" t="inlineStr">
        <is>
          <t>hvoowz</t>
        </is>
      </c>
      <c r="B9308" t="inlineStr">
        <is>
          <t>Losing hope.</t>
        </is>
      </c>
      <c r="C9308" t="inlineStr">
        <is>
          <t>So I have been diagnosed with reflux (my symptoms are very LPR like although my ENT just calls it reflux).
I am doing anything I can for 15 days now (Started before but full program is 15 days).
-Wedge pillow
-Low acid diet
-PPIs
-Rules like no eating before bed
But I feel almost no relief. My main symptom is a sore throat, especially on the left side up to my ear. It's driving me insane. I feel sick and full of anxiety and I am so afraid this will last forever or is something else after all.
I have suffered from health anxiety before but now it's become so bad I will most likely quit my job. I can't handle a mental AND a physical sickness that demand my attention 24/7 at once. Especially since my workplace triggers my symptoms a lot because I use my voice all the time and there are irritating things in the air constantly. My life is crumbling down. I just wish to get better.
I had ear problems and frequent throat infections like  for a year but they were always just a few days.
Then suddenly One of those infections just doesn't go away... for weeks. Now months.
I feel really depressed right now. I feel like I don't belong to the outside world anymore but live in my little bubble which is a little hell.
How long did it take for you to heal? Especially with symptoms like mine.
I don't wanna take any more pills and supplements because I also have a fear of taking medicine in general but especially mixing them (supplements count as well).</t>
        </is>
      </c>
      <c r="D9308" t="n">
        <v>2</v>
      </c>
      <c r="E9308" t="n">
        <v>13</v>
      </c>
      <c r="F9308">
        <f>HYPERLINK("https://www.reddit.com/r/GERD/comments/hvoowz/losing_hope/")</f>
        <v/>
      </c>
      <c r="G9308" t="inlineStr">
        <is>
          <t>2020-07-21 23:31:46</t>
        </is>
      </c>
      <c r="H9308" t="inlineStr"/>
    </row>
    <row r="9309">
      <c r="A9309" t="inlineStr">
        <is>
          <t>hvp4wi</t>
        </is>
      </c>
      <c r="B9309" t="inlineStr">
        <is>
          <t>Will switching between PPI's cause rebound?</t>
        </is>
      </c>
      <c r="C9309" t="inlineStr">
        <is>
          <t>I'm taking Omeprazole and it isn't working for me. I want to either try Nexium or Dexilant but I'm scared that it could cause a rebound?</t>
        </is>
      </c>
      <c r="D9309" t="n">
        <v>1</v>
      </c>
      <c r="E9309" t="n">
        <v>6</v>
      </c>
      <c r="F9309">
        <f>HYPERLINK("https://www.reddit.com/r/GERD/comments/hvp4wi/will_switching_between_ppis_cause_rebound/")</f>
        <v/>
      </c>
      <c r="G9309" t="inlineStr">
        <is>
          <t>2020-07-22 00:10:19</t>
        </is>
      </c>
      <c r="H9309" t="inlineStr"/>
    </row>
    <row r="9310">
      <c r="A9310" t="inlineStr">
        <is>
          <t>hvqpig</t>
        </is>
      </c>
      <c r="B9310" t="inlineStr">
        <is>
          <t>How long have you been taking ppi's?</t>
        </is>
      </c>
      <c r="C9310" t="inlineStr">
        <is>
          <t>I've been taking 10-20mg of omeprazole for 1-2 years now and I'm 32y old.
This had me wondering how much and for how long people have been taking ppi's?
My drs approach so far is, here's some meds. Good luck. This is for a sliding hiatus hernia which is 4cm and causes nasty acid reflux.</t>
        </is>
      </c>
      <c r="D9310" t="n">
        <v>4</v>
      </c>
      <c r="E9310" t="n">
        <v>6</v>
      </c>
      <c r="F9310">
        <f>HYPERLINK("https://www.reddit.com/r/GERD/comments/hvqpig/how_long_have_you_been_taking_ppis/")</f>
        <v/>
      </c>
      <c r="G9310" t="inlineStr">
        <is>
          <t>2020-07-22 02:27:58</t>
        </is>
      </c>
      <c r="H9310" t="inlineStr"/>
    </row>
    <row r="9311">
      <c r="A9311" t="inlineStr">
        <is>
          <t>hvrjqv</t>
        </is>
      </c>
      <c r="B9311" t="inlineStr">
        <is>
          <t>Any advice? Tips?</t>
        </is>
      </c>
      <c r="C9311" t="inlineStr">
        <is>
          <t>Hello its my first time posting here, I'm a 25 year old woman and I've been suffering with possible GERD for the last 4 or so months. I was given Omaprazole 10mg first then 20mg, which has taken away the vast majority of my symptoms thankfully.
What i wanted to ask was if anyone has ever been left with the tight stomach feeling that comes and goes over a matter of hours with perhaps a little belching, plus quite tender bottom ribs? 
Its the only symptoms i have left and i have severe health anxiety so i try not to bother the GP a lot (especially now cause of the current situation)
Anyone else had these residual effects?
*edit* 
To add I've also been on the Low Fodmap diet near enough religiously for nearly 1 month as well</t>
        </is>
      </c>
      <c r="D9311" t="n">
        <v>1</v>
      </c>
      <c r="E9311" t="n">
        <v>0</v>
      </c>
      <c r="F9311">
        <f>HYPERLINK("https://www.reddit.com/r/GERD/comments/hvrjqv/any_advice_tips/")</f>
        <v/>
      </c>
      <c r="G9311" t="inlineStr">
        <is>
          <t>2020-07-22 03:42:21</t>
        </is>
      </c>
      <c r="H9311" t="inlineStr"/>
    </row>
    <row r="9312">
      <c r="A9312" t="inlineStr">
        <is>
          <t>hvrxbr</t>
        </is>
      </c>
      <c r="B9312" t="inlineStr">
        <is>
          <t>I am scared because many describe another form of throat pain</t>
        </is>
      </c>
      <c r="C9312" t="inlineStr">
        <is>
          <t>Most of you say it's like in the muscle.
My throat is just plain sore tissue. Sore and painful and irritated. Sometimes up to my gums. Like I had canker sores all inside my throat.
It hurts when I swallow (exept for some better days) and it often is most intense on the left side up to my ear.
I am so scared of being misdiagnosed or something :(
My doctor reassured me I have nothing extremely serious but I am so scared and going crazy from constant pain and not eating.</t>
        </is>
      </c>
      <c r="D9312" t="n">
        <v>1</v>
      </c>
      <c r="E9312" t="n">
        <v>4</v>
      </c>
      <c r="F9312">
        <f>HYPERLINK("https://www.reddit.com/r/GERD/comments/hvrxbr/i_am_scared_because_many_describe_another_form_of/")</f>
        <v/>
      </c>
      <c r="G9312" t="inlineStr">
        <is>
          <t>2020-07-22 04:14:13</t>
        </is>
      </c>
      <c r="H9312" t="inlineStr"/>
    </row>
    <row r="9313">
      <c r="A9313" t="inlineStr">
        <is>
          <t>hvsauk</t>
        </is>
      </c>
      <c r="B9313" t="inlineStr">
        <is>
          <t>What are the chances of getting cancer with LPR or GERD. ( Throat cancer , esophageal cancer , etc)</t>
        </is>
      </c>
      <c r="C9313" t="inlineStr">
        <is>
          <t>I’m just wondering because my anxiety is at a all time high rn. My body has been going through it. I’m only 20 years old I haven’t officially been diagnosed with LPR or GERD. I think I have it and until recently I haven’t treated it daily. I’m going to get checked soon by a ent. My GI Doctor saw a high number of eosinophils in a part of my esophaguses so it could be EOE. I’m just terrified rn.</t>
        </is>
      </c>
      <c r="D9313" t="n">
        <v>12</v>
      </c>
      <c r="E9313" t="n">
        <v>50</v>
      </c>
      <c r="F9313">
        <f>HYPERLINK("https://www.reddit.com/r/GERD/comments/hvsauk/what_are_the_chances_of_getting_cancer_with_lpr/")</f>
        <v/>
      </c>
      <c r="G9313" t="inlineStr">
        <is>
          <t>2020-07-22 04:44:40</t>
        </is>
      </c>
      <c r="H9313" t="inlineStr"/>
    </row>
    <row r="9314">
      <c r="A9314" t="inlineStr">
        <is>
          <t>hvt5t8</t>
        </is>
      </c>
      <c r="B9314" t="inlineStr">
        <is>
          <t>Am I halfway? My/Our Story!</t>
        </is>
      </c>
      <c r="C9314" t="inlineStr">
        <is>
          <t>I just read that article of the person who managed to heal himself and congrats to him!
As many of you I am still researching, testing, and mostly suffering. The most interesting part here is the people sharing their stories and sufferings. It helps to know that you are not alone in this. 90% of all doctors think you are crazy or they are too lazy to do the tests. I feel they only take you serious until you vomit liters of blood into their lap....
This is my story:
Early 2017 I was diagnosed with "Silent Reflux" because I had acid burns on the back of my throat. No heartburn yet! I didnt take it serious and continued to eat somewhat unhealthy and not doing much physically. (I am 34 now, 6,7" at around 190lbs). Mid 2017 my heartburn started. I used Antacids. Obviously it got worse. Somehow the burning sensation mostly focussed on the top right center side unterneith my ribs. In Feb 2019 I couldnt handle it anymore. It was out of control. I had acid reflux after drinking water, in the morning, every day. 
They did an endoscopy and found nothing. No helio, nothing. I was confused. The doc sent me off with PPIs 20mg in the morning for 4 weeks. Gosh that helped! I had my life back. Or so I thought. The 4 weeks passed. The effect wore off. And hello heartburn! I didnt bother to return to the doctor because they didnt find anything and would have just prescribed me more. Btw he also said that my diet does not matter at all. What an idiot... 
Well I did my best to avoid sweets, and bad food but my diet didnt change that much. I was smoking E-cigarette at that time as well. Still no sports. The PPI made me feel like I was normal again and I didnt take it serious. Every 4-8 weeks I would stop the PPI and try it with Antacids and Diet but within 3 weeks it got so bad that I had to return to the PPI´s. 
Fastforward to February 2020. I started noticing severe digestion problems. Pizza for example took forever to digest (unter PPI) I paused the PPI and got massive heartburn again. I used the PPI and the digestion problems worsened! It got so bad that I had a bloated stomach from drinking water. I felt terrible!!!! And the worst. I had no idea why. In Mai I visited my doc and she told me to live lactose free. 
This was also the time I started eating really healthy. No sugar, no wheat. Everything fresh and organic. I started doing sports. Every second day I went for a 1h run. Stopped smoking. No coffee. I dont drink alcohol. 
4 weeks passed and I couldnt handle it anymore. My overall health declined I felt terrible. No pain just plain unwell. Sensitive stomach, bad digestions etc. I stopped the PPI´s and somehow it was better! I thought I finally had it! The digestion problems were a little better but didnt go away completly. 
This is where we are now. 4 days ago I had a couple of good days and felt great! Then my stomach started acting up. Now it feels very pressure sensitive, i feel a little sick, and have a burning sensation in the stomach area. I still have the acidic reflux from time to time but I not as bad as before. 
I am really sad and worried. I feel like i am being punished. I really try my best but cant seem to catch a break. Nothing helps. I wish I could just rip out my stomach and continue my life.... 
I am not asking for a diagnose :) but maybe somebody shares this experience and has any idea whats going on and why no doctor can seem to help me (blood is perfect, organs with sono are perfect too)
All the best to  you and may your journey lead you to long lasting health!!!!</t>
        </is>
      </c>
      <c r="D9314" t="n">
        <v>2</v>
      </c>
      <c r="E9314" t="n">
        <v>6</v>
      </c>
      <c r="F9314">
        <f>HYPERLINK("https://www.reddit.com/r/GERD/comments/hvt5t8/am_i_halfway_myour_story/")</f>
        <v/>
      </c>
      <c r="G9314" t="inlineStr">
        <is>
          <t>2020-07-22 05:47:17</t>
        </is>
      </c>
      <c r="H9314" t="inlineStr"/>
    </row>
    <row r="9315">
      <c r="A9315" t="inlineStr">
        <is>
          <t>hvt6fc</t>
        </is>
      </c>
      <c r="B9315" t="inlineStr">
        <is>
          <t>Does anyone else feel constantly hungry?</t>
        </is>
      </c>
      <c r="C9315" t="inlineStr">
        <is>
          <t>So recently over this past weekend I had eaten food that left my stomach very upset. So I was eating the BRATS diet, very plain easy to digest food for about three days. Yesterday and today, I feel insanely hungry! Yesterday I ate some oatmeal, rice, a burger, some fruit, sandwich, and some snacks. Today I had a turkey sandwich, some chicken veggie pasta, fruit, and a pb and j sandwich. Looking at this now I’m pretty sure I’m not eating enough protein and instead too many simple carbs. 
I feel like there is so much stomach acid in my stomach and I just feel so hungry. I get nauseas from the heart burn, usually a Pepcid will help with that, I have also been very stressed which I’m sure is making me hungrier than usual. But as soon as I eat I feel like I’m hungry again, anyone have similar experiences? It’s super uncomfortable because the hunger makes my stomach feel acidic and makes me nauseas and have acid reflux in my throat, but then nausea makes me not want to eat.</t>
        </is>
      </c>
      <c r="D9315" t="n">
        <v>3</v>
      </c>
      <c r="E9315" t="n">
        <v>0</v>
      </c>
      <c r="F9315">
        <f>HYPERLINK("https://www.reddit.com/r/GERD/comments/hvt6fc/does_anyone_else_feel_constantly_hungry/")</f>
        <v/>
      </c>
      <c r="G9315" t="inlineStr">
        <is>
          <t>2020-07-22 05:48:28</t>
        </is>
      </c>
      <c r="H9315" t="inlineStr"/>
    </row>
    <row r="9316">
      <c r="A9316" t="inlineStr">
        <is>
          <t>hvucpq</t>
        </is>
      </c>
      <c r="B9316" t="inlineStr">
        <is>
          <t>Can you take PPI right after endoscopy?</t>
        </is>
      </c>
      <c r="C9316" t="inlineStr">
        <is>
          <t>They said rheg sid some biopsyes . Can i take my PPI when i get hime?
19 Male</t>
        </is>
      </c>
      <c r="D9316" t="n">
        <v>2</v>
      </c>
      <c r="E9316" t="n">
        <v>43</v>
      </c>
      <c r="F9316">
        <f>HYPERLINK("https://www.reddit.com/r/GERD/comments/hvucpq/can_you_take_ppi_right_after_endoscopy/")</f>
        <v/>
      </c>
      <c r="G9316" t="inlineStr">
        <is>
          <t>2020-07-22 07:04:56</t>
        </is>
      </c>
      <c r="H9316" t="inlineStr"/>
    </row>
    <row r="9317">
      <c r="A9317" t="inlineStr">
        <is>
          <t>hvugm2</t>
        </is>
      </c>
      <c r="B9317" t="inlineStr">
        <is>
          <t>Snack recommendations for girlfriend with GERD</t>
        </is>
      </c>
      <c r="C9317" t="inlineStr">
        <is>
          <t>Hello everyone,
I am currently living states away from my girlfriend and she's been having horrible acid reflex and GERD and esophagitis lately. I am about to send her a care package with some things but the snacks I usually include are spicy, citrus, and chocolates.
What are some snacks I can still send her that she can actually enjoy without being too bland/boring? They are the favorite part of her receiving these packages and I'd really like to find a whole bunch of them to send her.
Would highly appreciate suggestions and things easily purchasable in the United States.
Thank you!</t>
        </is>
      </c>
      <c r="D9317" t="n">
        <v>1</v>
      </c>
      <c r="E9317" t="n">
        <v>21</v>
      </c>
      <c r="F9317">
        <f>HYPERLINK("https://www.reddit.com/r/GERD/comments/hvugm2/snack_recommendations_for_girlfriend_with_gerd/")</f>
        <v/>
      </c>
      <c r="G9317" t="inlineStr">
        <is>
          <t>2020-07-22 07:11:30</t>
        </is>
      </c>
      <c r="H9317" t="inlineStr"/>
    </row>
    <row r="9318">
      <c r="A9318" t="inlineStr">
        <is>
          <t>hvuhv9</t>
        </is>
      </c>
      <c r="B9318" t="inlineStr">
        <is>
          <t>question about probiotics</t>
        </is>
      </c>
      <c r="C9318" t="inlineStr">
        <is>
          <t>just started taking some probiotic pills  (20 billion active cultures) and also started drinking activia and kefir. just wondering if it’s okay to take in all 3 daily or would that be too much probiotics for one day?</t>
        </is>
      </c>
      <c r="D9318" t="n">
        <v>2</v>
      </c>
      <c r="E9318" t="n">
        <v>0</v>
      </c>
      <c r="F9318">
        <f>HYPERLINK("https://www.reddit.com/r/GERD/comments/hvuhv9/question_about_probiotics/")</f>
        <v/>
      </c>
      <c r="G9318" t="inlineStr">
        <is>
          <t>2020-07-22 07:13:32</t>
        </is>
      </c>
      <c r="H9318" t="inlineStr"/>
    </row>
    <row r="9319">
      <c r="A9319" t="inlineStr">
        <is>
          <t>hvuvi1</t>
        </is>
      </c>
      <c r="B9319" t="inlineStr">
        <is>
          <t>Stool Color</t>
        </is>
      </c>
      <c r="C9319" t="inlineStr">
        <is>
          <t>Hey guys I just had a bowel movement earlier, my stool is black... Is anyone having stool color like this? I've been taking PPI's before but I had stopped since. Maaan what if Im bleeding internally</t>
        </is>
      </c>
      <c r="D9319" t="n">
        <v>2</v>
      </c>
      <c r="E9319" t="n">
        <v>30</v>
      </c>
      <c r="F9319">
        <f>HYPERLINK("https://www.reddit.com/r/GERD/comments/hvuvi1/stool_color/")</f>
        <v/>
      </c>
      <c r="G9319" t="inlineStr">
        <is>
          <t>2020-07-22 07:35:57</t>
        </is>
      </c>
      <c r="H9319" t="inlineStr"/>
    </row>
    <row r="9320">
      <c r="A9320" t="inlineStr">
        <is>
          <t>hvux5l</t>
        </is>
      </c>
      <c r="B9320" t="inlineStr">
        <is>
          <t>"Safe" Foods that trigger but only sometimes and not all</t>
        </is>
      </c>
      <c r="C9320" t="inlineStr">
        <is>
          <t>Do you guys experience this too? I have tried to figure out what foods trigger the acid reflux but I honestly can't tell because it's so random. But I did notice that sometimes bananas will trigger it. I usually eat bananas every day so it only happens sometimes. It's strange because bananas are supposed to be safe for gerd.  One time specifically was eating a banana strawberry almond milk smoothie with protein powder. Another time was banana with peanut butter.   I also experienced this with chamamiolle tea, which is also supposed to be safe.</t>
        </is>
      </c>
      <c r="D9320" t="n">
        <v>2</v>
      </c>
      <c r="E9320" t="n">
        <v>4</v>
      </c>
      <c r="F9320">
        <f>HYPERLINK("https://www.reddit.com/r/GERD/comments/hvux5l/safe_foods_that_trigger_but_only_sometimes_and/")</f>
        <v/>
      </c>
      <c r="G9320" t="inlineStr">
        <is>
          <t>2020-07-22 07:38:29</t>
        </is>
      </c>
      <c r="H9320" t="inlineStr"/>
    </row>
    <row r="9321">
      <c r="A9321" t="inlineStr">
        <is>
          <t>hvvpuz</t>
        </is>
      </c>
      <c r="B9321" t="inlineStr">
        <is>
          <t>Why shortness of breath occurs with GERD?</t>
        </is>
      </c>
      <c r="C9321" t="inlineStr">
        <is>
          <t>Does anyone know the reason shortness of breath occurs with GERD? My gastroenterologist said it wasn’t a GERD symptom, but I’ve seen other people complain of it frequently on here. It’s honestly my scariest symptom and as far as I could tell from googling, it’s possibly due to acid getting into the airways and swelling? And that it can also cause pneumonia?? That sounds pretty concerning if that is what’s happening nearly every day, but I sometimes get shortness of breath without any other symptoms (no coughing, heartburn, or acid taste) so I’m skeptical if there’s another way it can cause this.</t>
        </is>
      </c>
      <c r="D9321" t="n">
        <v>7</v>
      </c>
      <c r="E9321" t="n">
        <v>46</v>
      </c>
      <c r="F9321">
        <f>HYPERLINK("https://www.reddit.com/r/GERD/comments/hvvpuz/why_shortness_of_breath_occurs_with_gerd/")</f>
        <v/>
      </c>
      <c r="G9321" t="inlineStr">
        <is>
          <t>2020-07-22 08:24:31</t>
        </is>
      </c>
      <c r="H9321" t="inlineStr"/>
    </row>
    <row r="9322">
      <c r="A9322" t="inlineStr">
        <is>
          <t>hvvtjz</t>
        </is>
      </c>
      <c r="B9322" t="inlineStr">
        <is>
          <t>Improper vocal chord disclosure in the morning</t>
        </is>
      </c>
      <c r="C9322" t="inlineStr">
        <is>
          <t>When I wake up my voice is  all scratchy. It sounds like a very deep vocal fry. Does anyone else have this issue? I know Gerd might have an affect on vocal chords but didn’t think it can link to improper closure.</t>
        </is>
      </c>
      <c r="D9322" t="n">
        <v>2</v>
      </c>
      <c r="E9322" t="n">
        <v>2</v>
      </c>
      <c r="F9322">
        <f>HYPERLINK("https://www.reddit.com/r/GERD/comments/hvvtjz/improper_vocal_chord_disclosure_in_the_morning/")</f>
        <v/>
      </c>
      <c r="G9322" t="inlineStr">
        <is>
          <t>2020-07-22 08:30:18</t>
        </is>
      </c>
      <c r="H9322" t="inlineStr"/>
    </row>
    <row r="9323">
      <c r="A9323" t="inlineStr">
        <is>
          <t>hvyaal</t>
        </is>
      </c>
      <c r="B9323" t="inlineStr">
        <is>
          <t>New cancer screening on the horizon</t>
        </is>
      </c>
      <c r="C9323" t="inlineStr">
        <is>
          <t>Saw this in another thread and thought it might be of interest here since we are all worried about esophageal and stomach cancer. 😤
[blood tests for cancer ](https://www.scientificamerican.com/article/experimental-blood-test-detects-cancer-up-to-four-years-before-symptoms-appear/)</t>
        </is>
      </c>
      <c r="D9323" t="n">
        <v>31</v>
      </c>
      <c r="E9323" t="n">
        <v>17</v>
      </c>
      <c r="F9323">
        <f>HYPERLINK("https://www.reddit.com/r/GERD/comments/hvyaal/new_cancer_screening_on_the_horizon/")</f>
        <v/>
      </c>
      <c r="G9323" t="inlineStr">
        <is>
          <t>2020-07-22 10:42:24</t>
        </is>
      </c>
      <c r="H9323" t="inlineStr"/>
    </row>
    <row r="9324">
      <c r="A9324" t="inlineStr">
        <is>
          <t>hvz83r</t>
        </is>
      </c>
      <c r="B9324" t="inlineStr">
        <is>
          <t>Traveling with GERD - HOW?!</t>
        </is>
      </c>
      <c r="C9324" t="inlineStr">
        <is>
          <t>I feel like the joys of traveling have been robbed with this disease. Before I had this, my husband and I traveled and tried different foods. We loved going to the night market in Vancouver, BC. We looked forward to someday traveling to Japan, Italy, etc. One of the most exciting things (for us) about traveling is eating and trying new foods!
I feel like traveling isn’t feasible anymore. I can’t just eat whatever I want and try different cuisines because I might suffer later. I hate the thought of being in another country laying in my hotel room because of a stupid acid reflux attack. 
Does anyone else feel my pain? 🙋🏻‍♀️😭</t>
        </is>
      </c>
      <c r="D9324" t="n">
        <v>4</v>
      </c>
      <c r="E9324" t="n">
        <v>17</v>
      </c>
      <c r="F9324">
        <f>HYPERLINK("https://www.reddit.com/r/GERD/comments/hvz83r/traveling_with_gerd_how/")</f>
        <v/>
      </c>
      <c r="G9324" t="inlineStr">
        <is>
          <t>2020-07-22 11:32:06</t>
        </is>
      </c>
      <c r="H9324" t="inlineStr"/>
    </row>
    <row r="9325">
      <c r="A9325" t="inlineStr">
        <is>
          <t>hvzkyy</t>
        </is>
      </c>
      <c r="B9325" t="inlineStr">
        <is>
          <t>Ate some bread and worried it's lodged</t>
        </is>
      </c>
      <c r="C9325" t="inlineStr">
        <is>
          <t>So I ate some raw bread that I barely chewed because I wanted to get a piece of hair out of my throat but I've been having issues swallowing things if feels like I have to work extra hard to get things down and I'm worried it's stuck anyone else get this</t>
        </is>
      </c>
      <c r="D9325" t="n">
        <v>3</v>
      </c>
      <c r="E9325" t="n">
        <v>4</v>
      </c>
      <c r="F9325">
        <f>HYPERLINK("https://www.reddit.com/r/GERD/comments/hvzkyy/ate_some_bread_and_worried_its_lodged/")</f>
        <v/>
      </c>
      <c r="G9325" t="inlineStr">
        <is>
          <t>2020-07-22 11:51:13</t>
        </is>
      </c>
      <c r="H9325" t="inlineStr"/>
    </row>
    <row r="9326">
      <c r="A9326" t="inlineStr">
        <is>
          <t>hvzntk</t>
        </is>
      </c>
      <c r="B9326" t="inlineStr">
        <is>
          <t>Heavy exercise and GERD</t>
        </is>
      </c>
      <c r="C9326" t="inlineStr">
        <is>
          <t>I can lift weights just fine, but certain compound movements such as pushups and rows set off my reflux bad. How can I stop GERD from ruining my workouts?</t>
        </is>
      </c>
      <c r="D9326" t="n">
        <v>2</v>
      </c>
      <c r="E9326" t="n">
        <v>2</v>
      </c>
      <c r="F9326">
        <f>HYPERLINK("https://www.reddit.com/r/GERD/comments/hvzntk/heavy_exercise_and_gerd/")</f>
        <v/>
      </c>
      <c r="G9326" t="inlineStr">
        <is>
          <t>2020-07-22 11:55:16</t>
        </is>
      </c>
      <c r="H9326" t="inlineStr"/>
    </row>
    <row r="9327">
      <c r="A9327" t="inlineStr">
        <is>
          <t>hvzott</t>
        </is>
      </c>
      <c r="B9327" t="inlineStr">
        <is>
          <t>Has anyone had successful results with coconut oil?</t>
        </is>
      </c>
      <c r="C9327" t="inlineStr">
        <is>
          <t>I have ulcers from taking steroids (I take them for Addison’s disease). I’ve had these ulcers about two years, and PPI’s and antacids have done nothing.
This past month I was suffering so miserably. I couldn’t eat anything. Like, just two pieces of toast and a bowl of oats a day, that was it.
I’ve never experienced gerd before, but this was it, intense burning in my chest and feeling like I was constantly going to be sick, lump in my throat and bad taste in my mouth. It was really such hell.
I believe what happened is that something I ate just before this caused such a severe reaction I developed a sliding hernia. It’s really the only thing that explains it.
Well... I heard all these great testimonies even from fellow Addison’s friends about coconut oil. Since I was so desperate and had some coconut oil on the cupboard I took it, one teaspoon before each meal. This morning I took a tablespoon before breakfast.
First off, I’ve never seen such a sudden positive change in health. I am not promoting anything btw because I want to see if anyone else tried this and had the same experience and how it turned out for them long term? I’m certainly not cured, it’s still a long path down to getting rid of these ulcers.
But like, I haven’t eaten anything proper in weeks. The past few days since starting the coconut oil I was able to eat normal foods again, portion about the size of my fist.
Tonight..... I ate a real full meal, a proper adult portion, and I even had junk food... and I just had the most amazing experience. Bare in mind I am quite sensitive to what’s going on in my body with many health conditions. But I felt for the first time in weeks my LES tightening properly, my stomach was comfortably full without pain, and the relief was so intense I believe the hernia aka my stomach slid back down into place.
Am I dreaming? It’s such a huge and quick turn around. Has anyone else experienced this?
I’m still being careful, I’m not eating four/five hours before bed. As I said, still a long journey ahead of me.
But I really think my friends were right. Such instant relief....</t>
        </is>
      </c>
      <c r="D9327" t="n">
        <v>2</v>
      </c>
      <c r="E9327" t="n">
        <v>1</v>
      </c>
      <c r="F9327">
        <f>HYPERLINK("https://www.reddit.com/r/GERD/comments/hvzott/has_anyone_had_successful_results_with_coconut_oil/")</f>
        <v/>
      </c>
      <c r="G9327" t="inlineStr">
        <is>
          <t>2020-07-22 11:56:44</t>
        </is>
      </c>
      <c r="H9327" t="inlineStr"/>
    </row>
    <row r="9328">
      <c r="A9328" t="inlineStr">
        <is>
          <t>hw12mo</t>
        </is>
      </c>
      <c r="B9328" t="inlineStr">
        <is>
          <t>Making videos to raise awareness for GERD and other chronic or invisible illnesses! Leave your questions or things you wish people knew down below!</t>
        </is>
      </c>
      <c r="C9328" t="inlineStr">
        <is>
          <t>Hi everyone! I've had GERD for over a year (as well as IBS). I recently decided to start making videos about chronic illness and what it's like. My goal is to raise awareness, not just for the illness I have, but for all illnesses and even disabilities. I have a few video ideas already, but I need questions/comments to make them happen. 
One video will be a q&amp;amp;a about chronic illnesses I have or illness in general, so I'm not sure if any of you would have questions for that. 
Other videos will be what not to say to those with chronic illnesses, what it's like living daily with one, how to manage flare ups, how to explain/talk to others about having illnesses, and common misconceptions of chronically ill people. 
If anyone has any questions they'd like to ask for a video or if you have any comments/personal experience you'd be okay with talking about, please comment. If you have any questions about the videos themselves or want to remain anonymous or anything like that please also let me know! Thank you guys so much and I hope you're feeling well today.</t>
        </is>
      </c>
      <c r="D9328" t="n">
        <v>1</v>
      </c>
      <c r="E9328" t="n">
        <v>0</v>
      </c>
      <c r="F9328">
        <f>HYPERLINK("https://www.reddit.com/r/GERD/comments/hw12mo/making_videos_to_raise_awareness_for_gerd_and/")</f>
        <v/>
      </c>
      <c r="G9328" t="inlineStr">
        <is>
          <t>2020-07-22 13:08:40</t>
        </is>
      </c>
      <c r="H9328" t="inlineStr"/>
    </row>
    <row r="9329">
      <c r="A9329" t="inlineStr">
        <is>
          <t>hw29p3</t>
        </is>
      </c>
      <c r="B9329" t="inlineStr">
        <is>
          <t>I had an endoscopy today and everything came back normal.</t>
        </is>
      </c>
      <c r="C9329" t="inlineStr">
        <is>
          <t>Part of me is relieved but then again I’m worried because this means something else was causing my chest pain. 
The lower third of my esophagus did have a Schatzki ring, which they stretched out a little to help with swallowing. 
Also for anyone worried about getting an endoscopy, it’s really an easy procedure. The worst part was getting an UV. I have a needle phobia so it’ll probably be easier for most people.</t>
        </is>
      </c>
      <c r="D9329" t="n">
        <v>3</v>
      </c>
      <c r="E9329" t="n">
        <v>16</v>
      </c>
      <c r="F9329">
        <f>HYPERLINK("https://www.reddit.com/r/GERD/comments/hw29p3/i_had_an_endoscopy_today_and_everything_came_back/")</f>
        <v/>
      </c>
      <c r="G9329" t="inlineStr">
        <is>
          <t>2020-07-22 14:11:08</t>
        </is>
      </c>
      <c r="H9329" t="inlineStr"/>
    </row>
    <row r="9330">
      <c r="A9330" t="inlineStr">
        <is>
          <t>hw3ol7</t>
        </is>
      </c>
      <c r="B9330" t="inlineStr">
        <is>
          <t>Short of breath</t>
        </is>
      </c>
      <c r="C9330" t="inlineStr">
        <is>
          <t>Ive never really had acid reflux and have only had heart burn during pregnancies. This is different, i don’t feel heartburn but i feel like deep in my throat is burning(not like a sore throat when sick but deeper than that) and i feel like my chest is heavy almost short if breath. Sometimes its phlegmy and i have to keep swallowing. My ENT looked down there with a scope and says i have some reflux. I also have a GI appointment tomorrow.
But does anyone else experience these symptoms feeling short of breath, chest pressure, and burning throat?</t>
        </is>
      </c>
      <c r="D9330" t="n">
        <v>6</v>
      </c>
      <c r="E9330" t="n">
        <v>20</v>
      </c>
      <c r="F9330">
        <f>HYPERLINK("https://www.reddit.com/r/GERD/comments/hw3ol7/short_of_breath/")</f>
        <v/>
      </c>
      <c r="G9330" t="inlineStr">
        <is>
          <t>2020-07-22 15:30:18</t>
        </is>
      </c>
      <c r="H9330" t="inlineStr"/>
    </row>
    <row r="9331">
      <c r="A9331" t="inlineStr">
        <is>
          <t>hw587t</t>
        </is>
      </c>
      <c r="B9331" t="inlineStr">
        <is>
          <t>I need help!!!</t>
        </is>
      </c>
      <c r="C9331" t="inlineStr">
        <is>
          <t>Hi Reddit friends!
So I’ve been having this horrible chest pain since April and my doctor still hasn’t diagnosed me which is making me anxious and annoyed at the same time. It all started when I ate and went to bed lying down right away where I have heartburn. I had it a couple more times and it sucks because I never had heartburn before and I ended up drinking some wine not knowing the risk. I felt indigestion, bloating, gas pains, feeling full, constipation to name a few of the early symptoms. My doctor did a stools test testing for h pylori and came back negative. Many of the symptoms have faded due to my change in diet from eating fruit and vegetables. Drinking lots of water and exercise. What seems to not go away is the feeling of fullness and chest pain. I went to the er and urgent care in April. They did an ecg and blood work and came back normal. My doctor wants to refer me to a cardiologist to rule out it’s not my heart. Then he wants me to do an endoscopy. Supposed to see him again in the middle of August. I was prescribed omeprazole and then switched to nexium. At this point I don’t know what to do. I’m thinking about taking turmeric supplements to help heal my chest pain. What do you guys think? I haven’t been diagnosed yet so still unsure but he said it sounds like GERD.</t>
        </is>
      </c>
      <c r="D9331" t="n">
        <v>5</v>
      </c>
      <c r="E9331" t="n">
        <v>31</v>
      </c>
      <c r="F9331">
        <f>HYPERLINK("https://www.reddit.com/r/GERD/comments/hw587t/i_need_help/")</f>
        <v/>
      </c>
      <c r="G9331" t="inlineStr">
        <is>
          <t>2020-07-22 16:58:53</t>
        </is>
      </c>
      <c r="H9331" t="inlineStr"/>
    </row>
    <row r="9332">
      <c r="A9332" t="inlineStr">
        <is>
          <t>hw68js</t>
        </is>
      </c>
      <c r="B9332" t="inlineStr">
        <is>
          <t>Alcohol</t>
        </is>
      </c>
      <c r="C9332" t="inlineStr">
        <is>
          <t>Hi all, pretty active around here and have been confirmed GERD with a small hiatal hernia for about two years ish.
My question is, how are people with alcohol? I find when I drink enough my symptoms completely disappear, whether this be from the numbing effects I don’t know but I never feel that drunk. It makes me think is it maybe anxiety/stress exacerbating my symptoms which alcohol then calms? I’m not suggesting this as a method to combat GERD of course, just want to know others experience to try and understand my own reflux better. I’ve had plenty of nights out also when the next day I feel fine after drinking (I was at university necking a lot of drinks before I understood gerd better, I know terrible). Anyways, my point was I know a lot of people react badly to alcohol but I seem to feel better after a drink for some reason (haven’t drank in months until today and also felt the same every other time I drank) why could this be?</t>
        </is>
      </c>
      <c r="D9332" t="n">
        <v>6</v>
      </c>
      <c r="E9332" t="n">
        <v>16</v>
      </c>
      <c r="F9332">
        <f>HYPERLINK("https://www.reddit.com/r/GERD/comments/hw68js/alcohol/")</f>
        <v/>
      </c>
      <c r="G9332" t="inlineStr">
        <is>
          <t>2020-07-22 18:02:05</t>
        </is>
      </c>
      <c r="H9332" t="inlineStr"/>
    </row>
    <row r="9333">
      <c r="A9333" t="inlineStr">
        <is>
          <t>hw6enu</t>
        </is>
      </c>
      <c r="B9333" t="inlineStr">
        <is>
          <t>I stopped smoking 75 days ago and i developed this issues since i stopped...</t>
        </is>
      </c>
      <c r="C9333" t="inlineStr">
        <is>
          <t>Man i can't take this anymore. I tried digestive enzymes, probiotic drink, drinking more water, multivitamin, staying away from gluten and lactose. NOTHING HAS HELPED. I Started exercising because many here recommended it and i'm still here.
I have to burp alot and i get hearburn + shortness of breath all day long. I'm done with this. I'm planning to go back to smoking on monday.</t>
        </is>
      </c>
      <c r="D9333" t="n">
        <v>1</v>
      </c>
      <c r="E9333" t="n">
        <v>6</v>
      </c>
      <c r="F9333">
        <f>HYPERLINK("https://www.reddit.com/r/GERD/comments/hw6enu/i_stopped_smoking_75_days_ago_and_i_developed/")</f>
        <v/>
      </c>
      <c r="G9333" t="inlineStr">
        <is>
          <t>2020-07-22 18:13:07</t>
        </is>
      </c>
      <c r="H9333" t="inlineStr"/>
    </row>
    <row r="9334">
      <c r="A9334" t="inlineStr">
        <is>
          <t>hw6h78</t>
        </is>
      </c>
      <c r="B9334" t="inlineStr">
        <is>
          <t>Any Germans here?</t>
        </is>
      </c>
      <c r="C9334" t="inlineStr">
        <is>
          <t>Es gibt eine Zwerchfellbruch und Refluxkrankheit Operation in München, [https://www.sodbrennen-zwerchfellbruch.de/de/](https://www.sodbrennen-zwerchfellbruch.de/de/) weiß irgend einer ob die gut ist?
Translation for eveyone: There is a hiatal hernia and GERD operation in Germany that’s nowhere else, here’s a link. I wanna know if anyone did it or if it’s any good. Would love to speak to anyone about it. [https://www.heartburn-hiatal-hernia.com/en/](https://www.heartburn-hiatal-hernia.com/en/)
The procedure is called “Bicorn”</t>
        </is>
      </c>
      <c r="D9334" t="n">
        <v>3</v>
      </c>
      <c r="E9334" t="n">
        <v>26</v>
      </c>
      <c r="F9334">
        <f>HYPERLINK("https://www.reddit.com/r/GERD/comments/hw6h78/any_germans_here/")</f>
        <v/>
      </c>
      <c r="G9334" t="inlineStr">
        <is>
          <t>2020-07-22 18:17:30</t>
        </is>
      </c>
      <c r="H9334" t="inlineStr"/>
    </row>
    <row r="9335">
      <c r="A9335" t="inlineStr">
        <is>
          <t>hw7ein</t>
        </is>
      </c>
      <c r="B9335" t="inlineStr">
        <is>
          <t>Throat pain?</t>
        </is>
      </c>
      <c r="C9335" t="inlineStr">
        <is>
          <t>So I started having acid reflux months ago and it got worse over time, I won’t lie and say I’ve changed eating habits because when I did nothing changed. This past Sunday it was normal almost every time I eat I have to burp up small amounts of food (which is really embarrassing especially when I’m at work and have to do so after lunch) well Sunday morning I woke up and I had a really tight almost like if my throat was sore pain in my throat and now it feels like food wants to come up but doesn’t, it’s really uncomfortable and making work so hard for me. Is this something that’s normal? And is there a way to treat it I was dealing with the throwing up food part and some times pain in my chest but this is super annoying and it’s starting to worry me and make me anxious about going to work in the morning, any advise will help. My family kinda looks at me like if something is wrong with me but there’s really nothing I can do to help it I tried tums and they don’t work.</t>
        </is>
      </c>
      <c r="D9335" t="n">
        <v>1</v>
      </c>
      <c r="E9335" t="n">
        <v>4</v>
      </c>
      <c r="F9335">
        <f>HYPERLINK("https://www.reddit.com/r/GERD/comments/hw7ein/throat_pain/")</f>
        <v/>
      </c>
      <c r="G9335" t="inlineStr">
        <is>
          <t>2020-07-22 19:19:00</t>
        </is>
      </c>
      <c r="H9335" t="inlineStr"/>
    </row>
    <row r="9336">
      <c r="A9336" t="inlineStr">
        <is>
          <t>hw8keh</t>
        </is>
      </c>
      <c r="B9336" t="inlineStr">
        <is>
          <t>Tertiary contractions during manometry?</t>
        </is>
      </c>
      <c r="C9336" t="inlineStr">
        <is>
          <t>I got a manometry done yesterday (was just awful btw). I was asking the nurse after the procedure if he saw any of my regurgitations in the test (one of two times during the test my classic regurgitation showed itself). He said he did, called them “tertiary contractions” that appeared a few times and said it wasn’t perfectly normal but left it at that. It will take a few weeks for the doctor to get back to me with a report. I was just wondering, those of you who have had a manometry and it showed “tertiary contractions” what does that mean exactly/imply?</t>
        </is>
      </c>
      <c r="D9336" t="n">
        <v>1</v>
      </c>
      <c r="E9336" t="n">
        <v>2</v>
      </c>
      <c r="F9336">
        <f>HYPERLINK("https://www.reddit.com/r/GERD/comments/hw8keh/tertiary_contractions_during_manometry/")</f>
        <v/>
      </c>
      <c r="G9336" t="inlineStr">
        <is>
          <t>2020-07-22 20:38:42</t>
        </is>
      </c>
      <c r="H9336" t="inlineStr"/>
    </row>
    <row r="9337">
      <c r="A9337" t="inlineStr">
        <is>
          <t>hw8w4f</t>
        </is>
      </c>
      <c r="B9337" t="inlineStr">
        <is>
          <t>Sleeping on an incline has helped tremendously</t>
        </is>
      </c>
      <c r="C9337" t="inlineStr">
        <is>
          <t>Just wanted to share this. Since I began sleeping on a pillow wedge, my symptoms have improved dramatically. I still have some dry cough from time to time but I’m not clearing my throat 24/7 like I used to. Also what has helped is not eating 3 hrs before sleeping and cutting out trigger items like alcohol, caffeine (especially this), and spicy, acidic foods.</t>
        </is>
      </c>
      <c r="D9337" t="n">
        <v>3</v>
      </c>
      <c r="E9337" t="n">
        <v>2</v>
      </c>
      <c r="F9337">
        <f>HYPERLINK("https://www.reddit.com/r/GERD/comments/hw8w4f/sleeping_on_an_incline_has_helped_tremendously/")</f>
        <v/>
      </c>
      <c r="G9337" t="inlineStr">
        <is>
          <t>2020-07-22 21:02:37</t>
        </is>
      </c>
      <c r="H9337" t="inlineStr"/>
    </row>
    <row r="9338">
      <c r="A9338" t="inlineStr">
        <is>
          <t>hw8z0e</t>
        </is>
      </c>
      <c r="B9338" t="inlineStr">
        <is>
          <t>Help with bravo: any tips on helping it dislodge?</t>
        </is>
      </c>
      <c r="C9338" t="inlineStr">
        <is>
          <t>Hi all, I had my endoscopy on Friday and received a bravo placement. Today, I ate a piece of a bagel and it felt like it got stuck right around my chest (close to where the bravo is). For the last few hours, I've had significant chest pains and discomfort in that area. Is it possible the bravo repositioned when the food was traveling down? I'd love to get this thing out of me sooner rather than later so any tips would be appreciated!</t>
        </is>
      </c>
      <c r="D9338" t="n">
        <v>1</v>
      </c>
      <c r="E9338" t="n">
        <v>4</v>
      </c>
      <c r="F9338">
        <f>HYPERLINK("https://www.reddit.com/r/GERD/comments/hw8z0e/help_with_bravo_any_tips_on_helping_it_dislodge/")</f>
        <v/>
      </c>
      <c r="G9338" t="inlineStr">
        <is>
          <t>2020-07-22 21:08:19</t>
        </is>
      </c>
      <c r="H9338" t="inlineStr"/>
    </row>
    <row r="9339">
      <c r="A9339" t="inlineStr">
        <is>
          <t>hw943h</t>
        </is>
      </c>
      <c r="B9339" t="inlineStr">
        <is>
          <t>Can't Sleep</t>
        </is>
      </c>
      <c r="C9339" t="inlineStr">
        <is>
          <t>A week or two ago I was normal, with no symptoms. Now I feel like I'm in a nightmare I can't wake up from. My worst symptoms are during sleep. I feel like I'm choking every night, even with a raised bed, no laying down until 3 hours after dinner, no acidic or fatty foods, and 5 small meals per day. Twice this week I've regurgitated significant amounts of food late at night/very early morning and I've also regurgitated just saliva. As soon as I lay down, I start coughing. Even if I stay on my left side. I'm scared. I'm a speech therapist and I'm supposed to go back to work in 2.5 weeks - how can I do my job on 2 hours of sleep a night and a hoarse voice? 
I've only been doing these lifestyle modifications a couple days and I am better during the day though still having lots of symptoms, but nighttime is so bad. It's not better at all. I'm taking pepcid AC in the morning and before dinner, and I'm adding a PPI tomorrow (this is all under doctor supervision). I'm also taking tums, which I know isn't really helpful, but sometimes it gives me the 20 minutes of relief I need to fall asleep. 
I actually slept for 6 hours last night, but tonight I couldn't fall asleep fast enough and the coughing started getting really bad again so I had to sit up. I feel like a zombie. I miss having cuddle naps with my cat. I miss sleeping in. I miss curling up with a good book. I miss laying on my stomach to stretch out. I miss laying on my back in the living room and feeling the coolness of the ceiling fan. 
There really isn't a point to this post, just that I feel so overwhelmed and sad, and exhausted. I don't know how long I can take this, I'm just praying for relief. Not even for no symptoms, just at least able to be managed.</t>
        </is>
      </c>
      <c r="D9339" t="n">
        <v>1</v>
      </c>
      <c r="E9339" t="n">
        <v>4</v>
      </c>
      <c r="F9339">
        <f>HYPERLINK("https://www.reddit.com/r/GERD/comments/hw943h/cant_sleep/")</f>
        <v/>
      </c>
      <c r="G9339" t="inlineStr">
        <is>
          <t>2020-07-22 21:18:31</t>
        </is>
      </c>
      <c r="H9339" t="inlineStr"/>
    </row>
    <row r="9340">
      <c r="A9340" t="inlineStr">
        <is>
          <t>hw9g79</t>
        </is>
      </c>
      <c r="B9340" t="inlineStr">
        <is>
          <t>Can vomiting cause chronic GERD/acid reflux?</t>
        </is>
      </c>
      <c r="C9340" t="inlineStr">
        <is>
          <t>I am currently 21 years old, male, 2 years ago I threw up relatively hard and since then I have had chronic GERD/acid reflux. It has lowered the quality of my life. Is it possible that the vomiting would cause these chronic symptoms? I don’t get any heart burn, only acid that I can feel come up all throughout the day. This in turn makes me feel very nauseous.</t>
        </is>
      </c>
      <c r="D9340" t="n">
        <v>2</v>
      </c>
      <c r="E9340" t="n">
        <v>16</v>
      </c>
      <c r="F9340">
        <f>HYPERLINK("https://www.reddit.com/r/GERD/comments/hw9g79/can_vomiting_cause_chronic_gerdacid_reflux/")</f>
        <v/>
      </c>
      <c r="G9340" t="inlineStr">
        <is>
          <t>2020-07-22 21:43:40</t>
        </is>
      </c>
      <c r="H9340" t="inlineStr"/>
    </row>
    <row r="9341">
      <c r="A9341" t="inlineStr">
        <is>
          <t>hw9gyp</t>
        </is>
      </c>
      <c r="B9341" t="inlineStr">
        <is>
          <t>Hard time getting water down?</t>
        </is>
      </c>
      <c r="C9341" t="inlineStr">
        <is>
          <t>Is it considered GERD if after you drink water you feel it sitting in your throat or feel like water is going to come back up if you burp etc.?
FYI I get really nervous when I eat now bc I’m afraid the acid reflux will return.. maybe has a correlation of being anxious?</t>
        </is>
      </c>
      <c r="D9341" t="n">
        <v>1</v>
      </c>
      <c r="E9341" t="n">
        <v>2</v>
      </c>
      <c r="F9341">
        <f>HYPERLINK("https://www.reddit.com/r/GERD/comments/hw9gyp/hard_time_getting_water_down/")</f>
        <v/>
      </c>
      <c r="G9341" t="inlineStr">
        <is>
          <t>2020-07-22 21:45:22</t>
        </is>
      </c>
      <c r="H9341" t="inlineStr"/>
    </row>
    <row r="9342">
      <c r="A9342" t="inlineStr">
        <is>
          <t>hw9hva</t>
        </is>
      </c>
      <c r="B9342" t="inlineStr">
        <is>
          <t>Any natural alternative to gaviscon?</t>
        </is>
      </c>
      <c r="C9342" t="inlineStr">
        <is>
          <t>Been popping tablets like crazy. If it really hungry too I’ll get stomach acid build up and become weak and jittery it sucks.</t>
        </is>
      </c>
      <c r="D9342" t="n">
        <v>1</v>
      </c>
      <c r="E9342" t="n">
        <v>0</v>
      </c>
      <c r="F9342">
        <f>HYPERLINK("https://www.reddit.com/r/GERD/comments/hw9hva/any_natural_alternative_to_gaviscon/")</f>
        <v/>
      </c>
      <c r="G9342" t="inlineStr">
        <is>
          <t>2020-07-22 21:47:27</t>
        </is>
      </c>
      <c r="H9342" t="inlineStr"/>
    </row>
    <row r="9343">
      <c r="A9343" t="inlineStr">
        <is>
          <t>hw9klk</t>
        </is>
      </c>
      <c r="B9343" t="inlineStr">
        <is>
          <t>Treating multiple conditions</t>
        </is>
      </c>
      <c r="C9343" t="inlineStr">
        <is>
          <t>GERD causing LPR, make my throat raw. 
Allergies make LPR symptoms worse. 
Gilbert's syndrome and iron deficiency through indigestion causes anemia symptoms.  .
Gilbert syndrome worsens when dont eat. 
Eating wrong thing, GERD attack.  
When no GERD, gets cramps from Gilbert's. 
Lays down, acid reflux, LPR. 
Allergies causing dehydration, making Gilbert's worse.
Drinks water on empty stomach, acid intensifies.  
I can beat this if I just drink soup. When all of my flares ups started to compound, soup was the only way out. 
I went from soup to BRAT. 
I went from BRAT to poultry and veggies. 
I progressed to red meat, and was knocked back into the latter diet because of indigestion.  
This is fine</t>
        </is>
      </c>
      <c r="D9343" t="n">
        <v>11</v>
      </c>
      <c r="E9343" t="n">
        <v>26</v>
      </c>
      <c r="F9343">
        <f>HYPERLINK("https://www.reddit.com/r/GERD/comments/hw9klk/treating_multiple_conditions/")</f>
        <v/>
      </c>
      <c r="G9343" t="inlineStr">
        <is>
          <t>2020-07-22 21:53:23</t>
        </is>
      </c>
      <c r="H9343" t="inlineStr"/>
    </row>
    <row r="9344">
      <c r="A9344" t="inlineStr">
        <is>
          <t>hw9rhn</t>
        </is>
      </c>
      <c r="B9344" t="inlineStr">
        <is>
          <t>Is endoscopy still necessary if symptoms start fading away?</t>
        </is>
      </c>
      <c r="C9344" t="inlineStr">
        <is>
          <t>Had "lump in throat" sensation for almost 2 months (no heartburn).   
The sensation would come and go in terms of severity.  When it got severe I would hold my neck because it felt like someone was grabbing it. Sometimes it hurt to talk.  
A month ago the doc said throat looked inflamed, prescribed Pepcid, and recommended an endoscopy.
But now it seems like it's fading away. To the point where I easily ate a large sub sandwich, when I wouldn't have been able to when this started. Sometimes throat still gets sore when talking too long, but when I stay quiet it's faded. Is an endoscopy still necessary? Wait and see approach?</t>
        </is>
      </c>
      <c r="D9344" t="n">
        <v>1</v>
      </c>
      <c r="E9344" t="n">
        <v>6</v>
      </c>
      <c r="F9344">
        <f>HYPERLINK("https://www.reddit.com/r/GERD/comments/hw9rhn/is_endoscopy_still_necessary_if_symptoms_start/")</f>
        <v/>
      </c>
      <c r="G9344" t="inlineStr">
        <is>
          <t>2020-07-22 22:08:52</t>
        </is>
      </c>
      <c r="H9344" t="inlineStr"/>
    </row>
    <row r="9345">
      <c r="A9345" t="inlineStr">
        <is>
          <t>hwaggy</t>
        </is>
      </c>
      <c r="B9345" t="inlineStr">
        <is>
          <t>newby to acid reflux!! advice needed</t>
        </is>
      </c>
      <c r="C9345" t="inlineStr">
        <is>
          <t>sorry this is so long but starting in February, every once in a while every couple of weeks something triggers acid reflux and I will be up in the middle of the night in so much pain that most of the time I'm in tears. usually I drink baking soda or take Prilosec, tums, but seems like it just takes time. 
I've been to my normal doctor about it and she basically just prescribed me some cheaper Prilosec to take when it happens, my question is should I see a gastroenterologist (not sure if that's what it's called) about it? what will they do? also any advice for getting rid of the burning in the back of your throat more quickly?? or just any advice in general thanks</t>
        </is>
      </c>
      <c r="D9345" t="n">
        <v>2</v>
      </c>
      <c r="E9345" t="n">
        <v>9</v>
      </c>
      <c r="F9345">
        <f>HYPERLINK("https://www.reddit.com/r/GERD/comments/hwaggy/newby_to_acid_reflux_advice_needed/")</f>
        <v/>
      </c>
      <c r="G9345" t="inlineStr">
        <is>
          <t>2020-07-22 23:04:04</t>
        </is>
      </c>
      <c r="H9345" t="inlineStr"/>
    </row>
    <row r="9346">
      <c r="A9346" t="inlineStr">
        <is>
          <t>hwbhpj</t>
        </is>
      </c>
      <c r="B9346" t="inlineStr">
        <is>
          <t>Out of interest how many of you are Overweight / Obese and has losing any weight helped your symptoms? :)</t>
        </is>
      </c>
      <c r="C9346" t="inlineStr">
        <is>
          <t>Hello, I’m currently classed as Obese by BMI Standards with a BMI of 30.5 since I’ve put on weight I noticed my symptoms have become worse, I’m on a strict diet plan and lost around 4lb so far in the last month. It’s a slow process but if I keep it up, I could be down to my normal weight by next Spring. 
I think losing weight goes hand in hand with dieting to avoid GERD / IBS Symptoms anyway, as eating a lot of fatty foods make things worse, so its a positive motivation for me to loose weight in hopes that perhaps my symptoms could improve.
Out of interest has anyone had any success with symptoms reducing when losing weight? And people who have bad GERD at the moment are you overweight?</t>
        </is>
      </c>
      <c r="D9346" t="n">
        <v>1</v>
      </c>
      <c r="E9346" t="n">
        <v>13</v>
      </c>
      <c r="F9346">
        <f>HYPERLINK("https://www.reddit.com/r/GERD/comments/hwbhpj/out_of_interest_how_many_of_you_are_overweight/")</f>
        <v/>
      </c>
      <c r="G9346" t="inlineStr">
        <is>
          <t>2020-07-23 00:35:44</t>
        </is>
      </c>
      <c r="H9346" t="inlineStr"/>
    </row>
    <row r="9347">
      <c r="A9347" t="inlineStr">
        <is>
          <t>hwcnke</t>
        </is>
      </c>
      <c r="B9347" t="inlineStr">
        <is>
          <t>Heartburn and acid in throat when I lay down, any tips to get good sleep?</t>
        </is>
      </c>
      <c r="C9347" t="inlineStr">
        <is>
          <t>I’m waiting for my GI referral to go through at the moment.
I’m on 60mg of PPIs, using a pillow wedge when I sleep and don’t eat 3 hours before bed. My reflux barely exists throughout the day, but really turns it up when I lay down.
I keep a glass of water by my bed to wash down the acid every morning - literally every morning.
Any tips on getting a good night’s sleep without literally sitting up vertically? I’m honestly considering just sleeping vertically from now on.</t>
        </is>
      </c>
      <c r="D9347" t="n">
        <v>2</v>
      </c>
      <c r="E9347" t="n">
        <v>7</v>
      </c>
      <c r="F9347">
        <f>HYPERLINK("https://www.reddit.com/r/GERD/comments/hwcnke/heartburn_and_acid_in_throat_when_i_lay_down_any/")</f>
        <v/>
      </c>
      <c r="G9347" t="inlineStr">
        <is>
          <t>2020-07-23 02:25:36</t>
        </is>
      </c>
      <c r="H9347" t="inlineStr"/>
    </row>
    <row r="9348">
      <c r="A9348" t="inlineStr">
        <is>
          <t>hwd3ax</t>
        </is>
      </c>
      <c r="B9348" t="inlineStr">
        <is>
          <t>How long can GERD if left untreated progress to cancer?</t>
        </is>
      </c>
      <c r="C9348" t="inlineStr">
        <is>
          <t>I know that esophageal cancer is rare but i heard if left untreated it could lead to cancer.</t>
        </is>
      </c>
      <c r="D9348" t="n">
        <v>1</v>
      </c>
      <c r="E9348" t="n">
        <v>6</v>
      </c>
      <c r="F9348">
        <f>HYPERLINK("https://www.reddit.com/r/GERD/comments/hwd3ax/how_long_can_gerd_if_left_untreated_progress_to/")</f>
        <v/>
      </c>
      <c r="G9348" t="inlineStr">
        <is>
          <t>2020-07-23 03:07:12</t>
        </is>
      </c>
      <c r="H9348" t="inlineStr"/>
    </row>
    <row r="9349">
      <c r="A9349" t="inlineStr">
        <is>
          <t>hwf21d</t>
        </is>
      </c>
      <c r="B9349" t="inlineStr">
        <is>
          <t>Has anyone experienced these sixes effects from pantoprazole?</t>
        </is>
      </c>
      <c r="C9349" t="inlineStr">
        <is>
          <t>TMI warning on this post! 
I started talking pantoprazole once daily in the morning on July 8th. I started it after someone suggested it may be the reason for my chronic post nasal drip. They said it could be “silent reflux” looked into it and it sounded about right. 
I called my family doctor  originally to see an ENT specialist so I could get an official diagnosed but I also told my doctor about the med. He’s put me on a few things for the PND previously and nothing has helped, so I asked him about pantoprazole and he said yeah sure try it for 30 days and see if it helps. That’s it he didn’t really give me any info. 
Now I don’t know if these side effects are from the medication or what. I have an appointment with him next week to discuss this but I figure I  may ask some people here who have experienced this med. 
since earlier this week, so like 2 weeks into pantoprazole, I’ve gotten painful stomach cramps that make me need to use the washroom immediately. The pain is in the lower abdomen, around my bellybutton. It gurgles and then I gotta go. I’ve had diarrhea like 3 times in the morning, 3 times at night or something like that. Very often but not a lot in terms of volume. Then I feel fine and then an hour later or so it comes back. 
It’s been like this since Sunday  . I stopped taking the medication Tuesday and these symptoms haven’t stopped. 
I dont feel that bloated and not very gassy. 
My diet hasn’t changed, I eat a balanced vegan diet although the last thing I ate was pasta and tomato sauce. There was a time that I believed I had a gluten intolerance but I think it ended up being something else because now I’m able to eat gluten without any symptoms. I don’t know what my trigger foods are if I have any my diet has always been the same.
I also take vyvanse 30mg daily, tianeptine sulfate 35mg as needed, and oral contraceptive.
Is this a common side effect of pantoprazole even if I’ve only been taking it for 2 weeks? Is it normal that the side effects are still happening after stopping it for 2 days? 
Thanks so much!</t>
        </is>
      </c>
      <c r="D9349" t="n">
        <v>9</v>
      </c>
      <c r="E9349" t="n">
        <v>25</v>
      </c>
      <c r="F9349">
        <f>HYPERLINK("https://www.reddit.com/r/GERD/comments/hwf21d/has_anyone_experienced_these_sixes_effects_from/")</f>
        <v/>
      </c>
      <c r="G9349" t="inlineStr">
        <is>
          <t>2020-07-23 05:49:09</t>
        </is>
      </c>
      <c r="H9349" t="inlineStr"/>
    </row>
    <row r="9350">
      <c r="A9350" t="inlineStr">
        <is>
          <t>hwfjn0</t>
        </is>
      </c>
      <c r="B9350" t="inlineStr">
        <is>
          <t>GERD Cured on 7/14 with Hiatal Hernia repair and Nissen Fundoplication</t>
        </is>
      </c>
      <c r="C9350" t="inlineStr">
        <is>
          <t>Hi all, wanted to share my story and will give more updates along this journey.  I am 9 days post surgery and have quite a bit to tell for anyone who wants to listen.  I am not the best at telling stories, but i'll give it a go! :)
First I want to say that my GERD/LPR is gone.  In that aspect the surgery was a huge success and two nights ago I slept for 8 hours for the first time since I can't remember, probably a year.  My teeth have stopped eroding, no more sour taste when I wake up.  No PPI's or OTC acid help like Mylanta, Gaviscon, tums for 9 days now - after they were my holy grail and part of my daily routine for 15 months.  I no longer sleep with a wedge pillow, and holy crap does sleeping flat feel amazing.  Can still only sleep on my back due to pain from sleeping on the sides, but i'll take it.
My initial surgery went well, the doctor said it was textbook.  My Hiatal Hernia had grown from 1-2cm to about 4-5cm since they last checked it a year ago, probably because i had a vomiting fit after my initial barium swallow/scoping.  I had 1-2 inches of stomach inside my esophagus all the time - which made PPI's and other drugs helpful but not effective at stopping regurgitation.  Regurgitation of fluids into my mouth and lungs were my primary symptoms for over a year. 
After my surgery I was sent to the recovery area of the hospital for a 24 hour monitoring and PT (walking around the hallways) About 2 hours into recovery, after walking a bit and having a couple bags of fluids put into my arm I started feeling light headed and nauseous - and then started hearing fighter planes flying by my head - yup I was about to faint.   I sat down in my bed and the nurse threw an IV on me and inverted the bed so the blood went would stay in my head.  I didn't pass out, but my BP was dropping.  Finally the nausea stopped, the fighter planes left, and my heart rate simmered down.  I was placed in the upright position for about 30 minutes and then it happened again.  This went on to happen 5 more times over the next 3 hours, until i started to code and my BP was 68/40.  My nurse said I just needed more fluids, i was up to 8 litres of fluids that he had given me.  My wife, who was a CNA for 15 years, ran past him and screamed down the hall that I was coding and a team came rushing in.  They stuck a bunch of needles in me, gave me epinephrine and took me for a CT.  I was in agonizing pain and doing everything I could to stay awake, for fear of death if i passed out.   CT confirmed what the Doctor suspected, i had internal bleeding and needed to be reopened.  So they rushed me away to the surgery table as i writhed in agony over my hugely bloated belly - i asked them not to let me die, the drugs kicked in, i passed out, and then woke up in the ICU 3-4 hours later.
They sucked out 3 liters of blood out of my abdomen and re-cauterized some blood vessels on my spleen and then washed my organs off to prevent infection from the blood.  I had to have 2 separate blood transfusions, which come with their own risks - luckily nothing bad happened there.  I had to stay in the ICU for 4 days while my hemoglobin started to recover and to make sure I wasn't going to bleed out again.  It was awful, you can't get any real rest in the ICU because so many machines are beeping, nurses in and out of your room poking you to take blood and other tests.  I had my first catheter of my life, 0/10 - do not recommend.   If it wasn't for my wife yelling down the hallway that I was dying and then taking care of me the whole time I was there and now, i honestly don't think I would have made it through the experience.  She is amazing and I love her more than anything.  
I made it out of the hospital last Friday night, after demonstrating i could urinate on my own, and my blood levels started to slowly climb.  They had me take a CBC blood test before surgery, so here are my blood numbers before and after the surgeries, even with the two blood transfusions.
&amp;amp;#x200B;
|Red Blood Count|5.08   *10\*6/uL* | **2.61**     *10\*6/uL* |
|:-|:-|:-|
|Hemoglobin|**15.7**   *g/dL*| **8.1**     *g/dL* |
|Hematocrit|**43.8%**| **23.1** % |
|Platelets|**248**     10\*3/uL | **117**     *10\*3/uL* |
Over the weekend it was a huge challenge to keep calories in me.  Liquid diet only + scrambled eggs, but my stomach could only hold about 4-5oz of fluid every hour.  If I drank more than that i'd get a hard pounding heartbeat and feel super tired and need to lie down.  They gave me  Dilaudid and Tylenol for pain, which made me hallucinate and cast confusion + 10 on me - had this switched to Tramadol on Monday - much better for me.  Here it is Thursday and I am almost off the Tramadol and about to lower my Tylenol from 2 pills every 6 hours to 1 pill every 5 hours to give my poor liver a break.  
I consider myself to have a pretty high pain tolerance, and I have to tell you the first 6 or so days out of the hospital is extremely painful, even on meds.  Twist the wrong way, use your abs the wrong way, cough, sneeze, try and sit up out of bed, try to bend over and it's game over.  Can't sit upright for more than 20 minutes because the HH repair, so a lot of lying in bed watching Netflix and dozing on and off.  Doctor said to try and walk around a bit every day and push myself a little bit every day.  First day out of the hospital, felt like a 90 year old man and got winded walking from my bedroom to the kitchen.  Second day, made it to the front door, third day made it to the driveway, fourth day made it the mailbox, and yesterday i was able to walk around the park near my house, albeit slowly.  A lot of my energy issue has to do with low blood count still.  I assume after a normal surgery, a persons stamina would be much higher than mine.
At 9 days post procedure, I am up to about 11oz of fluid per meal (about a Slimfast bottle) every 2 hours.  The only solidish foods I have had since the surgery are eggs, which are good, and finely mashed potatoes with gravy, which is the freaking bomb after so many protein shakes.  I have my follow up appointment with the doc next Thurs, so I will post another update next week!  Happy to answer any questions you might have :)</t>
        </is>
      </c>
      <c r="D9350" t="n">
        <v>26</v>
      </c>
      <c r="E9350" t="n">
        <v>44</v>
      </c>
      <c r="F9350">
        <f>HYPERLINK("https://www.reddit.com/r/GERD/comments/hwfjn0/gerd_cured_on_714_with_hiatal_hernia_repair_and/")</f>
        <v/>
      </c>
      <c r="G9350" t="inlineStr">
        <is>
          <t>2020-07-23 06:22:17</t>
        </is>
      </c>
      <c r="H9350" t="inlineStr"/>
    </row>
    <row r="9351">
      <c r="A9351" t="inlineStr">
        <is>
          <t>hwgp1x</t>
        </is>
      </c>
      <c r="B9351" t="inlineStr">
        <is>
          <t>Burping burping burping, heartburn, nausea.</t>
        </is>
      </c>
      <c r="C9351" t="inlineStr">
        <is>
          <t>I know lots of folk here are in the same boat. Anyone that recovered from it and what did you use? 
Endoscopy clear
Bloodwork clear
Negative h pylori bacteria
Stopped smoking
Cut Gluten and dairy
Probiotic drink
2l water daily
Little exercise (cardio)
Digestive enzymes
Tried
Pantaprozol for a week
Omeprazol for a week
Gaviscon
Also tried psylium husk 
Nothing has fucking helped so far</t>
        </is>
      </c>
      <c r="D9351" t="n">
        <v>1</v>
      </c>
      <c r="E9351" t="n">
        <v>9</v>
      </c>
      <c r="F9351">
        <f>HYPERLINK("https://www.reddit.com/r/GERD/comments/hwgp1x/burping_burping_burping_heartburn_nausea/")</f>
        <v/>
      </c>
      <c r="G9351" t="inlineStr">
        <is>
          <t>2020-07-23 07:34:06</t>
        </is>
      </c>
      <c r="H9351" t="inlineStr"/>
    </row>
    <row r="9352">
      <c r="A9352" t="inlineStr">
        <is>
          <t>hwi8y6</t>
        </is>
      </c>
      <c r="B9352" t="inlineStr">
        <is>
          <t>The mucus in my throat makes me feel stressed</t>
        </is>
      </c>
      <c r="C9352" t="inlineStr">
        <is>
          <t>It has been like 5 months since I (20F) got diagnosed with gerd with lpr. I still do get bad stomach days sometimes but that's the least of my problems. I wake up everyday with that weird feeling in my throat that feels like stuck mucus. I keep on clearing my throat, leaving a bad mucus-y aftertaste (sorry idk how to describe it). Is it post-nasal drip? I'm already sleeping on an incline which helped my stomach a lot, but not for my throat.
What remedies have you guys tried to this? My doctor has adviced me to stay put at home since the corona situation is going out of hand in my country (PH). I've tried drinking ginger and lots of water. My doc advised me to take Montelukast for this and my allergies, but it only does good for a short while. I wanna know how you guys deal with this since it's affecting my sleep a lot :(</t>
        </is>
      </c>
      <c r="D9352" t="n">
        <v>1</v>
      </c>
      <c r="E9352" t="n">
        <v>3</v>
      </c>
      <c r="F9352">
        <f>HYPERLINK("https://www.reddit.com/r/GERD/comments/hwi8y6/the_mucus_in_my_throat_makes_me_feel_stressed/")</f>
        <v/>
      </c>
      <c r="G9352" t="inlineStr">
        <is>
          <t>2020-07-23 09:02:12</t>
        </is>
      </c>
      <c r="H9352" t="inlineStr"/>
    </row>
    <row r="9353">
      <c r="A9353" t="inlineStr">
        <is>
          <t>hwj0qm</t>
        </is>
      </c>
      <c r="B9353" t="inlineStr">
        <is>
          <t>Coconut water?</t>
        </is>
      </c>
      <c r="C9353" t="inlineStr">
        <is>
          <t>Is this edible I've read lots of reviews on this but does it work</t>
        </is>
      </c>
      <c r="D9353" t="n">
        <v>3</v>
      </c>
      <c r="E9353" t="n">
        <v>14</v>
      </c>
      <c r="F9353">
        <f>HYPERLINK("https://www.reddit.com/r/GERD/comments/hwj0qm/coconut_water/")</f>
        <v/>
      </c>
      <c r="G9353" t="inlineStr">
        <is>
          <t>2020-07-23 09:42:44</t>
        </is>
      </c>
      <c r="H9353" t="inlineStr"/>
    </row>
    <row r="9354">
      <c r="A9354" t="inlineStr">
        <is>
          <t>hwjakw</t>
        </is>
      </c>
      <c r="B9354" t="inlineStr">
        <is>
          <t>Who did esophageal pH testing?</t>
        </is>
      </c>
      <c r="C9354" t="inlineStr">
        <is>
          <t>I am especially interested in those with no damage prior to this testing.  My doc is recommending it to see if I really have reflux or not.</t>
        </is>
      </c>
      <c r="D9354" t="n">
        <v>2</v>
      </c>
      <c r="E9354" t="n">
        <v>46</v>
      </c>
      <c r="F9354">
        <f>HYPERLINK("https://www.reddit.com/r/GERD/comments/hwjakw/who_did_esophageal_ph_testing/")</f>
        <v/>
      </c>
      <c r="G9354" t="inlineStr">
        <is>
          <t>2020-07-23 09:56:59</t>
        </is>
      </c>
      <c r="H9354" t="inlineStr"/>
    </row>
    <row r="9355">
      <c r="A9355" t="inlineStr">
        <is>
          <t>hwka5a</t>
        </is>
      </c>
      <c r="B9355" t="inlineStr">
        <is>
          <t>Symptoms Disappearing During Travel</t>
        </is>
      </c>
      <c r="C9355" t="inlineStr">
        <is>
          <t>I’ve been having worsening heartburn, burping, and nausea over the past couple of months (very likely GERD), but last week I spent the week at my parents’ house and experienced total relief of symptoms. Then the same day I got back they started up again even worse than before. Has this kind of thing happened to anyone else?
Details that might be relevant:
-I have a mold problem in my bathroom and a mold allergy (before it’s only been respiratory symptoms though). My landlord treated the mold today but I’m not sure if it’s 100% gone. My symptoms line up with GERD more than EoE though so I’m not sure if the mold is possibly related. Tums has been a bit helpful but doesn’t fully resolve symptoms.
-I was eating similar food at my parents’ as I do/ am at home, and even the same exact foods I ate there with no problem have been triggering major symptoms here.
-Activity level, timing of food, portion size, and sleep schedule were also very similar.
I made an appointment with my doctor but that’s not for another week and half and I’m not sure what to do in the meantime.</t>
        </is>
      </c>
      <c r="D9355" t="n">
        <v>2</v>
      </c>
      <c r="E9355" t="n">
        <v>30</v>
      </c>
      <c r="F9355">
        <f>HYPERLINK("https://www.reddit.com/r/GERD/comments/hwka5a/symptoms_disappearing_during_travel/")</f>
        <v/>
      </c>
      <c r="G9355" t="inlineStr">
        <is>
          <t>2020-07-23 10:47:09</t>
        </is>
      </c>
      <c r="H9355" t="inlineStr"/>
    </row>
    <row r="9356">
      <c r="A9356" t="inlineStr">
        <is>
          <t>hwlvso</t>
        </is>
      </c>
      <c r="B9356" t="inlineStr">
        <is>
          <t>what were the teas that help with GERD?</t>
        </is>
      </c>
      <c r="C9356" t="inlineStr">
        <is>
          <t>I'm trying to think of what I saw.  Marshmallow root?  Slippery elm?  Ordering teas and wish to know.</t>
        </is>
      </c>
      <c r="D9356" t="n">
        <v>8</v>
      </c>
      <c r="E9356" t="n">
        <v>41</v>
      </c>
      <c r="F9356">
        <f>HYPERLINK("https://www.reddit.com/r/GERD/comments/hwlvso/what_were_the_teas_that_help_with_gerd/")</f>
        <v/>
      </c>
      <c r="G9356" t="inlineStr">
        <is>
          <t>2020-07-23 12:08:41</t>
        </is>
      </c>
      <c r="H9356" t="inlineStr"/>
    </row>
    <row r="9357">
      <c r="A9357" t="inlineStr">
        <is>
          <t>hwlwco</t>
        </is>
      </c>
      <c r="B9357" t="inlineStr">
        <is>
          <t>Could these be GERD symptoms?</t>
        </is>
      </c>
      <c r="C9357" t="inlineStr">
        <is>
          <t>I posted this on r/AskDocs but I felt like this was a good question for this group.
I am 21f who has been having issues with some symptoms since the end of March. It started out with trouble breathing that feels like someone is sitting on my chest. I had a video visit with my doctor, who told me it was Asthma and prescribed me an albuterol and fluticasone inhaler, but this hasn't really helped and I don't feel like I have asthma attacks or any coughing. Since April/May, new issues have arisen, I have occasional heartburn, I burp a lot and sometimes feel bloated even if I eat a little bit. If I do eat larger portions, I find that what I eat often comes back up undigested in small amounts. It also sometimes feels like air or something is stuck in my chest but the trouble breathing and pressure is still the primary symptom.
The biggest connection I could see to this is that I am recovering bulimic (Since age 13) and while it's not a current issue, I could see that having lasting damage now. I also take spironolactone for hormonal acne.
I don't really know what to do from here or if there is a specific doctor I should be contacting. I feel like my doctor isn't really listening to the full picture, It's not horrible, but it is uncomfortable and its making doing certain things more difficult.</t>
        </is>
      </c>
      <c r="D9357" t="n">
        <v>3</v>
      </c>
      <c r="E9357" t="n">
        <v>6</v>
      </c>
      <c r="F9357">
        <f>HYPERLINK("https://www.reddit.com/r/GERD/comments/hwlwco/could_these_be_gerd_symptoms/")</f>
        <v/>
      </c>
      <c r="G9357" t="inlineStr">
        <is>
          <t>2020-07-23 12:09:27</t>
        </is>
      </c>
      <c r="H9357" t="inlineStr"/>
    </row>
    <row r="9358">
      <c r="A9358" t="inlineStr">
        <is>
          <t>hwn9bt</t>
        </is>
      </c>
      <c r="B9358" t="inlineStr">
        <is>
          <t>Does anyone have dealt with oily, greasy, slimy taste after eating certain foods?</t>
        </is>
      </c>
      <c r="C9358" t="inlineStr">
        <is>
          <t>I noticed yesterday and earlier today after eating certain foods I get this thick, slimy weird taste in my mouth and it stops me in my tracks. My teeth and tongue feel so weird and I stop eating completely because I can't stand the taste... It stopped once I stopped eating the foods and stick to water.. I haven't ate yet since morning and kinda nervous too.
I was diagnosed for GERD &amp;amp; IBS way back in my teens [27 years old now] and my symptoms are more severe than it ever has... Thanks.</t>
        </is>
      </c>
      <c r="D9358" t="n">
        <v>2</v>
      </c>
      <c r="E9358" t="n">
        <v>2</v>
      </c>
      <c r="F9358">
        <f>HYPERLINK("https://www.reddit.com/r/GERD/comments/hwn9bt/does_anyone_have_dealt_with_oily_greasy_slimy/")</f>
        <v/>
      </c>
      <c r="G9358" t="inlineStr">
        <is>
          <t>2020-07-23 13:19:26</t>
        </is>
      </c>
      <c r="H9358" t="inlineStr"/>
    </row>
    <row r="9359">
      <c r="A9359" t="inlineStr">
        <is>
          <t>hwniqg</t>
        </is>
      </c>
      <c r="B9359" t="inlineStr">
        <is>
          <t>Trying to deal with LPR</t>
        </is>
      </c>
      <c r="C9359" t="inlineStr">
        <is>
          <t>I've been feeling LPR symptoms on and off since July last year. Tightness in my throat that won't go away, constant feeling of mucus in the back of my throat, hiccups/burps after eating, occasional hoarse voice and shortness of breath.
 I've been to my doctor several times and seen an ENT as well. I was on Omeprazole for about 4 months and then Esomeprazole for another 3. Took it as directed, first thing in the morning, waiting 45 mins - 1 hour before eating. Neither helped at all. I'm taking pepcid at night, Gaviscon Advance (UK) after meals. The Gaviscon does noticeably help with the after-meal-burping, but none of my other symptoms have changed. 
Since November I've completely changed my eating/lifestyle habits, doing everything I could find and everything the doctors told me to do. Dropped caffeine entirely, dropped tomatoes, all fruit except for bananas and melon, fried food, spicy food, chocolate, mint, and basically anything that was showing a ph value less than 5. I prop my bed up, I eat 5 small meals throughout the day instead of 3, and I wait at least 3 hours after dinner before laying down. Nothing is working and I've just been absolutely miserable between my throat and not being able to eat any of the foods I like.
Is there... anything else I can try that's worked for someone else? I don't really want to spend more money on doctors visits unless it's another last resort. That, and with the covid stuff going on I want to avoid doctor's offices and hospitals unless it's an immanent emergency. I just can't think of anything else to do</t>
        </is>
      </c>
      <c r="D9359" t="n">
        <v>2</v>
      </c>
      <c r="E9359" t="n">
        <v>10</v>
      </c>
      <c r="F9359">
        <f>HYPERLINK("https://www.reddit.com/r/GERD/comments/hwniqg/trying_to_deal_with_lpr/")</f>
        <v/>
      </c>
      <c r="G9359" t="inlineStr">
        <is>
          <t>2020-07-23 13:33:02</t>
        </is>
      </c>
      <c r="H9359" t="inlineStr"/>
    </row>
    <row r="9360">
      <c r="A9360" t="inlineStr">
        <is>
          <t>hwommi</t>
        </is>
      </c>
      <c r="B9360" t="inlineStr">
        <is>
          <t>My GERD is getting out of control</t>
        </is>
      </c>
      <c r="C9360" t="inlineStr">
        <is>
          <t>Hi guys,
For the last 2-2.5 months my GERD has gotten crazy.  I've had GERD my entire life but 2.5 months ago it got so bad out of nowhere that I had to start getting put on medications.  I'm on PPIs now and just 2 days ago I decided to have a cheat day and eat some pizza.  I ate at 1pm and was so full I didn't eat the rest of the day.  I woke up and since then my chest pressure has been through the roof, when I inhale it feels like I'm getting stabbed in the chest, please somebody tell me what I can do to make myself feel better :( I took some acid reducers and I thought it was helping but it's still there.  My mom keeps telling me to go to the hospital because it's my heart, but I'm convinced it's GERD.  Had a EKB heart scan and everything came back fine</t>
        </is>
      </c>
      <c r="D9360" t="n">
        <v>1</v>
      </c>
      <c r="E9360" t="n">
        <v>8</v>
      </c>
      <c r="F9360">
        <f>HYPERLINK("https://www.reddit.com/r/GERD/comments/hwommi/my_gerd_is_getting_out_of_control/")</f>
        <v/>
      </c>
      <c r="G9360" t="inlineStr">
        <is>
          <t>2020-07-23 14:36:14</t>
        </is>
      </c>
      <c r="H9360" t="inlineStr"/>
    </row>
    <row r="9361">
      <c r="A9361" t="inlineStr">
        <is>
          <t>hwpiut</t>
        </is>
      </c>
      <c r="B9361" t="inlineStr">
        <is>
          <t>Always has been..</t>
        </is>
      </c>
      <c r="C9361" t="inlineStr">
        <is>
          <t>Thought everyone could use a little sadistic humor. 
https://imgflip.com/i/497zwu</t>
        </is>
      </c>
      <c r="D9361" t="n">
        <v>6</v>
      </c>
      <c r="E9361" t="n">
        <v>2</v>
      </c>
      <c r="F9361">
        <f>HYPERLINK("https://www.reddit.com/r/GERD/comments/hwpiut/always_has_been/")</f>
        <v/>
      </c>
      <c r="G9361" t="inlineStr">
        <is>
          <t>2020-07-23 15:25:05</t>
        </is>
      </c>
      <c r="H9361" t="inlineStr"/>
    </row>
    <row r="9362">
      <c r="A9362" t="inlineStr">
        <is>
          <t>hwq3k0</t>
        </is>
      </c>
      <c r="B9362" t="inlineStr">
        <is>
          <t>No one talks about being out of breath... Am I the only one?</t>
        </is>
      </c>
      <c r="C9362" t="inlineStr">
        <is>
          <t>I kno it can cause asthma but I haven't been diagnosed with that. I'm very out of breath. Anyone else relate?</t>
        </is>
      </c>
      <c r="D9362" t="n">
        <v>37</v>
      </c>
      <c r="E9362" t="n">
        <v>124</v>
      </c>
      <c r="F9362">
        <f>HYPERLINK("https://www.reddit.com/r/GERD/comments/hwq3k0/no_one_talks_about_being_out_of_breath_am_i_the/")</f>
        <v/>
      </c>
      <c r="G9362" t="inlineStr">
        <is>
          <t>2020-07-23 15:57:16</t>
        </is>
      </c>
      <c r="H9362" t="inlineStr"/>
    </row>
    <row r="9363">
      <c r="A9363" t="inlineStr">
        <is>
          <t>hwq4jp</t>
        </is>
      </c>
      <c r="B9363" t="inlineStr">
        <is>
          <t>Probiotics and reflux</t>
        </is>
      </c>
      <c r="C9363" t="inlineStr">
        <is>
          <t>I have never been formally diagnosed but I have what I believe to be silent reflux. I’ve talked to my regular physician many times and she agrees    and has referred me to a specialist (haven’t gone yet but plan to). Common symptoms are the lump in throat feeling, clearing throat frequently, slight cough, heightened gag reflex after eating and every now and then, sore throat with slight raspy voice. 
Anyway, I had gotten this well under control for the last several months until I introduced a “super greens” powder with probiotics. A week into taking this supplement, the reflux is back with a vengeance. Part of me believes it can’t be related ... but can it? Has anyone had an increase in symptoms after taking probiotics?</t>
        </is>
      </c>
      <c r="D9363" t="n">
        <v>2</v>
      </c>
      <c r="E9363" t="n">
        <v>5</v>
      </c>
      <c r="F9363">
        <f>HYPERLINK("https://www.reddit.com/r/GERD/comments/hwq4jp/probiotics_and_reflux/")</f>
        <v/>
      </c>
      <c r="G9363" t="inlineStr">
        <is>
          <t>2020-07-23 15:58:54</t>
        </is>
      </c>
      <c r="H9363" t="inlineStr"/>
    </row>
    <row r="9364">
      <c r="A9364" t="inlineStr">
        <is>
          <t>hwqzt1</t>
        </is>
      </c>
      <c r="B9364" t="inlineStr">
        <is>
          <t>Endoscopy tomorrow morning</t>
        </is>
      </c>
      <c r="C9364" t="inlineStr">
        <is>
          <t>Hello I’m 15 and I’m getting an endoscopy in the morning. My mom told me I’d have general anesthesia, is that commonly used for kids during endoscopes? Also I have a minor stuffy nose, Is it still ok to get the endoscopy?</t>
        </is>
      </c>
      <c r="D9364" t="n">
        <v>3</v>
      </c>
      <c r="E9364" t="n">
        <v>13</v>
      </c>
      <c r="F9364">
        <f>HYPERLINK("https://www.reddit.com/r/GERD/comments/hwqzt1/endoscopy_tomorrow_morning/")</f>
        <v/>
      </c>
      <c r="G9364" t="inlineStr">
        <is>
          <t>2020-07-23 16:48:58</t>
        </is>
      </c>
      <c r="H9364" t="inlineStr"/>
    </row>
    <row r="9365">
      <c r="A9365" t="inlineStr">
        <is>
          <t>hwr8t6</t>
        </is>
      </c>
      <c r="B9365" t="inlineStr">
        <is>
          <t>GERD success stories</t>
        </is>
      </c>
      <c r="C9365" t="inlineStr">
        <is>
          <t>Who else here has been prescribed Omeprazole/Losecs?
Have been battling with acid reflux since I was 12 years old, in the most recent years it had escalated to the point of restless nights, vomiting acid every morning, unable to go out in public due to extreme heartburn where I felt like I couldn’t breathe. I was prescribed omeprazole a month ago and now I’m living my best life. Total fucking lifesaver</t>
        </is>
      </c>
      <c r="D9365" t="n">
        <v>3</v>
      </c>
      <c r="E9365" t="n">
        <v>15</v>
      </c>
      <c r="F9365">
        <f>HYPERLINK("https://www.reddit.com/r/GERD/comments/hwr8t6/gerd_success_stories/")</f>
        <v/>
      </c>
      <c r="G9365" t="inlineStr">
        <is>
          <t>2020-07-23 17:04:02</t>
        </is>
      </c>
      <c r="H9365" t="inlineStr"/>
    </row>
    <row r="9366">
      <c r="A9366" t="inlineStr">
        <is>
          <t>hwrqm2</t>
        </is>
      </c>
      <c r="B9366" t="inlineStr">
        <is>
          <t>Acid nightmare</t>
        </is>
      </c>
      <c r="C9366" t="inlineStr">
        <is>
          <t>I’m finding myself frequently waking up at 3 am with lucifers dick down my throat. Fire saliva that I keep choking on and can’t catch my breath. Water makes it worse. Wtffff is going on! Is this gerd? I can’t eat breakfast first thing in the morning now either. I feel nauseated. I’ll have my coffee and a bagel before I start my shift. Driving me crazy</t>
        </is>
      </c>
      <c r="D9366" t="n">
        <v>3</v>
      </c>
      <c r="E9366" t="n">
        <v>13</v>
      </c>
      <c r="F9366">
        <f>HYPERLINK("https://www.reddit.com/r/GERD/comments/hwrqm2/acid_nightmare/")</f>
        <v/>
      </c>
      <c r="G9366" t="inlineStr">
        <is>
          <t>2020-07-23 17:35:32</t>
        </is>
      </c>
      <c r="H9366" t="inlineStr"/>
    </row>
    <row r="9367">
      <c r="A9367" t="inlineStr">
        <is>
          <t>hwrtx7</t>
        </is>
      </c>
      <c r="B9367" t="inlineStr">
        <is>
          <t>Brain fog/Cognitive Problems due GERD, new please help</t>
        </is>
      </c>
      <c r="C9367" t="inlineStr">
        <is>
          <t>Hi everyone im newly diagnosed GERD patient but i knew that ive had reflux problems since i was a kid, parents didnt cared too much because it was too common in our family. 2 years earlier ive started to have swallowing difficulties, but not like it was only happening while im eating, actually ive been eating very well but ive had difficulties swallowing my own saliva because of a lump feeling in my throat and soreness in it, ive been feeling like my tongue hasnt been fitting on my mouth. Shortly after, due to this problem ive started to have tmj and face pain problems, my jaw was locking in mornings and a lot of pain in evenings which doesnt get me sleeping, not to mention the heartburn and inabiltiy to breathe which comes as extras. The pain was so top that i couldnt even speak or walk sometimes, it really messed up with my mental state because i loved being productive. On top of that, ive started to have brain fog which is in extreme levels not like oh i forgot something or some name, i was unable to keep short dialogues even because i would forget what did the person said in the beginning, ive had tremolos all the time and my gut was always leaky which sometimes even stopped me from going into my classes. The only 2 major issue was my constant pain on jaw and face, brain fog. 
Ive visited every part of the hospital in this 2 years process, first i went to a jaw specialist which got responded by ‘problem isnt in your tmj but it is in your masseter muscles which is about swallowing difficulties and bruxism’, so ive gotten botox which helped to a point but still my face hurts like a badass. After that ive went to a ear/nose/throat specialist which told me that ive had no problem in my sinuses and the only minor problem can be issued is that my little tongue was infected a little. Ive used every medication they prescribed but no changes. Every person close to me told me that this all was psychological so i finally gave it a try after running out of options, but psychologist also said that it was all okay without the constant stress of health issues and pain which is not her field. They sended me to an internal diseases unit, theyve told me that ive had hypothyroidism, used their prescription for 1.5 months, no changes at all even my tsh at 1.20 scale. So ive gone to an endochronologist, and they sended me to a gastroentropologyst, got diagnosed gerd but i dont think he was so sure about all the symptoms it was more like oh you have heartburn and you cant breath and swallow, let me run some tests and oops its gerd and all of your symptoms including brain fog is about gerd. Theyve prescribed me PPI pills along with painkillers, which btw i cant function if i dont take 3 painkillers a day (i cant even walk because of my jaw and gut pain), also my blood tests showed that ive had b12 and folate levels very very low than usual which ive had enjections for 2 months with only a little change, thats why theyve sended me to a gastro unit. 
Ive searched all the universe but didnt find anything about this kind of a brain fog, also i dont think that ppi medications would help me to ease that, i fear that they will increase it. You guys are more experienced than me and really i know nothing about its medical and conditional side, what do you guys think im open to even a little word really because im in a such hard crossroad. Also, if they are related to gerd, are these symptoms enough for asking to a surgery because i’d rather die if i have to be living like this. Sorry for making it too long!</t>
        </is>
      </c>
      <c r="D9367" t="n">
        <v>2</v>
      </c>
      <c r="E9367" t="n">
        <v>4</v>
      </c>
      <c r="F9367">
        <f>HYPERLINK("https://www.reddit.com/r/GERD/comments/hwrtx7/brain_fogcognitive_problems_due_gerd_new_please/")</f>
        <v/>
      </c>
      <c r="G9367" t="inlineStr">
        <is>
          <t>2020-07-23 17:41:13</t>
        </is>
      </c>
      <c r="H9367" t="inlineStr"/>
    </row>
    <row r="9368">
      <c r="A9368" t="inlineStr">
        <is>
          <t>hws073</t>
        </is>
      </c>
      <c r="B9368" t="inlineStr">
        <is>
          <t>Major relief today with Omerprazole</t>
        </is>
      </c>
      <c r="C9368" t="inlineStr">
        <is>
          <t>Today I decided to not take any other supplements but Omerprazole. 
I feel a major relief. I can drink my oatmilk again.
I sleep better.
The challenge I face now is resisting a midnight snack of plantain chips or a granola bar.
I have been very disciplined so far but man I sware I here that shit calling out to me..
Today was a good day. We'll see what happens tomorrow.</t>
        </is>
      </c>
      <c r="D9368" t="n">
        <v>15</v>
      </c>
      <c r="E9368" t="n">
        <v>27</v>
      </c>
      <c r="F9368">
        <f>HYPERLINK("https://www.reddit.com/r/GERD/comments/hws073/major_relief_today_with_omerprazole/")</f>
        <v/>
      </c>
      <c r="G9368" t="inlineStr">
        <is>
          <t>2020-07-23 17:52:21</t>
        </is>
      </c>
      <c r="H9368" t="inlineStr"/>
    </row>
    <row r="9369">
      <c r="A9369" t="inlineStr">
        <is>
          <t>hws1pe</t>
        </is>
      </c>
      <c r="B9369" t="inlineStr">
        <is>
          <t>Do I use sodium bicarbonate or potassium Bicarbonate</t>
        </is>
      </c>
      <c r="C9369" t="inlineStr">
        <is>
          <t>I’m making my own gaviscon and I’m not sure which to use. Are they the same thing</t>
        </is>
      </c>
      <c r="D9369" t="n">
        <v>4</v>
      </c>
      <c r="E9369" t="n">
        <v>8</v>
      </c>
      <c r="F9369">
        <f>HYPERLINK("https://www.reddit.com/r/GERD/comments/hws1pe/do_i_use_sodium_bicarbonate_or_potassium/")</f>
        <v/>
      </c>
      <c r="G9369" t="inlineStr">
        <is>
          <t>2020-07-23 17:54:56</t>
        </is>
      </c>
      <c r="H9369" t="inlineStr"/>
    </row>
    <row r="9370">
      <c r="A9370" t="inlineStr">
        <is>
          <t>hwtdv9</t>
        </is>
      </c>
      <c r="B9370" t="inlineStr">
        <is>
          <t>Would You Buy Tama Galactica book?</t>
        </is>
      </c>
      <c r="C9370" t="inlineStr">
        <is>
          <t>Found her vids about beating acid reflux but she does not specify how and instead promotes a book for thirty sevenbucks. 
Have any of you bought it? Worth it or not?</t>
        </is>
      </c>
      <c r="D9370" t="n">
        <v>2</v>
      </c>
      <c r="E9370" t="n">
        <v>13</v>
      </c>
      <c r="F9370">
        <f>HYPERLINK("https://www.reddit.com/r/GERD/comments/hwtdv9/would_you_buy_tama_galactica_book/")</f>
        <v/>
      </c>
      <c r="G9370" t="inlineStr">
        <is>
          <t>2020-07-23 19:21:39</t>
        </is>
      </c>
      <c r="H9370" t="inlineStr"/>
    </row>
    <row r="9371">
      <c r="A9371" t="inlineStr">
        <is>
          <t>hwuyej</t>
        </is>
      </c>
      <c r="B9371" t="inlineStr">
        <is>
          <t>Indigestion from food eaten from 12+ hours ago</t>
        </is>
      </c>
      <c r="C9371" t="inlineStr">
        <is>
          <t>This has always been a staple of my reflux, I’ll get indigestion even if I ate hours and hours earlier. In this specific case, I keep getting backwash from what I ate 12 hours ago (the food was a distinct flavor). Is this normal for GERD?? I thought food digested quicker than that tbh</t>
        </is>
      </c>
      <c r="D9371" t="n">
        <v>2</v>
      </c>
      <c r="E9371" t="n">
        <v>10</v>
      </c>
      <c r="F9371">
        <f>HYPERLINK("https://www.reddit.com/r/GERD/comments/hwuyej/indigestion_from_food_eaten_from_12_hours_ago/")</f>
        <v/>
      </c>
      <c r="G9371" t="inlineStr">
        <is>
          <t>2020-07-23 21:08:46</t>
        </is>
      </c>
      <c r="H9371" t="inlineStr"/>
    </row>
    <row r="9372">
      <c r="A9372" t="inlineStr">
        <is>
          <t>hwvnd9</t>
        </is>
      </c>
      <c r="B9372" t="inlineStr">
        <is>
          <t>Low fat lactose free yogurt options?</t>
        </is>
      </c>
      <c r="C9372" t="inlineStr">
        <is>
          <t>Any recommendations? All of the dairy alternative yogurts (almond, cashew, coconut, etc.) I have found are very high in fat.</t>
        </is>
      </c>
      <c r="D9372" t="n">
        <v>1</v>
      </c>
      <c r="E9372" t="n">
        <v>3</v>
      </c>
      <c r="F9372">
        <f>HYPERLINK("https://www.reddit.com/r/GERD/comments/hwvnd9/low_fat_lactose_free_yogurt_options/")</f>
        <v/>
      </c>
      <c r="G9372" t="inlineStr">
        <is>
          <t>2020-07-23 21:59:54</t>
        </is>
      </c>
      <c r="H9372" t="inlineStr"/>
    </row>
    <row r="9373">
      <c r="A9373" t="inlineStr">
        <is>
          <t>hww64d</t>
        </is>
      </c>
      <c r="B9373" t="inlineStr">
        <is>
          <t>Omeprazole not working for my GERD... Any recommendations? Success stories?</t>
        </is>
      </c>
      <c r="C9373" t="inlineStr">
        <is>
          <t>I've been having shortness of breath (which kills me the most), chest tightness, chest pain, heartburn, and sometimes a burning stomach since 3/12. I got a scope 2 weeks ago and my diagnosis is a small hiatal hernia, gastritis, esophagitis, and GERD. I've been taking omeprazole 40mg every morning for 3 months now and my symptoms haven't even improved a bit. My doctor recommended me to take omeprazole for 1 year, and he said i could switch to other PPI's at my own choice and called them "all the same stuff." Honestly this entire thing has been killing me and i developed a GAD and panic disorder especially with the pandemic going on. I was wondering if anyone has any success story battling this silent killer, and any PPI's or other medication that helped them. Thanks!</t>
        </is>
      </c>
      <c r="D9373" t="n">
        <v>4</v>
      </c>
      <c r="E9373" t="n">
        <v>19</v>
      </c>
      <c r="F9373">
        <f>HYPERLINK("https://www.reddit.com/r/GERD/comments/hww64d/omeprazole_not_working_for_my_gerd_any/")</f>
        <v/>
      </c>
      <c r="G9373" t="inlineStr">
        <is>
          <t>2020-07-23 22:39:35</t>
        </is>
      </c>
      <c r="H9373" t="inlineStr"/>
    </row>
    <row r="9374">
      <c r="A9374" t="inlineStr">
        <is>
          <t>hwwihp</t>
        </is>
      </c>
      <c r="B9374" t="inlineStr">
        <is>
          <t>anyone experience upper chest hurt when running or walking ?</t>
        </is>
      </c>
      <c r="C9374" t="inlineStr">
        <is>
          <t>i also have dull pain above button belly around 2 inches and esophagus area</t>
        </is>
      </c>
      <c r="D9374" t="n">
        <v>1</v>
      </c>
      <c r="E9374" t="n">
        <v>0</v>
      </c>
      <c r="F9374">
        <f>HYPERLINK("https://www.reddit.com/r/GERD/comments/hwwihp/anyone_experience_upper_chest_hurt_when_running/")</f>
        <v/>
      </c>
      <c r="G9374" t="inlineStr">
        <is>
          <t>2020-07-23 23:06:44</t>
        </is>
      </c>
      <c r="H9374" t="inlineStr"/>
    </row>
    <row r="9375">
      <c r="A9375" t="inlineStr">
        <is>
          <t>hwwp20</t>
        </is>
      </c>
      <c r="B9375" t="inlineStr">
        <is>
          <t>Probiotics</t>
        </is>
      </c>
      <c r="C9375" t="inlineStr">
        <is>
          <t>If I plan to take probiotics to better my gut health, should I be taking on an empty stomach in the morning, or should I eat them with my meals? 
Literally.. everyone.. says...different..things.. and I'm so confused :(</t>
        </is>
      </c>
      <c r="D9375" t="n">
        <v>1</v>
      </c>
      <c r="E9375" t="n">
        <v>8</v>
      </c>
      <c r="F9375">
        <f>HYPERLINK("https://www.reddit.com/r/GERD/comments/hwwp20/probiotics/")</f>
        <v/>
      </c>
      <c r="G9375" t="inlineStr">
        <is>
          <t>2020-07-23 23:21:18</t>
        </is>
      </c>
      <c r="H9375" t="inlineStr"/>
    </row>
    <row r="9376">
      <c r="A9376" t="inlineStr">
        <is>
          <t>hwwz99</t>
        </is>
      </c>
      <c r="B9376" t="inlineStr">
        <is>
          <t>I need some help describing this type of reflux to my doctor.</t>
        </is>
      </c>
      <c r="C9376" t="inlineStr">
        <is>
          <t>So I've had acid reflux issues since I was around 8. When I was 10 I started PPIs , heavliy have relied on tums gavaston and anything OTC I could (rip   Ranitidine) as I got to my mid teens it progressly got worst and worst. I started realizing what I couldn't eat or drink and it was pretty limited to what I could. My fam doc DX me with GERD sometime then and I kept returning over the years to say this medication doesn't work and he kept saying we will try another and another then ill refer you to a gastro doc. And I kept getting ulcers and he kept changing my meds.and I'm tired of being so sick and my only choice to have less symptoms is not eat or drink enough and live on Melba toast.
Ok now why I'm posting,
I rarely ever get heartburn, the typical burning of the chest even now 23 weeks pregnant.
But what I've always got is this gurgle in my throat tight fullness in my neck after I eat or drink just about anything and sometimes it feels like a huge lump and since pregnancy now things have lossened and I have to gag and almost vomit to clear the normal acid(?) That comes up. And once it starts that day it lasts until I wake up the next day and eat or drink again If it's a bad episode. 
I've never had a good way to describe this.
I'm at the point now I can't drink water that makes me instantly very sick.
The only thing that's ever helped over the years is a very restricted diet (because not eating is the only way not to feel so sick.) Laying on my right side seems to help and always has but laying down is not always convenient. The last time I had a manger attack this bad it used to always get worst by the evening. Now it just seems to come in waves every few days. I can tell I have another ulcer again which makes sense with how bad it's been my eshoghous has been in so much discomfort for months now. PPIs have always made me worst. I plan on calling my doctor yet again tmrw and hope he knows better after knowing me for 16 years to tell me this is just pregnancy when I've had worst attacks before. I just need to figure out how to describe it more then it's bad reflux because I have googled and googled and can't figure out this fullness of my throat bubble sound makes me extremely nausous feeling that makes me not able to even have water. 
I've been meaning to post here for a while.
I'm so bad at putting words to my symptoms I hope someone can relate some how who has answers. I fear for how this will effect me when my daughter is born.</t>
        </is>
      </c>
      <c r="D9376" t="n">
        <v>1</v>
      </c>
      <c r="E9376" t="n">
        <v>0</v>
      </c>
      <c r="F9376">
        <f>HYPERLINK("https://www.reddit.com/r/GERD/comments/hwwz99/i_need_some_help_describing_this_type_of_reflux/")</f>
        <v/>
      </c>
      <c r="G9376" t="inlineStr">
        <is>
          <t>2020-07-23 23:43:55</t>
        </is>
      </c>
      <c r="H9376" t="inlineStr"/>
    </row>
    <row r="9377">
      <c r="A9377" t="inlineStr">
        <is>
          <t>hwx0wj</t>
        </is>
      </c>
      <c r="B9377" t="inlineStr">
        <is>
          <t>Pain center/left of chest especially when sleeping, breathing deep and lying on the left side makes it so much worse, is it gets/heartburn?</t>
        </is>
      </c>
      <c r="C9377" t="inlineStr">
        <is>
          <t>For many years I would wake up with the most painful chest pain ever, couldn't move, breathing deep would make it intensity increase. For years was like this, I had this on and off until one day I tried an antacid and it removed the pain instantly.
I've gone maybe a year now without these pains but I sometimes wake up coughing while sleeping (stomach sleeper) and this morning I woke up to pain in my chest, slightly to the left, more or less heart location. It felt like lying on the chest made it worse because of the pressure and sleeping in the left side was painful. It went away without me doing anything but when I woke up again I had a lot of pain if I turned on my left side.
I woke up and took an antacid and tried going back to bed to try sleeping on the left again and it was now not hurting the same way.
Now I've been at work for an hour and I don't have the direct pain anymore since the antacid but I have this linger sensation of pain in the chest, like soreness, it's a bit located all over the center chest, left and right side. Pain is maybe 1-2/10 while the night symptoms was maybe 6/10.
Could this be Gerd/heartburn I experience and in the night is the coughing caused by forgetting to swallow or maybe acid reflux?
I'd gladly read similar stories of experiences.</t>
        </is>
      </c>
      <c r="D9377" t="n">
        <v>1</v>
      </c>
      <c r="E9377" t="n">
        <v>12</v>
      </c>
      <c r="F9377">
        <f>HYPERLINK("https://www.reddit.com/r/GERD/comments/hwx0wj/pain_centerleft_of_chest_especially_when_sleeping/")</f>
        <v/>
      </c>
      <c r="G9377" t="inlineStr">
        <is>
          <t>2020-07-23 23:48:05</t>
        </is>
      </c>
      <c r="H9377" t="inlineStr"/>
    </row>
    <row r="9378">
      <c r="A9378" t="inlineStr">
        <is>
          <t>hwxein</t>
        </is>
      </c>
      <c r="B9378" t="inlineStr">
        <is>
          <t>What differentiates Chronic GERD vs Common Heartburn?</t>
        </is>
      </c>
      <c r="C9378" t="inlineStr">
        <is>
          <t>I tried searching this online but everything is so broad. Ima hypochondriac so when I learned that heartburn is linked to esophageal cancer I freaked out! I’ve had heartburn for about 3 years now. It comes and goes and certain foods like chocolate, coffee and oily foods trigger it very badly. However I’ve enjoyed those foods without having any symptoms as well so it’s very hit or miss. I went months without heartburn recently but at the moment it’s occurring multiples times a day, I am at my heaviest weight and eating out almost daily due to adjusting to a new job so do I qualify as your common heartburn or is this something I should go to the doctor for? Appreciate all responses!</t>
        </is>
      </c>
      <c r="D9378" t="n">
        <v>1</v>
      </c>
      <c r="E9378" t="n">
        <v>2</v>
      </c>
      <c r="F9378">
        <f>HYPERLINK("https://www.reddit.com/r/GERD/comments/hwxein/what_differentiates_chronic_gerd_vs_common/")</f>
        <v/>
      </c>
      <c r="G9378" t="inlineStr">
        <is>
          <t>2020-07-24 00:21:15</t>
        </is>
      </c>
      <c r="H9378" t="inlineStr"/>
    </row>
    <row r="9379">
      <c r="A9379" t="inlineStr">
        <is>
          <t>hwzgpz</t>
        </is>
      </c>
      <c r="B9379" t="inlineStr">
        <is>
          <t>Tight irritated throat, dry mouth, strange taste (help, please)</t>
        </is>
      </c>
      <c r="C9379" t="inlineStr">
        <is>
          <t>Hello! For the past two years, I've been having this tight, constantly irritated throat, and dry mouth. It's especially worse in the morning. My throat feels like it's always sore, and it sucks because I don't even know what normal throat feels like anymore, though I swear I didn't have this issue before. 
Earlier this February, I finally had a check-up with a doctor because this sore throat feeling has been really interfering with my daily life, and I suspect it's one of the reasons why I easily get colds and cough. I thought it might be tonsil stones, because I have this sensation that something is stuck in there. And I got a bitter/strange taste at the back of my throat. Doctor checked my throat and said it looked okay, prescribed some standard cough and allergy meds, but it didn't work.
She also advised to try Omeprazole for 2 weeks, which was the one that actually provided relief!!! I was feeling better and hopeful, but it's back again (since I only did it for 2 weeks as per doc's advise, and i couldn't contact her during these lockdown times so). Strange enough, omeprazole tasted like what I would describe my mouth/saliva has been tasting like since I had this issue. 
Now, that I did some research: is this actually LPR/GERD? Thankfully, I don't have any other symptoms and any stomach issues, which is the reason why I didn't consider that this might be the cause of the problem in the first place.
What otc medicine should I try?? lifestyle changes?
I am honestly super tired of the dry mouth and sore throat, like I just want to coat it with honey and get it over with. It's gotten worse now, even.  
Any help/avice is very much appreciated. Thank you so much :) 
ps. i do drink a lot of water so i doubt that this is dehydration</t>
        </is>
      </c>
      <c r="D9379" t="n">
        <v>1</v>
      </c>
      <c r="E9379" t="n">
        <v>6</v>
      </c>
      <c r="F9379">
        <f>HYPERLINK("https://www.reddit.com/r/GERD/comments/hwzgpz/tight_irritated_throat_dry_mouth_strange_taste/")</f>
        <v/>
      </c>
      <c r="G9379" t="inlineStr">
        <is>
          <t>2020-07-24 03:35:23</t>
        </is>
      </c>
      <c r="H9379" t="inlineStr"/>
    </row>
    <row r="9380">
      <c r="A9380" t="inlineStr">
        <is>
          <t>hx1u1q</t>
        </is>
      </c>
      <c r="B9380" t="inlineStr">
        <is>
          <t>How do I get rid of a ticklish throat</t>
        </is>
      </c>
      <c r="C9380" t="inlineStr">
        <is>
          <t>It's been going on for 2 days. Especially after I eat. M,16</t>
        </is>
      </c>
      <c r="D9380" t="n">
        <v>4</v>
      </c>
      <c r="E9380" t="n">
        <v>4</v>
      </c>
      <c r="F9380">
        <f>HYPERLINK("https://www.reddit.com/r/GERD/comments/hx1u1q/how_do_i_get_rid_of_a_ticklish_throat/")</f>
        <v/>
      </c>
      <c r="G9380" t="inlineStr">
        <is>
          <t>2020-07-24 06:31:27</t>
        </is>
      </c>
      <c r="H9380" t="inlineStr"/>
    </row>
    <row r="9381">
      <c r="A9381" t="inlineStr">
        <is>
          <t>hx34bk</t>
        </is>
      </c>
      <c r="B9381" t="inlineStr">
        <is>
          <t>Feel better eating greasy fried foods?</t>
        </is>
      </c>
      <c r="C9381" t="inlineStr">
        <is>
          <t>I don’t know, maybe it’s because the PPI detects more acid and therefore “activates” better, but all the healthy diets make me feel like I’m dying.</t>
        </is>
      </c>
      <c r="D9381" t="n">
        <v>16</v>
      </c>
      <c r="E9381" t="n">
        <v>23</v>
      </c>
      <c r="F9381">
        <f>HYPERLINK("https://www.reddit.com/r/GERD/comments/hx34bk/feel_better_eating_greasy_fried_foods/")</f>
        <v/>
      </c>
      <c r="G9381" t="inlineStr">
        <is>
          <t>2020-07-24 07:50:55</t>
        </is>
      </c>
      <c r="H9381" t="inlineStr"/>
    </row>
    <row r="9382">
      <c r="A9382" t="inlineStr">
        <is>
          <t>hx6f1f</t>
        </is>
      </c>
      <c r="B9382" t="inlineStr">
        <is>
          <t>Is it normal for them to tell you to wait for biopsy results (in 3 weeks) and not tell you anything else after an endoscopy/gastroscopy?</t>
        </is>
      </c>
      <c r="C9382" t="inlineStr">
        <is>
          <t xml:space="preserve">
My mother (F48) just had a gastroscopy yesterday after suffering from pretty intense acid reflux pain since March (no relief from PPIs) After the procedure, they just sent her home and told her to wait for the 3 biopsy results, without even speaking to the doctor. 
I’m assuming if they saw any ulcers/ hiatal hernia/ etc. they would inform her right away, but now since she has to wait for the lab testing, should I be overly worried?</t>
        </is>
      </c>
      <c r="D9382" t="n">
        <v>1</v>
      </c>
      <c r="E9382" t="n">
        <v>3</v>
      </c>
      <c r="F9382">
        <f>HYPERLINK("https://www.reddit.com/r/GERD/comments/hx6f1f/is_it_normal_for_them_to_tell_you_to_wait_for/")</f>
        <v/>
      </c>
      <c r="G9382" t="inlineStr">
        <is>
          <t>2020-07-24 10:49:46</t>
        </is>
      </c>
      <c r="H9382" t="inlineStr"/>
    </row>
    <row r="9383">
      <c r="A9383" t="inlineStr">
        <is>
          <t>hx795m</t>
        </is>
      </c>
      <c r="B9383" t="inlineStr">
        <is>
          <t>Nutritional Deficiencies</t>
        </is>
      </c>
      <c r="C9383" t="inlineStr">
        <is>
          <t>Those of you who have seen my posts before know I am on the hunt to find the root cause of GERD.
My reading has made me increasingly convinced that nutritional deficiencies play a role in a weakened LES as well as the delayed gastric emptying familiar to so many GERD sufferers. Since I can't possibly learn about everyone's diet, I think I'll just mention some nutrients that people are often deficient in that don't get much public attention:
\- B6 (pyroxidone)
\- K2
\- Choline
\- DHA + EPA
All of these are readily available in supplement form, but be careful about supplementing B6 (better to get it from diet or nutritional yeast than a synthetic supplement, since there's a high likelihood of overdosing, as companies often put more of the b vitamins into supplements than they state on the bottle, since b vitamins degrade rather quickly). Additionally, all of these, except the DHA + EPA, are quite affordable. There's no reason to try to get K2 and Choline from your diet, since the supplements should basically be identical (especially the K2) to dietary sources, in terms of how they are utilized by the body, and it's better than eating natto and liver every day (and cheaper, I think). For those who can afford it, I think it's worth buying DHA + EPA supplements, and just taking them as often as your budget will allow (as in, if you can only afford 1 bottle of 60 pills every 4 months, just take 1 every other day, as opposed to 1 a day).
Additionally, and especially for those who have been experiencing chronic stress (physical or mental), or those who don't get a lot of dietary Cysteine, I actually recommend a Taurine supplement. Well known to not be an essential amino acid (or, technically, amino sulfonic acid) in humans,  you can still become deficient in it during periods of chronic stress due to not producing enough enzymes I guess to create it from cysteine. Anyway, Taurine is another cheap one to get in supplement form, or you can get it from the diet, although the only decent dietary source that isn't gross to most people (beef heart) is mussels, which are still gross to most people, so honestly I would just recommend the supplement. Not many people want to eat mussels every day.
Due to the fact that most of these are so cheap, and also the fact that even if taking them doesn't cure your reflux, you will probably still notice improvements in other areas of your health due to the fact that statistically, you are probably deficient in at least one of the nutrients I listed, I think it is definitely worth taking them. And remember, be consistent, but also don't overdose. And if you get pills that have more than the RDI in them (link for RDIs: [https://www.health.harvard.edu/staying-healthy/listing\_of\_vitamins](https://www.health.harvard.edu/staying-healthy/listing_of_vitamins)) just cut them in half or something.</t>
        </is>
      </c>
      <c r="D9383" t="n">
        <v>1</v>
      </c>
      <c r="E9383" t="n">
        <v>11</v>
      </c>
      <c r="F9383">
        <f>HYPERLINK("https://www.reddit.com/r/GERD/comments/hx795m/nutritional_deficiencies/")</f>
        <v/>
      </c>
      <c r="G9383" t="inlineStr">
        <is>
          <t>2020-07-24 11:32:40</t>
        </is>
      </c>
      <c r="H9383" t="inlineStr"/>
    </row>
    <row r="9384">
      <c r="A9384" t="inlineStr">
        <is>
          <t>hx7j9i</t>
        </is>
      </c>
      <c r="B9384" t="inlineStr">
        <is>
          <t>Non-Dairy Milk Choices?</t>
        </is>
      </c>
      <c r="C9384" t="inlineStr">
        <is>
          <t>Hemp Milk? Oat Milk? Almond Milk? Soy? Pistachio? Walnut? Cashews?
Or does non-fat dairy work the best?
Omg help 😂 
I’m trying to narrow down what non dairy products overall have the least occurrence of reflux issues so I can decide what to try next. Any advice? What works for you? Or what doesn’t work for you?
Thanks!!</t>
        </is>
      </c>
      <c r="D9384" t="n">
        <v>1</v>
      </c>
      <c r="E9384" t="n">
        <v>20</v>
      </c>
      <c r="F9384">
        <f>HYPERLINK("https://www.reddit.com/r/GERD/comments/hx7j9i/nondairy_milk_choices/")</f>
        <v/>
      </c>
      <c r="G9384" t="inlineStr">
        <is>
          <t>2020-07-24 11:48:11</t>
        </is>
      </c>
      <c r="H9384" t="inlineStr"/>
    </row>
    <row r="9385">
      <c r="A9385" t="inlineStr">
        <is>
          <t>hx7ld4</t>
        </is>
      </c>
      <c r="B9385" t="inlineStr">
        <is>
          <t>Coffee and Nausea</t>
        </is>
      </c>
      <c r="C9385" t="inlineStr">
        <is>
          <t>Hi! I’m new here but I have a question. I drink coffee every now and then and sometimes when I drink it my stomach hurts really bad and I get very nauseous. I’ll then start burping a lot and then have to use the restroom. Whenever I drink coffee I take a Pepcid so it won’t irritate my stomach that much, but today I had a Starbucks coffee and it has me feeling awful. I’m extremely bloated and I thought I was going to throw up. My to stomach is hurting and it feels very weak. I took half of a phenergan to help with nausea. Is this caused by acid and irritation from the coffee, or do you think it’s something else? I know I probably should not drink coffee anymore, but sometimes I can have it and I feel fine. I just don’t know what to do.</t>
        </is>
      </c>
      <c r="D9385" t="n">
        <v>1</v>
      </c>
      <c r="E9385" t="n">
        <v>13</v>
      </c>
      <c r="F9385">
        <f>HYPERLINK("https://www.reddit.com/r/GERD/comments/hx7ld4/coffee_and_nausea/")</f>
        <v/>
      </c>
      <c r="G9385" t="inlineStr">
        <is>
          <t>2020-07-24 11:51:20</t>
        </is>
      </c>
      <c r="H9385" t="inlineStr"/>
    </row>
    <row r="9386">
      <c r="A9386" t="inlineStr">
        <is>
          <t>hx7z68</t>
        </is>
      </c>
      <c r="B9386" t="inlineStr">
        <is>
          <t>PPI made LPR worse?</t>
        </is>
      </c>
      <c r="C9386" t="inlineStr">
        <is>
          <t>I’ve been on a PPI for 3 months now and in that time, I have less pain burning through to my back, but a lot more LPR issues.  I even had to go to an ENT as I have partial hearing loss when it’s really bad in one ear.  I feel like the LPR got much worse when taking the PPI.  At the same time, I’m worried that if I stop taking it, it will get much much worse.  My doctor wants me to keep taking it, the difference isn’t huge though.
Anyone else experience this?  I’m now experimenting with an alkaline water/baking soda spray I use in my nose and throat after meals.  Maybe helping a tiny bit but what I would do to just feel better.
Before anyone suggests it, surgery is unfortunately not an option.  I had a clean endoscopy so I can’t find a doctor who would take me seriously enough for surgery and I can’t afford it out of pocket.  I’m on my second gastroenterologist which took me months to even see due to COVID and he told me my first appointment that I had too many tests and he won’t prescribe more.  I’ve only had an endoscopy, HIDA scan, ultrasound, and now most recently an MRI to make sure my LPR wasn’t something else.</t>
        </is>
      </c>
      <c r="D9386" t="n">
        <v>1</v>
      </c>
      <c r="E9386" t="n">
        <v>2</v>
      </c>
      <c r="F9386">
        <f>HYPERLINK("https://www.reddit.com/r/GERD/comments/hx7z68/ppi_made_lpr_worse/")</f>
        <v/>
      </c>
      <c r="G9386" t="inlineStr">
        <is>
          <t>2020-07-24 12:11:18</t>
        </is>
      </c>
      <c r="H9386" t="inlineStr"/>
    </row>
    <row r="9387">
      <c r="A9387" t="inlineStr">
        <is>
          <t>hx8cw1</t>
        </is>
      </c>
      <c r="B9387" t="inlineStr">
        <is>
          <t>PPI question</t>
        </is>
      </c>
      <c r="C9387" t="inlineStr">
        <is>
          <t>Has anyone else taken Omeprazole and had it work for about a week then it felt like it wasn't working anymore?</t>
        </is>
      </c>
      <c r="D9387" t="n">
        <v>3</v>
      </c>
      <c r="E9387" t="n">
        <v>8</v>
      </c>
      <c r="F9387">
        <f>HYPERLINK("https://www.reddit.com/r/GERD/comments/hx8cw1/ppi_question/")</f>
        <v/>
      </c>
      <c r="G9387" t="inlineStr">
        <is>
          <t>2020-07-24 12:31:21</t>
        </is>
      </c>
      <c r="H9387" t="inlineStr"/>
    </row>
    <row r="9388">
      <c r="A9388" t="inlineStr">
        <is>
          <t>hx8jq4</t>
        </is>
      </c>
      <c r="B9388" t="inlineStr">
        <is>
          <t>Esophagitis or GERD?</t>
        </is>
      </c>
      <c r="C9388" t="inlineStr">
        <is>
          <t>Hi All, 
Just joining this group because I think I need to pay more attention to my GERD.
Out of seemingly nowhere, I woke up at 2am last night with rough heartburn, wasn’t sure exactly what it was or why. Pretty painful but I was able to get back to sleep.
Still bad when I woke up, I made some ginger tea, which helped a lot - maybe cleared something stuck in my esophagus.
Not as painful now, but just sore.
Does this sound like esophagitis? And not GERD? 
I have had this once or twice before, but not in years.
Currently on a diet of melon, yogurt, banana and rice to try and recover.
Any diet recommendations would be highly appreciated!</t>
        </is>
      </c>
      <c r="D9388" t="n">
        <v>1</v>
      </c>
      <c r="E9388" t="n">
        <v>5</v>
      </c>
      <c r="F9388">
        <f>HYPERLINK("https://www.reddit.com/r/GERD/comments/hx8jq4/esophagitis_or_gerd/")</f>
        <v/>
      </c>
      <c r="G9388" t="inlineStr">
        <is>
          <t>2020-07-24 12:41:36</t>
        </is>
      </c>
      <c r="H9388" t="inlineStr"/>
    </row>
    <row r="9389">
      <c r="A9389" t="inlineStr">
        <is>
          <t>hx8pv0</t>
        </is>
      </c>
      <c r="B9389" t="inlineStr">
        <is>
          <t>Dairy and LPR/post nasal drip.</t>
        </is>
      </c>
      <c r="C9389" t="inlineStr">
        <is>
          <t>Is it possible for dairy to cause post nasal drip, without a dairy allergy?
 Iv recently started noticing, part of my issue with LPR, might be post nasal drip, which I notice after dairy. Only problem is, I have tested negative for a dairy allergy.
If anyone has any experience with this, I'd love to hear from you. You're all tough as nails, and I love you.</t>
        </is>
      </c>
      <c r="D9389" t="n">
        <v>6</v>
      </c>
      <c r="E9389" t="n">
        <v>15</v>
      </c>
      <c r="F9389">
        <f>HYPERLINK("https://www.reddit.com/r/GERD/comments/hx8pv0/dairy_and_lprpost_nasal_drip/")</f>
        <v/>
      </c>
      <c r="G9389" t="inlineStr">
        <is>
          <t>2020-07-24 12:51:18</t>
        </is>
      </c>
      <c r="H9389" t="inlineStr"/>
    </row>
    <row r="9390">
      <c r="A9390" t="inlineStr">
        <is>
          <t>hx9vzq</t>
        </is>
      </c>
      <c r="B9390" t="inlineStr">
        <is>
          <t>2cm hiatal hernia and Hillgrade 3?</t>
        </is>
      </c>
      <c r="C9390" t="inlineStr">
        <is>
          <t>Hi there. I just had the BRAVO ph thing put into my esophagus and an endoscopy. My story is long so I won't bore you with it, so I'll keep this to one question:
Does anybody know if 2cm hiatal hernia and Hillgrade 3 is really bad? I am considering surgery to fix it since there is no fix, and I can't take acid reflux medication, and even with changing my diet (in extreme ways) and lifestyle, my esophagitis is not going away.</t>
        </is>
      </c>
      <c r="D9390" t="n">
        <v>1</v>
      </c>
      <c r="E9390" t="n">
        <v>13</v>
      </c>
      <c r="F9390">
        <f>HYPERLINK("https://www.reddit.com/r/GERD/comments/hx9vzq/2cm_hiatal_hernia_and_hillgrade_3/")</f>
        <v/>
      </c>
      <c r="G9390" t="inlineStr">
        <is>
          <t>2020-07-24 13:54:22</t>
        </is>
      </c>
      <c r="H9390" t="inlineStr"/>
    </row>
    <row r="9391">
      <c r="A9391" t="inlineStr">
        <is>
          <t>hxa44q</t>
        </is>
      </c>
      <c r="B9391" t="inlineStr">
        <is>
          <t>Hesitant to up dosage of PPI... advice?</t>
        </is>
      </c>
      <c r="C9391" t="inlineStr">
        <is>
          <t>I don’t experience heartburn anymore, but I experience pretty much 24/7 regurgitation / stomach hiccups. My gastro said my esophagus and stomach are not eroding and admitted that upping the PPI dose won’t help the regurgitation so I am confused as to why I should listen to his advice? Have you found a relief in **regurgitation** from upping your PPI dosage?</t>
        </is>
      </c>
      <c r="D9391" t="n">
        <v>1</v>
      </c>
      <c r="E9391" t="n">
        <v>0</v>
      </c>
      <c r="F9391">
        <f>HYPERLINK("https://www.reddit.com/r/GERD/comments/hxa44q/hesitant_to_up_dosage_of_ppi_advice/")</f>
        <v/>
      </c>
      <c r="G9391" t="inlineStr">
        <is>
          <t>2020-07-24 14:07:03</t>
        </is>
      </c>
      <c r="H9391" t="inlineStr"/>
    </row>
    <row r="9392">
      <c r="A9392" t="inlineStr">
        <is>
          <t>hxaraz</t>
        </is>
      </c>
      <c r="B9392" t="inlineStr">
        <is>
          <t>PPI anxiety ?</t>
        </is>
      </c>
      <c r="C9392" t="inlineStr">
        <is>
          <t>Did PPIs induce further anxiety for you ? 
I’ve taken protonix and it did help however the amount of anxiety I got from it and other side effects, I then cut it off and have been without PPIs for about a month. About a week ago I started taking Pepcid again because I believe I have LPR (waiting for endoscopy on Aug 3rd) and my excessive throat clearings was getting bad finally I decided this week to give omeprazole 40 mg another shot, it’s one the doc had given me first ... it seems to help with the issues however I then notice anxiety is heightened and it frustrates the hell out of me! 
Does anyone have luck with other PPIs after failing these ones due to anxiety ? I’m down to try different PPIs however I’m just unsure which might be of better luck. Thanks you guys!</t>
        </is>
      </c>
      <c r="D9392" t="n">
        <v>1</v>
      </c>
      <c r="E9392" t="n">
        <v>1</v>
      </c>
      <c r="F9392">
        <f>HYPERLINK("https://www.reddit.com/r/GERD/comments/hxaraz/ppi_anxiety/")</f>
        <v/>
      </c>
      <c r="G9392" t="inlineStr">
        <is>
          <t>2020-07-24 14:45:43</t>
        </is>
      </c>
      <c r="H9392" t="inlineStr"/>
    </row>
    <row r="9393">
      <c r="A9393" t="inlineStr">
        <is>
          <t>hxb70r</t>
        </is>
      </c>
      <c r="B9393" t="inlineStr">
        <is>
          <t>Possible GERD... nausea with Dexilant</t>
        </is>
      </c>
      <c r="C9393" t="inlineStr">
        <is>
          <t>About 40 days ago, everything was fine. 
Then, for some reason, I felt sick for a couple of days, with stomach pain, diarrhea, stuff like that. Don't know why. But then, a couple of days later, I began to get pain in the upper stomach, like a reflux or an ulcer.
Drinking caffeine, sparkling water, sometimes fasting and experiencing stress, GERD was my first stop on my question for an answer. I tried some Zantac and it helps a bit, but my doc gave me Dexilant. I took it once and the nausea was terrible.
Is this nausea on Dexilant normal? If what I have is GERD, can it go on its own? Isn't it strange that it appeared all of a sudden?
Thanks</t>
        </is>
      </c>
      <c r="D9393" t="n">
        <v>1</v>
      </c>
      <c r="E9393" t="n">
        <v>21</v>
      </c>
      <c r="F9393">
        <f>HYPERLINK("https://www.reddit.com/r/GERD/comments/hxb70r/possible_gerd_nausea_with_dexilant/")</f>
        <v/>
      </c>
      <c r="G9393" t="inlineStr">
        <is>
          <t>2020-07-24 15:13:50</t>
        </is>
      </c>
      <c r="H9393" t="inlineStr"/>
    </row>
    <row r="9394">
      <c r="A9394" t="inlineStr">
        <is>
          <t>hxbdey</t>
        </is>
      </c>
      <c r="B9394" t="inlineStr">
        <is>
          <t>Discrepancies in Acid Watcher Diet</t>
        </is>
      </c>
      <c r="C9394" t="inlineStr">
        <is>
          <t>Has anyone actually used this diet and has it helped them? I decided to buy the book after seeing the great reviews on Amazon. After opening up the book and spending a few minutes skimming through it I immediately found contradictory information.
He is adamant about not using lemon at all in the healing phase and explains why not to use it. But then a couple pages later he has a salmon recipe that requires a couple slices of lemon. 
This is like in the first five minutes so who knows what other bogus stuff is in there.
I decided to search reddit for reviews on the diet and surprisingly almost no one had anything positive to say about it.
Did this actually help anyone?</t>
        </is>
      </c>
      <c r="D9394" t="n">
        <v>2</v>
      </c>
      <c r="E9394" t="n">
        <v>93</v>
      </c>
      <c r="F9394">
        <f>HYPERLINK("https://www.reddit.com/r/GERD/comments/hxbdey/discrepancies_in_acid_watcher_diet/")</f>
        <v/>
      </c>
      <c r="G9394" t="inlineStr">
        <is>
          <t>2020-07-24 15:25:48</t>
        </is>
      </c>
      <c r="H9394" t="inlineStr"/>
    </row>
    <row r="9395">
      <c r="A9395" t="inlineStr">
        <is>
          <t>hxbq64</t>
        </is>
      </c>
      <c r="B9395" t="inlineStr">
        <is>
          <t>Can PPI withdrawal start 3-4 weeks later?</t>
        </is>
      </c>
      <c r="C9395" t="inlineStr">
        <is>
          <t>Anyone know if this is possible? I think I saw someone say it started two weeks after discontinuing a PPI, but has anyone ever experienced or read about withdrawal kicking in later, like 4 weeks after stopping the medication?</t>
        </is>
      </c>
      <c r="D9395" t="n">
        <v>3</v>
      </c>
      <c r="E9395" t="n">
        <v>12</v>
      </c>
      <c r="F9395">
        <f>HYPERLINK("https://www.reddit.com/r/GERD/comments/hxbq64/can_ppi_withdrawal_start_34_weeks_later/")</f>
        <v/>
      </c>
      <c r="G9395" t="inlineStr">
        <is>
          <t>2020-07-24 15:48:24</t>
        </is>
      </c>
      <c r="H9395" t="inlineStr"/>
    </row>
    <row r="9396">
      <c r="A9396" t="inlineStr">
        <is>
          <t>hxdxnk</t>
        </is>
      </c>
      <c r="B9396" t="inlineStr">
        <is>
          <t>Esophageal Valvuloplasty Efficacy</t>
        </is>
      </c>
      <c r="C9396" t="inlineStr">
        <is>
          <t>Hey all. 
Was doing some research &amp;amp; came across some people mentioning esophageal valvuloplasty as a possible route vs Linx or Fundo (either Nissen or TIF). Was intrigued at first, but 2 things stuck out to me. 
One was how rarely it is mentioned in online literature. It seems this is not a typical solution that surgeons ever suggest, which is concerning. Second, wad this study I found which states the study was halted before it began due to “Ethical concerns with efficacy of technique”. This implies the study’s leaders were worried about whether it is effective at all in treatment of GERD &amp;amp; therefore didnt even begin the study. (Study linked below) 
Anyone have any experience with this procedure or can shed light on it? Thax! 
https://clinicaltrials.gov/ct2/show/NCT02625077</t>
        </is>
      </c>
      <c r="D9396" t="n">
        <v>5</v>
      </c>
      <c r="E9396" t="n">
        <v>10</v>
      </c>
      <c r="F9396">
        <f>HYPERLINK("https://www.reddit.com/r/GERD/comments/hxdxnk/esophageal_valvuloplasty_efficacy/")</f>
        <v/>
      </c>
      <c r="G9396" t="inlineStr">
        <is>
          <t>2020-07-24 18:08:54</t>
        </is>
      </c>
      <c r="H9396" t="inlineStr"/>
    </row>
    <row r="9397">
      <c r="A9397" t="inlineStr">
        <is>
          <t>hxe0ef</t>
        </is>
      </c>
      <c r="B9397" t="inlineStr">
        <is>
          <t>Newbie Question</t>
        </is>
      </c>
      <c r="C9397" t="inlineStr">
        <is>
          <t>Hey guys, quick question. I’ve been dealing with some pretty bad reflux lately. Almost like a flare up of sorts. Nothing is really helping. If I take an OTC PPI just for the 14 days stayed, will I have to deal with any rebound effect? I’ve tried everything else for the past couple weeks. Some days are better then others, but I can’t get full relief. Any advice is appreciated. Thanks!</t>
        </is>
      </c>
      <c r="D9397" t="n">
        <v>1</v>
      </c>
      <c r="E9397" t="n">
        <v>10</v>
      </c>
      <c r="F9397">
        <f>HYPERLINK("https://www.reddit.com/r/GERD/comments/hxe0ef/newbie_question/")</f>
        <v/>
      </c>
      <c r="G9397" t="inlineStr">
        <is>
          <t>2020-07-24 18:14:10</t>
        </is>
      </c>
      <c r="H9397" t="inlineStr"/>
    </row>
    <row r="9398">
      <c r="A9398" t="inlineStr">
        <is>
          <t>hxegmy</t>
        </is>
      </c>
      <c r="B9398" t="inlineStr">
        <is>
          <t>Cold brew coffee</t>
        </is>
      </c>
      <c r="C9398" t="inlineStr">
        <is>
          <t>Anyone out there drinking cold brew with no issues? Asking for my wife. Thanks</t>
        </is>
      </c>
      <c r="D9398" t="n">
        <v>4</v>
      </c>
      <c r="E9398" t="n">
        <v>9</v>
      </c>
      <c r="F9398">
        <f>HYPERLINK("https://www.reddit.com/r/GERD/comments/hxegmy/cold_brew_coffee/")</f>
        <v/>
      </c>
      <c r="G9398" t="inlineStr">
        <is>
          <t>2020-07-24 18:44:55</t>
        </is>
      </c>
      <c r="H9398" t="inlineStr"/>
    </row>
    <row r="9399">
      <c r="A9399" t="inlineStr">
        <is>
          <t>hxf0mw</t>
        </is>
      </c>
      <c r="B9399" t="inlineStr">
        <is>
          <t>does anyone experienced persistent tightness and heavy chest? or is it just come and go?</t>
        </is>
      </c>
      <c r="C9399" t="inlineStr">
        <is>
          <t>i have sore feeling on 1 side of my throat and pain in the chest when i run or compress it. are these symptoms similar to GERD?</t>
        </is>
      </c>
      <c r="D9399" t="n">
        <v>8</v>
      </c>
      <c r="E9399" t="n">
        <v>14</v>
      </c>
      <c r="F9399">
        <f>HYPERLINK("https://www.reddit.com/r/GERD/comments/hxf0mw/does_anyone_experienced_persistent_tightness_and/")</f>
        <v/>
      </c>
      <c r="G9399" t="inlineStr">
        <is>
          <t>2020-07-24 19:23:34</t>
        </is>
      </c>
      <c r="H9399" t="inlineStr"/>
    </row>
    <row r="9400">
      <c r="A9400" t="inlineStr">
        <is>
          <t>hxf6m0</t>
        </is>
      </c>
      <c r="B9400" t="inlineStr">
        <is>
          <t>How I cured my LPR</t>
        </is>
      </c>
      <c r="C9400" t="inlineStr">
        <is>
          <t>LPR is generally caused by lifestyle and needs to healed by lifestyle (I'm sure there are physiological and neurological exceptions) but I assume most of us here don't have neurological damage and have a generally normal body composition. What makes me shake my head is when people believe that there are some people who reflux and some who don't at all. That's not how it works. Everyone refluxes, LPR only comes about when there is extensive tissue damage caused by the reflux. It is also apparent that damaged tissue means the anti reflux mechanisms aren't as effective as before and you fall into a vicious cycle.   
I see people think that they can just abuse their body and just not expect disease, they go "OH WELL A CURE FOR THIS MEANS I CAN GO BACK TO DRINKING 30 CANS OF COKE A DAY AND NOT HAVE ANY ISSUES" thats not how the body works. We were not designed to go out binge drinking alcohol for 6 hours then eat a massive Mcdonalds meal and fall asleep with it all still in our stomach. We werent even designed to eat and then lay down (If we were, we would have more robust tissue surrounding our upper respiratory and aerodigestive tract.)   
Now, I don't have LPR anymore, I did the low acid diet, healed the tissue in about 2 months and then moved on with my life. I just saw this post and felt obliged to give my 2 cents. But even though I've moved on from the condition, I am no longer drinking 8 cans of coke a day. Why? Because its literally pouring HCL down your throat. Coke is so acidic it is unbelievable and although I drink one here and there, I'm never drinking it constantly. Everything in moderation. Thats how life is. Don't expect to go back to the way you were before if you act just as destructively as you did before.   
And I hear this "Oh you're not healed if your following certain diet restrictions". Which is unbelievable moronic to say. Why? Because the whole reason many people get LPR in the first place is from poor lifestyle and diet choices. Fucks sake guys, you can't get everything you want, you can't abuse your body and then expect it to be in great shape. Eating a generally healthy diet and making the correct lifestyle choices will save many people from re developing LPR.   
Also I see so many people (not all, but mannnyyyy), not follow the recommendations and lie saying that they are. It happens so fucking much its really depressing. I moderate one of the largest reflux groups on facebook, and people come to complaining that their diet isnt working. Then to find that they were cheating on it. Jesus christ. You cant help everybody i guess. Some people never heal because they lack the self control.   
So what do i do now? Do I go out drinking and partying? Yes. Do I eat crap food time to time? Yes. Do I have late night snacks? Yes. But guess what. I do it in moderation. 
Now, some people do everything and still dont get better (although they seem to be a very small percentage) and for them I really give you my condolences because thats beyond a cruel joke that life has placed such suffering upon you. But for the rest of us. Keep working at it. Be unapologetic when your diet or lifestyle shifts get in the way of someone else's leisure. And if they complain tell them "Fuck off cunt my throat is literally on fire" and stand your ground. Whatever diet it is. Be strict. Be committed and be unapologetic. Its your health and you can do this.</t>
        </is>
      </c>
      <c r="D9400" t="n">
        <v>0</v>
      </c>
      <c r="E9400" t="n">
        <v>8</v>
      </c>
      <c r="F9400">
        <f>HYPERLINK("https://www.reddit.com/r/GERD/comments/hxf6m0/how_i_cured_my_lpr/")</f>
        <v/>
      </c>
      <c r="G9400" t="inlineStr">
        <is>
          <t>2020-07-24 19:35:12</t>
        </is>
      </c>
      <c r="H9400" t="inlineStr"/>
    </row>
    <row r="9401">
      <c r="A9401" t="inlineStr">
        <is>
          <t>hxfqrs</t>
        </is>
      </c>
      <c r="B9401" t="inlineStr">
        <is>
          <t>Seeking advice on GERD/ Sour stomach sensation</t>
        </is>
      </c>
      <c r="C9401" t="inlineStr">
        <is>
          <t>I have had GERD/Acid Reflux for some time now the most uncomfortable thing about it aside from regurgitating food is, my stomach getting sour. My stomach usually gets sour after eating spicy or spicy-ish food, and citric foods as well. Some other foods can cause it too. At times the smell of certain foods trigger it. I have used Tums but they're short acting and sometimes Tums won't even be enough to offset the sour stomach. I have also taken Lansoprazole but that did not help. 
I wanted to get some advice on what you all have tried personally and whether it was helpful or not</t>
        </is>
      </c>
      <c r="D9401" t="n">
        <v>2</v>
      </c>
      <c r="E9401" t="n">
        <v>1</v>
      </c>
      <c r="F9401">
        <f>HYPERLINK("https://www.reddit.com/r/GERD/comments/hxfqrs/seeking_advice_on_gerd_sour_stomach_sensation/")</f>
        <v/>
      </c>
      <c r="G9401" t="inlineStr">
        <is>
          <t>2020-07-24 20:15:24</t>
        </is>
      </c>
      <c r="H9401" t="inlineStr"/>
    </row>
    <row r="9402">
      <c r="A9402" t="inlineStr">
        <is>
          <t>hxh05z</t>
        </is>
      </c>
      <c r="B9402" t="inlineStr">
        <is>
          <t>Terrified</t>
        </is>
      </c>
      <c r="C9402" t="inlineStr">
        <is>
          <t>I've been fairly healthy in my adulthood, but I was raised on fast food. Decided to get an endoscopy and colonoscopy done after I stared having weird chest pain and intermittent bowel issues. I was expecting to find nothing, but instead I've got: GERD, hiatal hernia, and barrett's. I am super terrified of the damage I've done. Terrified of the cancer risk. My reflux is silent, so how do I even know if an altered diet is working? I'm already thin and on a low fat diet. I don't know what else I should be doing. Am I totally fucked? Have to wait three weeks before I get the extended results on a colon polyp and the barrett's.</t>
        </is>
      </c>
      <c r="D9402" t="n">
        <v>1</v>
      </c>
      <c r="E9402" t="n">
        <v>4</v>
      </c>
      <c r="F9402">
        <f>HYPERLINK("https://www.reddit.com/r/GERD/comments/hxh05z/terrified/")</f>
        <v/>
      </c>
      <c r="G9402" t="inlineStr">
        <is>
          <t>2020-07-24 21:50:54</t>
        </is>
      </c>
      <c r="H9402" t="inlineStr"/>
    </row>
    <row r="9403">
      <c r="A9403" t="inlineStr">
        <is>
          <t>hxip1a</t>
        </is>
      </c>
      <c r="B9403" t="inlineStr">
        <is>
          <t>What is happening to me?</t>
        </is>
      </c>
      <c r="C9403" t="inlineStr">
        <is>
          <t>It's 3 am, and I cant sleep. Since 12 pm I've tried to drift off and sleep, but something is preventing me from doing it. Everytime I close my eyes and try to loose consciousnes, I feel something on the back of my mouth, and it wakes me up. Just like the knee jerk you get sometimes when you're trying to sleep, just this time is like the feeling you get from a pill right before you swallow it. And the weird part is that even though is the same feeling all over and over again, everytime it feels diferent in my throat depending on what I'm thinking. It's like intrusive thoughts, but on the back of your mouth.
Maybe it's just nausea, but I dont feel it when I'm fully awake like now, it's just right before I drift off to sleep. I started to take a new medicine "with baking soda" given by my new doctor to help me digest better, maybe this is a side effect. Please help me, im already sleeping really bad these days and this jusst makes it 10x worse.</t>
        </is>
      </c>
      <c r="D9403" t="n">
        <v>1</v>
      </c>
      <c r="E9403" t="n">
        <v>4</v>
      </c>
      <c r="F9403">
        <f>HYPERLINK("https://www.reddit.com/r/GERD/comments/hxip1a/what_is_happening_to_me/")</f>
        <v/>
      </c>
      <c r="G9403" t="inlineStr">
        <is>
          <t>2020-07-25 00:20:53</t>
        </is>
      </c>
      <c r="H9403" t="inlineStr"/>
    </row>
    <row r="9404">
      <c r="A9404" t="inlineStr">
        <is>
          <t>hxj1oa</t>
        </is>
      </c>
      <c r="B9404" t="inlineStr">
        <is>
          <t>Esomeprazole 40mg - twice a day - is it ok?</t>
        </is>
      </c>
      <c r="C9404" t="inlineStr">
        <is>
          <t>I'm a 22 year old, Male, 147lbs
I was diagnosed with GERD in 2017, back then I took 20mg of Rabeprazole for 4 weeks. It seemed to improve, and then I had a few occurences in 2018 and 2019
Very recently, I'm having too much Heartburn, Pain from stomach till throat
I visited a new Gastroenterologist and he prescribed me with 
* Esomeprazole 40mg - 2x a day (= 80mg/day)
* Cintapride Extended Release (for mobility of food, and improving gastric emptying)
However, I think this is too much / have not heard such a high dose
What do you think? Is this ok?</t>
        </is>
      </c>
      <c r="D9404" t="n">
        <v>1</v>
      </c>
      <c r="E9404" t="n">
        <v>7</v>
      </c>
      <c r="F9404">
        <f>HYPERLINK("https://www.reddit.com/r/GERD/comments/hxj1oa/esomeprazole_40mg_twice_a_day_is_it_ok/")</f>
        <v/>
      </c>
      <c r="G9404" t="inlineStr">
        <is>
          <t>2020-07-25 00:54:37</t>
        </is>
      </c>
      <c r="H9404" t="inlineStr"/>
    </row>
    <row r="9405">
      <c r="A9405" t="inlineStr">
        <is>
          <t>hxjahk</t>
        </is>
      </c>
      <c r="B9405" t="inlineStr">
        <is>
          <t>Does this sound like gerd?</t>
        </is>
      </c>
      <c r="C9405" t="inlineStr">
        <is>
          <t xml:space="preserve">
Hey guys so a little background I’ve had rhinitis for 6 months now and am now getting it under control so I don’t think these two are related, but maybe they are. However I’ve been told I may have silent reflux?
So for a little over 6 weeks now I’ve been getting the need to clear my throat a lot, sometimes it’s bad but some days it’s not too bad at all and I can deal with it. I also frequently burp a lot more than I used to and I also have something up with my ears which I’ve been told is why it could be silent reflux, I don’t have muffled hearing but once while exercising my hearing got all messed up and I was in a bit of a panic, it was really hard to describe. Throughout the day my ears also kind of like click/pop but only slightly not like when you’re in a plane sometimes it’s a lot though. Also my tounge has a really white layer on it. Does this sound like silent reflux? What can I do about it if it is?</t>
        </is>
      </c>
      <c r="D9405" t="n">
        <v>1</v>
      </c>
      <c r="E9405" t="n">
        <v>5</v>
      </c>
      <c r="F9405">
        <f>HYPERLINK("https://www.reddit.com/r/GERD/comments/hxjahk/does_this_sound_like_gerd/")</f>
        <v/>
      </c>
      <c r="G9405" t="inlineStr">
        <is>
          <t>2020-07-25 01:18:34</t>
        </is>
      </c>
      <c r="H9405" t="inlineStr"/>
    </row>
    <row r="9406">
      <c r="A9406" t="inlineStr">
        <is>
          <t>hxkf4d</t>
        </is>
      </c>
      <c r="B9406" t="inlineStr">
        <is>
          <t>weird pressure in esophagus after endoscopy</t>
        </is>
      </c>
      <c r="C9406" t="inlineStr">
        <is>
          <t>Had an endoscopy done yesterday. I'm getting intermittent discomfort where it feels like pressure or gas is building/trapped in my esophagus. It builds, and then dissipates. It's worse if I swallow something and happens almost immediately after. It's not painful, just uncomfortable, but I can't find anything online that says this is normal? Has anyone had similar symptoms afterwards?</t>
        </is>
      </c>
      <c r="D9406" t="n">
        <v>1</v>
      </c>
      <c r="E9406" t="n">
        <v>2</v>
      </c>
      <c r="F9406">
        <f>HYPERLINK("https://www.reddit.com/r/GERD/comments/hxkf4d/weird_pressure_in_esophagus_after_endoscopy/")</f>
        <v/>
      </c>
      <c r="G9406" t="inlineStr">
        <is>
          <t>2020-07-25 03:12:50</t>
        </is>
      </c>
      <c r="H9406" t="inlineStr"/>
    </row>
    <row r="9407">
      <c r="A9407" t="inlineStr">
        <is>
          <t>hxl1ho</t>
        </is>
      </c>
      <c r="B9407" t="inlineStr">
        <is>
          <t>Has ayone tried the baking soda for hight or low acid?</t>
        </is>
      </c>
      <c r="C9407" t="inlineStr">
        <is>
          <t>I'm on day 2. I burped after 6 min on day and after 11minutes today which apparenly means i have low stomach acid? My symptoms are gas (burping) alot. A little silent reflux type thing when the burps get stuck and don't want to get out (I have to make weird positions and bend) in order to force them out when they get stuck. 
More info on the baking soda test:
The baking soda (sodium bicarbonate) and stomach acid (hydrochloric acid) create a chemical reaction in your stomach. The result of this reaction is carbon dioxide gas, which causes burping. So a burp within three minutes of drinking the baking soda solution may indicate an adequate level of stomach acid. A burp after three minutes (or not at all) may indicate a low level of stomach acid.</t>
        </is>
      </c>
      <c r="D9407" t="n">
        <v>1</v>
      </c>
      <c r="E9407" t="n">
        <v>2</v>
      </c>
      <c r="F9407">
        <f>HYPERLINK("https://www.reddit.com/r/GERD/comments/hxl1ho/has_ayone_tried_the_baking_soda_for_hight_or_low/")</f>
        <v/>
      </c>
      <c r="G9407" t="inlineStr">
        <is>
          <t>2020-07-25 04:11:48</t>
        </is>
      </c>
      <c r="H9407" t="inlineStr"/>
    </row>
    <row r="9408">
      <c r="A9408" t="inlineStr">
        <is>
          <t>hxmw6c</t>
        </is>
      </c>
      <c r="B9408" t="inlineStr">
        <is>
          <t>LPR and High Eosinophils - Looking for Insight</t>
        </is>
      </c>
      <c r="C9408" t="inlineStr">
        <is>
          <t>Female, 34, 5'5, 130lbs, 15 weeks post partum.
I've been dealing with reflux and LPR for the last few years. I found my root cause was SIBO back in 2018, successfully treated the overgrowth with antimicrobials and a major diet /herbal regiment. I essentially "cured" my reflux and LPR and was able to est whatever I
I wanted excluding wheat (blood test confirmed an allergy to it) I no longer had any issues of reflux, gas, burping, or throat pain. There's obviously way more to that story, but this post is not about that. 
Once I got the all clear and a positive stool test that everything was good, I got pregnant pretty well right away with my second child (we waited for this). I had a successful and uneventful pregnancy, delivered a healthy eight-pound 5oz girl. I gained 30lbs total which I've lost almost all of it with healthy eating and exercise. Also, LPR and reflux was non-existent through my entire pregnancy.
Around 6 to 8 weeks postpartum, I started noticing I was burping a little bit again. I started to become constipated and my throat had a tickle in it. Fast forward to 11 weeks postpartum, and I was knee-deep in reflux and throat pain. I did not start eating wheat again, so I knew it must have been the SIBO that had returned. I had blood work done, and to my surprise, it was not normal. I had a very high eosinophils - 1.8x10*9, normal range being 0.0 - 0.5x10*9. 
I completely went alkaline, started taking a bunch of herbal supplements and 3 weeks later, the eosinophil number has gone down to 0.8. It is still in the high range, but it has gone down pretty substantially, I think. My question is, if the eosinophil number is dropping, does that mean whatever I'm doing is working to reduce the inflammation? Or, does it not matter what the number is on the scale, high is high? 
My reflux has gone way down on this alkaline regiment, but I still have a bit of throat pain and swelling (difficulty swallowing, not in my esophagus, but in my throat. 
My doctor and I are also completely assuming that it is my throat and the reflux that is caused this spike in the eosinophils. However, of all the years that I had reflux and throat pain, it never showed up in my blood work - I've never had elevated eosinophils.
I was on PPIs years back when I was at the height of my sibo. I blame that medication for making my sibo much worse. I don't know how much of you know about sibo, but it is apparently one of the leading causes of IBS and GERD. There are a bunch of podcasts on sibo I would highly recommend. If you're interested, just private message me.
My diet and alkaline regiment is below if interested. 
Diet: 
Intermittent fasting - 5/6 hour eating window. Fasting from 4pm to 11am/12pm the next day
Celery juice every morning 
Bfast/lunch shake with: 
1 banana 
L glutamine 
Collagen 
Milled flax seed
Milled chia seed
Spirulina + chlorophyll 1 tsp
Unsweetened almond milk 
+ 2x rice cakes with almond butter 
Dinner: 
Tofu pan fried in 1 tbsp olive oil or salmon 
Carrots and broccoli steamed
Basmati rice 
Or: 
Egg whites with gluten free toast and vegan becel 
Or: 
Homemade soup - sweet potato, carrot, curry, ginger, paprika, tumeric, lentils, spinach, coconut milk, fodmap friendly vegetable soup base 
I don't snack or eat outside my eating window - when I am not trying to lose weight (baby weight), I eat in an 8-hour window. 
Vitamins and herbs:
Slippery elm lozenges as needed
DGL licorice root 3x day - capsule opened and mixed with water in a shot glass 
Iron - vegan food-based 
Magnesium bisglycinate 1000mg
Vitamin D
Zinc
Omega 3
B6 + b12
Tumeric curcumin 
Ginger 
Strest tonic capsule 2x a day 
Melatonin nightly - 5mg 
Probiotics and grapefruit seed extract for a 2 week trial to see if it kills the bad bacteria (just started).
Medications:
Gaviscon nightly and as needed 
CBD oil - 1ml morning and night 
CBD cream - topically on throat as needed (actually works with the pain)
TL,DR; 
If a blood test shows the levels of eosinophils dropping, but are still in the high range, does that mean the inflammation is going down? or is a high number considered a high number regardless of what the figure is?</t>
        </is>
      </c>
      <c r="D9408" t="n">
        <v>1</v>
      </c>
      <c r="E9408" t="n">
        <v>2</v>
      </c>
      <c r="F9408">
        <f>HYPERLINK("https://www.reddit.com/r/GERD/comments/hxmw6c/lpr_and_high_eosinophils_looking_for_insight/")</f>
        <v/>
      </c>
      <c r="G9408" t="inlineStr">
        <is>
          <t>2020-07-25 06:41:00</t>
        </is>
      </c>
      <c r="H9408" t="inlineStr"/>
    </row>
    <row r="9409">
      <c r="A9409" t="inlineStr">
        <is>
          <t>hxos46</t>
        </is>
      </c>
      <c r="B9409" t="inlineStr">
        <is>
          <t>Weaning off PPIs</t>
        </is>
      </c>
      <c r="C9409" t="inlineStr">
        <is>
          <t>I've been taking PPIs for nearly two weeks and don't really have any intentions to continue on them. Should I slowly wean off and what is the best way to do it? 
I'm from the UK so Gaviscon Advance is readily available.</t>
        </is>
      </c>
      <c r="D9409" t="n">
        <v>1</v>
      </c>
      <c r="E9409" t="n">
        <v>17</v>
      </c>
      <c r="F9409">
        <f>HYPERLINK("https://www.reddit.com/r/GERD/comments/hxos46/weaning_off_ppis/")</f>
        <v/>
      </c>
      <c r="G9409" t="inlineStr">
        <is>
          <t>2020-07-25 08:43:16</t>
        </is>
      </c>
      <c r="H9409" t="inlineStr"/>
    </row>
    <row r="9410">
      <c r="A9410" t="inlineStr">
        <is>
          <t>hxpd0b</t>
        </is>
      </c>
      <c r="B9410" t="inlineStr">
        <is>
          <t>PPIs actually GAVE me heartburn, when I never had heartburn before.</t>
        </is>
      </c>
      <c r="C9410" t="inlineStr">
        <is>
          <t>I have LPR, and like most, never had heartburn symptoms. I had nausea, regurgitation/vomiting, throat clearing, PND, ect. Now, thanks to PPIs, I actually do have heartburn (and cognitive side effects, and still have LPR symptoms... just less nausea).
I can't be the only one, right?
I'm coming off them (day two) and the rebound was pretty bad this morning.
This shit is so stupid.</t>
        </is>
      </c>
      <c r="D9410" t="n">
        <v>1</v>
      </c>
      <c r="E9410" t="n">
        <v>29</v>
      </c>
      <c r="F9410">
        <f>HYPERLINK("https://www.reddit.com/r/GERD/comments/hxpd0b/ppis_actually_gave_me_heartburn_when_i_never_had/")</f>
        <v/>
      </c>
      <c r="G9410" t="inlineStr">
        <is>
          <t>2020-07-25 09:18:35</t>
        </is>
      </c>
      <c r="H9410" t="inlineStr"/>
    </row>
    <row r="9411">
      <c r="A9411" t="inlineStr">
        <is>
          <t>hxpsgc</t>
        </is>
      </c>
      <c r="B9411" t="inlineStr">
        <is>
          <t>Body heats up after dinner</t>
        </is>
      </c>
      <c r="C9411" t="inlineStr">
        <is>
          <t>hey guys why do i feel so hot and warm up after dinner every night? i don’t feel like that after the breakfast or lunch. 
i do get flare ups and been trying to list down my triggers with loads of trial and errors.</t>
        </is>
      </c>
      <c r="D9411" t="n">
        <v>1</v>
      </c>
      <c r="E9411" t="n">
        <v>0</v>
      </c>
      <c r="F9411">
        <f>HYPERLINK("https://www.reddit.com/r/GERD/comments/hxpsgc/body_heats_up_after_dinner/")</f>
        <v/>
      </c>
      <c r="G9411" t="inlineStr">
        <is>
          <t>2020-07-25 09:44:28</t>
        </is>
      </c>
      <c r="H9411" t="inlineStr"/>
    </row>
    <row r="9412">
      <c r="A9412" t="inlineStr">
        <is>
          <t>hxpuj6</t>
        </is>
      </c>
      <c r="B9412" t="inlineStr">
        <is>
          <t>Throat pain better from post nasal drip/mucus (is this good?)</t>
        </is>
      </c>
      <c r="C9412" t="inlineStr">
        <is>
          <t>So today was the 3rd day in a row (first time in 2 months) where I didn't have constant throat pain. 
I was only eating while grain rice, cucumber, potatoes and almonds with salt and nutritional yeast the past few days and that's what made me better I guess. And I am on day 18 of Pantoprazol. I am still scared that it gets worse again but I am glad to have a small break.
What I have noticed is quite awkward though:
- if my throat starts feeling irritated and I sneeze and the mucus runs down the throat it actually takes the upcoming pain away and it doesn't flare up completely. Alternatively I use hard candy thats slightly gelly for same effect.
-water makes it worse sometimes because it's not "gel"-like and takes off the coating inside (at least it feels like that)
-instead of pain I now have mucus inside my throat that feels a little "dusty". I also feel a little sick sometimes (maybe because I eat like crap). But it feels better than constant pain. Is this progress? Like maybe scarring or a healing wound that produces mucus like encrustation? 
I am very scared that it gets worse again, so I try anything I can to prevent that but also scared because I can't eat like 800 cals a day and not drink enough. :(
Does anybody know whether what I feel is a healing progess (from experience/professional opinion)? And any suggestions? I want to try adding some more ph 5 approved things into my diet from tomorrow but I just want my throat to heal before all else.</t>
        </is>
      </c>
      <c r="D9412" t="n">
        <v>1</v>
      </c>
      <c r="E9412" t="n">
        <v>3</v>
      </c>
      <c r="F9412">
        <f>HYPERLINK("https://www.reddit.com/r/GERD/comments/hxpuj6/throat_pain_better_from_post_nasal_dripmucus_is/")</f>
        <v/>
      </c>
      <c r="G9412" t="inlineStr">
        <is>
          <t>2020-07-25 09:48:10</t>
        </is>
      </c>
      <c r="H9412" t="inlineStr"/>
    </row>
    <row r="9413">
      <c r="A9413" t="inlineStr">
        <is>
          <t>hxqcye</t>
        </is>
      </c>
      <c r="B9413" t="inlineStr">
        <is>
          <t>Has anyone successfully gotten off of H2 blockers?</t>
        </is>
      </c>
      <c r="C9413" t="inlineStr">
        <is>
          <t>I feel like there’s a lot of discussion about getting off of PPIs but not so much re H2 blockers. 
I got off of PPIs in part by relying on Zantac (and then Pepcid once it was taken off the market). It’s prescribed, so I’m taking a pretty high dose twice a day. I’ve heard H2 blockers become less helpful over time and I still have pretty bad symptoms even when taking the medication, so it doesn’t feel worth continuing to take such a high dose.
I have tried tapering doses but had rebound reflux pretty quickly. Any tips? Is it possible to get off of them? Does the rebound reflux go away eventually?</t>
        </is>
      </c>
      <c r="D9413" t="n">
        <v>1</v>
      </c>
      <c r="E9413" t="n">
        <v>2</v>
      </c>
      <c r="F9413">
        <f>HYPERLINK("https://www.reddit.com/r/GERD/comments/hxqcye/has_anyone_successfully_gotten_off_of_h2_blockers/")</f>
        <v/>
      </c>
      <c r="G9413" t="inlineStr">
        <is>
          <t>2020-07-25 10:18:18</t>
        </is>
      </c>
      <c r="H9413" t="inlineStr"/>
    </row>
    <row r="9414">
      <c r="A9414" t="inlineStr">
        <is>
          <t>hxr05u</t>
        </is>
      </c>
      <c r="B9414" t="inlineStr">
        <is>
          <t>How do I distinguish types of GERD?</t>
        </is>
      </c>
      <c r="C9414" t="inlineStr">
        <is>
          <t>**I know I'm not supposed to seek 'medical' advice here.** 
I'm just looking for anecdotal ones that I can discuss with my doctor.
&amp;amp;#x200B;
I've improved my symptoms like 70\~80% this year by fixing diets and habits, but still want to get rid of this freaking 20\~30%. 
Case#1: Sometimes GERD is due to having too much acid.
Case#2: Sometimes GERD is due to having insufficient acid, which leads to over-production of acid-\_-
... So I'm not sure if I'm supposed to eat stuff like garlic to get more acid (#2) or avoid them (#1).</t>
        </is>
      </c>
      <c r="D9414" t="n">
        <v>1</v>
      </c>
      <c r="E9414" t="n">
        <v>8</v>
      </c>
      <c r="F9414">
        <f>HYPERLINK("https://www.reddit.com/r/GERD/comments/hxr05u/how_do_i_distinguish_types_of_gerd/")</f>
        <v/>
      </c>
      <c r="G9414" t="inlineStr">
        <is>
          <t>2020-07-25 10:55:33</t>
        </is>
      </c>
      <c r="H9414" t="inlineStr"/>
    </row>
    <row r="9415">
      <c r="A9415" t="inlineStr">
        <is>
          <t>hxtkg3</t>
        </is>
      </c>
      <c r="B9415" t="inlineStr">
        <is>
          <t>Is this normal ?</t>
        </is>
      </c>
      <c r="C9415" t="inlineStr">
        <is>
          <t>Sometimes I feel like I can’t swallow properly. I have acid reflux (and I’m pretty sure it’s GERD but I gotta go to the doctor). Just sometimes I can’t tell if it’s my anxiety or not because I’m having trouble swallowing even my saliva and I don’t feel anxious. Is not being able to swallow part of GERD/acid reflux</t>
        </is>
      </c>
      <c r="D9415" t="n">
        <v>1</v>
      </c>
      <c r="E9415" t="n">
        <v>4</v>
      </c>
      <c r="F9415">
        <f>HYPERLINK("https://www.reddit.com/r/GERD/comments/hxtkg3/is_this_normal/")</f>
        <v/>
      </c>
      <c r="G9415" t="inlineStr">
        <is>
          <t>2020-07-25 13:24:34</t>
        </is>
      </c>
      <c r="H9415" t="inlineStr"/>
    </row>
    <row r="9416">
      <c r="A9416" t="inlineStr">
        <is>
          <t>hxtr63</t>
        </is>
      </c>
      <c r="B9416" t="inlineStr">
        <is>
          <t>Please delete if not allowed, but anti-anxiety meds really help me.</t>
        </is>
      </c>
      <c r="C9416" t="inlineStr">
        <is>
          <t>So uve tried tons of stuff to try and help. Im currently on ppi's. Chest paim regurgitation sore throat this mucus saliva the works.
My doctor prescribed alprazolam 1 mg a day. Im day 3 feeling like a million bucks. But ive heard that can be one of the side effects. 
But being pain free is a feeling that has been fleeting for so long now.</t>
        </is>
      </c>
      <c r="D9416" t="n">
        <v>1</v>
      </c>
      <c r="E9416" t="n">
        <v>17</v>
      </c>
      <c r="F9416">
        <f>HYPERLINK("https://www.reddit.com/r/GERD/comments/hxtr63/please_delete_if_not_allowed_but_antianxiety_meds/")</f>
        <v/>
      </c>
      <c r="G9416" t="inlineStr">
        <is>
          <t>2020-07-25 13:36:05</t>
        </is>
      </c>
      <c r="H9416" t="inlineStr"/>
    </row>
    <row r="9417">
      <c r="A9417" t="inlineStr">
        <is>
          <t>hxtykw</t>
        </is>
      </c>
      <c r="B9417" t="inlineStr">
        <is>
          <t>Mild case of GERD</t>
        </is>
      </c>
      <c r="C9417" t="inlineStr">
        <is>
          <t>Hi, I think i have a mild case of gerd. What vitamins and diets would you recommend?</t>
        </is>
      </c>
      <c r="D9417" t="n">
        <v>1</v>
      </c>
      <c r="E9417" t="n">
        <v>0</v>
      </c>
      <c r="F9417">
        <f>HYPERLINK("https://www.reddit.com/r/GERD/comments/hxtykw/mild_case_of_gerd/")</f>
        <v/>
      </c>
      <c r="G9417" t="inlineStr">
        <is>
          <t>2020-07-25 13:48:40</t>
        </is>
      </c>
      <c r="H9417" t="inlineStr"/>
    </row>
    <row r="9418">
      <c r="A9418" t="inlineStr">
        <is>
          <t>hxu4rd</t>
        </is>
      </c>
      <c r="B9418" t="inlineStr">
        <is>
          <t>LPR and Diet to get rid of it and help throat ?</t>
        </is>
      </c>
      <c r="C9418" t="inlineStr">
        <is>
          <t>What would be some things that I should stay away from and some things that I can continue eating ? Or even a diet type thing , since I’ve been dealing with it since about late May , 17M btw</t>
        </is>
      </c>
      <c r="D9418" t="n">
        <v>1</v>
      </c>
      <c r="E9418" t="n">
        <v>3</v>
      </c>
      <c r="F9418">
        <f>HYPERLINK("https://www.reddit.com/r/GERD/comments/hxu4rd/lpr_and_diet_to_get_rid_of_it_and_help_throat/")</f>
        <v/>
      </c>
      <c r="G9418" t="inlineStr">
        <is>
          <t>2020-07-25 13:59:12</t>
        </is>
      </c>
      <c r="H9418" t="inlineStr"/>
    </row>
    <row r="9419">
      <c r="A9419" t="inlineStr">
        <is>
          <t>hxuqgj</t>
        </is>
      </c>
      <c r="B9419" t="inlineStr">
        <is>
          <t>GERD and bowel movements?</t>
        </is>
      </c>
      <c r="C9419" t="inlineStr">
        <is>
          <t>Hello! Currently I have been stuck in another country, so I can’t physically see my doctor and I described my symptoms to her and she said it was most likely GERD, but I was wondering if people’s bowel movements have changed because of it. Mine has changed color and consistency and hurts a lot, should I bring this up again to my doctor?</t>
        </is>
      </c>
      <c r="D9419" t="n">
        <v>1</v>
      </c>
      <c r="E9419" t="n">
        <v>1</v>
      </c>
      <c r="F9419">
        <f>HYPERLINK("https://www.reddit.com/r/GERD/comments/hxuqgj/gerd_and_bowel_movements/")</f>
        <v/>
      </c>
      <c r="G9419" t="inlineStr">
        <is>
          <t>2020-07-25 14:36:47</t>
        </is>
      </c>
      <c r="H9419" t="inlineStr"/>
    </row>
    <row r="9420">
      <c r="A9420" t="inlineStr">
        <is>
          <t>hxve1y</t>
        </is>
      </c>
      <c r="B9420" t="inlineStr">
        <is>
          <t>May have missed PPI dose, what should I expect?</t>
        </is>
      </c>
      <c r="C9420" t="inlineStr">
        <is>
          <t>I can’t remember if I took my 20mg Pantoprazole this morning because I was distracted at the time, but thinking about it I’m like 75% sure I didn’t take it. I’ve been on it for a few months and haven’t missed a dose yet. Will I have withdrawal side effects until I take it tomorrow morning?</t>
        </is>
      </c>
      <c r="D9420" t="n">
        <v>1</v>
      </c>
      <c r="E9420" t="n">
        <v>5</v>
      </c>
      <c r="F9420">
        <f>HYPERLINK("https://www.reddit.com/r/GERD/comments/hxve1y/may_have_missed_ppi_dose_what_should_i_expect/")</f>
        <v/>
      </c>
      <c r="G9420" t="inlineStr">
        <is>
          <t>2020-07-25 15:17:30</t>
        </is>
      </c>
      <c r="H9420" t="inlineStr"/>
    </row>
    <row r="9421">
      <c r="A9421" t="inlineStr">
        <is>
          <t>hxvghx</t>
        </is>
      </c>
      <c r="B9421" t="inlineStr">
        <is>
          <t>Sushi and LPR?</t>
        </is>
      </c>
      <c r="C9421" t="inlineStr">
        <is>
          <t>Anyone have experience with eating sushi? Obviously no wasabi and (I assume) no pickled ginger. 
Is this a trigger for anyone?</t>
        </is>
      </c>
      <c r="D9421" t="n">
        <v>1</v>
      </c>
      <c r="E9421" t="n">
        <v>3</v>
      </c>
      <c r="F9421">
        <f>HYPERLINK("https://www.reddit.com/r/GERD/comments/hxvghx/sushi_and_lpr/")</f>
        <v/>
      </c>
      <c r="G9421" t="inlineStr">
        <is>
          <t>2020-07-25 15:21:40</t>
        </is>
      </c>
      <c r="H9421" t="inlineStr"/>
    </row>
    <row r="9422">
      <c r="A9422" t="inlineStr">
        <is>
          <t>hxw72m</t>
        </is>
      </c>
      <c r="B9422" t="inlineStr">
        <is>
          <t>Anyone else terrible migraines alongside GERD symptoms?</t>
        </is>
      </c>
      <c r="C9422" t="inlineStr">
        <is>
          <t>I’ve been getting terrible migraines recently, especially during exertion. Wondering if anyone else is the same.</t>
        </is>
      </c>
      <c r="D9422" t="n">
        <v>1</v>
      </c>
      <c r="E9422" t="n">
        <v>1</v>
      </c>
      <c r="F9422">
        <f>HYPERLINK("https://www.reddit.com/r/GERD/comments/hxw72m/anyone_else_terrible_migraines_alongside_gerd/")</f>
        <v/>
      </c>
      <c r="G9422" t="inlineStr">
        <is>
          <t>2020-07-25 16:08:34</t>
        </is>
      </c>
      <c r="H9422" t="inlineStr"/>
    </row>
    <row r="9423">
      <c r="A9423" t="inlineStr">
        <is>
          <t>hxwhg8</t>
        </is>
      </c>
      <c r="B9423" t="inlineStr">
        <is>
          <t>Burping with GERD</t>
        </is>
      </c>
      <c r="C9423" t="inlineStr">
        <is>
          <t>I JUST NEED TO RAN REAL QUICK
it is so gross to taste your food after eating and I just wish there was something to take that away. It’s not even regurgitating. It’s literally just the taste of food and it makes me cringe</t>
        </is>
      </c>
      <c r="D9423" t="n">
        <v>1</v>
      </c>
      <c r="E9423" t="n">
        <v>1</v>
      </c>
      <c r="F9423">
        <f>HYPERLINK("https://www.reddit.com/r/GERD/comments/hxwhg8/burping_with_gerd/")</f>
        <v/>
      </c>
      <c r="G9423" t="inlineStr">
        <is>
          <t>2020-07-25 16:28:04</t>
        </is>
      </c>
      <c r="H9423" t="inlineStr"/>
    </row>
    <row r="9424">
      <c r="A9424" t="inlineStr">
        <is>
          <t>hxxoi9</t>
        </is>
      </c>
      <c r="B9424" t="inlineStr">
        <is>
          <t>How do you people keep going?</t>
        </is>
      </c>
      <c r="C9424" t="inlineStr">
        <is>
          <t>I have been diagnosed with GERD, or NERD, for about six years, and I just don’t know how to keep dealing with this. For a few months maybe a flare up. Then come around the six month mark, a really bad flare up with nausea and I’m going bland for a week. How do all of you mentally deal with this, because I’m struggling to deal with it now.</t>
        </is>
      </c>
      <c r="D9424" t="n">
        <v>1</v>
      </c>
      <c r="E9424" t="n">
        <v>33</v>
      </c>
      <c r="F9424">
        <f>HYPERLINK("https://www.reddit.com/r/GERD/comments/hxxoi9/how_do_you_people_keep_going/")</f>
        <v/>
      </c>
      <c r="G9424" t="inlineStr">
        <is>
          <t>2020-07-25 17:49:50</t>
        </is>
      </c>
      <c r="H9424" t="inlineStr"/>
    </row>
    <row r="9425">
      <c r="A9425" t="inlineStr">
        <is>
          <t>hxy3m5</t>
        </is>
      </c>
      <c r="B9425" t="inlineStr">
        <is>
          <t>Question Regarding Timing of Reflux</t>
        </is>
      </c>
      <c r="C9425" t="inlineStr">
        <is>
          <t>Hey all, me again. 
Quick question:
How long after eating do you experience reflux symptoms (or whatever symptom you suffer from) to identify triggers? 
What’s the general time frame for you to safely cross something off your list of potential triggers?</t>
        </is>
      </c>
      <c r="D9425" t="n">
        <v>1</v>
      </c>
      <c r="E9425" t="n">
        <v>2</v>
      </c>
      <c r="F9425">
        <f>HYPERLINK("https://www.reddit.com/r/GERD/comments/hxy3m5/question_regarding_timing_of_reflux/")</f>
        <v/>
      </c>
      <c r="G9425" t="inlineStr">
        <is>
          <t>2020-07-25 18:19:49</t>
        </is>
      </c>
      <c r="H9425" t="inlineStr"/>
    </row>
    <row r="9426">
      <c r="A9426" t="inlineStr">
        <is>
          <t>hxy5v5</t>
        </is>
      </c>
      <c r="B9426" t="inlineStr">
        <is>
          <t>The use of ranch?</t>
        </is>
      </c>
      <c r="C9426" t="inlineStr">
        <is>
          <t>I can't find anything on the internet if this works or not but can someone who tried maybe know to answer if I can put ranch on salad or other foods?</t>
        </is>
      </c>
      <c r="D9426" t="n">
        <v>1</v>
      </c>
      <c r="E9426" t="n">
        <v>1</v>
      </c>
      <c r="F9426">
        <f>HYPERLINK("https://www.reddit.com/r/GERD/comments/hxy5v5/the_use_of_ranch/")</f>
        <v/>
      </c>
      <c r="G9426" t="inlineStr">
        <is>
          <t>2020-07-25 18:24:10</t>
        </is>
      </c>
      <c r="H9426" t="inlineStr"/>
    </row>
    <row r="9427">
      <c r="A9427" t="inlineStr">
        <is>
          <t>hy084d</t>
        </is>
      </c>
      <c r="B9427" t="inlineStr">
        <is>
          <t>Night time snacking</t>
        </is>
      </c>
      <c r="C9427" t="inlineStr">
        <is>
          <t>I have a hard time with night time snacking because I used to always snack at night before I had GERD. So I'm wondering would I be able to chew sugar free gum at night to curb my cravings or would that still cause problems? Does anyone know?</t>
        </is>
      </c>
      <c r="D9427" t="n">
        <v>1</v>
      </c>
      <c r="E9427" t="n">
        <v>13</v>
      </c>
      <c r="F9427">
        <f>HYPERLINK("https://www.reddit.com/r/GERD/comments/hy084d/night_time_snacking/")</f>
        <v/>
      </c>
      <c r="G9427" t="inlineStr">
        <is>
          <t>2020-07-25 20:57:56</t>
        </is>
      </c>
      <c r="H9427" t="inlineStr"/>
    </row>
    <row r="9428">
      <c r="A9428" t="inlineStr">
        <is>
          <t>hy143q</t>
        </is>
      </c>
      <c r="B9428" t="inlineStr">
        <is>
          <t>Tums not working anymore, another way to deal? Common symptoms of gerd?</t>
        </is>
      </c>
      <c r="C9428" t="inlineStr">
        <is>
          <t>Hi guys!
I'm new to this subreddit. I just started getting really bad heartburn in March, I was sick with gastrointestinal problems then on the third week I had the worst heartburn in my life (puking, couldn't eat). Every since then I been having heartburn everyday.
Within the last week something changed. I don't know if this is heartburn related or what but I feel like it's hard to breath, my chest feels tight, when I ate I felt it in my chest, felt like a lump in my throat, I feel phlegm at the back of my throat/nose. 
My mom thinks I'm having "anxiety attacks", I'm not. I've had those before and its nothing like this. Then here's me looking stuff on Google and seeing that it could be "Esophageal Cancer" and "Pulmonary Embolism", so that's getting me nervous. 
Im sure its gerd but I am going to the doctor this coming week but I just want to know anyone else have/had similar symptoms? And tums aren't helping much now so anything else to deal with it?</t>
        </is>
      </c>
      <c r="D9428" t="n">
        <v>1</v>
      </c>
      <c r="E9428" t="n">
        <v>4</v>
      </c>
      <c r="F9428">
        <f>HYPERLINK("https://www.reddit.com/r/GERD/comments/hy143q/tums_not_working_anymore_another_way_to_deal/")</f>
        <v/>
      </c>
      <c r="G9428" t="inlineStr">
        <is>
          <t>2020-07-25 22:04:39</t>
        </is>
      </c>
      <c r="H9428" t="inlineStr"/>
    </row>
    <row r="9429">
      <c r="A9429" t="inlineStr">
        <is>
          <t>hy1jwh</t>
        </is>
      </c>
      <c r="B9429" t="inlineStr">
        <is>
          <t>food being a short term fix?</t>
        </is>
      </c>
      <c r="C9429" t="inlineStr">
        <is>
          <t>When I have an attack and feel like crap, sometimes I'll eat and the feeling will temporarily go away? Like I'll eat some bread and the bubble in my throat disappears long emough for me to sleep. Is this a thing- I try and do this when I don't want to take medicine!</t>
        </is>
      </c>
      <c r="D9429" t="n">
        <v>1</v>
      </c>
      <c r="E9429" t="n">
        <v>4</v>
      </c>
      <c r="F9429">
        <f>HYPERLINK("https://www.reddit.com/r/GERD/comments/hy1jwh/food_being_a_short_term_fix/")</f>
        <v/>
      </c>
      <c r="G9429" t="inlineStr">
        <is>
          <t>2020-07-25 22:40:48</t>
        </is>
      </c>
      <c r="H9429" t="inlineStr"/>
    </row>
    <row r="9430">
      <c r="A9430" t="inlineStr">
        <is>
          <t>hy31s4</t>
        </is>
      </c>
      <c r="B9430" t="inlineStr">
        <is>
          <t>I want to help myself but I don't know how</t>
        </is>
      </c>
      <c r="C9430" t="inlineStr">
        <is>
          <t>It's been at least 7-8 months since I've been suffering from this. And even though I was never officially diagnosed, all my symptoms match.
Sometimes it's okay and these days it just keeps.getting.worse
Every meal makes me nauseated, now I can't even tolerate eggs anymore and simple breakfast items like omelette or just a fried egg isn't there for me anymore.
The chest pains are the worst, it's such a painful aching dull feeling and all of this makes me feel so overwhelmed and helpless. I've tried antacids, and the one that I had just gave me the absolute worst constipation, just the worst week and a half until it got out of my system. I don't know which pain is worse.
It's been a while and I've given up various food items, I have no idea what to do about my diet. I don't eat a lot anymore, mostly because food seems not worth it. Its still appetizing but I can't be bothered to eat it if I'm just going to feel uncomfortable and sick.
I've already lost 6-7 kilograms and I'm worried that I'll cross the underweight threshold for my bmi.
My exams are coming up and the last thing I want to do is stress about this too, this sucks so much.</t>
        </is>
      </c>
      <c r="D9430" t="n">
        <v>1</v>
      </c>
      <c r="E9430" t="n">
        <v>5</v>
      </c>
      <c r="F9430">
        <f>HYPERLINK("https://www.reddit.com/r/GERD/comments/hy31s4/i_want_to_help_myself_but_i_dont_know_how/")</f>
        <v/>
      </c>
      <c r="G9430" t="inlineStr">
        <is>
          <t>2020-07-26 00:56:21</t>
        </is>
      </c>
      <c r="H9430" t="inlineStr"/>
    </row>
    <row r="9431">
      <c r="A9431" t="inlineStr">
        <is>
          <t>hy4l1b</t>
        </is>
      </c>
      <c r="B9431" t="inlineStr">
        <is>
          <t>Is curing gerd actually possible?</t>
        </is>
      </c>
      <c r="C9431" t="inlineStr">
        <is>
          <t>Every time I look up this question the answers are very vague and ambiguous. I’ve only seen one site that says it usually resolves itself in a few months. I’ve been dealing with it for 8~ months or so, started doing the lifestyle changes about 3 months ago and in the past 3 weeks I’ve been on the acid watching diet by dr. Aviv and my symptoms haven’t really improved. Im REALLY in the mood for success stories to keep my spirits up. I’m only 20 and I can’t imagine living the rest of my life like this. I really really need to know my hardwork will pay off.</t>
        </is>
      </c>
      <c r="D9431" t="n">
        <v>1</v>
      </c>
      <c r="E9431" t="n">
        <v>25</v>
      </c>
      <c r="F9431">
        <f>HYPERLINK("https://www.reddit.com/r/GERD/comments/hy4l1b/is_curing_gerd_actually_possible/")</f>
        <v/>
      </c>
      <c r="G9431" t="inlineStr">
        <is>
          <t>2020-07-26 03:15:27</t>
        </is>
      </c>
      <c r="H9431" t="inlineStr"/>
    </row>
    <row r="9432">
      <c r="A9432" t="inlineStr">
        <is>
          <t>hy65mk</t>
        </is>
      </c>
      <c r="B9432" t="inlineStr">
        <is>
          <t>Fast Heart Rate</t>
        </is>
      </c>
      <c r="C9432" t="inlineStr">
        <is>
          <t>So hey guys Im having episodes when I can feel my heart rate go fast that starts from my stomach... the heart beat is so fast it goes like around 150 - 190 bpms it lasts for 3 - 4 mins and it leaves me sweaty all around and not wanting to move.. Do you guys have the same symptom? I've been having this since 2018 the time when my first episode occured..</t>
        </is>
      </c>
      <c r="D9432" t="n">
        <v>1</v>
      </c>
      <c r="E9432" t="n">
        <v>21</v>
      </c>
      <c r="F9432">
        <f>HYPERLINK("https://www.reddit.com/r/GERD/comments/hy65mk/fast_heart_rate/")</f>
        <v/>
      </c>
      <c r="G9432" t="inlineStr">
        <is>
          <t>2020-07-26 05:32:31</t>
        </is>
      </c>
      <c r="H9432" t="inlineStr"/>
    </row>
    <row r="9433">
      <c r="A9433" t="inlineStr">
        <is>
          <t>hy7uny</t>
        </is>
      </c>
      <c r="B9433" t="inlineStr">
        <is>
          <t>Stabbing Pain Near Ribs</t>
        </is>
      </c>
      <c r="C9433" t="inlineStr">
        <is>
          <t>I get this sharp pain sometimes right under the rib cage, in the middle between the left and right sides, but closer to the right side. It is a stabbing pain, usually it flares when stressed. This time it started around 7pm, now 12 hrs later and it is still there. Thing is, I was not stressed this time. Any idea what it might be/ anyone else relate? It is in one tiny location. It hurts to apply pressure there when I have the pain. **I will mention it to my Dr next app., I just wonder if other people get this too**</t>
        </is>
      </c>
      <c r="D9433" t="n">
        <v>1</v>
      </c>
      <c r="E9433" t="n">
        <v>3</v>
      </c>
      <c r="F9433">
        <f>HYPERLINK("https://www.reddit.com/r/GERD/comments/hy7uny/stabbing_pain_near_ribs/")</f>
        <v/>
      </c>
      <c r="G9433" t="inlineStr">
        <is>
          <t>2020-07-26 07:29:09</t>
        </is>
      </c>
      <c r="H9433" t="inlineStr"/>
    </row>
    <row r="9434">
      <c r="A9434" t="inlineStr">
        <is>
          <t>hy7zhd</t>
        </is>
      </c>
      <c r="B9434" t="inlineStr">
        <is>
          <t>Suggestions for brightness of flavor without the acid (from r/AskCulinary)</t>
        </is>
      </c>
      <c r="C9434" t="inlineStr">
        <is>
          <t>https://www.reddit.com/r/AskCulinary/comments/hqhy61/brightness_of_flavor_without_acidity/?ref=share&amp;amp;ref_source=link
I couldn't cross-post, so here is the link!
I really miss the brightness and freshness that comes with adding acids to my foods, and the kind folks at /r/AskCulinary had some really great suggestions.</t>
        </is>
      </c>
      <c r="D9434" t="n">
        <v>1</v>
      </c>
      <c r="E9434" t="n">
        <v>0</v>
      </c>
      <c r="F9434">
        <f>HYPERLINK("https://www.reddit.com/r/GERD/comments/hy7zhd/suggestions_for_brightness_of_flavor_without_the/")</f>
        <v/>
      </c>
      <c r="G9434" t="inlineStr">
        <is>
          <t>2020-07-26 07:37:27</t>
        </is>
      </c>
      <c r="H9434" t="inlineStr"/>
    </row>
    <row r="9435">
      <c r="A9435" t="inlineStr">
        <is>
          <t>hy81tp</t>
        </is>
      </c>
      <c r="B9435" t="inlineStr">
        <is>
          <t>Is itchy throat a typical symptom of LPR? Doctors tell me to look elsewhere</t>
        </is>
      </c>
      <c r="C9435" t="inlineStr">
        <is>
          <t>Hi guys. 25F, 108lbs, 5’3” here.
I’ve been diagnosed with both GERD and LPR, though both the GI doctor and ENT I’ve seen seem skeptical and want me to look into other causes for my symptoms.
My symptoms are:
* Itchy throat since late March - this can get REALLY itchy sometimes, and is pretty constant, yet inconsistent in terms of triggers. Food aggravates it, but sometimes so does talking, taking pills, breathing, or doing much of anything 
* Irritated, raw, burning (sometimes a weird cold, icy feeling, possibly after drinking water?) in my throat since early May. Also pretty constant, sometimes better, sometimes worse, can get REALLY bad randomly.
* Sometimes my throat feels dry or patchy, like strep without the pain. Like the skin in my throat sticks or something when I swallow 
* Breathing can feel uncomfortable 
* Lately, some difficulty swallowing though everything does eventually go down - it’s more like when you’re nervous to take a pill and can’t quite force your body to go through the swallowing motion. Also, dry foods tend to go down with a bit more difficulty/feel like they kinda get stuck 
* Also more recently, throat tightness. Yawning helps 
* Loss of appetite, though this isn’t much of a problem 
* My voice has always been kind of thin, but otherwise it’s been normal. I was hoarse once for only a day over a month ago
* Ear fullness and dizziness, though neither of these are extreme 
Have had endoscopy a little over a month ago (mild esophagitis and gastritis, no H. Pylori). I asked if I had EOE or a hiatal hernia, and the GI doctor said no, though I’m not sure whether he looked for those specifically or not. In general, he seemed to think whatever he saw was minor and said to try an ENT instead.
ENT did laryngoscopy twice. Once before the meds I’m currently on, and again yesterday morning.  He saw some mild redness in the tissue around my vocal cords the first time, and yesterday he said things looked pretty normal, so he too seemed stumped and said to look at other causes besides reflux.
I visited an allergist as well, who thinks asthma is unlikely. I’m allergic to a lot of pollens, but not dust, molds, or pets, and I spend all my time indoors anyway. He saw potential food allergies by doing a skin test for the top 8 foods, but then ordered a blood test for those which came back negative so he thinks food allergies are unlikely. He did see some post nasal drip and suspects chronic sinusitis, so I might look into those next. In any case, the nasal sprays and allergy meds he’s prescribed haven’t helped me all that much with my symptoms. 
Other meds I’ve been taking are omeprazole 20mg for 2 weeks before my endoscopy, which didn’t do much and I was told to stop. And Dexilant 60mg every morning + Famotidine 40mg every night for the past 3.5 weeks, up to a month as prescribed by the ENT, which also hasn’t improved my throat much at all. The ENT said since they haven’t helped by now, that means it isn’t reflux and told me to stop the Dexilant (and the GI doctor concurred, though he said it can take a bit longer for it to work so maybe try it a bit more?).
I’ve been avoiding spicy foods, citrus, chocolate. Been sleeping with a bed wedge for 1.5 months, trying to stay upright 3 hours before bed. Still, even the blandest foods (sweet potato, rice, oatmeal) does nothing to make me feel better, and can make my throat itching/irritation worse as soon as I eat it or right after. Food that seems fine one day, makes me feel awful the next. I can find no discernible pattern. I’ve had “questionable” meals once or twice in the past month, and those made me feel no worse than usual.
So I’m kind of at a loss. I’m wondering if I should continue pursuing reflux/LPR (since most of my symptoms are in the throat), when both of these doctors seem to think it’s not that.
Plus, I’m wondering how much an itchy, raw throat is an indicator of LPR. I don’t really have heartburn or regurgitation burning my throat. Nothing ever feels like actual acid. My throat is just constantly itching and raw on some level.
What else could it be?? What steps should I take to rule this out for sure? The GI doctor said we could try the 24 hour pH monitor next, but even that I’ve heard is unreliable for LPR. Should I look into getting the Restech probe and Pepsin saliva test since those seem LPR-specific?
Could this just be a case of REALLY TERRIBLE allergies somehow? I also sleep with my mouth open which is a bad habit. Dehydration then? I’d think if either of these were the cause, the symptoms would be more consistent then.... 
Or could anxiety be really manifesting in such physical symptoms? I’ve always been fairly anxious, but I don’t know how anxiety could have caused this; if anything, these symptoms coming up suddenly have made my anxiety spiral. 
This has absolutely been driving me nuts, to the point where I’m seriously just losing hope and strength. I’d love any advice or insight you guys have.</t>
        </is>
      </c>
      <c r="D9435" t="n">
        <v>1</v>
      </c>
      <c r="E9435" t="n">
        <v>17</v>
      </c>
      <c r="F9435">
        <f>HYPERLINK("https://www.reddit.com/r/GERD/comments/hy81tp/is_itchy_throat_a_typical_symptom_of_lpr_doctors/")</f>
        <v/>
      </c>
      <c r="G9435" t="inlineStr">
        <is>
          <t>2020-07-26 07:41:29</t>
        </is>
      </c>
      <c r="H9435" t="inlineStr"/>
    </row>
    <row r="9436">
      <c r="A9436" t="inlineStr">
        <is>
          <t>hya212</t>
        </is>
      </c>
      <c r="B9436" t="inlineStr">
        <is>
          <t>Vitamin C supplement and GERD</t>
        </is>
      </c>
      <c r="C9436" t="inlineStr">
        <is>
          <t>Is it okay to take vitamin C supplement with GERD? A lot of food high in Vit C causes aggravation of GERD so how to meet the daily recommended vitamin requirements?</t>
        </is>
      </c>
      <c r="D9436" t="n">
        <v>1</v>
      </c>
      <c r="E9436" t="n">
        <v>2</v>
      </c>
      <c r="F9436">
        <f>HYPERLINK("https://www.reddit.com/r/GERD/comments/hya212/vitamin_c_supplement_and_gerd/")</f>
        <v/>
      </c>
      <c r="G9436" t="inlineStr">
        <is>
          <t>2020-07-26 09:42:15</t>
        </is>
      </c>
      <c r="H9436" t="inlineStr"/>
    </row>
    <row r="9437">
      <c r="A9437" t="inlineStr">
        <is>
          <t>hyawum</t>
        </is>
      </c>
      <c r="B9437" t="inlineStr">
        <is>
          <t>looks like i got asthma from gerd :(</t>
        </is>
      </c>
      <c r="C9437" t="inlineStr">
        <is>
          <t>this really blows hard. not i got 2 big issues with no cure. take care of yourself!</t>
        </is>
      </c>
      <c r="D9437" t="n">
        <v>1</v>
      </c>
      <c r="E9437" t="n">
        <v>30</v>
      </c>
      <c r="F9437">
        <f>HYPERLINK("https://www.reddit.com/r/GERD/comments/hyawum/looks_like_i_got_asthma_from_gerd/")</f>
        <v/>
      </c>
      <c r="G9437" t="inlineStr">
        <is>
          <t>2020-07-26 10:30:45</t>
        </is>
      </c>
      <c r="H9437" t="inlineStr"/>
    </row>
    <row r="9438">
      <c r="A9438" t="inlineStr">
        <is>
          <t>hydc21</t>
        </is>
      </c>
      <c r="B9438" t="inlineStr">
        <is>
          <t>Anyone else try Keto and see the G.E.R.D start to disappear?</t>
        </is>
      </c>
      <c r="C9438" t="inlineStr">
        <is>
          <t>I've google'd GERD and KETO and found some interesting articles on how carb's play a role in acid reflux.  There may also be a link to the PH balance of the diet,  doesn't sound too far fetched?  Interested if anyone else has tried this approach and what are your results:</t>
        </is>
      </c>
      <c r="D9438" t="n">
        <v>1</v>
      </c>
      <c r="E9438" t="n">
        <v>10</v>
      </c>
      <c r="F9438">
        <f>HYPERLINK("https://www.reddit.com/r/GERD/comments/hydc21/anyone_else_try_keto_and_see_the_gerd_start_to/")</f>
        <v/>
      </c>
      <c r="G9438" t="inlineStr">
        <is>
          <t>2020-07-26 12:43:32</t>
        </is>
      </c>
      <c r="H9438" t="inlineStr"/>
    </row>
    <row r="9439">
      <c r="A9439" t="inlineStr">
        <is>
          <t>hydgjj</t>
        </is>
      </c>
      <c r="B9439" t="inlineStr">
        <is>
          <t>What to drink on empty stomach?</t>
        </is>
      </c>
      <c r="C9439" t="inlineStr">
        <is>
          <t>Every morning I wake up really thirsty, dry mouth and with yellowy liquid in my mouth that I have to spit out. It's the same even if I have or don't have a dinner.   
If I drink water I instantly start feeling sick.  I thought that It's maybe because I shouldn't drink a lot of water on empty stomach,  but even a sip of it does the same thing. (this only applies on empty stomach).  
Carbonated water on the other side doesnt feel bad, but I feel like its bloating my stomach.  
I used to drink and I'm still drinking chamomile tea, but I've heard that it's better to drink it at night.   
I'm on intermittent fasting, so I can't really drink any juices early in the morning because of the sugar.   
Any suggestions/advice will be good!  
Also if you have some advice on how to boost my energy in the morning(my body doesn't like the caffeine), and if you have any advice on how to deal with this "yellow liquid" - and nope it's not about teeth :).   
Thanks!</t>
        </is>
      </c>
      <c r="D9439" t="n">
        <v>1</v>
      </c>
      <c r="E9439" t="n">
        <v>6</v>
      </c>
      <c r="F9439">
        <f>HYPERLINK("https://www.reddit.com/r/GERD/comments/hydgjj/what_to_drink_on_empty_stomach/")</f>
        <v/>
      </c>
      <c r="G9439" t="inlineStr">
        <is>
          <t>2020-07-26 12:50:36</t>
        </is>
      </c>
      <c r="H9439" t="inlineStr"/>
    </row>
    <row r="9440">
      <c r="A9440" t="inlineStr">
        <is>
          <t>hyf5ti</t>
        </is>
      </c>
      <c r="B9440" t="inlineStr">
        <is>
          <t>Sore front of neck with LPR?</t>
        </is>
      </c>
      <c r="C9440" t="inlineStr">
        <is>
          <t>Hey guys, hope you’re all having ok days. Does anyone have LPR and get a really sore neck? It’s the front of my neck and feels like sore muscles all the way down either side of the esophagus maybe? Could be from all the coughing? Thanks.</t>
        </is>
      </c>
      <c r="D9440" t="n">
        <v>1</v>
      </c>
      <c r="E9440" t="n">
        <v>3</v>
      </c>
      <c r="F9440">
        <f>HYPERLINK("https://www.reddit.com/r/GERD/comments/hyf5ti/sore_front_of_neck_with_lpr/")</f>
        <v/>
      </c>
      <c r="G9440" t="inlineStr">
        <is>
          <t>2020-07-26 14:26:29</t>
        </is>
      </c>
      <c r="H9440" t="inlineStr"/>
    </row>
    <row r="9441">
      <c r="A9441" t="inlineStr">
        <is>
          <t>hygsql</t>
        </is>
      </c>
      <c r="B9441" t="inlineStr">
        <is>
          <t>is depressive episode triggering my stomach problems?</t>
        </is>
      </c>
      <c r="C9441" t="inlineStr">
        <is>
          <t>hi ive been in a depressive episode for weeks and my anxiety just...its definitely up there for months now not too mention im a hypochondriac. ive been stressing out and sometimes ive been eating a lot and carelessly too, i sleep every other day instead of everyday but sometimes i can sleep all day cause i feel tired and ive been having stomach problems, esp this morning i didnt sleep at all and i realized at like 5 am my stomach started to hurt. i do have gerd, but does any of you think depressive episode caused my stomach problems to flare up? im kinda a worrywart</t>
        </is>
      </c>
      <c r="D9441" t="n">
        <v>1</v>
      </c>
      <c r="E9441" t="n">
        <v>13</v>
      </c>
      <c r="F9441">
        <f>HYPERLINK("https://www.reddit.com/r/GERD/comments/hygsql/is_depressive_episode_triggering_my_stomach/")</f>
        <v/>
      </c>
      <c r="G9441" t="inlineStr">
        <is>
          <t>2020-07-26 16:04:25</t>
        </is>
      </c>
      <c r="H9441" t="inlineStr"/>
    </row>
    <row r="9442">
      <c r="A9442" t="inlineStr">
        <is>
          <t>hyhq4f</t>
        </is>
      </c>
      <c r="B9442" t="inlineStr">
        <is>
          <t>Anyone else get a bubble in their chest?</t>
        </is>
      </c>
      <c r="C9442" t="inlineStr">
        <is>
          <t>I got a pain in my chest and a bubbling pretty much where my heart is. My heart makes the bubbles make a sound that I can hear. Nothing wrong with the heart tho, went and got am echo and it came up clear. I'm burping and getting some heartburn.</t>
        </is>
      </c>
      <c r="D9442" t="n">
        <v>1</v>
      </c>
      <c r="E9442" t="n">
        <v>4</v>
      </c>
      <c r="F9442">
        <f>HYPERLINK("https://www.reddit.com/r/GERD/comments/hyhq4f/anyone_else_get_a_bubble_in_their_chest/")</f>
        <v/>
      </c>
      <c r="G9442" t="inlineStr">
        <is>
          <t>2020-07-26 17:03:50</t>
        </is>
      </c>
      <c r="H9442" t="inlineStr"/>
    </row>
    <row r="9443">
      <c r="A9443" t="inlineStr">
        <is>
          <t>hyivsm</t>
        </is>
      </c>
      <c r="B9443" t="inlineStr">
        <is>
          <t>How effective has switching from Prilosec to Nexium been for you?</t>
        </is>
      </c>
      <c r="C9443" t="inlineStr">
        <is>
          <t>19 M
Prilosec 20 mg
Endoscopy, Barium Swallow
GERD (Non-Erosive)
Cause: Prolonged state of stress
**Question:** How effective has switching from 20 mg Prilosec to Nexium 40 mg been? Note: 20 mg of Prilosec is equivalent to 40 my of Nexium.
I have my heartburn under control, but the regurgitation has been getting worse. Should I consider switching to Nexium?</t>
        </is>
      </c>
      <c r="D9443" t="n">
        <v>1</v>
      </c>
      <c r="E9443" t="n">
        <v>5</v>
      </c>
      <c r="F9443">
        <f>HYPERLINK("https://www.reddit.com/r/GERD/comments/hyivsm/how_effective_has_switching_from_prilosec_to/")</f>
        <v/>
      </c>
      <c r="G9443" t="inlineStr">
        <is>
          <t>2020-07-26 18:20:05</t>
        </is>
      </c>
      <c r="H9443" t="inlineStr"/>
    </row>
    <row r="9444">
      <c r="A9444" t="inlineStr">
        <is>
          <t>hyjhm5</t>
        </is>
      </c>
      <c r="B9444" t="inlineStr">
        <is>
          <t>Getting side effects from Esomeprazole after switching from Omeprazole</t>
        </is>
      </c>
      <c r="C9444" t="inlineStr">
        <is>
          <t>I used to take 80 mg of Omeprazole, but it didn't help me. Now it's 4th day since I'm taking 80 mg of Nexium (Esomeprazole) and heartburn doesnt bother me anymore, but now I get nasty side effects from Nexium which I wasn't getting from Omeprazole. I get sulfur burps around 1 hour after eating, I get nausea right away after burping, I get gas and constipation (these problems weren't bothering me with Omeprazole, but Omeprazole wasnt working well for my heartburn). 
Will side effects go away with time or should I try to find another PPI besides Omeprazole and Esomeprazole? Also maybe I get side effect from Esomeprazole because of high dosage? Even though I wasn't getting any side effects on 80 mg of Omeprazole?</t>
        </is>
      </c>
      <c r="D9444" t="n">
        <v>1</v>
      </c>
      <c r="E9444" t="n">
        <v>0</v>
      </c>
      <c r="F9444">
        <f>HYPERLINK("https://www.reddit.com/r/GERD/comments/hyjhm5/getting_side_effects_from_esomeprazole_after/")</f>
        <v/>
      </c>
      <c r="G9444" t="inlineStr">
        <is>
          <t>2020-07-26 19:00:29</t>
        </is>
      </c>
      <c r="H9444" t="inlineStr"/>
    </row>
    <row r="9445">
      <c r="A9445" t="inlineStr">
        <is>
          <t>hyjorb</t>
        </is>
      </c>
      <c r="B9445" t="inlineStr">
        <is>
          <t>Face mask gerd</t>
        </is>
      </c>
      <c r="C9445" t="inlineStr">
        <is>
          <t>Out of curiosity, does a face mask cause anyone's gerd or heart burn to flare up a bit due to their nose being pinched in the mask?</t>
        </is>
      </c>
      <c r="D9445" t="n">
        <v>1</v>
      </c>
      <c r="E9445" t="n">
        <v>6</v>
      </c>
      <c r="F9445">
        <f>HYPERLINK("https://www.reddit.com/r/GERD/comments/hyjorb/face_mask_gerd/")</f>
        <v/>
      </c>
      <c r="G9445" t="inlineStr">
        <is>
          <t>2020-07-26 19:13:44</t>
        </is>
      </c>
      <c r="H9445" t="inlineStr"/>
    </row>
    <row r="9446">
      <c r="A9446" t="inlineStr">
        <is>
          <t>hyjqre</t>
        </is>
      </c>
      <c r="B9446" t="inlineStr">
        <is>
          <t>Vomiting every morning, upset stomach all day.</t>
        </is>
      </c>
      <c r="C9446" t="inlineStr">
        <is>
          <t>Hey I've had nausea and vomiting most days for the past 13 years, it's been hell and I've had most every GI test known to man, most recently in January I had my third or fourth endoscopy since the problems began. Ive had a hiatal hernia, and eosinophilic esophagus and they didn't find anything new on this latest endoscopy. The past three weeks or so I've waken up in the middle of the night or early in the morning just completely nauseated, in pain and having to dry heave. The pain and nausea sometimes last through the day and sometimes let's up, but it's always back in the morning. I don't drink alcohol so it's not a hangover. Guys have any idea? I'm so just done. I do have other issues too, I've had a couple kidney transplants. 
Tldr: waking up early morning every morning with pain and nausea and dry heaving which lasts at least through midday, anyone have any ideas why this is happening?</t>
        </is>
      </c>
      <c r="D9446" t="n">
        <v>1</v>
      </c>
      <c r="E9446" t="n">
        <v>6</v>
      </c>
      <c r="F9446">
        <f>HYPERLINK("https://www.reddit.com/r/GERD/comments/hyjqre/vomiting_every_morning_upset_stomach_all_day/")</f>
        <v/>
      </c>
      <c r="G9446" t="inlineStr">
        <is>
          <t>2020-07-26 19:17:35</t>
        </is>
      </c>
      <c r="H9446" t="inlineStr"/>
    </row>
    <row r="9447">
      <c r="A9447" t="inlineStr">
        <is>
          <t>hyjrzf</t>
        </is>
      </c>
      <c r="B9447" t="inlineStr">
        <is>
          <t>Reflux hell</t>
        </is>
      </c>
      <c r="C9447" t="inlineStr">
        <is>
          <t>Hi everyone!
I was diagnosed with GERD about twenty years ago, when I was 16. I had such bad reflux that I kind of stopped eating and I remember downing tums and Zantac, even after being prescribed 40mg of Omeprazole. I had an endoscopy and just remember being told that my stomach’s acid level was super high. 
The Omeprazole typically works for me. About two weeks ago it felt like all my previous symptoms came back. The meds aren’t helping me and neither are tums. I honestly haven’t changed anything about my diet or lifestyle. I made an appointment with a GI but I’m wondering what they can even help me with?
I don’t eat greasy food, hardly ever have soda, drink coffee(like 6 ounces) a couple mornings each week, but really nothing is coming to mind as to why my meds would just stop working.
Has this happened to any of you? Does anyone have any advice? I’d really appreciate it.</t>
        </is>
      </c>
      <c r="D9447" t="n">
        <v>1</v>
      </c>
      <c r="E9447" t="n">
        <v>17</v>
      </c>
      <c r="F9447">
        <f>HYPERLINK("https://www.reddit.com/r/GERD/comments/hyjrzf/reflux_hell/")</f>
        <v/>
      </c>
      <c r="G9447" t="inlineStr">
        <is>
          <t>2020-07-26 19:19:55</t>
        </is>
      </c>
      <c r="H9447" t="inlineStr"/>
    </row>
    <row r="9448">
      <c r="A9448" t="inlineStr">
        <is>
          <t>hyl3h0</t>
        </is>
      </c>
      <c r="B9448" t="inlineStr">
        <is>
          <t>Any one else triggered by beans?</t>
        </is>
      </c>
      <c r="C9448" t="inlineStr">
        <is>
          <t>I’m not sure if it’s certain beans or all of them, but every time I eat beans I get symptoms. This confuses me a little because they seem like a “safe” food. Really frustrating as I’ve been trying to eat as close to vegetarian as I can and need protein.</t>
        </is>
      </c>
      <c r="D9448" t="n">
        <v>1</v>
      </c>
      <c r="E9448" t="n">
        <v>3</v>
      </c>
      <c r="F9448">
        <f>HYPERLINK("https://www.reddit.com/r/GERD/comments/hyl3h0/any_one_else_triggered_by_beans/")</f>
        <v/>
      </c>
      <c r="G9448" t="inlineStr">
        <is>
          <t>2020-07-26 20:54:10</t>
        </is>
      </c>
      <c r="H9448" t="inlineStr"/>
    </row>
    <row r="9449">
      <c r="A9449" t="inlineStr">
        <is>
          <t>hyl6d2</t>
        </is>
      </c>
      <c r="B9449" t="inlineStr">
        <is>
          <t>Severe/chronic gas pains in chest</t>
        </is>
      </c>
      <c r="C9449" t="inlineStr">
        <is>
          <t>Hi everyone, 
First time posting here. I have not been diagnosed with GERD (I’m calling my doctor tomorrow to possibly talk about an endoscopy but just wanted to hear from others in the meantime) but I experience extremely painful stabbing-like gas pains in my chest and upper back maybe once or twice a week. The pain often reaches up into my jaw/face and can sometimes last for hours. It’s agonizing. I can’t pinpoint what brings it on- it’s definitely related to eating. But sometimes I can eat something and it’s totally fine and nothing happens and other times it causes so much pain. I’ve tried cutting out so many things and nothing really seems to eliminate it. I also can’t find anything that’s consistently successful in alleviating it. I’ve tried moving/walking/stretching, drinking fluids, taking antacids, gasx, and sometimes these things help and sometimes they don’t do anything. I’m a 21 year old female, healthy weight/BMI (was actually underweight when symptoms began) and overall pretty healthy. I’ve had this pain for several years but it’s only gotten this frequent in the last 1-2 years. I do have a parent with GERD but they don’t deal with this as a symptom.
I’ve been reading about gas pains in the chest online and most point to it as a symptom of GERD. However I don’t really experience any other GERD symptoms. I occasionally have acid reflux but it’s usually predictable after eating certain foods, is mild, and goes away with an antacid and doesn’t happen nearly as often as the chest pain. I might have acid reflux once or twice a month at the most. 
My main questions are: does anyone with GERD not experience acid reflux? Does anyone with GERD mainly experience this type of gas pain?</t>
        </is>
      </c>
      <c r="D9449" t="n">
        <v>1</v>
      </c>
      <c r="E9449" t="n">
        <v>8</v>
      </c>
      <c r="F9449">
        <f>HYPERLINK("https://www.reddit.com/r/GERD/comments/hyl6d2/severechronic_gas_pains_in_chest/")</f>
        <v/>
      </c>
      <c r="G9449" t="inlineStr">
        <is>
          <t>2020-07-26 21:00:13</t>
        </is>
      </c>
      <c r="H9449" t="inlineStr"/>
    </row>
    <row r="9450">
      <c r="A9450" t="inlineStr">
        <is>
          <t>hyme0d</t>
        </is>
      </c>
      <c r="B9450" t="inlineStr">
        <is>
          <t>Finally getting a Nissen Fundoplication surgery</t>
        </is>
      </c>
      <c r="C9450" t="inlineStr">
        <is>
          <t>I’m finally getting the surgery after three years of dealing with GERD. I haven’t been able to work a full time job for the last 2 1/2 years because my symptoms were so bad. I’m so happy to be done with this but at the same time I’m scared of the surgery and the recovery. I’ve been doing more reading and I’ve read that some people are afraid to do stuff cause they’re afraid it’ll come undone. Is that an actually possibility?</t>
        </is>
      </c>
      <c r="D9450" t="n">
        <v>1</v>
      </c>
      <c r="E9450" t="n">
        <v>8</v>
      </c>
      <c r="F9450">
        <f>HYPERLINK("https://www.reddit.com/r/GERD/comments/hyme0d/finally_getting_a_nissen_fundoplication_surgery/")</f>
        <v/>
      </c>
      <c r="G9450" t="inlineStr">
        <is>
          <t>2020-07-26 22:35:28</t>
        </is>
      </c>
      <c r="H9450" t="inlineStr"/>
    </row>
    <row r="9451">
      <c r="A9451" t="inlineStr">
        <is>
          <t>hymeex</t>
        </is>
      </c>
      <c r="B9451" t="inlineStr">
        <is>
          <t>Higher heart rate, heart palpitation PLEASE HELP!</t>
        </is>
      </c>
      <c r="C9451" t="inlineStr">
        <is>
          <t>I have suffered from gastric issues for about 6 years now! BURNING PAIN IN CHEST/BACK WITH HEART PALPITATIONS/HIGHER HEART RATE, SOMETIMES LUMP IN THROAT. ANGINA KIND OF CHEST PAIN, PAIN ON MY LEFT ARM. 
Been to the GI doctors; first time I had a barium test and was told that it was good but I did have a hiatal hernia, got PPIs for 3 months (did not made a difference) and then had upper endoscopies, that came out ok, with minor inflammation on bottom of esophagus (doctor never mentioned a hiatal hernia again) prescribed more PPIs for longer time (no help) I’ve tried to eat less, eliminate foods, eat at different times, not eat at all. Nothing seems to help, but what worries me the most is the elevated heart rate which has trigger anxiety. I went to a cardiologist who did an EKG, and the running on the treadmill test and everything came back good with normal SVT? I believe, also had a two day holster monitor which showed the same, normal with occasional elevated heart rate. I TOLD THE  CARDIOLOGIST ABOUT MAYBE STOMACH AND HEART BEING RELATED AND SHE DISMISSED IT. 
Now, this is how my day goes; I eat something and I feel bloated and my heart just beats faster (from being at 65 let’s say, it shoots to 132) and I can feel it, later I’ll get the burning/pain that can last for weeks (so debilitating) then anything I do makes my heart beat faster/out breath, just walking up the stairs, walking, talking NOTE: when my stomach feels good I don’t feel out of breath easily nor have such bad heart palpitations. 
I can’t have a life and doctors don’t recommend anything else than prescribe me more PPI’s. I am done, I am 31 and this is really been ruining my life. I’ve been getting really anxious lately and the heart symptoms are horrifying and getting me so scared that maybe it is my heart, maybe my stomach issues will make me have an actual heart problem etc. 
Do you guys experience this?? 
Wondering what’s your normal heart rate? From just sitting down to when your walking around?? 
ALSO: I’ve notice maybe not related at all and sorry for tmi: but when I feel like I have to go number two, I also get a nervous feeling and heart beats faster, sometimes I also get my cheeks so red and hot! 
I don’t know if this is related to my stomach/intestines? I’ve mentioned this too and they dismiss it as if no one else has ever had this symptoms!!
AM I ALONE IN THIS!!?? 
Thank you!!!</t>
        </is>
      </c>
      <c r="D9451" t="n">
        <v>1</v>
      </c>
      <c r="E9451" t="n">
        <v>18</v>
      </c>
      <c r="F9451">
        <f>HYPERLINK("https://www.reddit.com/r/GERD/comments/hymeex/higher_heart_rate_heart_palpitation_please_help/")</f>
        <v/>
      </c>
      <c r="G9451" t="inlineStr">
        <is>
          <t>2020-07-26 22:36:25</t>
        </is>
      </c>
      <c r="H9451" t="inlineStr"/>
    </row>
    <row r="9452">
      <c r="A9452" t="inlineStr">
        <is>
          <t>hymfy8</t>
        </is>
      </c>
      <c r="B9452" t="inlineStr">
        <is>
          <t>Is this a symptom of LPR?</t>
        </is>
      </c>
      <c r="C9452" t="inlineStr">
        <is>
          <t>So I have had GERD for the last 7-8 years. 29 Male, so for the last 2 years I feel my gerd has progressed to LPR like constant burping and chronic throat irritation and cough. 
So, start of this year I had a viral fever and had some sort of dry throat which was there for almost 3 weeks, the fever went away but I started feeling throat tightness and also some mild swallowing issues. My pcp started me with a course of PPI which I took for close to 4 months, the throat issue improved but still have the throat tightness and its been like this for the last 7 months. 
I feel like I have excess mucus in my throat but I dont have any mucus, get on and off throat irritation and scratchy feeling. Due to this pandemic I ended up gaining 10 lbs in 5 months and thats not helped my cause. I burped for 7-8 months last year like around 200 per day. I feel this has caused my damage to my throat.
&amp;amp;#x200B;
My throat is always tight, I can feel some food finding it hard to slide past but never had any trouble swallowing my food. Last year I had an endoscopy, MRI, 24hr Ph manometry and impedence and not a lot was found. I still burp a lot, dont have heartburn.
&amp;amp;#x200B;
So do you think, this is a symptom of LPR? I went to an ENT in march and he said apart from some mild inflammation in my lingual tonsils everything else looked alright. I did end up forcing the ent to give me referral to a swallow study (MBS) which he feels is not necessary. I also have chronic cough.
&amp;amp;#x200B;
If anyone has experienced the same or going through the same, can you guys let me know what measure or steps or even medications you have taken to relieve the tension? What test should I do or just focus on managing my diet and symptoms?</t>
        </is>
      </c>
      <c r="D9452" t="n">
        <v>1</v>
      </c>
      <c r="E9452" t="n">
        <v>0</v>
      </c>
      <c r="F9452">
        <f>HYPERLINK("https://www.reddit.com/r/GERD/comments/hymfy8/is_this_a_symptom_of_lpr/")</f>
        <v/>
      </c>
      <c r="G9452" t="inlineStr">
        <is>
          <t>2020-07-26 22:40:06</t>
        </is>
      </c>
      <c r="H9452" t="inlineStr"/>
    </row>
    <row r="9453">
      <c r="A9453" t="inlineStr">
        <is>
          <t>hynni1</t>
        </is>
      </c>
      <c r="B9453" t="inlineStr">
        <is>
          <t>GERD and Chickpeas problems?</t>
        </is>
      </c>
      <c r="C9453" t="inlineStr">
        <is>
          <t>So I have been on a "elimination" diet as my GERD has flared up recently.
I was considering the foods I have eaten and realized I have been eating a lot of chickpeas around the time my GERD problems started seriously getting out of control.
But I have never come across chickpeas being non GERD friendly.
So I am asking others if they have had any problems with GERD and chickpeas.
Thank you for reading.</t>
        </is>
      </c>
      <c r="D9453" t="n">
        <v>1</v>
      </c>
      <c r="E9453" t="n">
        <v>3</v>
      </c>
      <c r="F9453">
        <f>HYPERLINK("https://www.reddit.com/r/GERD/comments/hynni1/gerd_and_chickpeas_problems/")</f>
        <v/>
      </c>
      <c r="G9453" t="inlineStr">
        <is>
          <t>2020-07-27 00:23:29</t>
        </is>
      </c>
      <c r="H9453" t="inlineStr"/>
    </row>
    <row r="9454">
      <c r="A9454" t="inlineStr">
        <is>
          <t>hyohpa</t>
        </is>
      </c>
      <c r="B9454" t="inlineStr">
        <is>
          <t>Can Gerd cause a brain tumor :/</t>
        </is>
      </c>
      <c r="C9454" t="inlineStr">
        <is>
          <t>Hey guys I'm 19 and Ive had Gerd for about a month now and ever since it started I get this feeling in my head (not headache) that feels like someone is squeezing the sides of my head and stabbing it with needles and it goes on and off and its worse on some days, I'm worried that it might not even be related to my Gerd
Any advice please I'm freaking out</t>
        </is>
      </c>
      <c r="D9454" t="n">
        <v>1</v>
      </c>
      <c r="E9454" t="n">
        <v>11</v>
      </c>
      <c r="F9454">
        <f>HYPERLINK("https://www.reddit.com/r/GERD/comments/hyohpa/can_gerd_cause_a_brain_tumor/")</f>
        <v/>
      </c>
      <c r="G9454" t="inlineStr">
        <is>
          <t>2020-07-27 01:37:01</t>
        </is>
      </c>
      <c r="H9454" t="inlineStr"/>
    </row>
    <row r="9455">
      <c r="A9455" t="inlineStr">
        <is>
          <t>hyov64</t>
        </is>
      </c>
      <c r="B9455" t="inlineStr">
        <is>
          <t>probiotics for acid reflux</t>
        </is>
      </c>
      <c r="C9455" t="inlineStr">
        <is>
          <t>hi guys! just wanted to ask does probiotics good for acid reflux?</t>
        </is>
      </c>
      <c r="D9455" t="n">
        <v>1</v>
      </c>
      <c r="E9455" t="n">
        <v>19</v>
      </c>
      <c r="F9455">
        <f>HYPERLINK("https://www.reddit.com/r/GERD/comments/hyov64/probiotics_for_acid_reflux/")</f>
        <v/>
      </c>
      <c r="G9455" t="inlineStr">
        <is>
          <t>2020-07-27 02:08:56</t>
        </is>
      </c>
      <c r="H9455" t="inlineStr"/>
    </row>
    <row r="9456">
      <c r="A9456" t="inlineStr">
        <is>
          <t>hyr1if</t>
        </is>
      </c>
      <c r="B9456" t="inlineStr">
        <is>
          <t>Is there anywhere I can go to be taken seriously?</t>
        </is>
      </c>
      <c r="C9456" t="inlineStr">
        <is>
          <t>I’m a singer who deals with reflux and it’s basically been a year since I have sung a note....I went to an ent they say said they see a little swelling nothing serious and told me to see a gastroenterologist.Went and did that and got a endoscopy they said they see nothing wrong and told me to take Pepcid and also mentioned possibly going on antidepressants.....I told them that meds don’t work with me because I’ve tried for months and they made me feel worse....now I don’t know what to do where do I go from here? I get tons of mucus whenever I eat and get reflux bad when I lay down...I follow all the rules....not eating before bed,changing ur diet etc....nothing is working</t>
        </is>
      </c>
      <c r="D9456" t="n">
        <v>1</v>
      </c>
      <c r="E9456" t="n">
        <v>9</v>
      </c>
      <c r="F9456">
        <f>HYPERLINK("https://www.reddit.com/r/GERD/comments/hyr1if/is_there_anywhere_i_can_go_to_be_taken_seriously/")</f>
        <v/>
      </c>
      <c r="G9456" t="inlineStr">
        <is>
          <t>2020-07-27 05:07:13</t>
        </is>
      </c>
      <c r="H9456" t="inlineStr"/>
    </row>
    <row r="9457">
      <c r="A9457" t="inlineStr">
        <is>
          <t>hyr9kd</t>
        </is>
      </c>
      <c r="B9457" t="inlineStr">
        <is>
          <t>Shortness Of Breath</t>
        </is>
      </c>
      <c r="C9457" t="inlineStr">
        <is>
          <t>Hello everyone. M 20. So all my life i remember having this constant urge to burp excessively throughout the day everyday and it often causes relief from some sort of pressure inside. A doctor told me its probably GERD even though i have no other symptoms like heartburn. Now the issue is that along side this burping i often find it hard to take a breath, its like between every 2-3 breaths im forced to take a deep one cuz theres pressure on my lungs. Note i did check my lungs (xrays- some lung test where u blow into something- heart tests- oxygen level tests) and its all normal. So my question is: is this breathlessness feeling a common companion symptom for excessive burping due to GERD and is it common with you guys as well? Thank you :)</t>
        </is>
      </c>
      <c r="D9457" t="n">
        <v>1</v>
      </c>
      <c r="E9457" t="n">
        <v>5</v>
      </c>
      <c r="F9457">
        <f>HYPERLINK("https://www.reddit.com/r/GERD/comments/hyr9kd/shortness_of_breath/")</f>
        <v/>
      </c>
      <c r="G9457" t="inlineStr">
        <is>
          <t>2020-07-27 05:23:20</t>
        </is>
      </c>
      <c r="H9457" t="inlineStr"/>
    </row>
    <row r="9458">
      <c r="A9458" t="inlineStr">
        <is>
          <t>hyrpfb</t>
        </is>
      </c>
      <c r="B9458" t="inlineStr">
        <is>
          <t>Silent GERD people, tell me your story...</t>
        </is>
      </c>
      <c r="C9458" t="inlineStr">
        <is>
          <t>How did you discover that you had silent gerd? what is working for you?
For me, i had asthma, and once in a. while had bad reflux late at night... along with lots of mucus and other things I see on here... I was reading this sub and figured it out, my doctors never had a clue, or seemed to really care enough to try.</t>
        </is>
      </c>
      <c r="D9458" t="n">
        <v>1</v>
      </c>
      <c r="E9458" t="n">
        <v>8</v>
      </c>
      <c r="F9458">
        <f>HYPERLINK("https://www.reddit.com/r/GERD/comments/hyrpfb/silent_gerd_people_tell_me_your_story/")</f>
        <v/>
      </c>
      <c r="G9458" t="inlineStr">
        <is>
          <t>2020-07-27 05:53:34</t>
        </is>
      </c>
      <c r="H9458" t="inlineStr"/>
    </row>
    <row r="9459">
      <c r="A9459" t="inlineStr">
        <is>
          <t>hys1rs</t>
        </is>
      </c>
      <c r="B9459" t="inlineStr">
        <is>
          <t>Does anyone else get a sensation around their throat/neck that seems worse when wearing clothes on top half? Like a tightness/itchyness</t>
        </is>
      </c>
      <c r="C9459" t="inlineStr">
        <is>
          <t>Hi I'm just curious if anyone else experiences this? 
I have basically been diagnosed with IBS, been back and forth with doctors so much this past year and a half, but along with my stomach/gut woes, and muscles aches I get this sensation in my throat that I swear I don't get as much when I take anti acid meds like omeprazole.
I recently asked for another prescription of it just to try, so I've taken them for a week, and sure enough I don't find clothes on my top half as irritating.  Downside is I think omeprazole makes my stomach pains and constipation worse :/
I keep thinking I must be mad or it's at least a placebo but honestly it almost happens without fail, and this is even at home when I'm not doing anything so I swear it can't be anxiety etc.   I have found over counter anti acids can help a bit too. 
I occasionally get chest pain which I guess could be heartburn but I don't really know and I feel the doctors just don't want to discuss it.  I know it might not sound that bad but honestly it almost makes me want to stay at home and never go out because wearing a t-shirt irritates me so much nowadays.
I feel I used to get this sensation occasionally before my "IBS" but it was once in a blue moon, now it's constant..
Also I've tried wearing different materials, and there is no visible reaction to the clothes, so i don't think it's an allergy to them.. I do occasionally feel it without clothes but clothes makes it WAY worse. 
What else could it be if it isn't GERD?
Thanks for reading if you did, I'm really at a loss here..</t>
        </is>
      </c>
      <c r="D9459" t="n">
        <v>1</v>
      </c>
      <c r="E9459" t="n">
        <v>10</v>
      </c>
      <c r="F9459">
        <f>HYPERLINK("https://www.reddit.com/r/GERD/comments/hys1rs/does_anyone_else_get_a_sensation_around_their/")</f>
        <v/>
      </c>
      <c r="G9459" t="inlineStr">
        <is>
          <t>2020-07-27 06:15:10</t>
        </is>
      </c>
      <c r="H9459" t="inlineStr"/>
    </row>
    <row r="9460">
      <c r="A9460" t="inlineStr">
        <is>
          <t>hysjqo</t>
        </is>
      </c>
      <c r="B9460" t="inlineStr">
        <is>
          <t>My fear came true. They didn't find anything. I lost hope.</t>
        </is>
      </c>
      <c r="C9460" t="inlineStr">
        <is>
          <t>After 9 months of constant strong nausea and battling with having to vomit every minute, losing a lot of weight and having a lot of acid, and not even ppi helping, i finally had my endoscopy.
I was sure it had to be h pylori. But it's not. Its nothing. They didn't find anything. No diet has helped me, and i have been eating extremely bland and acid friendly food everyday. I did all the tricks, changed my life to improve this, but I'm still sick everyday. And not it's reassured, there is "no problem", there is no cure. 
 At 20 I lost all hope. I give up</t>
        </is>
      </c>
      <c r="D9460" t="n">
        <v>1</v>
      </c>
      <c r="E9460" t="n">
        <v>57</v>
      </c>
      <c r="F9460">
        <f>HYPERLINK("https://www.reddit.com/r/GERD/comments/hysjqo/my_fear_came_true_they_didnt_find_anything_i_lost/")</f>
        <v/>
      </c>
      <c r="G9460" t="inlineStr">
        <is>
          <t>2020-07-27 06:46:15</t>
        </is>
      </c>
      <c r="H9460" t="inlineStr"/>
    </row>
    <row r="9461">
      <c r="A9461" t="inlineStr">
        <is>
          <t>hyspwt</t>
        </is>
      </c>
      <c r="B9461" t="inlineStr">
        <is>
          <t>Digestive enzymes</t>
        </is>
      </c>
      <c r="C9461" t="inlineStr">
        <is>
          <t>Has anyone taken digestive enzymes while on PPIs? Is it ok to do or do I need to come off PPIs first?</t>
        </is>
      </c>
      <c r="D9461" t="n">
        <v>1</v>
      </c>
      <c r="E9461" t="n">
        <v>0</v>
      </c>
      <c r="F9461">
        <f>HYPERLINK("https://www.reddit.com/r/GERD/comments/hyspwt/digestive_enzymes/")</f>
        <v/>
      </c>
      <c r="G9461" t="inlineStr">
        <is>
          <t>2020-07-27 06:56:47</t>
        </is>
      </c>
      <c r="H9461" t="inlineStr"/>
    </row>
    <row r="9462">
      <c r="A9462" t="inlineStr">
        <is>
          <t>hysudk</t>
        </is>
      </c>
      <c r="B9462" t="inlineStr">
        <is>
          <t>Cabbage Juice on empty stomach or between meals? How much Omerprazole?</t>
        </is>
      </c>
      <c r="C9462" t="inlineStr">
        <is>
          <t>hey. Hope you all are having a great day. I have been thinking of trying cabbage juice. For those of you who have had a positive experience with cabbage juice I would like to know how you took it.
Did you just drink it in the morning on an empty stomach or did you take it during the day between meals?  
Also I have a question about Omerprazole? The omerprazole I took was 20mg. I had to take it once a day for 14 days. Then after the 14 days it says that I have to wait a month to take it again.
If I wait a month to go on it again after my first 14 days trying it would that be too much?</t>
        </is>
      </c>
      <c r="D9462" t="n">
        <v>1</v>
      </c>
      <c r="E9462" t="n">
        <v>2</v>
      </c>
      <c r="F9462">
        <f>HYPERLINK("https://www.reddit.com/r/GERD/comments/hysudk/cabbage_juice_on_empty_stomach_or_between_meals/")</f>
        <v/>
      </c>
      <c r="G9462" t="inlineStr">
        <is>
          <t>2020-07-27 07:04:00</t>
        </is>
      </c>
      <c r="H9462" t="inlineStr"/>
    </row>
    <row r="9463">
      <c r="A9463" t="inlineStr">
        <is>
          <t>hyt1bj</t>
        </is>
      </c>
      <c r="B9463" t="inlineStr">
        <is>
          <t>GERD - Hiatal Hernia - success follow up</t>
        </is>
      </c>
      <c r="C9463" t="inlineStr">
        <is>
          <t xml:space="preserve"> [https://www.reddit.com/r/GERD/comments/dm4v6k/recent\_success\_report/](https://www.reddit.com/r/GERD/comments/dm4v6k/recent_success_report/) 
I wanted to post an update on my recent success in dealing with GERD and specifically hiatal hernia. I had a REALLY bad case last fall in which I lost a ton of weight and was very stressed for a couple of months. In my post above you can see all the things I tried.
The reason I wanted to post an update is because it returned and I managed to deal with it MUCH better this time without quitting coffee (backed off a bit at one point) and didn't lose any weight in the process (may have gained a few pounds). This time, using the exercises I did from the Pam Fox website was just about all I did. However, it still took around 2-3 weeks to overcome. I did add some Pepzin GI into the mix during, but I'm pretty convinced that the exercises and stopping what caused it (more on that in a second) was the fix.
What caused it? I'm fairly certain (I have no proof) that sitting a certain way repeatedly caused my hiatal hernia originally and again recently. I had a habit of sitting cross legged in an office chair and leaning forward to work from home. I did the same thing when I was learning meditation last fall, but probably for larger periods of time. I know this won't apply to everyone with GERD, or even HH, but I hope this helps someone out there. Every case is very different, but there are a lot of things to try out there. You will get back to chocolate and coffee soon!</t>
        </is>
      </c>
      <c r="D9463" t="n">
        <v>1</v>
      </c>
      <c r="E9463" t="n">
        <v>7</v>
      </c>
      <c r="F9463">
        <f>HYPERLINK("https://www.reddit.com/r/GERD/comments/hyt1bj/gerd_hiatal_hernia_success_follow_up/")</f>
        <v/>
      </c>
      <c r="G9463" t="inlineStr">
        <is>
          <t>2020-07-27 07:15:10</t>
        </is>
      </c>
      <c r="H9463" t="inlineStr"/>
    </row>
    <row r="9464">
      <c r="A9464" t="inlineStr">
        <is>
          <t>hytufj</t>
        </is>
      </c>
      <c r="B9464" t="inlineStr">
        <is>
          <t>Luck with probiotics?</t>
        </is>
      </c>
      <c r="C9464" t="inlineStr">
        <is>
          <t>Hey everyone,
Just looking for your opinions on probiotics? Which ones do you use and why? Benefits you've found? Also curious about products you've used that ended up not being so great.
Thanks!</t>
        </is>
      </c>
      <c r="D9464" t="n">
        <v>1</v>
      </c>
      <c r="E9464" t="n">
        <v>4</v>
      </c>
      <c r="F9464">
        <f>HYPERLINK("https://www.reddit.com/r/GERD/comments/hytufj/luck_with_probiotics/")</f>
        <v/>
      </c>
      <c r="G9464" t="inlineStr">
        <is>
          <t>2020-07-27 08:00:32</t>
        </is>
      </c>
      <c r="H9464" t="inlineStr"/>
    </row>
    <row r="9465">
      <c r="A9465" t="inlineStr">
        <is>
          <t>hyw0oq</t>
        </is>
      </c>
      <c r="B9465" t="inlineStr">
        <is>
          <t>An Update 8 Weeks Post Surgery</t>
        </is>
      </c>
      <c r="C9465" t="inlineStr">
        <is>
          <t xml:space="preserve"> Hey everyone, I’ve gotten a few requests for an update post surgery. I had surgery on June 3rd, today is July 27 so it has been about 8 weeks. 
Please read my previous posts first to get the full story on my life with GERD, and finally being able to have surgery. There's a lot of comments on these posts that I have replied to answering a lot of questions, so maybe they can answer any personal questions you have regarding your experience with GERD, along with answering any questions you may have regarding my experiences. 
[Post one](https://www.reddit.com/r/GERD/comments/fe0967/my_lifelong_fight_with_gerd_is_finally_almost_over/)
[Post Two](https://www.reddit.com/r/GERD/comments/gvfgp7/today_is_my_last_day_having_gerd/)
[Post Three (an updated 3 days after surgery)](https://www.reddit.com/r/GERD/comments/gxx7tw/hey_guys_wanted_to_give_an_update_3_days_after/)
So the last few weeks have been very up and down, mostly down. Recovery from surgery was not as bad as I expected. Pain was manageable with the pain medication. Slept a lot. I am back to eating normal, can swallow mostly normal now, so I am not restricted. 
Before surgery I had severe GERD; I am a 22 year old female with Barrett’s Esophagus. Pretty young to have it so bad already, which is why I had surgery, and I have been having these procedures called BARRX HALO to essentially cauterize the cells in my esophagus that have been changing due to Barrett’s Esophagus. My next BARRX procedure is August 27. 
I had surgery, and obviously the goal with that is for your reflux to stop. I have been checking in with my surgeon every 2 weeks to move forward with recovery. Our last phone call was almost 2 weeks ago and currently I am supposed to be taking omeprazole every other day now to slowly wean off of it so I can stop taking it. Previously, I have been taking it every day, morning and evening for 4+ years.
Well currently my reflux is worse than it has ever been. It is constant. It is all day, every day, all night, I am still having acid reflux attacks at night where I wake up choking on acid, coughing, etc. I have had GERD forever really, and yes it has always been bad. But I typically experienced it at night, and during the day it was manageable with medication. Well now it's just almost constant. It's a burning in my throat that doesn't go away. I guess it's heartburn? I have always had just straight GERD that I have never been able to tell if it is heartburn or not but I think this is. Because it's constant. No matter what I eat or do not eat.
I don't know if this is supposed to be happening. I thought the reflux would immediately go away; and I was wrong and was told it does take some time to heal fully and it'll go away. Okay, that's fine. But it has been 8 weeks….and it is only getting worse. The first time I had an acid reflux attack at night post surgery, my doctor told me it may have been esophageal spasms because it is still healing and at that point it had not been too long after surgery. Okay, that makes sense. And that what I thought was reflux was actually those spasms. And that makes sense. 
But I know that it is not just spasms, and it is reflux. Because I am still choking on reflux. I am still feeling CONSTANT heartburn/reflux. Maybe the wrap is not tight enough? I really don’t want to have to go through surgery again but it’s like it made it worse. I will do whatever I have to do I guess but I am really disappointed. Not in my surgeon, I guess in myself. I don't know why. I do not think she did anything wrong at all, maybe it just needs tightened. I have a phone appointment on Wednesday and I'm going to tell her all of this.
Has anyone experienced this? Have you had multiple surgeries? I know it is not uncommon to have surgery and need it again YEARS later.
How long did it take for your reflux to stop after surgery?
Thank you to everyone who has been checking in on me and cares. It means a lot.</t>
        </is>
      </c>
      <c r="D9465" t="n">
        <v>1</v>
      </c>
      <c r="E9465" t="n">
        <v>6</v>
      </c>
      <c r="F9465">
        <f>HYPERLINK("https://www.reddit.com/r/GERD/comments/hyw0oq/an_update_8_weeks_post_surgery/")</f>
        <v/>
      </c>
      <c r="G9465" t="inlineStr">
        <is>
          <t>2020-07-27 09:54:40</t>
        </is>
      </c>
      <c r="H9465" t="inlineStr"/>
    </row>
    <row r="9466">
      <c r="A9466" t="inlineStr">
        <is>
          <t>hyxvca</t>
        </is>
      </c>
      <c r="B9466" t="inlineStr">
        <is>
          <t>Experiences getting off Nexium or other PPI's?</t>
        </is>
      </c>
      <c r="C9466" t="inlineStr">
        <is>
          <t>After nearly two decades of daily PPI use, I am almost two weeks into being Nexium and PPI free. The reason I stopped was kind of an accident. I recently introduced Greek Yogurt into my morning diet just to try something new. In doing so, I quickly realized how much it helped my gut. In addition, I started to forget to my morning Nexium multiple days in a row. When I realized it, I decided to just keep trying to live without it.
Fast forward to today, I am almost two weeks into my little experiment.  The first week was very easy, without any heartburn at all. However, over the last few days I have been experiencing heartburn about 3-4 times a day. I tried to get through it initially, but the last few days I had to take a Pepcid complete in the morning and a few Tums throughout the day. I also added some probiotic supplement to further help my stomach.  One positive though is that I still have no acid reflux at night that would interrupt my sleep, which likely would have forced me back to Nexium.  
Based on some online research, it appears that Nexium withdrawal may in and of itself cause heartburn for the first few weeks of stopping. Because of that, my short-term goal is to stay off any PPI’s for at least the next month for my body to readjust without Nexium.  I would still love to limit my usage of Tums or Pepcid, but I am fine taking them for now to get me past any withdrawal stage for the Nexium. 
By doing so, I hope I will have a better idea of how much heartburn I truly experience daily as well as the major triggers. Longer term, I’m willing to adjust some of my eating and lifestyle choices long term in order to stay off PPI’s.
For those that have success getting of Nexium, I would love to hear your story of how you made it work. Do you still need to take Tums or other H2 blockers consistently, or can you get by most days without even thinking about it?</t>
        </is>
      </c>
      <c r="D9466" t="n">
        <v>1</v>
      </c>
      <c r="E9466" t="n">
        <v>7</v>
      </c>
      <c r="F9466">
        <f>HYPERLINK("https://www.reddit.com/r/GERD/comments/hyxvca/experiences_getting_off_nexium_or_other_ppis/")</f>
        <v/>
      </c>
      <c r="G9466" t="inlineStr">
        <is>
          <t>2020-07-27 11:29:11</t>
        </is>
      </c>
      <c r="H9466" t="inlineStr"/>
    </row>
    <row r="9467">
      <c r="A9467" t="inlineStr">
        <is>
          <t>hyy7ct</t>
        </is>
      </c>
      <c r="B9467" t="inlineStr">
        <is>
          <t>Constant belching at night, is it GERD?</t>
        </is>
      </c>
      <c r="C9467" t="inlineStr">
        <is>
          <t>This started a few weeks ago. I noticed some chest pain and went to the hospital. They took some scans, told me it was a panic attack and sent me away. The chest pains still continue but I try to ignore it. Then the belching starts. It only happens at night when I lay down. My throat feels tight and it only loosens up until I get all the air out. My mouth tastes sour and sometimes my throat burns.
This sounds like GERD symptoms but I'm worried it might be a hernia or something else. I have abdominal pain only when the gas is bad. Once it's gone, I feel fine. I don't have any nausea.
I've tried to test different foods but that doesn't seem to change much. Sometimes the belching is less if I eat basic foods (chicken, crackers, etc.) but I haven't gone one night without it. I made the mistake of eating pizza last night and I burped so much I thought I'd puke. 
Anyone have these symptoms? It's driving me crazy. I can't sleep and the weird throat feeling makes me feel like I can't breathe.</t>
        </is>
      </c>
      <c r="D9467" t="n">
        <v>1</v>
      </c>
      <c r="E9467" t="n">
        <v>6</v>
      </c>
      <c r="F9467">
        <f>HYPERLINK("https://www.reddit.com/r/GERD/comments/hyy7ct/constant_belching_at_night_is_it_gerd/")</f>
        <v/>
      </c>
      <c r="G9467" t="inlineStr">
        <is>
          <t>2020-07-27 11:46:02</t>
        </is>
      </c>
      <c r="H9467" t="inlineStr"/>
    </row>
    <row r="9468">
      <c r="A9468" t="inlineStr">
        <is>
          <t>hyyg2l</t>
        </is>
      </c>
      <c r="B9468" t="inlineStr">
        <is>
          <t>Is esophageal manometry as bad as people make it out to be?</t>
        </is>
      </c>
      <c r="C9468" t="inlineStr">
        <is>
          <t>I'm having this tomorrow and ive seen a lot of comments about how its the worst thing people have ever experienced. is it more panic induced or is it actually THAT bad?</t>
        </is>
      </c>
      <c r="D9468" t="n">
        <v>1</v>
      </c>
      <c r="E9468" t="n">
        <v>4</v>
      </c>
      <c r="F9468">
        <f>HYPERLINK("https://www.reddit.com/r/GERD/comments/hyyg2l/is_esophageal_manometry_as_bad_as_people_make_it/")</f>
        <v/>
      </c>
      <c r="G9468" t="inlineStr">
        <is>
          <t>2020-07-27 11:58:49</t>
        </is>
      </c>
      <c r="H9468" t="inlineStr"/>
    </row>
    <row r="9469">
      <c r="A9469" t="inlineStr">
        <is>
          <t>hyyh09</t>
        </is>
      </c>
      <c r="B9469" t="inlineStr">
        <is>
          <t>Do I have GERD/Silent reflux?</t>
        </is>
      </c>
      <c r="C9469" t="inlineStr">
        <is>
          <t>I’m an 18 years old (M), i’ve began noticing severe tooth erosion and at the Same time (like 5 months ago) I’ve developed a strange sensation whenever i do Sit-ups/ leg raises when laying down, it’s almost like burping but at the same time it’s not(can’t tell if it’s acidic or not).
Note: I also have a sensation of stuck mucus in the back of my throat but those are my only symptoms.</t>
        </is>
      </c>
      <c r="D9469" t="n">
        <v>1</v>
      </c>
      <c r="E9469" t="n">
        <v>0</v>
      </c>
      <c r="F9469">
        <f>HYPERLINK("https://www.reddit.com/r/GERD/comments/hyyh09/do_i_have_gerdsilent_reflux/")</f>
        <v/>
      </c>
      <c r="G9469" t="inlineStr">
        <is>
          <t>2020-07-27 12:00:11</t>
        </is>
      </c>
      <c r="H9469" t="inlineStr"/>
    </row>
    <row r="9470">
      <c r="A9470" t="inlineStr">
        <is>
          <t>hyzgg9</t>
        </is>
      </c>
      <c r="B9470" t="inlineStr">
        <is>
          <t>Ph test tomorrow</t>
        </is>
      </c>
      <c r="C9470" t="inlineStr">
        <is>
          <t>I've had an endoscopy done, and the doctor didn't find anything from that. The next step is my ph test tomorrow and I'm so nervous. 
I was drugged (but awake) for the endoscopy, and I would almost rather have that done again instead of having this tube in me for 24 hours. 
Has anyone had a ph test done? Any advice?</t>
        </is>
      </c>
      <c r="D9470" t="n">
        <v>1</v>
      </c>
      <c r="E9470" t="n">
        <v>7</v>
      </c>
      <c r="F9470">
        <f>HYPERLINK("https://www.reddit.com/r/GERD/comments/hyzgg9/ph_test_tomorrow/")</f>
        <v/>
      </c>
      <c r="G9470" t="inlineStr">
        <is>
          <t>2020-07-27 12:50:57</t>
        </is>
      </c>
      <c r="H9470" t="inlineStr"/>
    </row>
    <row r="9471">
      <c r="A9471" t="inlineStr">
        <is>
          <t>hyzlj7</t>
        </is>
      </c>
      <c r="B9471" t="inlineStr">
        <is>
          <t>TIF patients</t>
        </is>
      </c>
      <c r="C9471" t="inlineStr">
        <is>
          <t>On another group (FB) there have recently  been a number of people claiming to have very severe side effects from the TIF procedure - very similar to complications seen in Nissen wraps - such as vagus nerve damage, dumping syndrome, reactive hypoglycemia, constant pain etc. I thought one of the benefits of TIF was that there were far less risks, and the vagus nerve wasn’t in play at all in the procedure. Am I wrong? Thanks!</t>
        </is>
      </c>
      <c r="D9471" t="n">
        <v>1</v>
      </c>
      <c r="E9471" t="n">
        <v>10</v>
      </c>
      <c r="F9471">
        <f>HYPERLINK("https://www.reddit.com/r/GERD/comments/hyzlj7/tif_patients/")</f>
        <v/>
      </c>
      <c r="G9471" t="inlineStr">
        <is>
          <t>2020-07-27 12:58:16</t>
        </is>
      </c>
      <c r="H9471" t="inlineStr"/>
    </row>
    <row r="9472">
      <c r="A9472" t="inlineStr">
        <is>
          <t>hz0j7g</t>
        </is>
      </c>
      <c r="B9472" t="inlineStr">
        <is>
          <t>A bad case of how I discovered I got GERD</t>
        </is>
      </c>
      <c r="C9472" t="inlineStr">
        <is>
          <t>Just sharing my story, and while this might be a scary situation, it might not happen to you and so you should always consult a doctor when you feel you might have GERD, and do not ignore your body, which what I did.. Might not be SFW tho.
&amp;amp;#x200B;
This happened over a year ago. I am M, 24 back then, a bit overweight and not really living a "healthy" lifestyle. Though I do not drink alcohol or coffee, I mostly soda. Still living with my parents but already working. 
One night, I had a nasty case where I was woken up with a really sore throat. Drinking water, I felt a stinging sensation yet the soreness weren't disappearing. Trying to cough it out made it a little better but I wasn't sure as to why just drinking water didn't work. Eventually, the soreness disappeared and so I just slept it out afterwards.
This has happened throughout months though I mostly ignored it, since I have a case where I'm sick in some months but perfectly fine throughout the rest of the year, and so I thought its just my mucus dripping down my throat and causing some problems.
Another night, it was much worse. I had eaten a heavy dinner. Same situation where my throat was really sore. Unfortunately, drinking water made it worse this time, and made me spew out the contents of my stomach. Surprisingly, the soreness of my throat completely disappeared after that. Though I had to clean up my mess in early AM..
With the thought that drinking water is bad and can cause me to spew out my stomach, when it happened again on another night, I just had to man it up and just cough it out until it's gone. 
At this point, I was just oblivious and didn't bother checking my symptoms or with a doctor and just trying to live out my life, until another night when it got really bad.
Again in a similar situation, woken up with a really bad sore throat and trying to cough it out again, but it made me spew once more even without water. But what came out was really black. That moment really shook me. Unlike my previous times where you can see barely digested food, this is a really black mess like an ink on a pen. I immediately googles what it was and found that it was called "Coffee Grounds". Basically, it's your Blood that was digested by your stomach. I immediately called my office that I will be going to the doctor early morning to get myself checked.
So early morning, I had my mom with me to get checked on a small "medical office" (not a hospital).
I had really no issues walking around, a bit hungry since I didn't eat breakfast and just answered the nurse's questions on what happened. I explained the coffee grounds thing that happened and so they want to check my blood for any issues. They took me to a small room where they have the equipment of taking blood. I got seated, and they took a good amount of blood from me. After that, the nurse told me that I could go. And so, I stood up.
At least I tried to.
My vision immediately blurred out, and I felt the room was moving in circles. I immediately sat down but it still felt the same. I was looking up, the nurse saw what was happening and something was coming out of my chest. And at the peak, I puked again, but this time, pure red blood came out.
The nurse screamed, my chest and right shoulder is covered in blood. I still felt a bit dizzy but I could look at my surroundings and there's a lot of blood on the floor as well. Unlike the last time where it's black, it's really really red blood that I spew out. The nurses scrambled and minutes later, some paramedics came to talk to me if I'm OK and everything. I no longer felt dizzy but I felt really weak and told them I feel OK, there's no pain and everything but I cried that time, asking if I'm going to die, because there's so much blood. They told me that it was OK and they'll be bringing me to an hospital really quickly. 
And so, they put me on a stretcher and immediately brought me outside. My mom saw me, terrified as to what happened, and the paramedics explained what happened inside. She was brought with me on the ambulance already ready outside the building, and brought me to the hospital.
I was fully conscious during this time, no longer felt dizzy at all. They kept asking me questions if I'm alright, and I was. I didn't feel anything painful at all, which was scary because where could have all that blood came from?
Eventually, I arrived at the hospital, being brought to the ER. A bunch of doctors came in, kept asking the same questions and I answered them all the same. I explained the ground coffee thing, that I wanted to get a checkup for what happened, and when they took out some of my blood, I got dizzy and spew out more blood.
After a few hours of waiting, they told me they'll need to perform an endoscopy to see what's going on. Unfortunately, I'm a bit sensitive when it comes to my mouth and when try to just have my mouth open for long enough, I start to gag. Eventually, I just asked them to just put me to sleep while they do their thing.
The cause was GERD. My stomach acid, which was left unchecked for months since I've been ignoring the symptoms, had caused a penny-sized wound on my esophagus that was causing all the bleeding. They said that it was already healing when they checked and they didn't need to "burn" the wound to stop it from bleeding. 
I was confined for about a week to make sure that the wound has healed and that my blood level has started to come back again, from losing all that blood. At the end, they only prescribed me to take omeperazole to prevent the GERD from coming back again. And it worked wonderfully, my nights of waking up with a sore throat never came back. Though it did return again after a few months after running out of omeprazole that the hospital gave me, and another quick checkup told me to just keep taking it. Which I have been taking ever since. 
It's been a year now and I'm still taking omeprazole and it still hasn't come back anymore, though I really do not want to be dependent on it if I stop taking it, but it looks like people have been taking it for years now, so I might become one of those people as well.
&amp;amp;#x200B;
Hope everyone here doesn't suffer the same issue as I did with GERD, that was one of my scariest moments in life.</t>
        </is>
      </c>
      <c r="D9472" t="n">
        <v>1</v>
      </c>
      <c r="E9472" t="n">
        <v>1</v>
      </c>
      <c r="F9472">
        <f>HYPERLINK("https://www.reddit.com/r/GERD/comments/hz0j7g/a_bad_case_of_how_i_discovered_i_got_gerd/")</f>
        <v/>
      </c>
      <c r="G9472" t="inlineStr">
        <is>
          <t>2020-07-27 13:47:37</t>
        </is>
      </c>
      <c r="H9472" t="inlineStr"/>
    </row>
    <row r="9473">
      <c r="A9473" t="inlineStr">
        <is>
          <t>hz18fx</t>
        </is>
      </c>
      <c r="B9473" t="inlineStr">
        <is>
          <t>Is this LPR?</t>
        </is>
      </c>
      <c r="C9473" t="inlineStr">
        <is>
          <t>So I have had GERD for the last 7-8 years. 29 Male, so for the last 2 years I feel my gerd has progressed to LPR like constant burping and chronic throat irritation and cough.
So, start of this year I had a viral fever and had some sort of dry throat which was there for almost 3 weeks, the fever went away but I started feeling throat tightness and also some mild swallowing issues. My pcp started me with a course of PPI which I took for close to 4 months, the throat issue improved but still have the throat tightness and its been like this for the last 7 months.
I feel like I have excess mucus in my throat but I dont have any mucus coming up. I do get on and off throat irritation and scratchy feeling especially after a meal. Due to this pandemic I ended up gaining 10 lbs in 5 months and thats not helped my cause.
&amp;amp;#x200B;
My throat is always tight, I can feel some food finding it hard to slide past but never had any trouble swallowing my food. Last year I had an endoscopy, MRI, 24hr Ph manometry and impedence and not a lot was found. I still burp a lot, dont have heartburn.
&amp;amp;#x200B;
So do you think, this is a symptom of LPR? I went to an ENT in march and he said apart from some mild inflammation in my lingual tonsils everything else looked alright. I did end up forcing the ent to give me referral to a swallow study (MBS) which he feels is not necessary. I also have chronic cough.
I also have been diagnosed with TMD ( Temporomandibular disorder ) which also causes these symptoms, this could be the reason but I am not sure.
&amp;amp;#x200B;
If anyone has experienced the same or going through the same, can you guys let me know what measure or steps or even medications you have taken to relieve the tension? What test should I do or just focus on managing my diet and symptoms?</t>
        </is>
      </c>
      <c r="D9473" t="n">
        <v>1</v>
      </c>
      <c r="E9473" t="n">
        <v>0</v>
      </c>
      <c r="F9473">
        <f>HYPERLINK("https://www.reddit.com/r/GERD/comments/hz18fx/is_this_lpr/")</f>
        <v/>
      </c>
      <c r="G9473" t="inlineStr">
        <is>
          <t>2020-07-27 14:24:44</t>
        </is>
      </c>
      <c r="H9473" t="inlineStr"/>
    </row>
    <row r="9474">
      <c r="A9474" t="inlineStr">
        <is>
          <t>hz25eq</t>
        </is>
      </c>
      <c r="B9474" t="inlineStr">
        <is>
          <t>yesterday I had diarrhea that came out one time. After that I havent felt the need to poop, do I need to be worried?</t>
        </is>
      </c>
      <c r="C9474" t="inlineStr">
        <is>
          <t>just as the tittle says, yesterday at 4 pm I had to poop diarrhea. But after relieving myself, I haven't felt the need to poop anymore. Yes, sometimes I go 2 days without pooping, but I'm worried about this for some reason.</t>
        </is>
      </c>
      <c r="D9474" t="n">
        <v>1</v>
      </c>
      <c r="E9474" t="n">
        <v>4</v>
      </c>
      <c r="F9474">
        <f>HYPERLINK("https://www.reddit.com/r/GERD/comments/hz25eq/yesterday_i_had_diarrhea_that_came_out_one_time/")</f>
        <v/>
      </c>
      <c r="G9474" t="inlineStr">
        <is>
          <t>2020-07-27 15:14:22</t>
        </is>
      </c>
      <c r="H9474" t="inlineStr"/>
    </row>
    <row r="9475">
      <c r="A9475" t="inlineStr">
        <is>
          <t>hz2vh9</t>
        </is>
      </c>
      <c r="B9475" t="inlineStr">
        <is>
          <t>Chest pain when laying down</t>
        </is>
      </c>
      <c r="C9475" t="inlineStr">
        <is>
          <t>Does anyone get chest pain when they lay on a specific side? I can only lay on my left or else I get minor uncomfortable chest pain.</t>
        </is>
      </c>
      <c r="D9475" t="n">
        <v>1</v>
      </c>
      <c r="E9475" t="n">
        <v>2</v>
      </c>
      <c r="F9475">
        <f>HYPERLINK("https://www.reddit.com/r/GERD/comments/hz2vh9/chest_pain_when_laying_down/")</f>
        <v/>
      </c>
      <c r="G9475" t="inlineStr">
        <is>
          <t>2020-07-27 15:55:33</t>
        </is>
      </c>
      <c r="H9475" t="inlineStr"/>
    </row>
    <row r="9476">
      <c r="A9476" t="inlineStr">
        <is>
          <t>hz467z</t>
        </is>
      </c>
      <c r="B9476" t="inlineStr">
        <is>
          <t>Week after sixth H pylori treatment, now burning feeling when burping (especially after eating fruits/salads), why is this?</t>
        </is>
      </c>
      <c r="C9476" t="inlineStr">
        <is>
          <t>I am not posting a diagnostic post, just asking for advice. 
I have H pylori, have had six treatments and my sixth one consisted of tetra, amox, high PPI and pepto. A week later, I'm feeling a burning feeling in my stomach a few hours after I eat and right after I eat fruits, like apples.  
&amp;amp;#x200B;
I asked in an H pylori forum and one "h pylori expert" said it could be because of H pylori damage and the stomach is repairing itself. No, I have been on omeprazole to suppress my Hp infection whenever my treatments failed. 
&amp;amp;#x200B;
So would this mean my H pylori came back or does it just mean, maybe my stomach acid is trying to rebalance or something? Plus it seems I've lost a little weight, like from 180 to 175 in a few weeks. I am active, walk every day, lift weights, eat healthy, and stuff. But I also eat enough, too.</t>
        </is>
      </c>
      <c r="D9476" t="n">
        <v>1</v>
      </c>
      <c r="E9476" t="n">
        <v>7</v>
      </c>
      <c r="F9476">
        <f>HYPERLINK("https://www.reddit.com/r/GERD/comments/hz467z/week_after_sixth_h_pylori_treatment_now_burning/")</f>
        <v/>
      </c>
      <c r="G9476" t="inlineStr">
        <is>
          <t>2020-07-27 17:12:44</t>
        </is>
      </c>
      <c r="H9476" t="inlineStr"/>
    </row>
    <row r="9477">
      <c r="A9477" t="inlineStr">
        <is>
          <t>hz5b8i</t>
        </is>
      </c>
      <c r="B9477" t="inlineStr">
        <is>
          <t>Burning in throat only ?</t>
        </is>
      </c>
      <c r="C9477" t="inlineStr">
        <is>
          <t>Does anyone have burning only in their throat ? I thought I had acid reflux cuz my throat always burns but my PPI doesn’t help and the doctor said acid reflux is usually burning in the stomach, chest, and throat</t>
        </is>
      </c>
      <c r="D9477" t="n">
        <v>1</v>
      </c>
      <c r="E9477" t="n">
        <v>13</v>
      </c>
      <c r="F9477">
        <f>HYPERLINK("https://www.reddit.com/r/GERD/comments/hz5b8i/burning_in_throat_only/")</f>
        <v/>
      </c>
      <c r="G9477" t="inlineStr">
        <is>
          <t>2020-07-27 18:24:09</t>
        </is>
      </c>
      <c r="H9477" t="inlineStr"/>
    </row>
    <row r="9478">
      <c r="A9478" t="inlineStr">
        <is>
          <t>hz5chh</t>
        </is>
      </c>
      <c r="B9478" t="inlineStr">
        <is>
          <t>muscle spasm (sensation) in lower chest?</t>
        </is>
      </c>
      <c r="C9478" t="inlineStr">
        <is>
          <t>i have been dealing with some mild GERD and sometimes when i overeat i have this muscle spasm sensation in my lower chest. i initially thought it was my heartbeat and the flood of anxiety ensued but it is not (confirmed by tests). anyone else have this?</t>
        </is>
      </c>
      <c r="D9478" t="n">
        <v>1</v>
      </c>
      <c r="E9478" t="n">
        <v>2</v>
      </c>
      <c r="F9478">
        <f>HYPERLINK("https://www.reddit.com/r/GERD/comments/hz5chh/muscle_spasm_sensation_in_lower_chest/")</f>
        <v/>
      </c>
      <c r="G9478" t="inlineStr">
        <is>
          <t>2020-07-27 18:26:23</t>
        </is>
      </c>
      <c r="H9478" t="inlineStr"/>
    </row>
    <row r="9479">
      <c r="A9479" t="inlineStr">
        <is>
          <t>hz5iuh</t>
        </is>
      </c>
      <c r="B9479" t="inlineStr">
        <is>
          <t>Please help me diagnose</t>
        </is>
      </c>
      <c r="C9479" t="inlineStr">
        <is>
          <t>Hello all I borrowed a friends account to get in touch with this group. Ive been really stuck and in hoping maybe someone here can help :(
I'm a 23 year old female (170 cm 53 kg so im decently skinny) and the past 5 months I've been having issues with an EXTREMELY itchy throat. It started 5 months ago when out of the blue I got a insanely itchy throat, my anxiety was also at it's worst. 4 years ago I was diagnosed with stress induced globus effect which never really left i just didnt stress about it when I noticed it anymore which made the symptoms a lot less bad. The globus effect came back in full force now I started stressing about my throat. 2 month ago I went on a very blend diet for a week of only gluten free pasta, cause I was stressed I had a food allergy. After my results came in that I wasn't allergic to the 7 most common food allergens in the Netherlands and also didn't have any inhalation allergies (so no hayfever dust allergy etc), I celebrated it by eating a cake and bread, also purely to gain back some weight. My throat started burning like crazy after this for a whole month (ive never felt burning like that in my throat). Which has calmed down again and is back at itching a lot. The worst part is that I'm a singer and I can't do my job like this properly. A doctor has looked at my vocal chords and saw it was a bit inflamed. I tried to track what I'm eating to see if its allergies but it's so crazy inconsistent that nothing seems to work no pattern. I've been on a bland diet of non acidic foods now for a while but that hasn't helped either. What I notice further is that after eating I feel tiny bubbles come up in my throat (i can even hear them), but thats without any pain. Sometimes it feels like food is stuck but that's really the globus effect. I dont feel any chest tightness or pain. My throat itch is almost constant, it stays for hours after eating and sometimes even appears without me eating. I dont have more throat burning in the morning necessarily. I also feel slime in my throat and I swallow wrong occasionally (where things go in my lungs). Sometimes I wake up with closed ears or a bit ear discomfort on only one side. Do you guys think its silent reflux? Or allergies? Can it be merely globus effect that got worse due to stress? My anxiety and stress are decently leveled again. I feel like I should go back to a more normal diet (that provided me with enough fat to at least stay on weight), I'm just really unsure which dietary road to follow rn. Thank you  a lot for reading this! I really hope someone can point me a way. :(</t>
        </is>
      </c>
      <c r="D9479" t="n">
        <v>1</v>
      </c>
      <c r="E9479" t="n">
        <v>8</v>
      </c>
      <c r="F9479">
        <f>HYPERLINK("https://www.reddit.com/r/GERD/comments/hz5iuh/please_help_me_diagnose/")</f>
        <v/>
      </c>
      <c r="G9479" t="inlineStr">
        <is>
          <t>2020-07-27 18:37:42</t>
        </is>
      </c>
      <c r="H9479" t="inlineStr"/>
    </row>
    <row r="9480">
      <c r="A9480" t="inlineStr">
        <is>
          <t>hz5ziw</t>
        </is>
      </c>
      <c r="B9480" t="inlineStr">
        <is>
          <t>Is it GERD?</t>
        </is>
      </c>
      <c r="C9480" t="inlineStr">
        <is>
          <t>Whenever I eat either Natural honey or natural Maple Syrup I get this burning/Cold sensation on my belly, around the left side. The reason I ask is because it is a feeling like acid reflux except it is way down on my belly. I also get it when I lie on my bed after eating. I don’t get it when I Lie down over 4 hours after I eat. 
FYI: I was diagnosed with Chronic Gastritis few years ago and underwent treatment for other stomach difficulties. 
Any thoughts or tips?</t>
        </is>
      </c>
      <c r="D9480" t="n">
        <v>1</v>
      </c>
      <c r="E9480" t="n">
        <v>1</v>
      </c>
      <c r="F9480">
        <f>HYPERLINK("https://www.reddit.com/r/GERD/comments/hz5ziw/is_it_gerd/")</f>
        <v/>
      </c>
      <c r="G9480" t="inlineStr">
        <is>
          <t>2020-07-27 19:07:23</t>
        </is>
      </c>
      <c r="H9480" t="inlineStr"/>
    </row>
    <row r="9481">
      <c r="A9481" t="inlineStr">
        <is>
          <t>hz69m0</t>
        </is>
      </c>
      <c r="B9481" t="inlineStr">
        <is>
          <t>Question</t>
        </is>
      </c>
      <c r="C9481" t="inlineStr">
        <is>
          <t>Is it possible I have GERD? I went to urgent care today and the doctor told me to buy some Tums and take those until I can get into a Gl doctor. Basically for the past few weeks no matter what I eat I end up burping all day and having indigestion, shortness of breath(not sure if it's because I can't go 20seconds without burping), and pain in my left ear. The doctor looked into my ear and said it looked perfect, so no ear infection. I know I should wait for the doctor to give me a definitive answer but this is making me pretty depressed and if it's possible GERD I can at least start altering my diet. Thanks in advance.</t>
        </is>
      </c>
      <c r="D9481" t="n">
        <v>1</v>
      </c>
      <c r="E9481" t="n">
        <v>1</v>
      </c>
      <c r="F9481">
        <f>HYPERLINK("https://www.reddit.com/r/GERD/comments/hz69m0/question/")</f>
        <v/>
      </c>
      <c r="G9481" t="inlineStr">
        <is>
          <t>2020-07-27 19:25:42</t>
        </is>
      </c>
      <c r="H9481" t="inlineStr"/>
    </row>
    <row r="9482">
      <c r="A9482" t="inlineStr">
        <is>
          <t>hz6lat</t>
        </is>
      </c>
      <c r="B9482" t="inlineStr">
        <is>
          <t>does anyone experience upper sternum area - esophagus area hurt when walking or running?</t>
        </is>
      </c>
      <c r="C9482" t="inlineStr">
        <is>
          <t>it also hurt when stretching, especially when compressing the chest.</t>
        </is>
      </c>
      <c r="D9482" t="n">
        <v>1</v>
      </c>
      <c r="E9482" t="n">
        <v>18</v>
      </c>
      <c r="F9482">
        <f>HYPERLINK("https://www.reddit.com/r/GERD/comments/hz6lat/does_anyone_experience_upper_sternum_area/")</f>
        <v/>
      </c>
      <c r="G9482" t="inlineStr">
        <is>
          <t>2020-07-27 19:47:21</t>
        </is>
      </c>
      <c r="H9482" t="inlineStr"/>
    </row>
    <row r="9483">
      <c r="A9483" t="inlineStr">
        <is>
          <t>hz75rj</t>
        </is>
      </c>
      <c r="B9483" t="inlineStr">
        <is>
          <t>Chest Pains and Question</t>
        </is>
      </c>
      <c r="C9483" t="inlineStr">
        <is>
          <t>so i was wondering is it normal for me not to have most chest pains in the middle of my chest? Because most of mine happen in the left and right parts of my chest. and i drink a bit of water like 10 minutes ago and my right side of my chest just started hurting while i drank it. it lasted for about 10 seconds is this normal?</t>
        </is>
      </c>
      <c r="D9483" t="n">
        <v>1</v>
      </c>
      <c r="E9483" t="n">
        <v>1</v>
      </c>
      <c r="F9483">
        <f>HYPERLINK("https://www.reddit.com/r/GERD/comments/hz75rj/chest_pains_and_question/")</f>
        <v/>
      </c>
      <c r="G9483" t="inlineStr">
        <is>
          <t>2020-07-27 20:26:31</t>
        </is>
      </c>
      <c r="H9483" t="inlineStr"/>
    </row>
    <row r="9484">
      <c r="A9484" t="inlineStr">
        <is>
          <t>hz8frm</t>
        </is>
      </c>
      <c r="B9484" t="inlineStr">
        <is>
          <t>Burning sensation in parts of chest, could it be GERD?.</t>
        </is>
      </c>
      <c r="C9484" t="inlineStr">
        <is>
          <t>So I was recently given a trial run of a PPI (Protonix) for suspected acid reflux issues (all related to atypical chest pain that we're trying to find the root cause of). I've been taking the PPI for about a week and I've noticed some symptoms go away, but some other symptoms that I've never had before have started - one of which being this random burning sensation that'll go up one side of my chest(left, right, and occasionally will switch sides); I can feel it in my stomach too. I initially figured acid reflux, but then I realized I'm on the PPI, but maybe it's replaced one symptom with another - or my case is worse that it initially appeared to be. I don't know. 
Has anyone here had this issue?.</t>
        </is>
      </c>
      <c r="D9484" t="n">
        <v>1</v>
      </c>
      <c r="E9484" t="n">
        <v>2</v>
      </c>
      <c r="F9484">
        <f>HYPERLINK("https://www.reddit.com/r/GERD/comments/hz8frm/burning_sensation_in_parts_of_chest_could_it_be/")</f>
        <v/>
      </c>
      <c r="G9484" t="inlineStr">
        <is>
          <t>2020-07-27 21:58:17</t>
        </is>
      </c>
      <c r="H9484" t="inlineStr"/>
    </row>
    <row r="9485">
      <c r="A9485" t="inlineStr">
        <is>
          <t>hz8g6n</t>
        </is>
      </c>
      <c r="B9485" t="inlineStr">
        <is>
          <t>Any positive experiences (as far as discomfort goes) with 48 hour Bravo PH tests?</t>
        </is>
      </c>
      <c r="C9485" t="inlineStr">
        <is>
          <t>On Thursday I have an endoscopy/Bravo sensor procedure. I had an endoscopy in the past, and have less nerves about that, but I am a bit concerned about the Bravo sensor from reading firsthand stories.
I realize there is more motivation for someone to write or share something about a procedure when it is a negative experience, so I am wondering if the "discomfort/pain" while the capsule is attached is truly a more rare experience like they claim it is or if anyone here had a painless or relatively easy recovery?
A little backstory: I have had silent reflux/LPR for a long time. In 2014 I had an endoscopy and everything came back as normal. In the last 6 years, the symptoms have gotten worse, and a strange happened, I came down with bronchitis in January and I seemed to be coughing so much that it kicked acid up into my vocal cords and created a hoarseness that happens the instant I eat or swallow anything, lasting months after I recovered from antibiotics. My voice has been altered since January. It seems like there could be something or an issue directly on my vocal cords or around my upper throat, as I can have a clear voice and literally the SECOND I swallow food it gets caught and I go hoarse for a while. After trying every PPI and H2 blocker, they felt I should use the sensor, since all other meds didn't do the job and to get more clarity.</t>
        </is>
      </c>
      <c r="D9485" t="n">
        <v>1</v>
      </c>
      <c r="E9485" t="n">
        <v>8</v>
      </c>
      <c r="F9485">
        <f>HYPERLINK("https://www.reddit.com/r/GERD/comments/hz8g6n/any_positive_experiences_as_far_as_discomfort/")</f>
        <v/>
      </c>
      <c r="G9485" t="inlineStr">
        <is>
          <t>2020-07-27 21:59:14</t>
        </is>
      </c>
      <c r="H9485" t="inlineStr"/>
    </row>
    <row r="9486">
      <c r="A9486" t="inlineStr">
        <is>
          <t>hz9v0k</t>
        </is>
      </c>
      <c r="B9486" t="inlineStr">
        <is>
          <t>Anyone tried the sauce brand Decoded?</t>
        </is>
      </c>
      <c r="C9486" t="inlineStr">
        <is>
          <t>I was just looking up sauce by Fody Foods but a lot of them are tomato based. Then I came across the brand Decoded that seems way safer for GERD. Just wanna know if anyone’s tried it!!</t>
        </is>
      </c>
      <c r="D9486" t="n">
        <v>1</v>
      </c>
      <c r="E9486" t="n">
        <v>0</v>
      </c>
      <c r="F9486">
        <f>HYPERLINK("https://www.reddit.com/r/GERD/comments/hz9v0k/anyone_tried_the_sauce_brand_decoded/")</f>
        <v/>
      </c>
      <c r="G9486" t="inlineStr">
        <is>
          <t>2020-07-27 23:53:56</t>
        </is>
      </c>
      <c r="H9486" t="inlineStr"/>
    </row>
    <row r="9487">
      <c r="A9487" t="inlineStr">
        <is>
          <t>hz9wu5</t>
        </is>
      </c>
      <c r="B9487" t="inlineStr">
        <is>
          <t>pressure on the throat and chest</t>
        </is>
      </c>
      <c r="C9487" t="inlineStr">
        <is>
          <t>hi guys just wanted to ask do you experience sore throat and pressure on the throat and chest and feeling like you're about to cough but not? just wondering if it is symptoms of gerd?</t>
        </is>
      </c>
      <c r="D9487" t="n">
        <v>1</v>
      </c>
      <c r="E9487" t="n">
        <v>1</v>
      </c>
      <c r="F9487">
        <f>HYPERLINK("https://www.reddit.com/r/GERD/comments/hz9wu5/pressure_on_the_throat_and_chest/")</f>
        <v/>
      </c>
      <c r="G9487" t="inlineStr">
        <is>
          <t>2020-07-27 23:58:21</t>
        </is>
      </c>
      <c r="H9487" t="inlineStr"/>
    </row>
    <row r="9488">
      <c r="A9488" t="inlineStr">
        <is>
          <t>hzac0y</t>
        </is>
      </c>
      <c r="B9488" t="inlineStr">
        <is>
          <t>White Claw for the win!</t>
        </is>
      </c>
      <c r="C9488" t="inlineStr">
        <is>
          <t>I’ve been drinking hard liquor 40% and above for as long as I can remember, but it eventually caught up to me and now I get massive heartburn when I drink. Surprisingly enough low proof beers will fuck me up more than hard liquor but both are awful for me. I tried everything from switching to lower proof alcohol to high proof beers but nothing was working that was till I discovered White Claw. I grabbed a 4 pack of the bigger sized bottles last week and I got more than just a buzz with absolutely no heartburn. Granted it was 400 calories in 4 bottles but with no chase such as soft drinks needed this is the perfect weekend drinker drink!</t>
        </is>
      </c>
      <c r="D9488" t="n">
        <v>1</v>
      </c>
      <c r="E9488" t="n">
        <v>7</v>
      </c>
      <c r="F9488">
        <f>HYPERLINK("https://www.reddit.com/r/GERD/comments/hzac0y/white_claw_for_the_win/")</f>
        <v/>
      </c>
      <c r="G9488" t="inlineStr">
        <is>
          <t>2020-07-28 00:34:26</t>
        </is>
      </c>
      <c r="H9488" t="inlineStr"/>
    </row>
    <row r="9489">
      <c r="A9489" t="inlineStr">
        <is>
          <t>hzbj8n</t>
        </is>
      </c>
      <c r="B9489" t="inlineStr">
        <is>
          <t>Anyone else have GERD so severe even water is a trigger?</t>
        </is>
      </c>
      <c r="C9489" t="inlineStr">
        <is>
          <t>I'm 24 and was diagnosed with Barret's Oesophagus, Gastritis and H pylori. Been on a couple antibiotics but nothing has worked yet.
During the quarantine I wasn't able to get my medications and once the lockdown was over the earliest appointment I could get was late August, so I rationed my PPI and unfortunately ran out last week. As a result I am constantly in pain because every single food, water and just working out cause my heartburn to flare up. I have it from the moment I wake up and it disturbs my sleep, so I am wondering if anyone else experiences this and do you guys have any tips on how to handle it until i can see my doctor? 
Thank you!</t>
        </is>
      </c>
      <c r="D9489" t="n">
        <v>1</v>
      </c>
      <c r="E9489" t="n">
        <v>53</v>
      </c>
      <c r="F9489">
        <f>HYPERLINK("https://www.reddit.com/r/GERD/comments/hzbj8n/anyone_else_have_gerd_so_severe_even_water_is_a/")</f>
        <v/>
      </c>
      <c r="G9489" t="inlineStr">
        <is>
          <t>2020-07-28 02:24:31</t>
        </is>
      </c>
      <c r="H9489" t="inlineStr"/>
    </row>
    <row r="9490">
      <c r="A9490" t="inlineStr">
        <is>
          <t>hzdngs</t>
        </is>
      </c>
      <c r="B9490" t="inlineStr">
        <is>
          <t>Does this get any better?</t>
        </is>
      </c>
      <c r="C9490" t="inlineStr">
        <is>
          <t>Hi, I'm new to all this and haven't officially been diagnosed with GERD but all my symptoms point to it and reading posts here help me feel calm some days.
How long until I'm back to normal basically? It's been 15 weeks of constant nausea, stuck feeling in throat and feeling very weak. I've had all sorts of tests and everything is clear. I'm only on Omeprozole 20mg and I can't even tell if they work (8 weeks).
I'm writing this stuck in bed, because if I stand up the symptoms go through the roof and I can't do anything, why can't I be taken seriously when it's affecting my life that I can't leave my bed?
I don't know what to do anymore. It's made my depression the worst I've ever been. This isn't a quality of life being stuck in bed 24/7. What can I ask from my doctors or do to be on the right track to "recovery"? I understand if it is GERD I could be suffering for life but it came on so sudden I first thought it was a stomach bug yet 4 months later, here we are still suffering :( guess I'm just looking for some guidance from other people in the same boat!</t>
        </is>
      </c>
      <c r="D9490" t="n">
        <v>1</v>
      </c>
      <c r="E9490" t="n">
        <v>15</v>
      </c>
      <c r="F9490">
        <f>HYPERLINK("https://www.reddit.com/r/GERD/comments/hzdngs/does_this_get_any_better/")</f>
        <v/>
      </c>
      <c r="G9490" t="inlineStr">
        <is>
          <t>2020-07-28 05:19:16</t>
        </is>
      </c>
      <c r="H9490" t="inlineStr"/>
    </row>
    <row r="9491">
      <c r="A9491" t="inlineStr">
        <is>
          <t>hzdot3</t>
        </is>
      </c>
      <c r="B9491" t="inlineStr">
        <is>
          <t>H Pylori anxiety? Gerd?</t>
        </is>
      </c>
      <c r="C9491" t="inlineStr">
        <is>
          <t>Story time I suppose. When I was 21 I had just eaten at the dining hall at school. On the bus back to my dorm I suddenly felt my heart racing, feeling of my throat shutting, my muscles tensing up real bad and I felt like I was going to die. I had never been a nervous individual or had nervousness/anxiety related episodes until that very day. As an aside, my grandmother had a stroke when I was in high school and I kept perfectly cool and calm with her all the way to the hospital. I imagine if such an event happened now I’d freak out. Anyways....I went to the ER and they found that my EKG among other things was normal. Once the semester ended I went to my PCP when I went back home. I took the breath test and was diagnosed with HPylori. From the point I first had that episode up until my first week on the antibiotics, I had non stop anxiety when eating. I’d eat anything and I’d tense up, heart racing, feeling faint. I only ate oatmeal once a day up until I finished treatment. I eventually tested negative and I suppose life went on according to my test results. So from the point of that first episode to the end of my treatment had been about 5 months. Fast forward the clock now nearly 5 years later and I’m 26 and those episodes of anxiety which I feel begin in my GI system have never left me. The episodes aren’t as bad anymore but I have them a few times a week. All in all I was wondering if this has happened to anyone else?
Also a bit about me, even after my bout with HPylori and barely eating I was and still am obese. And I come from a family with several GI issues but no danger. Doctors have just told me diet change and weight loss but I’ve gone weeks were I’ve avoided foods that cause acid reflux but still have these GI/anxiety episodes.</t>
        </is>
      </c>
      <c r="D9491" t="n">
        <v>1</v>
      </c>
      <c r="E9491" t="n">
        <v>3</v>
      </c>
      <c r="F9491">
        <f>HYPERLINK("https://www.reddit.com/r/GERD/comments/hzdot3/h_pylori_anxiety_gerd/")</f>
        <v/>
      </c>
      <c r="G9491" t="inlineStr">
        <is>
          <t>2020-07-28 05:22:03</t>
        </is>
      </c>
      <c r="H9491" t="inlineStr"/>
    </row>
    <row r="9492">
      <c r="A9492" t="inlineStr">
        <is>
          <t>hze954</t>
        </is>
      </c>
      <c r="B9492" t="inlineStr">
        <is>
          <t>Trying to deal with this stuff, am I going crazy or is it normal?</t>
        </is>
      </c>
      <c r="C9492" t="inlineStr">
        <is>
          <t>I was diagnosed with the H. Pylori and went through with the treatment about 6 months ago. This heartburn problem came back though but I know more less what triggers it and taking omeprazole on a regular basis does help a lot.
I really need reassurance on something though. Sometimes the constant burning gets me so down that it starts interfering with my thoughts. I get all negative and paranoid and feel like setting the world on fire or sometimes too tired to even bother with anything...can't focus, can't have a coherent conversation...
A feeling of hopelessness which sometimes can last days and is driving me crazy.
I know it might sound rhetorical but has it happen to anyone around here?</t>
        </is>
      </c>
      <c r="D9492" t="n">
        <v>1</v>
      </c>
      <c r="E9492" t="n">
        <v>3</v>
      </c>
      <c r="F9492">
        <f>HYPERLINK("https://www.reddit.com/r/GERD/comments/hze954/trying_to_deal_with_this_stuff_am_i_going_crazy/")</f>
        <v/>
      </c>
      <c r="G9492" t="inlineStr">
        <is>
          <t>2020-07-28 06:02:21</t>
        </is>
      </c>
      <c r="H9492" t="inlineStr"/>
    </row>
    <row r="9493">
      <c r="A9493" t="inlineStr">
        <is>
          <t>hzel8i</t>
        </is>
      </c>
      <c r="B9493" t="inlineStr">
        <is>
          <t>is it solvable during staying at home?</t>
        </is>
      </c>
      <c r="C9493" t="inlineStr">
        <is>
          <t>Hi guys, I have this problem in the quarantine too, i stayed at home about 6 month until this time i posting it and I had similar problems, like shortness of breath, feeling sick, a strange taste in the throat and the sore throat in the mornings ( but it really solved with inclination of bed ), i wanna say nothing new? to save and revive our feeling to be healthy and good?</t>
        </is>
      </c>
      <c r="D9493" t="n">
        <v>1</v>
      </c>
      <c r="E9493" t="n">
        <v>2</v>
      </c>
      <c r="F9493">
        <f>HYPERLINK("https://www.reddit.com/r/GERD/comments/hzel8i/is_it_solvable_during_staying_at_home/")</f>
        <v/>
      </c>
      <c r="G9493" t="inlineStr">
        <is>
          <t>2020-07-28 06:24:34</t>
        </is>
      </c>
      <c r="H9493" t="inlineStr"/>
    </row>
    <row r="9494">
      <c r="A9494" t="inlineStr">
        <is>
          <t>hzflzw</t>
        </is>
      </c>
      <c r="B9494" t="inlineStr">
        <is>
          <t>Every PPI I take stops working after a few months. Now what?</t>
        </is>
      </c>
      <c r="C9494" t="inlineStr">
        <is>
          <t>I know it's common for the body to develop tolerance for some of the GERD medications - but it's getting pretty awful in my case.
I first started with Lansoprazole (just 15mg once a day). It worked very well for about two years - then I had to move to twice a day - and then it just... stopped working. It was almost as if I wasn't taking pills at all, and all my symptoms came back.
So I moved to Pantoprazole (the lowest dose again, once a day). It worked well - but this time for about 8 months, when... again... it stopped working.
I moved on to Esomeprazole (Nexium). Just 4 months this time! So... I moved to Ranitidine (was happy to discover an H2 Blocker could work just as well for me!). It, too, stopped working after a few months.
When I try to go back to one of the older ones - Lansoprazole, for example - it doesn't work. So now I'm about to try Omeprazole. 
Will this cycle never end? And what am I going to do when the Omeprazole stops working, other then increase the dosage on one of these pills and hope for the best? 
Did anyone face something similar, and found a way around this?</t>
        </is>
      </c>
      <c r="D9494" t="n">
        <v>1</v>
      </c>
      <c r="E9494" t="n">
        <v>1</v>
      </c>
      <c r="F9494">
        <f>HYPERLINK("https://www.reddit.com/r/GERD/comments/hzflzw/every_ppi_i_take_stops_working_after_a_few_months/")</f>
        <v/>
      </c>
      <c r="G9494" t="inlineStr">
        <is>
          <t>2020-07-28 07:27:29</t>
        </is>
      </c>
      <c r="H9494" t="inlineStr"/>
    </row>
    <row r="9495">
      <c r="A9495" t="inlineStr">
        <is>
          <t>hzh88z</t>
        </is>
      </c>
      <c r="B9495" t="inlineStr">
        <is>
          <t>What can i do next?</t>
        </is>
      </c>
      <c r="C9495" t="inlineStr">
        <is>
          <t>Hi all, about six weeks ago i started having acid reflux. Mainly my symptoms being, burping a lot, passing gas, stool isn’t solid at all, sometimes i regurgitate food. I recently got tested for HPylori via blood and came back negative (kinda think it may be a false positive cause i was on PPIs during the test). I’m still having some symptoms but being on PPIs make me feel like trash. Any tips to cope with this?</t>
        </is>
      </c>
      <c r="D9495" t="n">
        <v>1</v>
      </c>
      <c r="E9495" t="n">
        <v>2</v>
      </c>
      <c r="F9495">
        <f>HYPERLINK("https://www.reddit.com/r/GERD/comments/hzh88z/what_can_i_do_next/")</f>
        <v/>
      </c>
      <c r="G9495" t="inlineStr">
        <is>
          <t>2020-07-28 08:59:53</t>
        </is>
      </c>
      <c r="H9495" t="inlineStr"/>
    </row>
    <row r="9496">
      <c r="A9496" t="inlineStr">
        <is>
          <t>hzhfay</t>
        </is>
      </c>
      <c r="B9496" t="inlineStr">
        <is>
          <t>I need decent sleep !</t>
        </is>
      </c>
      <c r="C9496" t="inlineStr">
        <is>
          <t>Hi people, I have GERD and a hiatus hernia and it's seriously mucking up my sleep. Amy tips ? other than the obvious , raise bed and don't eat for three hours before bed. Are there any decent sleeping pills out there ? 
Much love ❤️</t>
        </is>
      </c>
      <c r="D9496" t="n">
        <v>1</v>
      </c>
      <c r="E9496" t="n">
        <v>10</v>
      </c>
      <c r="F9496">
        <f>HYPERLINK("https://www.reddit.com/r/GERD/comments/hzhfay/i_need_decent_sleep/")</f>
        <v/>
      </c>
      <c r="G9496" t="inlineStr">
        <is>
          <t>2020-07-28 09:10:12</t>
        </is>
      </c>
      <c r="H9496" t="inlineStr"/>
    </row>
    <row r="9497">
      <c r="A9497" t="inlineStr">
        <is>
          <t>hzi8gw</t>
        </is>
      </c>
      <c r="B9497" t="inlineStr">
        <is>
          <t>Not 100% sure this is Acid Reflux, but my only symptoms are lots of burping/very full feeling in stomach. Any thoughts?</t>
        </is>
      </c>
      <c r="C9497" t="inlineStr">
        <is>
          <t>Hi all,
I am a 30 year old male. I had swallowing problems my whole life so I had a few upper endoscopies where it was revealed I had some Eosininphilc Esophagistis but eventually they said it was just some acid reflux. Scope showed it to be pretty mild.
A few months later in an attempt to gain some weight I started binge eating quite a bit at each meal and drank a lot of water with each meal to try to gain some weight. Eventually, this "fullness" would last hours and I would also be burping non stop. 
Fast forward several years to now, these symptoms flare up and down. Some days I will burp non stop and I feel uncomfortably full (almost like stomach is full of gas that needs to be burped out). It gets better oddly enough, when I eat a meal. Maybe it somehow gets rid of the gas in my stomach because foods in there digesting idk. 
My GI told me he thinks its IBS. I tried PPIs for long periods of times and now take Pepcid AC. Nothing seems to work for this. I don't think I can find any food triggers either.
Any thoughts?</t>
        </is>
      </c>
      <c r="D9497" t="n">
        <v>1</v>
      </c>
      <c r="E9497" t="n">
        <v>11</v>
      </c>
      <c r="F9497">
        <f>HYPERLINK("https://www.reddit.com/r/GERD/comments/hzi8gw/not_100_sure_this_is_acid_reflux_but_my_only/")</f>
        <v/>
      </c>
      <c r="G9497" t="inlineStr">
        <is>
          <t>2020-07-28 09:53:57</t>
        </is>
      </c>
      <c r="H9497" t="inlineStr"/>
    </row>
    <row r="9498">
      <c r="A9498" t="inlineStr">
        <is>
          <t>hzj3t4</t>
        </is>
      </c>
      <c r="B9498" t="inlineStr">
        <is>
          <t>does it hurt or itchy to touch the burning area - sternum area?</t>
        </is>
      </c>
      <c r="C9498" t="inlineStr">
        <is>
          <t>for people diagnosed with GERD, does it hurt or feel itchy to touch the burning area - especially sternum are.</t>
        </is>
      </c>
      <c r="D9498" t="n">
        <v>1</v>
      </c>
      <c r="E9498" t="n">
        <v>1</v>
      </c>
      <c r="F9498">
        <f>HYPERLINK("https://www.reddit.com/r/GERD/comments/hzj3t4/does_it_hurt_or_itchy_to_touch_the_burning_area/")</f>
        <v/>
      </c>
      <c r="G9498" t="inlineStr">
        <is>
          <t>2020-07-28 10:39:30</t>
        </is>
      </c>
      <c r="H9498" t="inlineStr"/>
    </row>
    <row r="9499">
      <c r="A9499" t="inlineStr">
        <is>
          <t>hzkaa1</t>
        </is>
      </c>
      <c r="B9499" t="inlineStr">
        <is>
          <t>Throat Coat Tea</t>
        </is>
      </c>
      <c r="C9499" t="inlineStr">
        <is>
          <t>Anyone have experience with this? I would like to hear if it made your symptoms worse or better! Looking into trying it out.</t>
        </is>
      </c>
      <c r="D9499" t="n">
        <v>1</v>
      </c>
      <c r="E9499" t="n">
        <v>5</v>
      </c>
      <c r="F9499">
        <f>HYPERLINK("https://www.reddit.com/r/GERD/comments/hzkaa1/throat_coat_tea/")</f>
        <v/>
      </c>
      <c r="G9499" t="inlineStr">
        <is>
          <t>2020-07-28 11:41:32</t>
        </is>
      </c>
      <c r="H9499" t="inlineStr"/>
    </row>
    <row r="9500">
      <c r="A9500" t="inlineStr">
        <is>
          <t>hzm0te</t>
        </is>
      </c>
      <c r="B9500" t="inlineStr">
        <is>
          <t>Zolfran for GERD</t>
        </is>
      </c>
      <c r="C9500" t="inlineStr">
        <is>
          <t>Finally went to the hospital for My GERD symptoms after I had terrible back and sternum pain for the last 3 days. After all my chest X-rays came back normal (i knew they would) i was officially diagnosed with GERD and prescribed Zolfran and Prevacid. Doing some research about Zolfran i see it’s a medication used for chemo nausea but can’t find much information about GERD. Does it help a lot? The doctor seemed confident it would help a lot.</t>
        </is>
      </c>
      <c r="D9500" t="n">
        <v>1</v>
      </c>
      <c r="E9500" t="n">
        <v>5</v>
      </c>
      <c r="F9500">
        <f>HYPERLINK("https://www.reddit.com/r/GERD/comments/hzm0te/zolfran_for_gerd/")</f>
        <v/>
      </c>
      <c r="G9500" t="inlineStr">
        <is>
          <t>2020-07-28 13:12:08</t>
        </is>
      </c>
      <c r="H9500" t="inlineStr"/>
    </row>
    <row r="9501">
      <c r="A9501" t="inlineStr">
        <is>
          <t>hznznm</t>
        </is>
      </c>
      <c r="B9501" t="inlineStr">
        <is>
          <t>Gnawing Feeling in stomach GERD or hunger? Hard to tell.</t>
        </is>
      </c>
      <c r="C9501" t="inlineStr">
        <is>
          <t>Hi everyone! I struggle with GERD and acid reflux and I feel like I constantly have this gnawing feeling in my stomach so I take it as being hungry, but I can also eat a whole meal and have that feeling after words? Anyone else experience this?</t>
        </is>
      </c>
      <c r="D9501" t="n">
        <v>1</v>
      </c>
      <c r="E9501" t="n">
        <v>13</v>
      </c>
      <c r="F9501">
        <f>HYPERLINK("https://www.reddit.com/r/GERD/comments/hznznm/gnawing_feeling_in_stomach_gerd_or_hunger_hard_to/")</f>
        <v/>
      </c>
      <c r="G9501" t="inlineStr">
        <is>
          <t>2020-07-28 14:56:45</t>
        </is>
      </c>
      <c r="H9501" t="inlineStr"/>
    </row>
    <row r="9502">
      <c r="A9502" t="inlineStr">
        <is>
          <t>hzo1w2</t>
        </is>
      </c>
      <c r="B9502" t="inlineStr">
        <is>
          <t>Can I switch from Nexium to omeprazol?</t>
        </is>
      </c>
      <c r="C9502" t="inlineStr">
        <is>
          <t>Recently I have had really bad GERD, but I got stuck in another country and it wasn’t going away so I took Nexium, and on the box it says to only take it for two weeks, that’s about to be over and I know it’s not going away so I was wondering if I can take another OTC PPI without it harming me in any way?</t>
        </is>
      </c>
      <c r="D9502" t="n">
        <v>1</v>
      </c>
      <c r="E9502" t="n">
        <v>1</v>
      </c>
      <c r="F9502">
        <f>HYPERLINK("https://www.reddit.com/r/GERD/comments/hzo1w2/can_i_switch_from_nexium_to_omeprazol/")</f>
        <v/>
      </c>
      <c r="G9502" t="inlineStr">
        <is>
          <t>2020-07-28 15:00:13</t>
        </is>
      </c>
      <c r="H9502" t="inlineStr"/>
    </row>
    <row r="9503">
      <c r="A9503" t="inlineStr">
        <is>
          <t>hzol4x</t>
        </is>
      </c>
      <c r="B9503" t="inlineStr">
        <is>
          <t>how long does your burning sensation last?</t>
        </is>
      </c>
      <c r="C9503" t="inlineStr">
        <is>
          <t>does it hurt or itchy when touched</t>
        </is>
      </c>
      <c r="D9503" t="n">
        <v>1</v>
      </c>
      <c r="E9503" t="n">
        <v>8</v>
      </c>
      <c r="F9503">
        <f>HYPERLINK("https://www.reddit.com/r/GERD/comments/hzol4x/how_long_does_your_burning_sensation_last/")</f>
        <v/>
      </c>
      <c r="G9503" t="inlineStr">
        <is>
          <t>2020-07-28 15:30:04</t>
        </is>
      </c>
      <c r="H9503" t="inlineStr"/>
    </row>
    <row r="9504">
      <c r="A9504" t="inlineStr">
        <is>
          <t>hzp9hw</t>
        </is>
      </c>
      <c r="B9504" t="inlineStr">
        <is>
          <t>It was the fish oil</t>
        </is>
      </c>
      <c r="C9504" t="inlineStr">
        <is>
          <t>I don't know who needs to hear this. I have had terrible acid reflux / stomach issues over the last 10 years, but their severity goes up and down from time to time. 
Lately, over the last 2 months, my symptoms got even worse. I could not sleep at night. No, literally could not sleep - my stomach would want to regurgitate whatever I ate. I would wake up nauseous and wanting to puke. I'd have to get up , drink baking soda or take an antacid, and sleep on the couch. 
I just realized two weeks ago that I've been taking fish oil lately. I've taken fish oil before and never had issues before. **Here was the issue this time:** the damn fish oil is over a year old, meaning I had opened it a year ago. I was never able to finish the bottle because I often forget to take my supplements. Well, it seems like this fish oil had gone rancid over time.
This knowledge dawned on me only after I popped a fish oil 2 weeks ago, checked the expiration date (it still had a month left). Here's the issue, the expiration date no longer applies if you have opened the product. For the case of fish oil, I read that after you open the jar, it's best to finish it within 3 months, and keep it in the fridge.
Well, on that day the harm was already done, I had already popped the fish oil cap. Sure enough, I started having bad stomach pain, bloating, and that was a terrible night of no-sleep for me. Fishy burps. Disgusting. 
It's been 2 weeks since - I've chucked the fish oil, and now keeping an eye on ANY foods / supplements I take that have been sitting around too long. Feeling much better and have been able to sleep again ! Don't take the risk ! **Check all your supplements and foods** !
On a side note: recently I started taking magnesium glycinate, and I don't know if it's helping or not, but I feel like it is. I haven't been feeling as anxious, and after several months of living sedentarily and in depression, this week I have actually gone back to the gym. GERD or other stomach issues can easily make you vitamin deficient, and I've read that 3 things that most Americans are lacking are omega 3, magnesium, and vitamin d. I get enough sun, but definitely not enough magnesium. So here's hoping things get better!</t>
        </is>
      </c>
      <c r="D9504" t="n">
        <v>1</v>
      </c>
      <c r="E9504" t="n">
        <v>13</v>
      </c>
      <c r="F9504">
        <f>HYPERLINK("https://www.reddit.com/r/GERD/comments/hzp9hw/it_was_the_fish_oil/")</f>
        <v/>
      </c>
      <c r="G9504" t="inlineStr">
        <is>
          <t>2020-07-28 16:09:34</t>
        </is>
      </c>
      <c r="H9504" t="inlineStr"/>
    </row>
    <row r="9505">
      <c r="A9505" t="inlineStr">
        <is>
          <t>hzqpth</t>
        </is>
      </c>
      <c r="B9505" t="inlineStr">
        <is>
          <t>Any good munchies snacks?</t>
        </is>
      </c>
      <c r="C9505" t="inlineStr">
        <is>
          <t>I’m a 420 person with GERD/GERD-like symptoms, and I need some better snacking alternatives. So far I’ve got a small list of snacks that should be safe, but I’d love input on snacks and recipes!</t>
        </is>
      </c>
      <c r="D9505" t="n">
        <v>1</v>
      </c>
      <c r="E9505" t="n">
        <v>18</v>
      </c>
      <c r="F9505">
        <f>HYPERLINK("https://www.reddit.com/r/GERD/comments/hzqpth/any_good_munchies_snacks/")</f>
        <v/>
      </c>
      <c r="G9505" t="inlineStr">
        <is>
          <t>2020-07-28 17:39:56</t>
        </is>
      </c>
      <c r="H9505" t="inlineStr"/>
    </row>
    <row r="9506">
      <c r="A9506" t="inlineStr">
        <is>
          <t>hzr7z1</t>
        </is>
      </c>
      <c r="B9506" t="inlineStr">
        <is>
          <t>Trouble swallowing day after endoscopy</t>
        </is>
      </c>
      <c r="C9506" t="inlineStr">
        <is>
          <t>I know it’s normal to have some trouble with gas and throat soreness but how long does it last. I feel like I constantly have to force a burp to relieve pressure and anytime I swallow even water it’s not painful but awkward. They took some biopsy’s, not sure if that is what effects heal time.</t>
        </is>
      </c>
      <c r="D9506" t="n">
        <v>1</v>
      </c>
      <c r="E9506" t="n">
        <v>2</v>
      </c>
      <c r="F9506">
        <f>HYPERLINK("https://www.reddit.com/r/GERD/comments/hzr7z1/trouble_swallowing_day_after_endoscopy/")</f>
        <v/>
      </c>
      <c r="G9506" t="inlineStr">
        <is>
          <t>2020-07-28 18:12:01</t>
        </is>
      </c>
      <c r="H9506" t="inlineStr"/>
    </row>
    <row r="9507">
      <c r="A9507" t="inlineStr">
        <is>
          <t>hzs5y8</t>
        </is>
      </c>
      <c r="B9507" t="inlineStr">
        <is>
          <t>does your burning sensation spread?</t>
        </is>
      </c>
      <c r="C9507" t="inlineStr">
        <is>
          <t>mine started at middle sternum --&amp;gt; stomach---&amp;gt;upper sternum ---&amp;gt; now, throat.</t>
        </is>
      </c>
      <c r="D9507" t="n">
        <v>1</v>
      </c>
      <c r="E9507" t="n">
        <v>1</v>
      </c>
      <c r="F9507">
        <f>HYPERLINK("https://www.reddit.com/r/GERD/comments/hzs5y8/does_your_burning_sensation_spread/")</f>
        <v/>
      </c>
      <c r="G9507" t="inlineStr">
        <is>
          <t>2020-07-28 19:13:39</t>
        </is>
      </c>
      <c r="H9507" t="inlineStr"/>
    </row>
    <row r="9508">
      <c r="A9508" t="inlineStr">
        <is>
          <t>hzsjct</t>
        </is>
      </c>
      <c r="B9508" t="inlineStr">
        <is>
          <t>On a PPI but Zantac is stopping regurgitation?</t>
        </is>
      </c>
      <c r="C9508" t="inlineStr">
        <is>
          <t>I thought that reducing my stomach acid wouldn’t prevent regurgitation? Now I’m starting to think i should just up my dose of PPI since Zantac has been so effective for *regurgitation*... I’m not so sure I believe the theory that PPIs and H-2 blockers didn’t reduce regurgitation.....</t>
        </is>
      </c>
      <c r="D9508" t="n">
        <v>1</v>
      </c>
      <c r="E9508" t="n">
        <v>3</v>
      </c>
      <c r="F9508">
        <f>HYPERLINK("https://www.reddit.com/r/GERD/comments/hzsjct/on_a_ppi_but_zantac_is_stopping_regurgitation/")</f>
        <v/>
      </c>
      <c r="G9508" t="inlineStr">
        <is>
          <t>2020-07-28 19:37:59</t>
        </is>
      </c>
      <c r="H9508" t="inlineStr"/>
    </row>
    <row r="9509">
      <c r="A9509" t="inlineStr">
        <is>
          <t>hzsjy1</t>
        </is>
      </c>
      <c r="B9509" t="inlineStr">
        <is>
          <t>Sudden nausea is it something serious</t>
        </is>
      </c>
      <c r="C9509" t="inlineStr">
        <is>
          <t>Hi
Suddnley few days ago I started getting nauseous at night especially near bedtime but I have not changed a thing and everynight I eat something different so what could it be ? 
Is it something series that I have to go the doctot ? 
Thanks</t>
        </is>
      </c>
      <c r="D9509" t="n">
        <v>1</v>
      </c>
      <c r="E9509" t="n">
        <v>0</v>
      </c>
      <c r="F9509">
        <f>HYPERLINK("https://www.reddit.com/r/GERD/comments/hzsjy1/sudden_nausea_is_it_something_serious/")</f>
        <v/>
      </c>
      <c r="G9509" t="inlineStr">
        <is>
          <t>2020-07-28 19:39:00</t>
        </is>
      </c>
      <c r="H9509" t="inlineStr"/>
    </row>
    <row r="9510">
      <c r="A9510" t="inlineStr">
        <is>
          <t>hzsorg</t>
        </is>
      </c>
      <c r="B9510" t="inlineStr">
        <is>
          <t>Do some of you workout?</t>
        </is>
      </c>
      <c r="C9510" t="inlineStr">
        <is>
          <t>I am just wondering if any of you have a workout plan of any sort. Mainly because I have not been able to lift heavy as it is a trigger and significantly worsens my symptoms with 1-3 days of starting a workout routine.
I am pretty underweight and I just wonder if anyone has found a way around this.</t>
        </is>
      </c>
      <c r="D9510" t="n">
        <v>1</v>
      </c>
      <c r="E9510" t="n">
        <v>8</v>
      </c>
      <c r="F9510">
        <f>HYPERLINK("https://www.reddit.com/r/GERD/comments/hzsorg/do_some_of_you_workout/")</f>
        <v/>
      </c>
      <c r="G9510" t="inlineStr">
        <is>
          <t>2020-07-28 19:47:43</t>
        </is>
      </c>
      <c r="H9510" t="inlineStr"/>
    </row>
    <row r="9511">
      <c r="A9511" t="inlineStr">
        <is>
          <t>hzsova</t>
        </is>
      </c>
      <c r="B9511" t="inlineStr">
        <is>
          <t>Constipation with Gaviscon advance</t>
        </is>
      </c>
      <c r="C9511" t="inlineStr">
        <is>
          <t>I bought gaviscon advance after reading the reviews here. I've been talking 1-2 tablets daily for the last two weeks.
During this time, I've had bad constipation. No change in diet and have good water and fiber intake. Could it be related? I know calcium in antacids causes constipation sometimes. Is something similar happening here.
Anyone else experienced this?</t>
        </is>
      </c>
      <c r="D9511" t="n">
        <v>1</v>
      </c>
      <c r="E9511" t="n">
        <v>3</v>
      </c>
      <c r="F9511">
        <f>HYPERLINK("https://www.reddit.com/r/GERD/comments/hzsova/constipation_with_gaviscon_advance/")</f>
        <v/>
      </c>
      <c r="G9511" t="inlineStr">
        <is>
          <t>2020-07-28 19:47:56</t>
        </is>
      </c>
      <c r="H9511" t="inlineStr"/>
    </row>
    <row r="9512">
      <c r="A9512" t="inlineStr">
        <is>
          <t>hzv351</t>
        </is>
      </c>
      <c r="B9512" t="inlineStr">
        <is>
          <t>Is it bad</t>
        </is>
      </c>
      <c r="C9512" t="inlineStr">
        <is>
          <t>Is it bad to take 80 mg of a protonix (2, i 52) and a phenergan (zc02). My stomach is killing me.</t>
        </is>
      </c>
      <c r="D9512" t="n">
        <v>1</v>
      </c>
      <c r="E9512" t="n">
        <v>0</v>
      </c>
      <c r="F9512">
        <f>HYPERLINK("https://www.reddit.com/r/GERD/comments/hzv351/is_it_bad/")</f>
        <v/>
      </c>
      <c r="G9512" t="inlineStr">
        <is>
          <t>2020-07-28 22:40:02</t>
        </is>
      </c>
      <c r="H9512" t="inlineStr"/>
    </row>
    <row r="9513">
      <c r="A9513" t="inlineStr">
        <is>
          <t>hzvh9d</t>
        </is>
      </c>
      <c r="B9513" t="inlineStr">
        <is>
          <t>Did anyone else become more sensitive twoards chemicals?</t>
        </is>
      </c>
      <c r="C9513" t="inlineStr">
        <is>
          <t>So my ENT diagnosed reflux. But I realized that things like perfume and desinfectant increase my throat pain almost instantly.
I had 5 okayish days, today my SO put on some perfume and the pain was there again. I noticed things like this a few times now. Before all of this, I reacted with sneezing but never with pain.
Anyone else experience things like this?</t>
        </is>
      </c>
      <c r="D9513" t="n">
        <v>1</v>
      </c>
      <c r="E9513" t="n">
        <v>1</v>
      </c>
      <c r="F9513">
        <f>HYPERLINK("https://www.reddit.com/r/GERD/comments/hzvh9d/did_anyone_else_become_more_sensitive_twoards/")</f>
        <v/>
      </c>
      <c r="G9513" t="inlineStr">
        <is>
          <t>2020-07-28 23:12:05</t>
        </is>
      </c>
      <c r="H9513" t="inlineStr"/>
    </row>
    <row r="9514">
      <c r="A9514" t="inlineStr">
        <is>
          <t>hzvjit</t>
        </is>
      </c>
      <c r="B9514" t="inlineStr">
        <is>
          <t>Anyone else here have scleroderma?</t>
        </is>
      </c>
      <c r="C9514" t="inlineStr">
        <is>
          <t>I'm starting to think I have scleroderma, and when I read the wikipedia page for it, I noticed that one of the side effects is GERD.   So I was just curious.</t>
        </is>
      </c>
      <c r="D9514" t="n">
        <v>1</v>
      </c>
      <c r="E9514" t="n">
        <v>1</v>
      </c>
      <c r="F9514">
        <f>HYPERLINK("https://www.reddit.com/r/GERD/comments/hzvjit/anyone_else_here_have_scleroderma/")</f>
        <v/>
      </c>
      <c r="G9514" t="inlineStr">
        <is>
          <t>2020-07-28 23:17:33</t>
        </is>
      </c>
      <c r="H9514" t="inlineStr"/>
    </row>
    <row r="9515">
      <c r="A9515" t="inlineStr">
        <is>
          <t>hzwn00</t>
        </is>
      </c>
      <c r="B9515" t="inlineStr">
        <is>
          <t>Weight loss problem</t>
        </is>
      </c>
      <c r="C9515" t="inlineStr">
        <is>
          <t>I have dropped alot of weight recently because I had to cut out soda and carbonation as it is a trigger I need help I can't eat enough to maintain my weight without getting sick any advice is helpful</t>
        </is>
      </c>
      <c r="D9515" t="n">
        <v>1</v>
      </c>
      <c r="E9515" t="n">
        <v>2</v>
      </c>
      <c r="F9515">
        <f>HYPERLINK("https://www.reddit.com/r/GERD/comments/hzwn00/weight_loss_problem/")</f>
        <v/>
      </c>
      <c r="G9515" t="inlineStr">
        <is>
          <t>2020-07-29 00:53:16</t>
        </is>
      </c>
      <c r="H9515" t="inlineStr"/>
    </row>
    <row r="9516">
      <c r="A9516" t="inlineStr">
        <is>
          <t>i003jt</t>
        </is>
      </c>
      <c r="B9516" t="inlineStr">
        <is>
          <t>How come I only get reflux when I lay down?</t>
        </is>
      </c>
      <c r="C9516" t="inlineStr">
        <is>
          <t>When I eat I just get a shit ton of mucus but when I lay down that’s when I feel the reflux....I’ve fasted for a whole day and still would get reflux when I lay down....I even got endoscopy and the doctor said nothing was wrong....I asked is my esophageal sphincter loose they said no....so why is acid passing through it and coming up my throat it dosent make any sense ....and what’s frustrating is that just throw meds your way and then say there is no reason to schedule any further appointments.....idk what to do</t>
        </is>
      </c>
      <c r="D9516" t="n">
        <v>1</v>
      </c>
      <c r="E9516" t="n">
        <v>8</v>
      </c>
      <c r="F9516">
        <f>HYPERLINK("https://www.reddit.com/r/GERD/comments/i003jt/how_come_i_only_get_reflux_when_i_lay_down/")</f>
        <v/>
      </c>
      <c r="G9516" t="inlineStr">
        <is>
          <t>2020-07-29 05:47:25</t>
        </is>
      </c>
      <c r="H9516" t="inlineStr"/>
    </row>
    <row r="9517">
      <c r="A9517" t="inlineStr">
        <is>
          <t>i00d9c</t>
        </is>
      </c>
      <c r="B9517" t="inlineStr">
        <is>
          <t>Just had a camera down my throat...unsure of the medical jargon in the letter!</t>
        </is>
      </c>
      <c r="C9517" t="inlineStr">
        <is>
          <t>So after having a "lump" feeling in my throat for ages, I managed to secure myself an ENT appointment, having to pay out of my own pocket.
(A bigger story to follow...but it was thanks to Reddit that I realized I likely had GERD and not allergies!)
My throat looked ok, but the consultant used the following phrase in the follow up letter. I didn't ask him about it at the time when I should have.
&amp;amp;#x200B;
&amp;gt;\[His\] pharyngolarynx are normal with perhaps some slight intraarachnoid mucosal swelling consistent with silent reflux. 
&amp;amp;#x200B;
So I know we're not doctors, but does anyone have any experience with this and what it means? The hypochondriac in me makes me think this is one step away from Barret's Esophagus...Im sure it's not though.</t>
        </is>
      </c>
      <c r="D9517" t="n">
        <v>1</v>
      </c>
      <c r="E9517" t="n">
        <v>11</v>
      </c>
      <c r="F9517">
        <f>HYPERLINK("https://www.reddit.com/r/GERD/comments/i00d9c/just_had_a_camera_down_my_throatunsure_of_the/")</f>
        <v/>
      </c>
      <c r="G9517" t="inlineStr">
        <is>
          <t>2020-07-29 06:06:07</t>
        </is>
      </c>
      <c r="H9517" t="inlineStr"/>
    </row>
    <row r="9518">
      <c r="A9518" t="inlineStr">
        <is>
          <t>i00eci</t>
        </is>
      </c>
      <c r="B9518" t="inlineStr">
        <is>
          <t>Dull pain in stomach, undiagnosed, worried about the future</t>
        </is>
      </c>
      <c r="C9518" t="inlineStr">
        <is>
          <t>hey guys! 19F, recently I've been having onsets of severe stomach pain during my tennis training sessions, and the only way to soothe the pain somewhat is for me to press really deep into my upper stomach area. it starts off as a hungry sensation, and progresses into a dull ache, and when it's at its worst, it feels as if someone is stabbing me in the stomach. located around upper left to upper middle stomach area. sometimes the pain is alleviated when I eat, other times eating doesn't work. its been a month of this pain, for the first three weeks it only occurred when I was engaging in physical activity but since last week I've been starting to feel the same dull ache in my stomach throughout the day as well. pain is far more prominent in the morning and at night. it hasn't been as severe as it was during training sessions, but I can feel it getting worse, and I've already been through two bottles of gaviscon, which doesn't help at all. 
other symptoms include a lot of burping, which has been happening since 4 years ago. when I burp, I can sometimes feel a little bit of food being regurgitated at the back of my throat, and I also feel as if it is very easy for me to vomit when I'm full, because I feel like all the food is at the back of my throat and if I burped I could bring it all up. in addition, I do get diarrhea a lot, randomly, which has also been ongoing since 4 years ago.
considering the fact that my grandma had acid reflux for a very long time and my father has experienced gastrointestinal bleeding twice in his life, I'm a bit worried about my stomach as well. also, I've actually only gotten pain in the gastric region once in my life before these episodes started happening, and I'm worried that my gastrointestinal health will just be going downhill from now on. any advice or similar experiences? do you think this could be gastritis or an ulcer, or anything similar? thanks for reading!</t>
        </is>
      </c>
      <c r="D9518" t="n">
        <v>1</v>
      </c>
      <c r="E9518" t="n">
        <v>13</v>
      </c>
      <c r="F9518">
        <f>HYPERLINK("https://www.reddit.com/r/GERD/comments/i00eci/dull_pain_in_stomach_undiagnosed_worried_about/")</f>
        <v/>
      </c>
      <c r="G9518" t="inlineStr">
        <is>
          <t>2020-07-29 06:08:03</t>
        </is>
      </c>
      <c r="H9518" t="inlineStr"/>
    </row>
    <row r="9519">
      <c r="A9519" t="inlineStr">
        <is>
          <t>i03crv</t>
        </is>
      </c>
      <c r="B9519" t="inlineStr">
        <is>
          <t>Starting Intense Elimination Diet Today - please enforce discipline</t>
        </is>
      </c>
      <c r="C9519" t="inlineStr">
        <is>
          <t>28y/o
Male
6’1
10.3 Stone (65kg/144lbs)
(Single? 😏)
- LPR symptoms since 2002
- Heartburn and chronic reflux started 2015
- Small hernia confirmed in 2018
- Gas indigestion since birth due to noburp until 2019 operation
- Heartburn stopped 2020, chronic reflux and LPR symptoms persisted until now
Triggers: Consuming a substantial amount of anything (including water) except broccoli and bananas.
Drinking close to eating.
I don’t eat animal products.
I’ve tried wheat eliminations for 21 days with no noticeable results.
Will update when I want to/on milestones.
50 DAY ELIMINATION (Small portions)
Broccoli
Boiled potato
Beetroot
Banana
B12
Vitamin D
Multivitamin
Water
Ginger tea
DAY 1: Miserable.</t>
        </is>
      </c>
      <c r="D9519" t="n">
        <v>1</v>
      </c>
      <c r="E9519" t="n">
        <v>28</v>
      </c>
      <c r="F9519">
        <f>HYPERLINK("https://www.reddit.com/r/GERD/comments/i03crv/starting_intense_elimination_diet_today_please/")</f>
        <v/>
      </c>
      <c r="G9519" t="inlineStr">
        <is>
          <t>2020-07-29 09:12:16</t>
        </is>
      </c>
      <c r="H9519" t="inlineStr"/>
    </row>
    <row r="9520">
      <c r="A9520" t="inlineStr">
        <is>
          <t>i03iby</t>
        </is>
      </c>
      <c r="B9520" t="inlineStr">
        <is>
          <t>After 9 glorious weeks (yes I count) without an acid flare up</t>
        </is>
      </c>
      <c r="C9520" t="inlineStr">
        <is>
          <t>My old friend is here to fuck up my week. GERD is such a frustrating and depressing affliction.</t>
        </is>
      </c>
      <c r="D9520" t="n">
        <v>1</v>
      </c>
      <c r="E9520" t="n">
        <v>15</v>
      </c>
      <c r="F9520">
        <f>HYPERLINK("https://www.reddit.com/r/GERD/comments/i03iby/after_9_glorious_weeks_yes_i_count_without_an/")</f>
        <v/>
      </c>
      <c r="G9520" t="inlineStr">
        <is>
          <t>2020-07-29 09:21:37</t>
        </is>
      </c>
      <c r="H9520" t="inlineStr"/>
    </row>
    <row r="9521">
      <c r="A9521" t="inlineStr">
        <is>
          <t>i03z2a</t>
        </is>
      </c>
      <c r="B9521" t="inlineStr">
        <is>
          <t>Gerd Came Back a Year Later</t>
        </is>
      </c>
      <c r="C9521" t="inlineStr">
        <is>
          <t>I got gerd for the first time last year after starting to vape daily and having a sedentary lifestyle. Eventually with about 2 weeks of prilosec and quitting the vape it went away. I ditched the sedentary lifestyle as I was on the road working outside for long days. It came back recently after a night of a huge midnight snack and using a more powerful vape than I had been using. I went on the prilosec hoping it would go away again but its been around for 3 weeks and while i do not have heartburn there is still a feeling of something stuck in my chest and belching/regurgitation. More of a silent reflux. Does anyone have a similar situation or have an idea of how to help this? It's just odd that it's come back around the same time as it did last year. It could be the sedentary lifestyle.</t>
        </is>
      </c>
      <c r="D9521" t="n">
        <v>1</v>
      </c>
      <c r="E9521" t="n">
        <v>5</v>
      </c>
      <c r="F9521">
        <f>HYPERLINK("https://www.reddit.com/r/GERD/comments/i03z2a/gerd_came_back_a_year_later/")</f>
        <v/>
      </c>
      <c r="G9521" t="inlineStr">
        <is>
          <t>2020-07-29 09:48:42</t>
        </is>
      </c>
      <c r="H9521" t="inlineStr"/>
    </row>
    <row r="9522">
      <c r="A9522" t="inlineStr">
        <is>
          <t>i04xaz</t>
        </is>
      </c>
      <c r="B9522" t="inlineStr">
        <is>
          <t>Does anything thing mouthwash could be a trigger?</t>
        </is>
      </c>
      <c r="C9522" t="inlineStr">
        <is>
          <t>I bought some peppermint mouthwash recently, and have had a flare up since then.. I know you don’t swallow it but surely some of the mouthwash travels down your throat. Anyone think it could be a trigger?</t>
        </is>
      </c>
      <c r="D9522" t="n">
        <v>1</v>
      </c>
      <c r="E9522" t="n">
        <v>4</v>
      </c>
      <c r="F9522">
        <f>HYPERLINK("https://www.reddit.com/r/GERD/comments/i04xaz/does_anything_thing_mouthwash_could_be_a_trigger/")</f>
        <v/>
      </c>
      <c r="G9522" t="inlineStr">
        <is>
          <t>2020-07-29 10:40:34</t>
        </is>
      </c>
      <c r="H9522" t="inlineStr"/>
    </row>
    <row r="9523">
      <c r="A9523" t="inlineStr">
        <is>
          <t>i052lz</t>
        </is>
      </c>
      <c r="B9523" t="inlineStr">
        <is>
          <t>Foods I found edible (results may vary)</t>
        </is>
      </c>
      <c r="C9523" t="inlineStr">
        <is>
          <t>Here are some foods I've found edible of gerd
1. Grilled chicken
2. Tuna
3. Frozen corn (usually the steam bags)
4. Baked potatoes 
5. Celery
6. Almond butter (brands may differ)
7. Bananas
8. Romaine lettuce
9. Simply pure pressed apple juice
10. Oatmeal
11. Gonala and gonala bars (almond butter and honey oat)
12. Chicken noodle soup
13. Egg flower soup
14. Rice
16. Plain pasta
17. Frosted mini wheats
18. Turkey hot dogs
19. Apples
20. Bread (no rye or french bread)
21. Sliced turkey sandwich slices
22. Pears
23. Greek yogurt (vanilla or plain) 
24. Whole wheat organic tortillas
25. Pretzels</t>
        </is>
      </c>
      <c r="D9523" t="n">
        <v>1</v>
      </c>
      <c r="E9523" t="n">
        <v>8</v>
      </c>
      <c r="F9523">
        <f>HYPERLINK("https://www.reddit.com/r/GERD/comments/i052lz/foods_i_found_edible_results_may_vary/")</f>
        <v/>
      </c>
      <c r="G9523" t="inlineStr">
        <is>
          <t>2020-07-29 10:48:27</t>
        </is>
      </c>
      <c r="H9523" t="inlineStr"/>
    </row>
    <row r="9524">
      <c r="A9524" t="inlineStr">
        <is>
          <t>i058tn</t>
        </is>
      </c>
      <c r="B9524" t="inlineStr">
        <is>
          <t>Anyone get chest pressure/tightness when lifting things?</t>
        </is>
      </c>
      <c r="C9524" t="inlineStr">
        <is>
          <t>Almost feels like a heart problem, but I went to the ER and everything was fine last time it happened. Related to GERD?</t>
        </is>
      </c>
      <c r="D9524" t="n">
        <v>1</v>
      </c>
      <c r="E9524" t="n">
        <v>4</v>
      </c>
      <c r="F9524">
        <f>HYPERLINK("https://www.reddit.com/r/GERD/comments/i058tn/anyone_get_chest_pressuretightness_when_lifting/")</f>
        <v/>
      </c>
      <c r="G9524" t="inlineStr">
        <is>
          <t>2020-07-29 10:57:57</t>
        </is>
      </c>
      <c r="H9524" t="inlineStr"/>
    </row>
    <row r="9525">
      <c r="A9525" t="inlineStr">
        <is>
          <t>i05ex8</t>
        </is>
      </c>
      <c r="B9525" t="inlineStr">
        <is>
          <t>Teeth damage due to stomach acid?</t>
        </is>
      </c>
      <c r="C9525" t="inlineStr">
        <is>
          <t>Does anyone suffer from sensitive teeth, likely due to stomach acid?</t>
        </is>
      </c>
      <c r="D9525" t="n">
        <v>1</v>
      </c>
      <c r="E9525" t="n">
        <v>7</v>
      </c>
      <c r="F9525">
        <f>HYPERLINK("https://www.reddit.com/r/GERD/comments/i05ex8/teeth_damage_due_to_stomach_acid/")</f>
        <v/>
      </c>
      <c r="G9525" t="inlineStr">
        <is>
          <t>2020-07-29 11:07:19</t>
        </is>
      </c>
      <c r="H9525" t="inlineStr"/>
    </row>
    <row r="9526">
      <c r="A9526" t="inlineStr">
        <is>
          <t>i07mhq</t>
        </is>
      </c>
      <c r="B9526" t="inlineStr">
        <is>
          <t>GERD cured - Hital Hernia Repair + Nissen Fundoplication - *Week 3*</t>
        </is>
      </c>
      <c r="C9526" t="inlineStr">
        <is>
          <t>Hey all, wanted to give an update.
Spoke with my Doctor today and he said that I can start incorporating small amounts of normal food back in my diet, just have to be careful with bread and hotdogs apparently, ha!  He said most of the time people come in after surgery with an impacted esophagus it's bread or hot dogs they pull out.  Pizza and salad tonight!  Unfortunately I can't eat more than 8-12oz per meal every 2 hours without experiencing dumping syndrome.  He said this would clear up over time, but to eat like 4oz of food every hour to avoid it.  He also said to back off the liquid foods and that should help as well.
I am off the hydromorphone, tramadol, and tylenol after 2 weeks and managing my pain level around a 4.  Unfortunately I live in the grass seed capital of the world and sneezed twice yesterday which has caused me some soreness today.  Still can't sleep on my sides, but the wedge is freaking gone!!! I can sleep flat! No sour taste in my mouth, no more teeth hurting in the morning, no more regurgitation before bed.  Yesterday I had my first 8 hour night of sleep in like 2 years.  So freaking happy.  Even though i had a bleedout during surgery I do not regret having it done at all.  
I am 6'4 and when I went into the hospital on 7/14 I was 314 lbs, decent muscle, definitely some flab.  Usually like to be around 280 for my frame, so I was a bit chunky going into surgery.  During my stay at the hospital I had no food except for two Ensure drinks and a bunch of IV bags and walked out of the hospital at 323 lbs from the fluids they put in me.  Due to the nature of the liquid diet and the impossibility for me to get 2800-3500 calories a day like the dietitian in the ICU told me to get, my weight has plummeted and my muscles are packing their bags and leaving me.
&amp;amp;#x200B;
|7/14|314|
|:-|:-|
|7/18|323.4|
|7/19|314|
|7/20|310|
|7/21|303.4|
|7/22|301.4|
|7/23|299.5|
|7/24|299.5|
|7/25|299|
|7/26|301|
|7/27|299.5|
|7/28|299|
|7/29|299|
&amp;amp;#x200B;
The doctor said today that this is the ideal time to continue my weight loss to my goal of 270/280ish since I am unable to eat much.  The good news is I am able to get enough calories to maintain 299 right now, so the body can heal, but starting on Monday I am dropping my calories by 500 a day with some intermittent fasting to get back down to 280.
My doctor thinks my HH is from years of sports injuries in football, baseball, and track combined with heavy lifting for a decade coupled with bouts of vomiting from Norovirus and drinking too much over the years.  And probably from being a bit overweight as well.  I am still unable to take a full breath - i can take a deep breath up to about 60%, he said that is normal and over the next 3 months to a year it should go away as the hernia fully repairs and gains more flexibility.
My blood levels are back up to about normal, i'm about 75% to normal and am able to take a 1 mile walk 3 times a day, which is supposed to speed healing and prevent infection and constipation.  The glue they put on my laparoscopic incisions has come off and things are healing well.  I am going to have a glass of wine tonight (dr said it was cool) and he even said I can have marijuana as long as it's not in a combustible form because the medical community treats it like cigarette combustion which can slow healing.  Edibles here i come!  
I do have to deal with dumping syndrome now, which shouldn't be a problem for me because I am not a sugar person, more savory - however I have noticed if I have liquids with my meals it triggers it as well, so I am going to have to figure out other ways to lubricate food to go down easier like gravy, tartar sauce, or olive oil dressings.  Still, I'd rather have dumping syndrome for a year than GERD forever.
I'm putting my story out there to try and help even just one person who is either going through GERD/LPR and possibly you have a mechanical issue vs stomach inflammation from a poor diet or a high acid/carbonation diet.  Please don't lose hope - I know how frustrating, defeating, and lonely this road can be, I suffered for over 15 months - eating countless PPI's, aluminum based pills, tums, and other things just to find 30 minutes of relief in a day.  
There is a light at the end of the tunnel.  Worst case scenario someone could get a gastric bypass or a Nissen and it would have a 95% chance of curing GERD.  Just keep pushing through, one day at a time, and demand tests from your gastro like the PH Bravo, Gastric Emptying study, and Barium swallow.   Be the squeaky wheel and don't let them push you around saying it's just anxiety and all in your head.   And if your gastro won't do it, find another gastro that will, there are tens of thousands of them in the USA alone.  
I would like to donate my entire shelf of unopened tagament/prilosec/antacids/UK gaviscon(about 7 full bottles left) to anyone that might be in need.  PM me and i'll see about shipping it out this week if anyone is interested.  Stay strong people!</t>
        </is>
      </c>
      <c r="D9526" t="n">
        <v>1</v>
      </c>
      <c r="E9526" t="n">
        <v>9</v>
      </c>
      <c r="F9526">
        <f>HYPERLINK("https://www.reddit.com/r/GERD/comments/i07mhq/gerd_cured_hital_hernia_repair_nissen/")</f>
        <v/>
      </c>
      <c r="G9526" t="inlineStr">
        <is>
          <t>2020-07-29 13:05:17</t>
        </is>
      </c>
      <c r="H9526" t="inlineStr"/>
    </row>
    <row r="9527">
      <c r="A9527" t="inlineStr">
        <is>
          <t>i085x1</t>
        </is>
      </c>
      <c r="B9527" t="inlineStr">
        <is>
          <t>Nausea from GERD medication</t>
        </is>
      </c>
      <c r="C9527" t="inlineStr">
        <is>
          <t>Has anyone found that some GERD medication s above give them severe nausea?
Nexium works great for me but I find that it gives me severe nausea, same with maalox and a medication I am currently on  called Sompraz IT.
Has anyone else also experienced similar effects, and if so what did you do to relieve the nausea?</t>
        </is>
      </c>
      <c r="D9527" t="n">
        <v>1</v>
      </c>
      <c r="E9527" t="n">
        <v>2</v>
      </c>
      <c r="F9527">
        <f>HYPERLINK("https://www.reddit.com/r/GERD/comments/i085x1/nausea_from_gerd_medication/")</f>
        <v/>
      </c>
      <c r="G9527" t="inlineStr">
        <is>
          <t>2020-07-29 13:34:31</t>
        </is>
      </c>
      <c r="H9527" t="inlineStr"/>
    </row>
    <row r="9528">
      <c r="A9528" t="inlineStr">
        <is>
          <t>i086td</t>
        </is>
      </c>
      <c r="B9528" t="inlineStr">
        <is>
          <t>Positive Esophageal Manometry Experience</t>
        </is>
      </c>
      <c r="C9528" t="inlineStr">
        <is>
          <t>I'm sure everyone searching on Reddit has seen the horrible experiences had by some of those who have undergone the Esophageal Manometry test. Today, however, I wanted to share my positive story in hopes of relieving some anxiety and stress from anyone having to do it in the future. I'm the person who does a ton of research before any events, so I was extremely scared of doing the Manometry. I even considered running out of the hospital while waiting to be called back into the Endoscopy center. So I was pleasantly surprised when the test went well. 
To begin, Manometry is not a walk in the park. It is not as easy or as simple as an ultrasound or cat scan, but it is not the worst test in the world. Granted, this comes from a person who has done nearly every test in the book so I may be a bit biased. Also, I have been chronically nauseated for over twelve years, have horrible anxiety and stomach pain, so if I can complete this test, you can too! Here's what happens. 
First, the nurse or doctor will have you recline on a gurney or hospital bed. Your vitals, such as your pulse and blood pressure will be taken and noted in your chart. Then the nurse will explain to you what the test entails and what is expected of you. 
Next, you'll be numbed up using lidocaine gel in your nostril and/or throat. Expect a mild burning sensation while it goes down your throat. You will be given a few minutes to let this take full effect. Your nurse/doctor will then begin to thread the tube, which is about the size of a number seven pencil through your nose. You will feel some pressure and your eyes may tear up due to it being so close to your sinus cavities. You will then be directed to sit up and the physician will instruct you in your breathing and swallowing as the tube passes down your throat. Personally, I experienced no gagging from this part as it was done so quickly and I was incredibly numb. Frankly, I was amazed since I expected to gag a fair amount. After this, you'll be given a few minutes to adjust to the feeling of the tube and calm yourself down from the experience. 
Now, it's time for the swallows. On average, a person does ten swallows, but if there's an issue such as patient error (swallowing too soon) or the physician sees abnormal esophagus activity, more may be done. The hardest part of this process is not swallowing for the thirty seconds required for the computer to log your progress. Focus on thinking about something systematic such as counting in your head or singing the A.B.C'S, or just go to your happy place. Breathing through your mouth is also a valuable tool for success. 
Once you complete your swallows, you're done! After the doctor or nurse confirms your information has been recorded correctly, he or she will prepare you to remove the catheter. This is done in about a second and usually on exhale as the tube will come out faster. Personally, I had an extremely mild gagging sensation with this part, which felt more like a cough. Thankfully, at this point, you're so happy to be finished,  you no longer care. 
In the day or so following the Manometry, expect to have a moderately sore throat. This can be relieved by drinking cool liquids such as smoothies and having soft foods like mashed potatoes, as well as using throat lozenges. 
Overall, while I would prefer not to the test again in the near future, there are far worse examinations and this one is completely doable and can be of great use to your doctor during the diagnosis process.  Expect to have your results within one to two weeks. 
Thanks for reading and I hope you have a great experience! Questions welcome below.</t>
        </is>
      </c>
      <c r="D9528" t="n">
        <v>1</v>
      </c>
      <c r="E9528" t="n">
        <v>6</v>
      </c>
      <c r="F9528">
        <f>HYPERLINK("https://www.reddit.com/r/GERD/comments/i086td/positive_esophageal_manometry_experience/")</f>
        <v/>
      </c>
      <c r="G9528" t="inlineStr">
        <is>
          <t>2020-07-29 13:35:56</t>
        </is>
      </c>
      <c r="H9528" t="inlineStr"/>
    </row>
    <row r="9529">
      <c r="A9529" t="inlineStr">
        <is>
          <t>i08gn0</t>
        </is>
      </c>
      <c r="B9529" t="inlineStr">
        <is>
          <t>Can GERD feel the same as asthma / mimick it?</t>
        </is>
      </c>
      <c r="C9529" t="inlineStr">
        <is>
          <t>I was not diagnosed with asthma but I feel like I can't breathe most of the time and have a chronic cough and feel shit moving around in my chest and stomach when I breathe in most of the time.
Its always breathing in not out like asthma and I'm 19..</t>
        </is>
      </c>
      <c r="D9529" t="n">
        <v>1</v>
      </c>
      <c r="E9529" t="n">
        <v>0</v>
      </c>
      <c r="F9529">
        <f>HYPERLINK("https://www.reddit.com/r/GERD/comments/i08gn0/can_gerd_feel_the_same_as_asthma_mimick_it/")</f>
        <v/>
      </c>
      <c r="G9529" t="inlineStr">
        <is>
          <t>2020-07-29 13:50:18</t>
        </is>
      </c>
      <c r="H9529" t="inlineStr"/>
    </row>
    <row r="9530">
      <c r="A9530" t="inlineStr">
        <is>
          <t>i08xvi</t>
        </is>
      </c>
      <c r="B9530" t="inlineStr">
        <is>
          <t>I done been scoped! GERD diagnosis - need help w/ low acid diet</t>
        </is>
      </c>
      <c r="C9530" t="inlineStr">
        <is>
          <t>Just got my endoscopy done today. I didn’t get a migraine after waking up *huge sigh of relief*
So I’m gonna do the low fat low acid diet and reintegrate the low FODMAP foods I was previously avoiding! So excited to be able to eat gluten and lactose again 🥺
Biggest question (mainly for fruits): what pH do I cut off? I was planning to just write down the ph of all the food I eat and pick a number as a cutoff and eliminate all foods below that number. However I was looking more into it and read that some foods may be acidic in ph but cause the body to have an alkaline response? Can anyone help me out with this?</t>
        </is>
      </c>
      <c r="D9530" t="n">
        <v>1</v>
      </c>
      <c r="E9530" t="n">
        <v>11</v>
      </c>
      <c r="F9530">
        <f>HYPERLINK("https://www.reddit.com/r/GERD/comments/i08xvi/i_done_been_scoped_gerd_diagnosis_need_help_w_low/")</f>
        <v/>
      </c>
      <c r="G9530" t="inlineStr">
        <is>
          <t>2020-07-29 14:16:42</t>
        </is>
      </c>
      <c r="H9530" t="inlineStr"/>
    </row>
    <row r="9531">
      <c r="A9531" t="inlineStr">
        <is>
          <t>i09dgo</t>
        </is>
      </c>
      <c r="B9531" t="inlineStr">
        <is>
          <t>Eating disorder</t>
        </is>
      </c>
      <c r="C9531" t="inlineStr">
        <is>
          <t>18m I’m diagnosed with an eating disorder I was underweight a few months ago when I started having heartburn and I get panic attacks when I don’t eat enough to gain weight but obviously eating a lot is agitating it. I’m taking Dexilant. Help please please are there any procedures or surgeries that can solve gastritis or fix esophagus damage? I don’t have any abnormalities besides this. I have a call with my doctor tomorrow if she says there is nothing else to do I’m going to request to be admitted to the hospital because I’m on the verge of suicide. Too many lifestyle and diet changes give me panic attacks. I got rid of most triggers besides obsessive exercise and not going to bed hungry. This is so traumatic I’m going to be terrified of this the rest of my life even if I completely heal. Help please</t>
        </is>
      </c>
      <c r="D9531" t="n">
        <v>1</v>
      </c>
      <c r="E9531" t="n">
        <v>18</v>
      </c>
      <c r="F9531">
        <f>HYPERLINK("https://www.reddit.com/r/GERD/comments/i09dgo/eating_disorder/")</f>
        <v/>
      </c>
      <c r="G9531" t="inlineStr">
        <is>
          <t>2020-07-29 14:40:59</t>
        </is>
      </c>
      <c r="H9531" t="inlineStr"/>
    </row>
    <row r="9532">
      <c r="A9532" t="inlineStr">
        <is>
          <t>i09mum</t>
        </is>
      </c>
      <c r="B9532" t="inlineStr">
        <is>
          <t>Pain with urination from omeprazole?</t>
        </is>
      </c>
      <c r="C9532" t="inlineStr">
        <is>
          <t>I switched from otc prilosec to prescription omeprazole this week and I've started having pain every time I urinate. 
Has anyone else been on omeprazole and developed this issue? Urinary pain is listed as one of its rare side effects.
I'm not sure what else it could be (already tested neg for UTI). Yes I'm going to see a doctor soon</t>
        </is>
      </c>
      <c r="D9532" t="n">
        <v>1</v>
      </c>
      <c r="E9532" t="n">
        <v>2</v>
      </c>
      <c r="F9532">
        <f>HYPERLINK("https://www.reddit.com/r/GERD/comments/i09mum/pain_with_urination_from_omeprazole/")</f>
        <v/>
      </c>
      <c r="G9532" t="inlineStr">
        <is>
          <t>2020-07-29 14:55:48</t>
        </is>
      </c>
      <c r="H9532" t="inlineStr"/>
    </row>
    <row r="9533">
      <c r="A9533" t="inlineStr">
        <is>
          <t>i0adsh</t>
        </is>
      </c>
      <c r="B9533" t="inlineStr">
        <is>
          <t>Is it possible to retain GERD symptoms even after curing it?</t>
        </is>
      </c>
      <c r="C9533" t="inlineStr">
        <is>
          <t>For example I currently suffer from a lot of symptoms, but my shortness of breath bothers me the most (aside from the nausea and vomitting). Is it possible that the shortness of breath will be chronic/stick around even after i’ve cured the GERD/LPR?</t>
        </is>
      </c>
      <c r="D9533" t="n">
        <v>1</v>
      </c>
      <c r="E9533" t="n">
        <v>5</v>
      </c>
      <c r="F9533">
        <f>HYPERLINK("https://www.reddit.com/r/GERD/comments/i0adsh/is_it_possible_to_retain_gerd_symptoms_even_after/")</f>
        <v/>
      </c>
      <c r="G9533" t="inlineStr">
        <is>
          <t>2020-07-29 15:38:55</t>
        </is>
      </c>
      <c r="H9533" t="inlineStr"/>
    </row>
    <row r="9534">
      <c r="A9534" t="inlineStr">
        <is>
          <t>i0au5l</t>
        </is>
      </c>
      <c r="B9534" t="inlineStr">
        <is>
          <t>Freeze Dried Banana Slices</t>
        </is>
      </c>
      <c r="C9534" t="inlineStr">
        <is>
          <t>I can't share a photo to this sub reddit but I just wanted to share this snack that causes me absolutely no reflux.
I've had GERD for as long as I can remember but I thought it was normal until I had an avid reflux attack about 3 weeks ago that severely messed up my esophagus and now everything I eat causes me reflux or irritation. I've been on 40mg of omeprazole for almost 2 weeks now and it's helping but not getting rid of my symptoms completely. I still can't eat like anything.
BUT this snack is amazing. I can eat them at a normal pace and I think because bananas are one of those safe foods and also the freeze dried slices kind of melt in your mouth so you don't have to do a lot of swallowing.
I miss food so much but these are like a god send. I picked mine up at Trader Joe's.
Does anyone have any other snacks that have helped them through this disease?</t>
        </is>
      </c>
      <c r="D9534" t="n">
        <v>1</v>
      </c>
      <c r="E9534" t="n">
        <v>2</v>
      </c>
      <c r="F9534">
        <f>HYPERLINK("https://www.reddit.com/r/GERD/comments/i0au5l/freeze_dried_banana_slices/")</f>
        <v/>
      </c>
      <c r="G9534" t="inlineStr">
        <is>
          <t>2020-07-29 16:05:53</t>
        </is>
      </c>
      <c r="H9534" t="inlineStr"/>
    </row>
    <row r="9535">
      <c r="A9535" t="inlineStr">
        <is>
          <t>i0bhpv</t>
        </is>
      </c>
      <c r="B9535" t="inlineStr">
        <is>
          <t>Tips for fresh tasting mouth?</t>
        </is>
      </c>
      <c r="C9535" t="inlineStr">
        <is>
          <t>I vomit/spit up so often that my mouth leaves a lingering horrendous taste. Obviously it’s not feasible for me to brush my teeth every 10 minutes. I try Orbitz gum but it doesn’t seem to be long lasting.  Any tips or products that work for you?</t>
        </is>
      </c>
      <c r="D9535" t="n">
        <v>1</v>
      </c>
      <c r="E9535" t="n">
        <v>0</v>
      </c>
      <c r="F9535">
        <f>HYPERLINK("https://www.reddit.com/r/GERD/comments/i0bhpv/tips_for_fresh_tasting_mouth/")</f>
        <v/>
      </c>
      <c r="G9535" t="inlineStr">
        <is>
          <t>2020-07-29 16:46:09</t>
        </is>
      </c>
      <c r="H9535" t="inlineStr"/>
    </row>
    <row r="9536">
      <c r="A9536" t="inlineStr">
        <is>
          <t>i0c06c</t>
        </is>
      </c>
      <c r="B9536" t="inlineStr">
        <is>
          <t>Hiatal hernia and costochondritis</t>
        </is>
      </c>
      <c r="C9536" t="inlineStr">
        <is>
          <t>Has anyone experienced both? I’ve had severe chest pain and elevated GERD symptoms the last month, and finally had an endoscopy yesterday that discovered it’s a hiatal hernia. I’ve had really bad costochondritis through all of this too (hurts to press on my sternum and ribs, and just generally painful). My doc said it isn’t related, but it seems too likely? Has anyone else with a hiatal hernia experienced this? How have you dealt with it?? I’ve always taken Advil in the past but now I don’t want to push any issues with it....</t>
        </is>
      </c>
      <c r="D9536" t="n">
        <v>1</v>
      </c>
      <c r="E9536" t="n">
        <v>8</v>
      </c>
      <c r="F9536">
        <f>HYPERLINK("https://www.reddit.com/r/GERD/comments/i0c06c/hiatal_hernia_and_costochondritis/")</f>
        <v/>
      </c>
      <c r="G9536" t="inlineStr">
        <is>
          <t>2020-07-29 17:17:34</t>
        </is>
      </c>
      <c r="H9536" t="inlineStr"/>
    </row>
    <row r="9537">
      <c r="A9537" t="inlineStr">
        <is>
          <t>i0dw35</t>
        </is>
      </c>
      <c r="B9537" t="inlineStr">
        <is>
          <t>Posture and GERD?</t>
        </is>
      </c>
      <c r="C9537" t="inlineStr">
        <is>
          <t>I’ve had GERD for about 3-4 years now (29M) and I have pretty bad posture. It’s not terrible, but my shoulders/neck/head slouch forward. I started stretching a little more and doing some yoga. Note: yoga is no joke and can absolutely kick your butt.  But after I’ve started stretching, I can feel my posture changing a little and my chest opening up a little. It almost feels slightly relieving to my GERD symptoms. Has anybody else experimented with this as a solution?
On a side note, some things I do to treat my symptoms are below. Hopefully they help someone else. 
-eating a GERD-friendly diet
-regularly exercising (but not too intensely)
-gas-x for when I feel bloated/nauseated (this is my golden treatment option)
-smaller meals and eating slower. If I feel myself getting full, I stop eating. Even if that means I don’t finish my meal.
-40mg Nexium prescription daily in the morning 
-meditation (this actually does help since sometimes my symptoms are triggered by stress/anxiety).</t>
        </is>
      </c>
      <c r="D9537" t="n">
        <v>1</v>
      </c>
      <c r="E9537" t="n">
        <v>12</v>
      </c>
      <c r="F9537">
        <f>HYPERLINK("https://www.reddit.com/r/GERD/comments/i0dw35/posture_and_gerd/")</f>
        <v/>
      </c>
      <c r="G9537" t="inlineStr">
        <is>
          <t>2020-07-29 19:22:27</t>
        </is>
      </c>
      <c r="H9537" t="inlineStr"/>
    </row>
    <row r="9538">
      <c r="A9538" t="inlineStr">
        <is>
          <t>i0ek6s</t>
        </is>
      </c>
      <c r="B9538" t="inlineStr">
        <is>
          <t>Anyone here have thyroid issues and think their GERD may be related?</t>
        </is>
      </c>
      <c r="C9538" t="inlineStr">
        <is>
          <t>I only got acid relfux issues after my thyroid was taken out and I was put on replacement therapy. Does anyone else here have thyroid hormone issues and think there GERD may be related to them?</t>
        </is>
      </c>
      <c r="D9538" t="n">
        <v>1</v>
      </c>
      <c r="E9538" t="n">
        <v>3</v>
      </c>
      <c r="F9538">
        <f>HYPERLINK("https://www.reddit.com/r/GERD/comments/i0ek6s/anyone_here_have_thyroid_issues_and_think_their/")</f>
        <v/>
      </c>
      <c r="G9538" t="inlineStr">
        <is>
          <t>2020-07-29 20:08:11</t>
        </is>
      </c>
      <c r="H9538" t="inlineStr"/>
    </row>
    <row r="9539">
      <c r="A9539" t="inlineStr">
        <is>
          <t>i0es4n</t>
        </is>
      </c>
      <c r="B9539" t="inlineStr">
        <is>
          <t>What do you consider a mild case of GERD, and will it go away?</t>
        </is>
      </c>
      <c r="C9539" t="inlineStr">
        <is>
          <t>I got diagnosed with GERD 3 weeks ago (22 F) and it’s taken a huge toll on my mental health. The symptoms that I’m experiencing is the constant full feeling, constant burping, a sore throat, and sometimes there’s a bitter taste in my mouth. I’m scared of eating anything that may trigger acid reflux because I’m terrified of getting Barrett’s Esophagus. I don’t really experience chest pains anymore, probably because I haven’t been eating anything to trigger my reflux? I’m on omeprozole but i’m not even sure if it’s working. How can I tell? I can’t even see a gastroenterologist until September 15 which is over a month away. 
I’m so scared &amp;amp; I’m not ready for this lifestyle change. I miss eating my favorite foods. Will this ever go away?</t>
        </is>
      </c>
      <c r="D9539" t="n">
        <v>1</v>
      </c>
      <c r="E9539" t="n">
        <v>2</v>
      </c>
      <c r="F9539">
        <f>HYPERLINK("https://www.reddit.com/r/GERD/comments/i0es4n/what_do_you_consider_a_mild_case_of_gerd_and_will/")</f>
        <v/>
      </c>
      <c r="G9539" t="inlineStr">
        <is>
          <t>2020-07-29 20:24:12</t>
        </is>
      </c>
      <c r="H9539" t="inlineStr"/>
    </row>
    <row r="9540">
      <c r="A9540" t="inlineStr">
        <is>
          <t>i0ext1</t>
        </is>
      </c>
      <c r="B9540" t="inlineStr">
        <is>
          <t>does it hurt or itchy when touched the burning area?</t>
        </is>
      </c>
      <c r="C9540" t="inlineStr">
        <is>
          <t>i have a spot on my upper sternum - esophagus area that hurt and itchy when i touched it. it also hurt when i compress my chest.</t>
        </is>
      </c>
      <c r="D9540" t="n">
        <v>1</v>
      </c>
      <c r="E9540" t="n">
        <v>0</v>
      </c>
      <c r="F9540">
        <f>HYPERLINK("https://www.reddit.com/r/GERD/comments/i0ext1/does_it_hurt_or_itchy_when_touched_the_burning/")</f>
        <v/>
      </c>
      <c r="G9540" t="inlineStr">
        <is>
          <t>2020-07-29 20:35:27</t>
        </is>
      </c>
      <c r="H9540" t="inlineStr"/>
    </row>
    <row r="9541">
      <c r="A9541" t="inlineStr">
        <is>
          <t>i0ey9q</t>
        </is>
      </c>
      <c r="B9541" t="inlineStr">
        <is>
          <t>how do you know if you have acid reflux?</t>
        </is>
      </c>
      <c r="C9541" t="inlineStr">
        <is>
          <t>what are the symptoms and what do you feel when it happens</t>
        </is>
      </c>
      <c r="D9541" t="n">
        <v>1</v>
      </c>
      <c r="E9541" t="n">
        <v>0</v>
      </c>
      <c r="F9541">
        <f>HYPERLINK("https://www.reddit.com/r/GERD/comments/i0ey9q/how_do_you_know_if_you_have_acid_reflux/")</f>
        <v/>
      </c>
      <c r="G9541" t="inlineStr">
        <is>
          <t>2020-07-29 20:36:17</t>
        </is>
      </c>
      <c r="H9541" t="inlineStr"/>
    </row>
    <row r="9542">
      <c r="A9542" t="inlineStr">
        <is>
          <t>i0fb0q</t>
        </is>
      </c>
      <c r="B9542" t="inlineStr">
        <is>
          <t>where do you get burning sensation most of the time? please be specific</t>
        </is>
      </c>
      <c r="C9542" t="inlineStr">
        <is>
          <t>i have burning sensation around body. some odd places, center of left chest. i wonder where do you guys get burning sensation?</t>
        </is>
      </c>
      <c r="D9542" t="n">
        <v>1</v>
      </c>
      <c r="E9542" t="n">
        <v>2</v>
      </c>
      <c r="F9542">
        <f>HYPERLINK("https://www.reddit.com/r/GERD/comments/i0fb0q/where_do_you_get_burning_sensation_most_of_the/")</f>
        <v/>
      </c>
      <c r="G9542" t="inlineStr">
        <is>
          <t>2020-07-29 21:02:14</t>
        </is>
      </c>
      <c r="H9542" t="inlineStr"/>
    </row>
    <row r="9543">
      <c r="A9543" t="inlineStr">
        <is>
          <t>i0fngk</t>
        </is>
      </c>
      <c r="B9543" t="inlineStr">
        <is>
          <t>Is this normal? - Gastroscopy Biopsy results discussed with Family physician instead of the GI who performed the procedure</t>
        </is>
      </c>
      <c r="C9543" t="inlineStr">
        <is>
          <t>Originally after the procedure, my mother was told that her gastroscopy results would come in after three weeks and the GI who performed her gastroscopy would go over it with her. However, today (just after one week) she received a call from her family physician’s clinic saying that her results are in, and that her family doctor would talk to her tomorrow about the results. Does this seem normal that her family physician would be the one going over her biopsy results instead on the GI?</t>
        </is>
      </c>
      <c r="D9543" t="n">
        <v>1</v>
      </c>
      <c r="E9543" t="n">
        <v>1</v>
      </c>
      <c r="F9543">
        <f>HYPERLINK("https://www.reddit.com/r/GERD/comments/i0fngk/is_this_normal_gastroscopy_biopsy_results/")</f>
        <v/>
      </c>
      <c r="G9543" t="inlineStr">
        <is>
          <t>2020-07-29 21:28:26</t>
        </is>
      </c>
      <c r="H9543" t="inlineStr"/>
    </row>
    <row r="9544">
      <c r="A9544" t="inlineStr">
        <is>
          <t>i0g6ez</t>
        </is>
      </c>
      <c r="B9544" t="inlineStr">
        <is>
          <t>Need advice for gastritis and small hiatal hernia</t>
        </is>
      </c>
      <c r="C9544" t="inlineStr">
        <is>
          <t xml:space="preserve"> Hello im a 22 year old male and ive ben suffering with gastritis and a small hiatal hernia.
This all started when unfortunately my father has fell into a coma and later on passed away. I recently had a endoscopy done and on the report it says
"LA grade A reflux esophagitis. Biopsed
\-Small Hiatal hernia
\-Gastritis"
i have a werid cough that i developed. I was reading through reddit and i just ordered some alkaline water. The Prescription does help me. I also feel like i have to clear my throat more than often and it feels like my throat is being bothered, i cant explain the feeling its like a sharp pain that isnt that painful but it doesnt feel normal. I also feel like sometimes i get a shortness of breath and the inside of my nose has a weird tingling feeling.
Im still taking my prescription in the morning before i eat ( He has prescribed me Pantroazole 40mg once daily) it does solve my acid reflux although i still feel like my throat is itchy and makes me cough.
Can you guy provide me with some advice as well the links on amazon for the supplements and etc.
I've read about  Gaviscon Advanced UK version and DSG licorice. Is there more out there thatll help me? as well can you guys help me with dosage and when to take the supplements! 
Thank you guys we are not alone! &amp;lt;3</t>
        </is>
      </c>
      <c r="D9544" t="n">
        <v>1</v>
      </c>
      <c r="E9544" t="n">
        <v>3</v>
      </c>
      <c r="F9544">
        <f>HYPERLINK("https://www.reddit.com/r/GERD/comments/i0g6ez/need_advice_for_gastritis_and_small_hiatal_hernia/")</f>
        <v/>
      </c>
      <c r="G9544" t="inlineStr">
        <is>
          <t>2020-07-29 22:09:51</t>
        </is>
      </c>
      <c r="H9544" t="inlineStr"/>
    </row>
    <row r="9545">
      <c r="A9545" t="inlineStr">
        <is>
          <t>i0h4xr</t>
        </is>
      </c>
      <c r="B9545" t="inlineStr">
        <is>
          <t>Getting a second opinion?</t>
        </is>
      </c>
      <c r="C9545" t="inlineStr">
        <is>
          <t>So I’m a 20F, and I’ve been having intense GERD symptoms more than 3 months now and I’ve been in the ER twice because of the chest and abdominal pain. I was finally recommended to a specialist a little more than a month ago and have been on pantoprazole since. He started me at 40mg in the morning and at night. It made me really sick, so we went down to 40mg in the morning and 20mg at night. At first everything seemed to be getting better, but a week ago my worst symptoms came back again. He said to give the medicine more time. I haven’t been tested for anything yet. My dad says I should get a second opinion, which I’m not opposed to. I’d just really like some wise words to help me out right now because I’m honestly at my wits end. I have very bad depression and anxiety and the GERD is making living a real chore.
For more info, if it’ll help, I have; 
- almost constant heartburn
- dull pain in my chest
- sharp pain in my chest and abdomen
- feeling of something in my throat + throat soreness and pain
- constipation
- abdominal pain after eating ANYTHING
- bloating
- occasional nausea</t>
        </is>
      </c>
      <c r="D9545" t="n">
        <v>1</v>
      </c>
      <c r="E9545" t="n">
        <v>10</v>
      </c>
      <c r="F9545">
        <f>HYPERLINK("https://www.reddit.com/r/GERD/comments/i0h4xr/getting_a_second_opinion/")</f>
        <v/>
      </c>
      <c r="G9545" t="inlineStr">
        <is>
          <t>2020-07-29 23:31:59</t>
        </is>
      </c>
      <c r="H9545" t="inlineStr"/>
    </row>
    <row r="9546">
      <c r="A9546" t="inlineStr">
        <is>
          <t>i0h7el</t>
        </is>
      </c>
      <c r="B9546" t="inlineStr">
        <is>
          <t>Chest pain from LPR</t>
        </is>
      </c>
      <c r="C9546" t="inlineStr">
        <is>
          <t>Was diagnosed with it a few months back and I’ve had chest pain in my esophagus area for months and has been constant and hasn’t gone away whatsoever. I’m doing all the right things with diet, medication. Any tips or anyone have a similar experience? I’m feeling desperate because I feel like I’ve done everything right. Any advice or tips would be much appreciated!!</t>
        </is>
      </c>
      <c r="D9546" t="n">
        <v>1</v>
      </c>
      <c r="E9546" t="n">
        <v>7</v>
      </c>
      <c r="F9546">
        <f>HYPERLINK("https://www.reddit.com/r/GERD/comments/i0h7el/chest_pain_from_lpr/")</f>
        <v/>
      </c>
      <c r="G9546" t="inlineStr">
        <is>
          <t>2020-07-29 23:37:43</t>
        </is>
      </c>
      <c r="H9546" t="inlineStr"/>
    </row>
    <row r="9547">
      <c r="A9547" t="inlineStr">
        <is>
          <t>i0id3v</t>
        </is>
      </c>
      <c r="B9547" t="inlineStr">
        <is>
          <t>Antacids prior to exercise for prevention</t>
        </is>
      </c>
      <c r="C9547" t="inlineStr">
        <is>
          <t>Does anyone take antacids prior to exercising to prevent a reflux episode? Thinking I may need to start.</t>
        </is>
      </c>
      <c r="D9547" t="n">
        <v>1</v>
      </c>
      <c r="E9547" t="n">
        <v>4</v>
      </c>
      <c r="F9547">
        <f>HYPERLINK("https://www.reddit.com/r/GERD/comments/i0id3v/antacids_prior_to_exercise_for_prevention/")</f>
        <v/>
      </c>
      <c r="G9547" t="inlineStr">
        <is>
          <t>2020-07-30 01:24:09</t>
        </is>
      </c>
      <c r="H9547" t="inlineStr"/>
    </row>
    <row r="9548">
      <c r="A9548" t="inlineStr">
        <is>
          <t>i0kgoo</t>
        </is>
      </c>
      <c r="B9548" t="inlineStr">
        <is>
          <t>Why do I always get stomach ache all the time? And hiccup so much?</t>
        </is>
      </c>
      <c r="C9548" t="inlineStr">
        <is>
          <t>I asked my mum (a nurse) this, and she said it was something to do with a tube, or something that wasn’t tight enough, but I can’t remember what she said. I’ve also got a few questions:
1: does anyone know what my mum might’ve been talking about?
2: how long does GERD last?
3: what are the symptoms?
i came here because I was tryna google what my mum was on about, and it came up with GERD, and I thought I might check if there was a sub for it. Surprise! There was</t>
        </is>
      </c>
      <c r="D9548" t="n">
        <v>1</v>
      </c>
      <c r="E9548" t="n">
        <v>2</v>
      </c>
      <c r="F9548">
        <f>HYPERLINK("https://www.reddit.com/r/GERD/comments/i0kgoo/why_do_i_always_get_stomach_ache_all_the_time_and/")</f>
        <v/>
      </c>
      <c r="G9548" t="inlineStr">
        <is>
          <t>2020-07-30 04:32:56</t>
        </is>
      </c>
      <c r="H9548" t="inlineStr"/>
    </row>
    <row r="9549">
      <c r="A9549" t="inlineStr">
        <is>
          <t>i0kp44</t>
        </is>
      </c>
      <c r="B9549" t="inlineStr">
        <is>
          <t>Chest pain</t>
        </is>
      </c>
      <c r="C9549" t="inlineStr">
        <is>
          <t>I already posted about GERD, but wanted to know is a chest pain everyday while breathing in an out a symptom of GERD or can there be other reasons for this kind of chest pain? My doctor think it’s GERD, but I wanted to know of other conditions with similar pain especially breathing out. When breathing in I don’t really feel the pain/pressure, but when I breathe out there’s the pain/pressure. Will be going to my first cardiologist appointment next Wednesday and when they’re done checking my heart and nothing is wrong... then on to an endoscopy. 2020 has been horrible!</t>
        </is>
      </c>
      <c r="D9549" t="n">
        <v>1</v>
      </c>
      <c r="E9549" t="n">
        <v>4</v>
      </c>
      <c r="F9549">
        <f>HYPERLINK("https://www.reddit.com/r/GERD/comments/i0kp44/chest_pain/")</f>
        <v/>
      </c>
      <c r="G9549" t="inlineStr">
        <is>
          <t>2020-07-30 04:52:18</t>
        </is>
      </c>
      <c r="H9549" t="inlineStr"/>
    </row>
    <row r="9550">
      <c r="A9550" t="inlineStr">
        <is>
          <t>i0lmw0</t>
        </is>
      </c>
      <c r="B9550" t="inlineStr">
        <is>
          <t>GERD/LPR caused by nasal constriction?</t>
        </is>
      </c>
      <c r="C9550" t="inlineStr">
        <is>
          <t>I have had a endo a month ago and found grade C esophagitis caused by GERD/LPR. I also went to see a ENT and they found I had enlarged turbinates restricting airflow through my nose causing me to breathe through my mouth most of the time.  I have found a couple articles which relate mouth breathing to more severe affects from LPR/GERD since it dries out some of your saliva that protects your esophagus. Has anyone had their issues helped by fixing their breathing issues?</t>
        </is>
      </c>
      <c r="D9550" t="n">
        <v>1</v>
      </c>
      <c r="E9550" t="n">
        <v>6</v>
      </c>
      <c r="F9550">
        <f>HYPERLINK("https://www.reddit.com/r/GERD/comments/i0lmw0/gerdlpr_caused_by_nasal_constriction/")</f>
        <v/>
      </c>
      <c r="G9550" t="inlineStr">
        <is>
          <t>2020-07-30 06:01:26</t>
        </is>
      </c>
      <c r="H9550" t="inlineStr"/>
    </row>
    <row r="9551">
      <c r="A9551" t="inlineStr">
        <is>
          <t>i0mlii</t>
        </is>
      </c>
      <c r="B9551" t="inlineStr">
        <is>
          <t>How serious is serious is pre cancer cells in esophagus and stomach? Anyone else have them and for how how long?</t>
        </is>
      </c>
      <c r="C9551" t="inlineStr">
        <is>
          <t>Had biopsy in May. Saw gastro again in June. They didn't seem concerned, they just recommend another endoscopy in the upcoming months. I'm 29.</t>
        </is>
      </c>
      <c r="D9551" t="n">
        <v>1</v>
      </c>
      <c r="E9551" t="n">
        <v>1</v>
      </c>
      <c r="F9551">
        <f>HYPERLINK("https://www.reddit.com/r/GERD/comments/i0mlii/how_serious_is_serious_is_pre_cancer_cells_in/")</f>
        <v/>
      </c>
      <c r="G9551" t="inlineStr">
        <is>
          <t>2020-07-30 07:04:17</t>
        </is>
      </c>
      <c r="H9551" t="inlineStr"/>
    </row>
    <row r="9552">
      <c r="A9552" t="inlineStr">
        <is>
          <t>i0mpzl</t>
        </is>
      </c>
      <c r="B9552" t="inlineStr">
        <is>
          <t>Anyone experiencing pain and heaviness in chest</t>
        </is>
      </c>
      <c r="C9552" t="inlineStr">
        <is>
          <t xml:space="preserve">
Recently been diagnosed with bicuspid aortic valve. Im 27 years old in normal weight and healthy lifestyle. 
I’ve been having kind of pressure or heaviness feeling on chest and some random slight pain on left side of my chest area that comes and goes. It is usually after meals . Like extreem feeling of fullness in chest and stomach that makes me wanna have deep breath. Doc said this disease doesn’t cause pain. She said could be acid reflux or GERD . Had echocardiogram done and heart rate monitor thing for 5 days. Everything else seems normal.</t>
        </is>
      </c>
      <c r="D9552" t="n">
        <v>1</v>
      </c>
      <c r="E9552" t="n">
        <v>37</v>
      </c>
      <c r="F9552">
        <f>HYPERLINK("https://www.reddit.com/r/GERD/comments/i0mpzl/anyone_experiencing_pain_and_heaviness_in_chest/")</f>
        <v/>
      </c>
      <c r="G9552" t="inlineStr">
        <is>
          <t>2020-07-30 07:11:58</t>
        </is>
      </c>
      <c r="H9552" t="inlineStr"/>
    </row>
    <row r="9553">
      <c r="A9553" t="inlineStr">
        <is>
          <t>i0mw68</t>
        </is>
      </c>
      <c r="B9553" t="inlineStr">
        <is>
          <t>Switching to Nexium... what dosage? Is it as strong as Prilosec?</t>
        </is>
      </c>
      <c r="C9553" t="inlineStr">
        <is>
          <t>I’m on 20 mg Prilosec...
I read conflicting information that 20 mg of Prilosec = 40 mg of Nexium and some say that 20 = 20
What is the truth?</t>
        </is>
      </c>
      <c r="D9553" t="n">
        <v>1</v>
      </c>
      <c r="E9553" t="n">
        <v>1</v>
      </c>
      <c r="F9553">
        <f>HYPERLINK("https://www.reddit.com/r/GERD/comments/i0mw68/switching_to_nexium_what_dosage_is_it_as_strong/")</f>
        <v/>
      </c>
      <c r="G9553" t="inlineStr">
        <is>
          <t>2020-07-30 07:22:33</t>
        </is>
      </c>
      <c r="H9553" t="inlineStr"/>
    </row>
    <row r="9554">
      <c r="A9554" t="inlineStr">
        <is>
          <t>i0n4dw</t>
        </is>
      </c>
      <c r="B9554" t="inlineStr">
        <is>
          <t>Is it normal to have abdominal pains when switching to Nexium?</t>
        </is>
      </c>
      <c r="C9554" t="inlineStr">
        <is>
          <t>Is this a sign I shouldn’t use the medication or does it go away?</t>
        </is>
      </c>
      <c r="D9554" t="n">
        <v>1</v>
      </c>
      <c r="E9554" t="n">
        <v>0</v>
      </c>
      <c r="F9554">
        <f>HYPERLINK("https://www.reddit.com/r/GERD/comments/i0n4dw/is_it_normal_to_have_abdominal_pains_when/")</f>
        <v/>
      </c>
      <c r="G9554" t="inlineStr">
        <is>
          <t>2020-07-30 07:36:18</t>
        </is>
      </c>
      <c r="H9554" t="inlineStr"/>
    </row>
    <row r="9555">
      <c r="A9555" t="inlineStr">
        <is>
          <t>i0oiqq</t>
        </is>
      </c>
      <c r="B9555" t="inlineStr">
        <is>
          <t>Is it normal to feel your heart beats faster when you get heartburn?</t>
        </is>
      </c>
      <c r="C9555" t="inlineStr">
        <is>
          <t>I experience faster heartbeats every time I deal with acid reflux. It is very intense, to the point that it makes me feel like I’m having a heart attack. I can’t lay down since it will only worsen the situation.  
I’m 15F for extra info. I’ve had problems with my stomach since I was 8.</t>
        </is>
      </c>
      <c r="D9555" t="n">
        <v>1</v>
      </c>
      <c r="E9555" t="n">
        <v>2</v>
      </c>
      <c r="F9555">
        <f>HYPERLINK("https://www.reddit.com/r/GERD/comments/i0oiqq/is_it_normal_to_feel_your_heart_beats_faster_when/")</f>
        <v/>
      </c>
      <c r="G9555" t="inlineStr">
        <is>
          <t>2020-07-30 08:55:45</t>
        </is>
      </c>
      <c r="H9555" t="inlineStr"/>
    </row>
    <row r="9556">
      <c r="A9556" t="inlineStr">
        <is>
          <t>i0otu8</t>
        </is>
      </c>
      <c r="B9556" t="inlineStr">
        <is>
          <t>acid left after food absorption</t>
        </is>
      </c>
      <c r="C9556" t="inlineStr">
        <is>
          <t>hey there. i’ve been suffering from duodenitis (biopsy) &amp;amp; mild antral erythema (endoscopy) and started doing alkaline diet but it’s not helping either. the whatever acid left in the stomach after food absorption is making me insane because of the pain. it starts 4-5 hours after i’ve taken the meal. what can i do to get out of this misery i’m in past 4 months</t>
        </is>
      </c>
      <c r="D9556" t="n">
        <v>1</v>
      </c>
      <c r="E9556" t="n">
        <v>2</v>
      </c>
      <c r="F9556">
        <f>HYPERLINK("https://www.reddit.com/r/GERD/comments/i0otu8/acid_left_after_food_absorption/")</f>
        <v/>
      </c>
      <c r="G9556" t="inlineStr">
        <is>
          <t>2020-07-30 09:12:45</t>
        </is>
      </c>
      <c r="H9556" t="inlineStr"/>
    </row>
    <row r="9557">
      <c r="A9557" t="inlineStr">
        <is>
          <t>i0p0p6</t>
        </is>
      </c>
      <c r="B9557" t="inlineStr">
        <is>
          <t>Anyone else have extreme pain after sneezing?</t>
        </is>
      </c>
      <c r="C9557" t="inlineStr">
        <is>
          <t>after i sneeze it burns for like five minutes</t>
        </is>
      </c>
      <c r="D9557" t="n">
        <v>1</v>
      </c>
      <c r="E9557" t="n">
        <v>1</v>
      </c>
      <c r="F9557">
        <f>HYPERLINK("https://www.reddit.com/r/GERD/comments/i0p0p6/anyone_else_have_extreme_pain_after_sneezing/")</f>
        <v/>
      </c>
      <c r="G9557" t="inlineStr">
        <is>
          <t>2020-07-30 09:23:28</t>
        </is>
      </c>
      <c r="H9557" t="inlineStr"/>
    </row>
    <row r="9558">
      <c r="A9558" t="inlineStr">
        <is>
          <t>i0pemf</t>
        </is>
      </c>
      <c r="B9558" t="inlineStr">
        <is>
          <t>Anyone think their GERD was caused by benzodiazepines (Xanax, Klonopin, Valium, etc.)</t>
        </is>
      </c>
      <c r="C9558" t="inlineStr">
        <is>
          <t>This is a really important question and discussion that is never had. How many of you have gone through benzo withdrawal?</t>
        </is>
      </c>
      <c r="D9558" t="n">
        <v>1</v>
      </c>
      <c r="E9558" t="n">
        <v>5</v>
      </c>
      <c r="F9558">
        <f>HYPERLINK("https://www.reddit.com/r/GERD/comments/i0pemf/anyone_think_their_gerd_was_caused_by/")</f>
        <v/>
      </c>
      <c r="G9558" t="inlineStr">
        <is>
          <t>2020-07-30 09:44:43</t>
        </is>
      </c>
      <c r="H9558" t="inlineStr"/>
    </row>
    <row r="9559">
      <c r="A9559" t="inlineStr">
        <is>
          <t>i0pq0b</t>
        </is>
      </c>
      <c r="B9559" t="inlineStr">
        <is>
          <t>Uneven bloating?</t>
        </is>
      </c>
      <c r="C9559" t="inlineStr">
        <is>
          <t>I notice that I'm usually bloated after I eat but the left side of my stomach is more bloated then the right... anyone know why this may be? It's not like a HUGE difference but definitely noticeable...</t>
        </is>
      </c>
      <c r="D9559" t="n">
        <v>1</v>
      </c>
      <c r="E9559" t="n">
        <v>4</v>
      </c>
      <c r="F9559">
        <f>HYPERLINK("https://www.reddit.com/r/GERD/comments/i0pq0b/uneven_bloating/")</f>
        <v/>
      </c>
      <c r="G9559" t="inlineStr">
        <is>
          <t>2020-07-30 10:01:52</t>
        </is>
      </c>
      <c r="H9559" t="inlineStr"/>
    </row>
    <row r="9560">
      <c r="A9560" t="inlineStr">
        <is>
          <t>i0r4h4</t>
        </is>
      </c>
      <c r="B9560" t="inlineStr">
        <is>
          <t>Using GERD as an indicator of when to stop eating</t>
        </is>
      </c>
      <c r="C9560" t="inlineStr">
        <is>
          <t>Am I the only one that does this? I feel like my stomach had to be stuffed or hurt in order for me to feel like I should stop eating 
I've been having gerd for 8 years and it's been healing the past 3 years
but now when I eat a lot, I don't feel any discomfort so I feel the need to eat some more until my stomach hurts (which feels oddly satisfying, I think my brain wired itself to think that discomfort means i'm satiated)
Nothing wrong with it, I'm just wondering of anyone else does this lol 
&amp;amp;#x200B;
Example: This morning for breakfast I had 600 calories. (All homemade and healthy) Mac-n-cheese, pizza, tuna, and popcorn all in one sitting. I barely felt anything in my tummy so I just had a piece of chocolate to irritate my stomach. Now I feel good .. is that weird or what?</t>
        </is>
      </c>
      <c r="D9560" t="n">
        <v>1</v>
      </c>
      <c r="E9560" t="n">
        <v>3</v>
      </c>
      <c r="F9560">
        <f>HYPERLINK("https://www.reddit.com/r/GERD/comments/i0r4h4/using_gerd_as_an_indicator_of_when_to_stop_eating/")</f>
        <v/>
      </c>
      <c r="G9560" t="inlineStr">
        <is>
          <t>2020-07-30 11:17:33</t>
        </is>
      </c>
      <c r="H9560" t="inlineStr"/>
    </row>
    <row r="9561">
      <c r="A9561" t="inlineStr">
        <is>
          <t>i0r8jb</t>
        </is>
      </c>
      <c r="B9561" t="inlineStr">
        <is>
          <t>Did an upper endoscopy a few days ago!</t>
        </is>
      </c>
      <c r="C9561" t="inlineStr">
        <is>
          <t>Hi, 
I've been on PPI for about 6 weeks with the upper stomach pain, tight chest and throat, and sore throat, etc. I met with GI last week and he said while they're pretty standard symptoms, he has a lower threshold for endoscopy for asians who grew up in Asia (e.g., Korea has the highest stomach cancer ratio in the world), so he ordered one to be safe. 
In Korea, endoscopy procedure is very common and inexpensive (\~$70-100) and we do this all the time as part of the regular check-ups and a common go-to diagnostic tool. So this was my third endoscopy in life, but the first one in the US. I was bit nervous but unlike my second time where I woke up from sleep during the procedure, this time everything went smoothly. (They also told me that we use different medication now, which is Propofol). 
Surprisingly, the doctor said that my stomach and esophagitis look normal, and there is no stricture, masses, polyps, erosive esophagitis or varies, ulcerations. It also said "Normal stomach except for a widely patent pylorus", I asked the doctor what "widely patent pylorus" means and if it's something bad, and I think he explained that it's normal and that it's supposed to be open. 
After the endoscopy, he said to continue to be on PPI for another month and follow-up. After the endoscopy, I came home and had the best nap like when I was beat from the jet-lag. I'm glad that I did the endoscopy to know that there is nothing visibly wrong at least. 
My symptoms are slowly getting better to the point where my upper stomach pain is gone and I get the taste of bitter acid from time to time on my throat, but overall not too uncomfortable during the day. I still get the cough and chest pain when I lay down unless I use the wedge pillow and sleep in my left posture, which is pretty uncomfortable to keep through the night. 
Anyway, if you're scared of endoscopy, you shouldn't be and go talk to your GI if you haven't yet!</t>
        </is>
      </c>
      <c r="D9561" t="n">
        <v>1</v>
      </c>
      <c r="E9561" t="n">
        <v>15</v>
      </c>
      <c r="F9561">
        <f>HYPERLINK("https://www.reddit.com/r/GERD/comments/i0r8jb/did_an_upper_endoscopy_a_few_days_ago/")</f>
        <v/>
      </c>
      <c r="G9561" t="inlineStr">
        <is>
          <t>2020-07-30 11:23:32</t>
        </is>
      </c>
      <c r="H9561" t="inlineStr"/>
    </row>
    <row r="9562">
      <c r="A9562" t="inlineStr">
        <is>
          <t>i0rgd5</t>
        </is>
      </c>
      <c r="B9562" t="inlineStr">
        <is>
          <t>Famotidine</t>
        </is>
      </c>
      <c r="C9562" t="inlineStr">
        <is>
          <t>I'm curious about anyone's experiences with taking famotidine? I don't  know if its just me and my anxiety or its causing weird side effects?
I only take 10ml at night. Slowly trying to work my way up to 20ml(its a long story). I feel like I don't get any rest at night even though I feel really sleepy/tired during the day. I have constant dreams that I feel like I'm just thinking all night with my eyes closed. Also I have (tmi) not solid BMs in the morning. 
I was perscribed Cimetidine too but I read a longer list of side effects with that one. I am really trying to make it work with this medicine but I just feel like its just messing with me. Or is it just my anxiety? I don't even know anymore. I just don't feel right. But I need to bring the stomach acid down. 
If anyone can give any advice/similar experiences and how to get through it please let me know? It would be greatly appreciated!</t>
        </is>
      </c>
      <c r="D9562" t="n">
        <v>1</v>
      </c>
      <c r="E9562" t="n">
        <v>13</v>
      </c>
      <c r="F9562">
        <f>HYPERLINK("https://www.reddit.com/r/GERD/comments/i0rgd5/famotidine/")</f>
        <v/>
      </c>
      <c r="G9562" t="inlineStr">
        <is>
          <t>2020-07-30 11:35:13</t>
        </is>
      </c>
      <c r="H9562" t="inlineStr"/>
    </row>
    <row r="9563">
      <c r="A9563" t="inlineStr">
        <is>
          <t>i0rrre</t>
        </is>
      </c>
      <c r="B9563" t="inlineStr">
        <is>
          <t>How much can the LES take?</t>
        </is>
      </c>
      <c r="C9563" t="inlineStr">
        <is>
          <t>Had an acidic flare-up due to being stupid and deciding to drink coffee after I thought I was better.
Now the flareup has lasted for days and I'm scared that in this one moment it did irreparable damage to my LES, causing it to be left open and leading it to further deteriorate, especially since I am now experiencing LPR during daytime...
How much can the LES reheal? It seems like to me it gets inflamed and then once the inflammation goes away it can close properly. I had a flareup a few months before this flareup and my symptoms went away after like 10 days. It seemed like my LES was open during the flareup, then like 10 days later it felt like it was functioning again, and I could eat normally. I'm just terrified of it getting stuck permanently open.
I keep going back and forth between being deathly terrified of this disease and then thinking im over it, being stupid and eating some shit i shouldn't.</t>
        </is>
      </c>
      <c r="D9563" t="n">
        <v>1</v>
      </c>
      <c r="E9563" t="n">
        <v>1</v>
      </c>
      <c r="F9563">
        <f>HYPERLINK("https://www.reddit.com/r/GERD/comments/i0rrre/how_much_can_the_les_take/")</f>
        <v/>
      </c>
      <c r="G9563" t="inlineStr">
        <is>
          <t>2020-07-30 11:52:27</t>
        </is>
      </c>
      <c r="H9563" t="inlineStr"/>
    </row>
    <row r="9564">
      <c r="A9564" t="inlineStr">
        <is>
          <t>i0s26s</t>
        </is>
      </c>
      <c r="B9564" t="inlineStr">
        <is>
          <t>Does anyone get wet burping and nausea due to GERD?</t>
        </is>
      </c>
      <c r="C9564" t="inlineStr">
        <is>
          <t>Have had this randomly for the past day, keep almost vomiting. Never had GERD before but recently may have gotten food poisoning. Spoke to urgent care doctor and my PCP who is a gastro and they said i need to take nexium and wait a few days, but it just seems crazy to have the wet burping and almost vomiting for 24 hours straight. Anyone had this?</t>
        </is>
      </c>
      <c r="D9564" t="n">
        <v>1</v>
      </c>
      <c r="E9564" t="n">
        <v>9</v>
      </c>
      <c r="F9564">
        <f>HYPERLINK("https://www.reddit.com/r/GERD/comments/i0s26s/does_anyone_get_wet_burping_and_nausea_due_to_gerd/")</f>
        <v/>
      </c>
      <c r="G9564" t="inlineStr">
        <is>
          <t>2020-07-30 12:07:38</t>
        </is>
      </c>
      <c r="H9564" t="inlineStr"/>
    </row>
    <row r="9565">
      <c r="A9565" t="inlineStr">
        <is>
          <t>i0s3xu</t>
        </is>
      </c>
      <c r="B9565" t="inlineStr">
        <is>
          <t>Chobani and Forgarer Live Culture Yogurt and Honey</t>
        </is>
      </c>
      <c r="C9565" t="inlineStr">
        <is>
          <t>Hey guys. Right now I am experimenting with live culture yogurt. I took it one day and experienced a ton of relief. My chest was almost back to normal before I got sick with all this.
After triggering episodes I continue to have relief when consuming the yogurt.
Two brands:
Chobani
Forager
Is okay to add hone to live culture yogurt? Will it kill the active bacteria in the yogurt?</t>
        </is>
      </c>
      <c r="D9565" t="n">
        <v>1</v>
      </c>
      <c r="E9565" t="n">
        <v>0</v>
      </c>
      <c r="F9565">
        <f>HYPERLINK("https://www.reddit.com/r/GERD/comments/i0s3xu/chobani_and_forgarer_live_culture_yogurt_and_honey/")</f>
        <v/>
      </c>
      <c r="G9565" t="inlineStr">
        <is>
          <t>2020-07-30 12:10:22</t>
        </is>
      </c>
      <c r="H9565" t="inlineStr"/>
    </row>
    <row r="9566">
      <c r="A9566" t="inlineStr">
        <is>
          <t>i0s6mc</t>
        </is>
      </c>
      <c r="B9566" t="inlineStr">
        <is>
          <t>Just had my endoscopy a couple hours ago.</t>
        </is>
      </c>
      <c r="C9566" t="inlineStr">
        <is>
          <t>It was the most pleasant medical experience I've ever had, but I did have propofol which not everyone gets I guess.  It was just like others have mentioned on here, you feel good for a minute then you're out and before you know it you're in recovery feeling real good.
Anyway, here were the results.
- The examined esophagus was normal.  Biopsies were obtained from the proximal and distal esophagus with a cold forceps for histology of suspected eosinophilic esophagitis.
- The Z- line was irregular and was found 40 cm from the incisors.  Biopsies were taken with a cold forceps for histology.
- Diffuse moderate inflammation characterized by congestion (edema), erythema and granularity was found in ther gastric Antrim.  Biopsies were taken with a cold forceps Helicobacter pylori testing.
- The examined duodenum was normal.  Biopsies for histology were taken with a cold forceps for evaluation of celiac disease.  Estimated blood loss: none.
I'm trying not to stress on the irregular z-line abs just wait patiently for all the results.</t>
        </is>
      </c>
      <c r="D9566" t="n">
        <v>1</v>
      </c>
      <c r="E9566" t="n">
        <v>4</v>
      </c>
      <c r="F9566">
        <f>HYPERLINK("https://www.reddit.com/r/GERD/comments/i0s6mc/just_had_my_endoscopy_a_couple_hours_ago/")</f>
        <v/>
      </c>
      <c r="G9566" t="inlineStr">
        <is>
          <t>2020-07-30 12:14:15</t>
        </is>
      </c>
      <c r="H9566" t="inlineStr"/>
    </row>
    <row r="9567">
      <c r="A9567" t="inlineStr">
        <is>
          <t>i0sj68</t>
        </is>
      </c>
      <c r="B9567" t="inlineStr">
        <is>
          <t>PPI treatment: worse before better?</t>
        </is>
      </c>
      <c r="C9567" t="inlineStr">
        <is>
          <t>Hi all. I'm 23F and was recently diagnosed with gastritis with GERD symptoms. My gerd symptoms include difficulty breathing, tight throat, irritated nasal passages, throat spasms, bloating and stomach tightness, feeling full after eating only a little, all the works. Symptoms started 5 months ago and gradually got worse over time. 
My doctor prescribed me Pantoprazole 20 mg once daily (I finally gave in after trying diet and lifestyle changes) and today was the first day I took it. But my symptoms got so much worse! My throat is so much tighter and more painful than yesterday, my chest hurts, and breathing is a little more difficult today too. I even have more burning in my stomach than usual. It's only day one and I don't want to be pessimistic. Do PPIs make symptoms worse before better? I'm already usually in hell but damn this is a new kind of hell</t>
        </is>
      </c>
      <c r="D9567" t="n">
        <v>1</v>
      </c>
      <c r="E9567" t="n">
        <v>5</v>
      </c>
      <c r="F9567">
        <f>HYPERLINK("https://www.reddit.com/r/GERD/comments/i0sj68/ppi_treatment_worse_before_better/")</f>
        <v/>
      </c>
      <c r="G9567" t="inlineStr">
        <is>
          <t>2020-07-30 12:33:15</t>
        </is>
      </c>
      <c r="H9567" t="inlineStr"/>
    </row>
    <row r="9568">
      <c r="A9568" t="inlineStr">
        <is>
          <t>i0ssus</t>
        </is>
      </c>
      <c r="B9568" t="inlineStr">
        <is>
          <t>Question about PPI rebound</t>
        </is>
      </c>
      <c r="C9568" t="inlineStr">
        <is>
          <t>I have been on 20 mg Prilosec.
My gastro wants me to try 40 mg.
If I try 40 mg for a week and don’t like it and want to go back down to 20 mg, will I get rebound?</t>
        </is>
      </c>
      <c r="D9568" t="n">
        <v>1</v>
      </c>
      <c r="E9568" t="n">
        <v>0</v>
      </c>
      <c r="F9568">
        <f>HYPERLINK("https://www.reddit.com/r/GERD/comments/i0ssus/question_about_ppi_rebound/")</f>
        <v/>
      </c>
      <c r="G9568" t="inlineStr">
        <is>
          <t>2020-07-30 12:47:56</t>
        </is>
      </c>
      <c r="H9568" t="inlineStr"/>
    </row>
    <row r="9569">
      <c r="A9569" t="inlineStr">
        <is>
          <t>i0svrs</t>
        </is>
      </c>
      <c r="B9569" t="inlineStr">
        <is>
          <t>Chest rumble</t>
        </is>
      </c>
      <c r="C9569" t="inlineStr">
        <is>
          <t>Does anyone else get a rumbling feeling in their chest sometimes?</t>
        </is>
      </c>
      <c r="D9569" t="n">
        <v>1</v>
      </c>
      <c r="E9569" t="n">
        <v>1</v>
      </c>
      <c r="F9569">
        <f>HYPERLINK("https://www.reddit.com/r/GERD/comments/i0svrs/chest_rumble/")</f>
        <v/>
      </c>
      <c r="G9569" t="inlineStr">
        <is>
          <t>2020-07-30 12:52:23</t>
        </is>
      </c>
      <c r="H9569" t="inlineStr"/>
    </row>
    <row r="9570">
      <c r="A9570" t="inlineStr">
        <is>
          <t>i0udzj</t>
        </is>
      </c>
      <c r="B9570" t="inlineStr">
        <is>
          <t>Anyone from Vancouver/ lower mainland BC area who is currently or had suffered from GERD and GERD related problems?</t>
        </is>
      </c>
      <c r="C9570" t="inlineStr">
        <is>
          <t>Hi everyone, 
I’m finding it extremely difficult to get in contact with a gastroenterologist here in the Vancouver area for my mother. 
All the wait times seems to be 6-12 months, which is crazy for someone who has constant pain and discomfort just to get an appointment.
Can anyone recommend a clinic or GI physician who you’ve have good experiences with? 
Thanks so much guys!</t>
        </is>
      </c>
      <c r="D9570" t="n">
        <v>1</v>
      </c>
      <c r="E9570" t="n">
        <v>14</v>
      </c>
      <c r="F9570">
        <f>HYPERLINK("https://www.reddit.com/r/GERD/comments/i0udzj/anyone_from_vancouver_lower_mainland_bc_area_who/")</f>
        <v/>
      </c>
      <c r="G9570" t="inlineStr">
        <is>
          <t>2020-07-30 14:15:50</t>
        </is>
      </c>
      <c r="H9570" t="inlineStr"/>
    </row>
    <row r="9571">
      <c r="A9571" t="inlineStr">
        <is>
          <t>i0ulfl</t>
        </is>
      </c>
      <c r="B9571" t="inlineStr">
        <is>
          <t>Side effects of omeprazole?</t>
        </is>
      </c>
      <c r="C9571" t="inlineStr">
        <is>
          <t>I just got prescribed omeprazole 40 mg to control my GERD for about 2 months. Anyone notice they get diaherria when first taking it?</t>
        </is>
      </c>
      <c r="D9571" t="n">
        <v>1</v>
      </c>
      <c r="E9571" t="n">
        <v>5</v>
      </c>
      <c r="F9571">
        <f>HYPERLINK("https://www.reddit.com/r/GERD/comments/i0ulfl/side_effects_of_omeprazole/")</f>
        <v/>
      </c>
      <c r="G9571" t="inlineStr">
        <is>
          <t>2020-07-30 14:26:47</t>
        </is>
      </c>
      <c r="H9571" t="inlineStr"/>
    </row>
    <row r="9572">
      <c r="A9572" t="inlineStr">
        <is>
          <t>i0vmi2</t>
        </is>
      </c>
      <c r="B9572" t="inlineStr">
        <is>
          <t>Please look at this post. This is to benefit the community not me :)</t>
        </is>
      </c>
      <c r="C9572" t="inlineStr">
        <is>
          <t>I meant to do this post a  while back because I remember seeing so people post they feel that the ppi’s aren’t working for them. For the people who feel this way please get checked  for eosinophilic esophagitis( EOE) is a chronic, allergic inflammatory disease of the esophagus that  occurs when a type of white blood cell, the eosinophil, accumulates in the esophagus. The elevated number of eosinophils cause injury and inflammation to the esophagus.  honestly even if you do respond get checked for EOE  because it can be a allergic reaction that is causing your GERD hope this was helpful.  :) also if you do have it don’t go to crazy about cancer it hasn’t been shown to raise you chances.</t>
        </is>
      </c>
      <c r="D9572" t="n">
        <v>1</v>
      </c>
      <c r="E9572" t="n">
        <v>28</v>
      </c>
      <c r="F9572">
        <f>HYPERLINK("https://www.reddit.com/r/GERD/comments/i0vmi2/please_look_at_this_post_this_is_to_benefit_the/")</f>
        <v/>
      </c>
      <c r="G9572" t="inlineStr">
        <is>
          <t>2020-07-30 15:24:58</t>
        </is>
      </c>
      <c r="H9572" t="inlineStr"/>
    </row>
    <row r="9573">
      <c r="A9573" t="inlineStr">
        <is>
          <t>i0vrcw</t>
        </is>
      </c>
      <c r="B9573" t="inlineStr">
        <is>
          <t>Does THC relax the LES?</t>
        </is>
      </c>
      <c r="C9573" t="inlineStr">
        <is>
          <t>Does anyone know? I’ve seen conflicting reports.</t>
        </is>
      </c>
      <c r="D9573" t="n">
        <v>1</v>
      </c>
      <c r="E9573" t="n">
        <v>7</v>
      </c>
      <c r="F9573">
        <f>HYPERLINK("https://www.reddit.com/r/GERD/comments/i0vrcw/does_thc_relax_the_les/")</f>
        <v/>
      </c>
      <c r="G9573" t="inlineStr">
        <is>
          <t>2020-07-30 15:32:48</t>
        </is>
      </c>
      <c r="H9573" t="inlineStr"/>
    </row>
    <row r="9574">
      <c r="A9574" t="inlineStr">
        <is>
          <t>i0x15u</t>
        </is>
      </c>
      <c r="B9574" t="inlineStr">
        <is>
          <t>Metoclopramide for Gerd</t>
        </is>
      </c>
      <c r="C9574" t="inlineStr">
        <is>
          <t>I recently visited a new GI and he wanted me off my PPI's (understandably) and suggested I take the above titled medication. The reviews on this med are terrifying. Has anyone taken this med? How did it treat you? For those that don't know, its supposed to improve/strengthen your esophageal sphincter. My doctor only wants me to take 5 mg and you don't take it for any longer than 12 weeks.</t>
        </is>
      </c>
      <c r="D9574" t="n">
        <v>1</v>
      </c>
      <c r="E9574" t="n">
        <v>9</v>
      </c>
      <c r="F9574">
        <f>HYPERLINK("https://www.reddit.com/r/GERD/comments/i0x15u/metoclopramide_for_gerd/")</f>
        <v/>
      </c>
      <c r="G9574" t="inlineStr">
        <is>
          <t>2020-07-30 16:49:16</t>
        </is>
      </c>
      <c r="H9574" t="inlineStr"/>
    </row>
    <row r="9575">
      <c r="A9575" t="inlineStr">
        <is>
          <t>i0x62u</t>
        </is>
      </c>
      <c r="B9575" t="inlineStr">
        <is>
          <t>Tightness and Nausea</t>
        </is>
      </c>
      <c r="C9575" t="inlineStr">
        <is>
          <t>I get this tight feeling like someone just punched me in the upper stomach and I get so nauseas and acid reflex everyday to the point where my anxiety thinks I am dying. My doctor barely helps me and there’s no way I can get a new one has anyone else experienced this and how to try and stop it? I eat pretty good I cut out caffeine and smoking but still no difference after 3 months anyone have any advice?</t>
        </is>
      </c>
      <c r="D9575" t="n">
        <v>1</v>
      </c>
      <c r="E9575" t="n">
        <v>4</v>
      </c>
      <c r="F9575">
        <f>HYPERLINK("https://www.reddit.com/r/GERD/comments/i0x62u/tightness_and_nausea/")</f>
        <v/>
      </c>
      <c r="G9575" t="inlineStr">
        <is>
          <t>2020-07-30 16:57:51</t>
        </is>
      </c>
      <c r="H9575" t="inlineStr"/>
    </row>
    <row r="9576">
      <c r="A9576" t="inlineStr">
        <is>
          <t>i0xqmu</t>
        </is>
      </c>
      <c r="B9576" t="inlineStr">
        <is>
          <t>Any experiences with hard cider?</t>
        </is>
      </c>
      <c r="C9576" t="inlineStr">
        <is>
          <t>I'm new to this and not formally diagnosed yet but seems like I have all the symptoms.
I've been searching and reading the subreddit and I realize that alcohol is basically a hard no for the vast majority of people. Seems like some folks can get by with a single glass of their choice, others are okay with a few beers. Beers are out for me cause I also have celiac (don't get me started on GF "beer"). Hard cider, bourbon, and Ranch Water (Tequila + Topo Chico mineral water) are generally my drinks of choice. Kinda figuring Ranch Water is out since Topo Chico is carbonated. Based on other folks it seems like bourbon will be me experimenting on my self and guaging my suffering
I'm curious if anyone has had positive or negative experiences with hard cider?</t>
        </is>
      </c>
      <c r="D9576" t="n">
        <v>1</v>
      </c>
      <c r="E9576" t="n">
        <v>1</v>
      </c>
      <c r="F9576">
        <f>HYPERLINK("https://www.reddit.com/r/GERD/comments/i0xqmu/any_experiences_with_hard_cider/")</f>
        <v/>
      </c>
      <c r="G9576" t="inlineStr">
        <is>
          <t>2020-07-30 17:34:35</t>
        </is>
      </c>
      <c r="H9576" t="inlineStr"/>
    </row>
    <row r="9577">
      <c r="A9577" t="inlineStr">
        <is>
          <t>i0ye9b</t>
        </is>
      </c>
      <c r="B9577" t="inlineStr">
        <is>
          <t>does anyone get burning sensation on the side of the neck?</t>
        </is>
      </c>
      <c r="C9577" t="inlineStr">
        <is>
          <t>it felt rash when touched</t>
        </is>
      </c>
      <c r="D9577" t="n">
        <v>1</v>
      </c>
      <c r="E9577" t="n">
        <v>0</v>
      </c>
      <c r="F9577">
        <f>HYPERLINK("https://www.reddit.com/r/GERD/comments/i0ye9b/does_anyone_get_burning_sensation_on_the_side_of/")</f>
        <v/>
      </c>
      <c r="G9577" t="inlineStr">
        <is>
          <t>2020-07-30 18:17:10</t>
        </is>
      </c>
      <c r="H9577" t="inlineStr"/>
    </row>
    <row r="9578">
      <c r="A9578" t="inlineStr">
        <is>
          <t>i0z220</t>
        </is>
      </c>
      <c r="B9578" t="inlineStr">
        <is>
          <t>Obvious, but reminder that chewing your food EXTREMELY slowly makes a huge difference</t>
        </is>
      </c>
      <c r="C9578" t="inlineStr">
        <is>
          <t>Almost too slowly even, it changed a lot for me.</t>
        </is>
      </c>
      <c r="D9578" t="n">
        <v>1</v>
      </c>
      <c r="E9578" t="n">
        <v>23</v>
      </c>
      <c r="F9578">
        <f>HYPERLINK("https://www.reddit.com/r/GERD/comments/i0z220/obvious_but_reminder_that_chewing_your_food/")</f>
        <v/>
      </c>
      <c r="G9578" t="inlineStr">
        <is>
          <t>2020-07-30 19:01:04</t>
        </is>
      </c>
      <c r="H9578" t="inlineStr"/>
    </row>
    <row r="9579">
      <c r="A9579" t="inlineStr">
        <is>
          <t>i0zpy2</t>
        </is>
      </c>
      <c r="B9579" t="inlineStr">
        <is>
          <t>Can a single flare-up destroy your LES?</t>
        </is>
      </c>
      <c r="C9579" t="inlineStr">
        <is>
          <t>I fucked up and drank coffee and was eating poorly for a few days (after thinking this shit was cured by my PPIs after awhile). Now I've got LPR symptoms which have gone on for like a week. Im afraid that my only option is to increase my PPI dosage in order to heal to how I was before. I can sleep but its uncomfortable during the night and noticeable during the day.
Should I up my PPI dosage or should I hold on a bit longer for the flare-up to possibly heal?</t>
        </is>
      </c>
      <c r="D9579" t="n">
        <v>1</v>
      </c>
      <c r="E9579" t="n">
        <v>0</v>
      </c>
      <c r="F9579">
        <f>HYPERLINK("https://www.reddit.com/r/GERD/comments/i0zpy2/can_a_single_flareup_destroy_your_les/")</f>
        <v/>
      </c>
      <c r="G9579" t="inlineStr">
        <is>
          <t>2020-07-30 19:45:41</t>
        </is>
      </c>
      <c r="H9579" t="inlineStr"/>
    </row>
    <row r="9580">
      <c r="A9580" t="inlineStr">
        <is>
          <t>i10p18</t>
        </is>
      </c>
      <c r="B9580" t="inlineStr">
        <is>
          <t>Constant acid reflux</t>
        </is>
      </c>
      <c r="C9580" t="inlineStr">
        <is>
          <t>Hi guys! Do you guys experience constant acid reflux? I always feels like sh** always like every single day. My GI gave me prevacid lansoprazole  for it but still feeling the same way. Any tips on how to get rid of it?</t>
        </is>
      </c>
      <c r="D9580" t="n">
        <v>1</v>
      </c>
      <c r="E9580" t="n">
        <v>3</v>
      </c>
      <c r="F9580">
        <f>HYPERLINK("https://www.reddit.com/r/GERD/comments/i10p18/constant_acid_reflux/")</f>
        <v/>
      </c>
      <c r="G9580" t="inlineStr">
        <is>
          <t>2020-07-30 20:53:38</t>
        </is>
      </c>
      <c r="H9580" t="inlineStr"/>
    </row>
    <row r="9581">
      <c r="A9581" t="inlineStr">
        <is>
          <t>i10pai</t>
        </is>
      </c>
      <c r="B9581" t="inlineStr">
        <is>
          <t>And it was just starting to go so well for me...</t>
        </is>
      </c>
      <c r="C9581" t="inlineStr">
        <is>
          <t>Hi everyone, it's been 20 days since I (21F) started taking meds (20 mg Famotidine, twice daily) after being diagnosed with acute gastritis/reflux esophagitis from an endoscopy. It's also around week 2 of my "acid watcher diet". It was actually going really well for me, and I was experiencing little to no acid reflux symptoms for the first time in 5 months. Unfortunately, last night I binged on pretzels followed by a ton of watermelon, and became extremely bloated (I immediately regretted my decision). Today I had a dentist appointment (i.e. an hour of laying upside down) and when I got home I was extremely hungry, so I ate a ton of food super fast - it felt almost compacted in my esophagus because of how quickly I ate, and I experienced a bunch of pain in my esophagus. Needless to say my reflux symptoms are back with a vengeance, and my esophagus is definitely irritated. I'm just feeling frustrated and hopeless at myself, because it was going so well and I messed up and now I'm back to where I was before. 
Words of encouragement/your own experiences with recovery are appreciated.</t>
        </is>
      </c>
      <c r="D9581" t="n">
        <v>1</v>
      </c>
      <c r="E9581" t="n">
        <v>2</v>
      </c>
      <c r="F9581">
        <f>HYPERLINK("https://www.reddit.com/r/GERD/comments/i10pai/and_it_was_just_starting_to_go_so_well_for_me/")</f>
        <v/>
      </c>
      <c r="G9581" t="inlineStr">
        <is>
          <t>2020-07-30 20:54:12</t>
        </is>
      </c>
      <c r="H9581" t="inlineStr"/>
    </row>
    <row r="9582">
      <c r="A9582" t="inlineStr">
        <is>
          <t>i10z18</t>
        </is>
      </c>
      <c r="B9582" t="inlineStr">
        <is>
          <t>How long before a PPI is deemed ineffective? Prokinetics? Bloating medication?</t>
        </is>
      </c>
      <c r="C9582" t="inlineStr">
        <is>
          <t>Since late March my mother has been put on 4 PPI’s for acid reflux. She’s currently on Nexium 40mg twice daily for almost 3 months but it hasn’t shown much noticeable relief (she takes this with gaviscon extra strength). Previous to Nexium, she was on pantoprazole (roughly 20 days) dexilant (roughly 20 days) Omeprazole (less than 1 week) 
After a recent endoscopy the biopsy came back normal and ruled out H pylori and Barrett’s but the doctor believe she has dyspepsia and GERD. 
Would it be beneficial to go back onto a previous PPI since maybe the shorter timeframe did not allow them to work properly? 
In addition, has anyone tried prokinetics or medication to help reduce constant bloating? 
Thanks!</t>
        </is>
      </c>
      <c r="D9582" t="n">
        <v>1</v>
      </c>
      <c r="E9582" t="n">
        <v>2</v>
      </c>
      <c r="F9582">
        <f>HYPERLINK("https://www.reddit.com/r/GERD/comments/i10z18/how_long_before_a_ppi_is_deemed_ineffective/")</f>
        <v/>
      </c>
      <c r="G9582" t="inlineStr">
        <is>
          <t>2020-07-30 21:13:25</t>
        </is>
      </c>
      <c r="H9582" t="inlineStr"/>
    </row>
    <row r="9583">
      <c r="A9583" t="inlineStr">
        <is>
          <t>i116yr</t>
        </is>
      </c>
      <c r="B9583" t="inlineStr">
        <is>
          <t>How old are you when you first diagnosed with gerd?</t>
        </is>
      </c>
      <c r="C9583" t="inlineStr">
        <is>
          <t>I'm 29 and i wanna know what age are you diagnosed with this kind of sickness?</t>
        </is>
      </c>
      <c r="D9583" t="n">
        <v>1</v>
      </c>
      <c r="E9583" t="n">
        <v>10</v>
      </c>
      <c r="F9583">
        <f>HYPERLINK("https://www.reddit.com/r/GERD/comments/i116yr/how_old_are_you_when_you_first_diagnosed_with_gerd/")</f>
        <v/>
      </c>
      <c r="G9583" t="inlineStr">
        <is>
          <t>2020-07-30 21:29:49</t>
        </is>
      </c>
      <c r="H9583" t="inlineStr"/>
    </row>
    <row r="9584">
      <c r="A9584" t="inlineStr">
        <is>
          <t>i12oxo</t>
        </is>
      </c>
      <c r="B9584" t="inlineStr">
        <is>
          <t>how long the burning sensation should start after eating triggered foods?</t>
        </is>
      </c>
      <c r="C9584" t="inlineStr">
        <is>
          <t>or it can happen anytime after meal or before meal or anytime of the day?</t>
        </is>
      </c>
      <c r="D9584" t="n">
        <v>1</v>
      </c>
      <c r="E9584" t="n">
        <v>0</v>
      </c>
      <c r="F9584">
        <f>HYPERLINK("https://www.reddit.com/r/GERD/comments/i12oxo/how_long_the_burning_sensation_should_start_after/")</f>
        <v/>
      </c>
      <c r="G9584" t="inlineStr">
        <is>
          <t>2020-07-30 23:33:05</t>
        </is>
      </c>
      <c r="H9584" t="inlineStr"/>
    </row>
    <row r="9585">
      <c r="A9585" t="inlineStr">
        <is>
          <t>i12yxz</t>
        </is>
      </c>
      <c r="B9585" t="inlineStr">
        <is>
          <t>Difficulty Swallowing :(</t>
        </is>
      </c>
      <c r="C9585" t="inlineStr">
        <is>
          <t>Hey guys, it’s been a while since I’ve had this symptom, I did mess up and ate spicy spaghetti with red sauce !!!  Now it’s late at night and i can barley swallow , what are some tips to fix it ? I already had a cup of apple cider tea , and I also had a cup aloe Vera, along with lots of water.</t>
        </is>
      </c>
      <c r="D9585" t="n">
        <v>1</v>
      </c>
      <c r="E9585" t="n">
        <v>6</v>
      </c>
      <c r="F9585">
        <f>HYPERLINK("https://www.reddit.com/r/GERD/comments/i12yxz/difficulty_swallowing/")</f>
        <v/>
      </c>
      <c r="G9585" t="inlineStr">
        <is>
          <t>2020-07-30 23:58:00</t>
        </is>
      </c>
      <c r="H9585" t="inlineStr"/>
    </row>
    <row r="9586">
      <c r="A9586" t="inlineStr">
        <is>
          <t>i1313h</t>
        </is>
      </c>
      <c r="B9586" t="inlineStr">
        <is>
          <t>Is it possible for GERD to produce heart attack like symptoms?</t>
        </is>
      </c>
      <c r="C9586" t="inlineStr">
        <is>
          <t>So recently I’ve been diagnosed with acid reflux, which is why I’m thinking there MIGHT possibly be a link. So the other day I’ve pretty much gotten weird sharp pains on what feels like my heart, and I’ve actually personally never witnessed heart burn before so I can’t tell what it is.   
Do GERD symptoms mimic heart attack symptoms whatsoever in any shape or form in your experience?</t>
        </is>
      </c>
      <c r="D9586" t="n">
        <v>1</v>
      </c>
      <c r="E9586" t="n">
        <v>3</v>
      </c>
      <c r="F9586">
        <f>HYPERLINK("https://www.reddit.com/r/GERD/comments/i1313h/is_it_possible_for_gerd_to_produce_heart_attack/")</f>
        <v/>
      </c>
      <c r="G9586" t="inlineStr">
        <is>
          <t>2020-07-31 00:02:56</t>
        </is>
      </c>
      <c r="H9586" t="inlineStr"/>
    </row>
    <row r="9587">
      <c r="A9587" t="inlineStr">
        <is>
          <t>i135br</t>
        </is>
      </c>
      <c r="B9587" t="inlineStr">
        <is>
          <t>Food poisoning and GERD?</t>
        </is>
      </c>
      <c r="C9587" t="inlineStr">
        <is>
          <t>Hi all,
New to this subreddit and I saw the note that diagnostic posts are banned. I'm hoping that mine is not ban-worthy because I am struggling so much.
4 years ago I had food poisoning for the first time in my life and threw up for the first time in literally 15 years. 
I am 29, 5'7 and weigh 145 lbs. I am very active (basketball, weight lifting, sports) and generally very happy (married, great friends, great job).
Since my food poisoning bout, I've had awful digestion. Some symptoms are GERD-like (can't sleep or else feel regurgitation, sore throat, etc).
but in general I'm not sure if it is GERD.... food just doesn't digest. My food feels like it sits at the upper end of my stomach and just won't go down. Often times I have no appetite/nausea even if I haven't eaten. 
Anyone else have GERD after food poisoning? And for how long? And can GERD be associated with this feeling of indigestion?</t>
        </is>
      </c>
      <c r="D9587" t="n">
        <v>1</v>
      </c>
      <c r="E9587" t="n">
        <v>2</v>
      </c>
      <c r="F9587">
        <f>HYPERLINK("https://www.reddit.com/r/GERD/comments/i135br/food_poisoning_and_gerd/")</f>
        <v/>
      </c>
      <c r="G9587" t="inlineStr">
        <is>
          <t>2020-07-31 00:13:32</t>
        </is>
      </c>
      <c r="H9587" t="inlineStr"/>
    </row>
    <row r="9588">
      <c r="A9588" t="inlineStr">
        <is>
          <t>i13asp</t>
        </is>
      </c>
      <c r="B9588" t="inlineStr">
        <is>
          <t>List of high ph / suitable foods?</t>
        </is>
      </c>
      <c r="C9588" t="inlineStr">
        <is>
          <t>I have LPR and don’t know where to start. I find a lot of the info really confusing. I’m also in the U.K. and the two books recommended on here are super expensive to buy (acid watchers diet and dropping acid) and according to comments not worth buying recipe-wise if in the U.K. Should I just start by dropping caffeine alcohol and chocolate and keep everything else the same? I have no idea what my trigger foods are. One thing I’m really confused about is if I should cut dairy and gluten or not. Would really appreciate advice from those in the know!</t>
        </is>
      </c>
      <c r="D9588" t="n">
        <v>1</v>
      </c>
      <c r="E9588" t="n">
        <v>10</v>
      </c>
      <c r="F9588">
        <f>HYPERLINK("https://www.reddit.com/r/GERD/comments/i13asp/list_of_high_ph_suitable_foods/")</f>
        <v/>
      </c>
      <c r="G9588" t="inlineStr">
        <is>
          <t>2020-07-31 00:27:41</t>
        </is>
      </c>
      <c r="H9588" t="inlineStr"/>
    </row>
    <row r="9589">
      <c r="A9589" t="inlineStr">
        <is>
          <t>i13x9r</t>
        </is>
      </c>
      <c r="B9589" t="inlineStr">
        <is>
          <t>Just starting omeprazol</t>
        </is>
      </c>
      <c r="C9589" t="inlineStr">
        <is>
          <t>Hey guys, I’m just starting to take omeprazol (2 weeks 20mg a day) and I’m super nervous about one of the side effects. It’s just 1 in 10 000 but it’s literally my worst fear. It’s hallucinations. Does anyone here have some calming words for me?</t>
        </is>
      </c>
      <c r="D9589" t="n">
        <v>1</v>
      </c>
      <c r="E9589" t="n">
        <v>5</v>
      </c>
      <c r="F9589">
        <f>HYPERLINK("https://www.reddit.com/r/GERD/comments/i13x9r/just_starting_omeprazol/")</f>
        <v/>
      </c>
      <c r="G9589" t="inlineStr">
        <is>
          <t>2020-07-31 01:26:17</t>
        </is>
      </c>
      <c r="H9589" t="inlineStr"/>
    </row>
    <row r="9590">
      <c r="A9590" t="inlineStr">
        <is>
          <t>i14bcd</t>
        </is>
      </c>
      <c r="B9590" t="inlineStr">
        <is>
          <t>4 weeks pantoprazol. Doc says to just stop.</t>
        </is>
      </c>
      <c r="C9590" t="inlineStr">
        <is>
          <t>My doctor says I should stop taking my panto after 4 weeks and see what happens for 1-2 weeks. Can there be rebound effects after 1 month?
I ask myself if I at least should take the last 3 pills in 2 days intervalls or sth like that</t>
        </is>
      </c>
      <c r="D9590" t="n">
        <v>1</v>
      </c>
      <c r="E9590" t="n">
        <v>2</v>
      </c>
      <c r="F9590">
        <f>HYPERLINK("https://www.reddit.com/r/GERD/comments/i14bcd/4_weeks_pantoprazol_doc_says_to_just_stop/")</f>
        <v/>
      </c>
      <c r="G9590" t="inlineStr">
        <is>
          <t>2020-07-31 02:04:17</t>
        </is>
      </c>
      <c r="H9590" t="inlineStr"/>
    </row>
    <row r="9591">
      <c r="A9591" t="inlineStr">
        <is>
          <t>i14ivz</t>
        </is>
      </c>
      <c r="B9591" t="inlineStr">
        <is>
          <t>Sore throat for two weeks now, any tips?</t>
        </is>
      </c>
      <c r="C9591" t="inlineStr">
        <is>
          <t>So I recently found out I have gerd symptoms after going years experiencing these symptoms and not knowing what they’re called. One of them is acid reflux, I regurgitate alllll the time. However, recently the past few months I started getting acid reflux more frequently I’m assuming due to the stress of current world events and a spike in anxiety. Throughout the months I would get a sore throat and it would go away usually in a week or less. However, this time it’s been two weeks almost three I think and it hasn’t gone away :( 
It usually goes away when I eat and at night it seems like I feel it more than in the daytime. Sometimes I don’t have a sore throat at alll. And I feel fine just sore throat occasionally 
I was wondering if anyone has also dealt with this and if you got rid of it? Also how did you get rid of it? Helpppp I’m only 18 don’t know what’s going on haha. Is this normal with gerd? Any tips would be appreciated.
I really appreciate anyone who responds to this post with help :( Me and my throat will really appreciate lol and thank you for reading!!!! :)</t>
        </is>
      </c>
      <c r="D9591" t="n">
        <v>1</v>
      </c>
      <c r="E9591" t="n">
        <v>12</v>
      </c>
      <c r="F9591">
        <f>HYPERLINK("https://www.reddit.com/r/GERD/comments/i14ivz/sore_throat_for_two_weeks_now_any_tips/")</f>
        <v/>
      </c>
      <c r="G9591" t="inlineStr">
        <is>
          <t>2020-07-31 02:23:53</t>
        </is>
      </c>
      <c r="H9591" t="inlineStr"/>
    </row>
    <row r="9592">
      <c r="A9592" t="inlineStr">
        <is>
          <t>i15gua</t>
        </is>
      </c>
      <c r="B9592" t="inlineStr">
        <is>
          <t>Anti-anxiety or anti-depressent meds?</t>
        </is>
      </c>
      <c r="C9592" t="inlineStr">
        <is>
          <t>I posted a few days ago but this is a little different. I suffer with anxiety and depression and my doctor believes it is these contributing to my symptoms but not giving me anything to combat them as it apparently can make symptoms worse. Is anyone on this type of medication which works and helps relieve symptoms so I can deal with it better? I wanna ask my doctor next Wednesday if anything can be done. Thanks!</t>
        </is>
      </c>
      <c r="D9592" t="n">
        <v>1</v>
      </c>
      <c r="E9592" t="n">
        <v>3</v>
      </c>
      <c r="F9592">
        <f>HYPERLINK("https://www.reddit.com/r/GERD/comments/i15gua/antianxiety_or_antidepressent_meds/")</f>
        <v/>
      </c>
      <c r="G9592" t="inlineStr">
        <is>
          <t>2020-07-31 03:50:27</t>
        </is>
      </c>
      <c r="H9592" t="inlineStr"/>
    </row>
    <row r="9593">
      <c r="A9593" t="inlineStr">
        <is>
          <t>i17yeo</t>
        </is>
      </c>
      <c r="B9593" t="inlineStr">
        <is>
          <t>H. Pylori Positive</t>
        </is>
      </c>
      <c r="C9593" t="inlineStr">
        <is>
          <t>H. Pylori Positive
Last few months I have been having on and off feelings of dizziness, nausea, dry heaving and bloating especially after eating and first thing in the morning.
I went to the doctor and tested positive for H. pylori.  My question is can H. pylori cause all those symptoms??  Or is it possibly something else? 
Also, about a month ago I felt like something was throbbing underneath my sternum.  Almost felt like it could possibly be an ulcer?  The thing is it only lasted a week, and now I just have both good and bad days with bouts of extreme dizziness and nausea.
Almost like I’m walking on a boat.and my head feels heavy.  
Can H. Pylori cause this? 
5’7
Male
29 yrs old
175 lbs</t>
        </is>
      </c>
      <c r="D9593" t="n">
        <v>1</v>
      </c>
      <c r="E9593" t="n">
        <v>10</v>
      </c>
      <c r="F9593">
        <f>HYPERLINK("https://www.reddit.com/r/GERD/comments/i17yeo/h_pylori_positive/")</f>
        <v/>
      </c>
      <c r="G9593" t="inlineStr">
        <is>
          <t>2020-07-31 06:58:09</t>
        </is>
      </c>
      <c r="H9593" t="inlineStr"/>
    </row>
    <row r="9594">
      <c r="A9594" t="inlineStr">
        <is>
          <t>i18uja</t>
        </is>
      </c>
      <c r="B9594" t="inlineStr">
        <is>
          <t>What can be done about the breathing issues from reflux?</t>
        </is>
      </c>
      <c r="C9594" t="inlineStr">
        <is>
          <t>The problem for me is that when I get reflux, it affects my throat and lungs. I start coughing a lot of mucus after a spicy/oily meal, and then I start breathing heavier, sighing a lot, feeling like crap, unable to exert myself too much. My vocal chords also get damaged, and I can feel the pain when speaking - even getting light headed.
I was on Omeprazole again for a few weeks but I just couldn't continue it. PPIs make me extremely vitamin-deficient, because I get extreme weakness and my legs literally spasm on sitting down. I'm not even exaggerating, **my legs spasm extremely painfully when on PPIs**. I drink a lot ofwater so it's not that, the PPI definitely makes me deficient in some vitamins / minerals.
That said, without PPIs I definitely feel better on that end, but when my vocal chords and lungs get damaged, it's extremely concerning and it takes me 2 days to recover from that. 
Should I try an OTC inhaler ? What can be done about all the excess mucus after a heavy meal?</t>
        </is>
      </c>
      <c r="D9594" t="n">
        <v>1</v>
      </c>
      <c r="E9594" t="n">
        <v>11</v>
      </c>
      <c r="F9594">
        <f>HYPERLINK("https://www.reddit.com/r/GERD/comments/i18uja/what_can_be_done_about_the_breathing_issues_from/")</f>
        <v/>
      </c>
      <c r="G9594" t="inlineStr">
        <is>
          <t>2020-07-31 07:53:19</t>
        </is>
      </c>
      <c r="H9594" t="inlineStr"/>
    </row>
    <row r="9595">
      <c r="A9595" t="inlineStr">
        <is>
          <t>i19br4</t>
        </is>
      </c>
      <c r="B9595" t="inlineStr">
        <is>
          <t>Difficulty swallowing?</t>
        </is>
      </c>
      <c r="C9595" t="inlineStr">
        <is>
          <t>Has anyone ever had issues swallowing because of GERD?
For the past month or so, I have had a feeling of food getting stuck when I swallow. Not enough that I cough or choke, but just a general feeling. I also experience what seems like mucus stuck in my throat (but won't come out no matter how much I try to expel it). I ended up going on a liquid diet for a few weeks because it got so bad. I went to the GI doctor for a scope consult and she said it's reflux related and upped my dosage of omeprazole. She said the mucus feeling could be globus (I do have anxiety).
Anyone else experience anything similar?</t>
        </is>
      </c>
      <c r="D9595" t="n">
        <v>1</v>
      </c>
      <c r="E9595" t="n">
        <v>36</v>
      </c>
      <c r="F9595">
        <f>HYPERLINK("https://www.reddit.com/r/GERD/comments/i19br4/difficulty_swallowing/")</f>
        <v/>
      </c>
      <c r="G9595" t="inlineStr">
        <is>
          <t>2020-07-31 08:20:58</t>
        </is>
      </c>
      <c r="H9595" t="inlineStr"/>
    </row>
    <row r="9596">
      <c r="A9596" t="inlineStr">
        <is>
          <t>i19iq9</t>
        </is>
      </c>
      <c r="B9596" t="inlineStr">
        <is>
          <t>What does your GERD feel like? Did you have nausea?</t>
        </is>
      </c>
      <c r="C9596" t="inlineStr">
        <is>
          <t>I’m currently dealing with a bizarre episode of nausea and belching up liquid/acid. On say 2 of 14 days course nexium. Hoping it helps!!</t>
        </is>
      </c>
      <c r="D9596" t="n">
        <v>1</v>
      </c>
      <c r="E9596" t="n">
        <v>3</v>
      </c>
      <c r="F9596">
        <f>HYPERLINK("https://www.reddit.com/r/GERD/comments/i19iq9/what_does_your_gerd_feel_like_did_you_have_nausea/")</f>
        <v/>
      </c>
      <c r="G9596" t="inlineStr">
        <is>
          <t>2020-07-31 08:32:06</t>
        </is>
      </c>
      <c r="H9596" t="inlineStr"/>
    </row>
    <row r="9597">
      <c r="A9597" t="inlineStr">
        <is>
          <t>i19wfb</t>
        </is>
      </c>
      <c r="B9597" t="inlineStr">
        <is>
          <t>On experiencing acid reflux/GERD during the quarantine</t>
        </is>
      </c>
      <c r="C9597" t="inlineStr">
        <is>
          <t>Hey all. I recently started experience some severe symptoms of GERD about 2 weeks ago. Acid reflux runs in my family and I would always burp a lot but never had many issues otherwise. Two weeks ago I was woken up to some intense chest pain (mostly in the middle left area but would move around), developed a mild fever, stomach cramps, left side jaw pain at times, sour mouth - you name it. I felt a similar chest pain last week, but for the most part the pain and other symptoms have subsided. I still feel chest pain, and stomach cramps here and there but I am already doing what I can to get this to stop (sleeping on left and incline, avoiding acidic foods and introducing probiotics/oatmeal/bananas, chewing food properly, etc). I haven't been diagnosed yet but both my father and brother have, though they have much milder symptoms and no chest pains. I also have been working out since this started, and I continue to feel good during and after workouts.
On that note, I noticed another thread where some of you guys shared your experience of developing these or milder symptoms once the quarantine started as well (eg  [https://www.reddit.com/r/GERD/comments/g4buuk/has\_anyone\_else\_experienced\_acid\_reflux\_during/](https://www.reddit.com/r/GERD/comments/g4buuk/has_anyone_else_experienced_acid_reflux_during/) ). Some people even mention developing constipation, which I also experienced early on around April/May. It's reassuring that there are others with a very similar experience, though it would be great if we could all do what we can to avoid this get better. I was hoping to share my background/experience to see how much others can relate, in hopes that we can filter out some things together and get better.
With that said, I am a relatively healthy person in terms of diet and exercise. I would be in the gym for bodybuilding and sauna 5 days a week, though once quarantine began I shifted my workouts to calisthenics and a lot of running. My diet remained similar to my pre-quarantine diets - salad, meats, eggs, vegetables, yogurt, tea, and of course some cheating room here and there. Apart from recently adding a few more tomatoes to my salad, switching the brand of green tea I drink, brand of protein powder, eating Indian food recently before, and doing a lot of running compared to pre-quarantine (around 5k a day), I'm not sure why these would cause my GERD to flare up. Other than this I also read that anxiety can be a big player in GERD symptoms. I have been worrying about a lot of random shit throughout the day and have trouble getting my mind off it unless actively doing something, which might be a big player and cause stress. I also wonder if the disinfecting my family and I do after grocery shopping (soap and water/sanitizing wipes) have something to do with it because we aren't rinsing it off properly. Finally, I haven't been going out much at all, spending time with friends online and what not.
Anyways after this rant, I'm wondering if others can share similar experiences/symptoms and/or lifestyles, if anyone has any other tips that I may have missed, etc. Anything you could share would be appreciated, and hopefully help others.</t>
        </is>
      </c>
      <c r="D9597" t="n">
        <v>1</v>
      </c>
      <c r="E9597" t="n">
        <v>11</v>
      </c>
      <c r="F9597">
        <f>HYPERLINK("https://www.reddit.com/r/GERD/comments/i19wfb/on_experiencing_acid_refluxgerd_during_the/")</f>
        <v/>
      </c>
      <c r="G9597" t="inlineStr">
        <is>
          <t>2020-07-31 08:53:16</t>
        </is>
      </c>
      <c r="H9597" t="inlineStr"/>
    </row>
    <row r="9598">
      <c r="A9598" t="inlineStr">
        <is>
          <t>i1aj13</t>
        </is>
      </c>
      <c r="B9598" t="inlineStr">
        <is>
          <t>I know this is a repeat topic, but I could use some advice from some “experts” ;)</t>
        </is>
      </c>
      <c r="C9598" t="inlineStr">
        <is>
          <t>I am in the middle of a major flare up. I have heartburn when my stomach is empty and pain once I eat. I am taking prilosec twice a day (much to my dismay) as well as GasX and occasionally an antacid. I have a Drs appt but it’s not until late August. In the meantime, I am eating bland and I have cut out caffeine, spices, etc. What do you guys use for “break through” pain and acid??  The pain is under/near my left rib.</t>
        </is>
      </c>
      <c r="D9598" t="n">
        <v>1</v>
      </c>
      <c r="E9598" t="n">
        <v>7</v>
      </c>
      <c r="F9598">
        <f>HYPERLINK("https://www.reddit.com/r/GERD/comments/i1aj13/i_know_this_is_a_repeat_topic_but_i_could_use/")</f>
        <v/>
      </c>
      <c r="G9598" t="inlineStr">
        <is>
          <t>2020-07-31 09:27:35</t>
        </is>
      </c>
      <c r="H9598" t="inlineStr"/>
    </row>
    <row r="9599">
      <c r="A9599" t="inlineStr">
        <is>
          <t>i1apxn</t>
        </is>
      </c>
      <c r="B9599" t="inlineStr">
        <is>
          <t>Pantoprazole anxiety?</t>
        </is>
      </c>
      <c r="C9599" t="inlineStr">
        <is>
          <t>Hey all,
Just had an egd done on Monday and doctor switched meds. Have been on Omeprazole 20mg twice a day and not pantoprazole 40mg twice a day since he said I still had reflux and was red.
My question is can it cause anxiety and racing mind? I have anxiety in general and last night could barely sleep at all. I called him and he said that it cannot cause anxiety but a google search and on here suggests otherwise so I'm confused really. Time for a new doc or is he right in saying it can't cause anxiety</t>
        </is>
      </c>
      <c r="D9599" t="n">
        <v>1</v>
      </c>
      <c r="E9599" t="n">
        <v>3</v>
      </c>
      <c r="F9599">
        <f>HYPERLINK("https://www.reddit.com/r/GERD/comments/i1apxn/pantoprazole_anxiety/")</f>
        <v/>
      </c>
      <c r="G9599" t="inlineStr">
        <is>
          <t>2020-07-31 09:38:00</t>
        </is>
      </c>
      <c r="H9599" t="inlineStr"/>
    </row>
    <row r="9600">
      <c r="A9600" t="inlineStr">
        <is>
          <t>i1av6p</t>
        </is>
      </c>
      <c r="B9600" t="inlineStr">
        <is>
          <t>GERD/Acid Reflux Completely Stops when I lay Down Flat, Left Side, or Right Side. If I Sleep in an Incline it Starts Up Again.</t>
        </is>
      </c>
      <c r="C9600" t="inlineStr">
        <is>
          <t>M24
I get acid reflux about every hour of the day since I was 22. As soon as I lay down it stops. When I asked my MD about this he looked at me like I was speaking another language. Has anybody else had this happen to them? Thanks!</t>
        </is>
      </c>
      <c r="D9600" t="n">
        <v>1</v>
      </c>
      <c r="E9600" t="n">
        <v>5</v>
      </c>
      <c r="F9600">
        <f>HYPERLINK("https://www.reddit.com/r/GERD/comments/i1av6p/gerdacid_reflux_completely_stops_when_i_lay_down/")</f>
        <v/>
      </c>
      <c r="G9600" t="inlineStr">
        <is>
          <t>2020-07-31 09:46:01</t>
        </is>
      </c>
      <c r="H9600" t="inlineStr"/>
    </row>
    <row r="9601">
      <c r="A9601" t="inlineStr">
        <is>
          <t>i1b6yr</t>
        </is>
      </c>
      <c r="B9601" t="inlineStr">
        <is>
          <t>GERD/BE without heartburn and need advice</t>
        </is>
      </c>
      <c r="C9601" t="inlineStr">
        <is>
          <t>Hi all,
I'm 31 yo female. I've had GERD since I was a teenager, diagnosed with BE about 5 years ago after my first endoscopy. 
When I was younger, I had chronic sore throat and throat infections, endless cavities, and trouble keeping my food down, but no heartburn. I've been taking Omeprazole for over 10 years, and the symptoms are mostly gone, but I did develope BE, and my gastroenterologist says my esophagus looks terrible, basically. 
I've been in denial about the BE because when I tried to focus on it, I fell apart emotionally (I'm also bipolar). It's easy to ignore because I never have heartburn, only throat symptoms. 
Does anyone else have GERD or Barretts without any heartburn?? I only know when it's bad because sometimes I wake up with a sore throat, or I feel like there's a sock stuck in there and can't get food down. I feel like it's killing me silently.
I asked my gastroenterologist about surgery a few years ago, but he brushed me off. I have my first endoscopy in 4 years this Monday. Any advice? 
Thanks, guys.</t>
        </is>
      </c>
      <c r="D9601" t="n">
        <v>1</v>
      </c>
      <c r="E9601" t="n">
        <v>8</v>
      </c>
      <c r="F9601">
        <f>HYPERLINK("https://www.reddit.com/r/GERD/comments/i1b6yr/gerdbe_without_heartburn_and_need_advice/")</f>
        <v/>
      </c>
      <c r="G9601" t="inlineStr">
        <is>
          <t>2020-07-31 10:03:49</t>
        </is>
      </c>
      <c r="H9601" t="inlineStr"/>
    </row>
    <row r="9602">
      <c r="A9602" t="inlineStr">
        <is>
          <t>i1beaw</t>
        </is>
      </c>
      <c r="B9602" t="inlineStr">
        <is>
          <t>Can a single flare-up make your GERD permanently worse?</t>
        </is>
      </c>
      <c r="C9602" t="inlineStr">
        <is>
          <t xml:space="preserve"> I  fucked up and drank coffee and was eating poorly for a few days (after thinking I was cured by my PPIs after awhile). 
Now I've got LPR  symptoms which have gone on for like a week. Im afraid that my only  option is to increase my PPI dosage in order to heal to how I was  before. I can sleep but its uncomfortable during the night and  noticeable during the day.
Should I up my PPI dosage or should I hold on a bit longer for the flare-up to possibly heal?</t>
        </is>
      </c>
      <c r="D9602" t="n">
        <v>1</v>
      </c>
      <c r="E9602" t="n">
        <v>3</v>
      </c>
      <c r="F9602">
        <f>HYPERLINK("https://www.reddit.com/r/GERD/comments/i1beaw/can_a_single_flareup_make_your_gerd_permanently/")</f>
        <v/>
      </c>
      <c r="G9602" t="inlineStr">
        <is>
          <t>2020-07-31 10:14:41</t>
        </is>
      </c>
      <c r="H9602" t="inlineStr"/>
    </row>
    <row r="9603">
      <c r="A9603" t="inlineStr">
        <is>
          <t>i1bnr2</t>
        </is>
      </c>
      <c r="B9603" t="inlineStr">
        <is>
          <t>How long do your trigger foods take to cause symptoms?</t>
        </is>
      </c>
      <c r="C9603" t="inlineStr">
        <is>
          <t>Please help!  Trying to nail down what my worst triggers are and am struggling to understand the typical amount of time between consumption and symptoms.  Example: if I eat eggs for breakfast at 9:30am and then oatmeal for lunch at 12:30 and I experience symptoms (let's say gurgling in my throat) at 1pm, do we think that's from the eggs or the oatmeal?  Can other comment on how long symptoms typically take to show up for them?  Thanks so much!!</t>
        </is>
      </c>
      <c r="D9603" t="n">
        <v>1</v>
      </c>
      <c r="E9603" t="n">
        <v>4</v>
      </c>
      <c r="F9603">
        <f>HYPERLINK("https://www.reddit.com/r/GERD/comments/i1bnr2/how_long_do_your_trigger_foods_take_to_cause/")</f>
        <v/>
      </c>
      <c r="G9603" t="inlineStr">
        <is>
          <t>2020-07-31 10:29:05</t>
        </is>
      </c>
      <c r="H9603" t="inlineStr"/>
    </row>
    <row r="9604">
      <c r="A9604" t="inlineStr">
        <is>
          <t>i1d1om</t>
        </is>
      </c>
      <c r="B9604" t="inlineStr">
        <is>
          <t>How do you identify trigger foods?</t>
        </is>
      </c>
      <c r="C9604" t="inlineStr">
        <is>
          <t>The doctor thinks I have LPR and I’m waiting on an endoscopy. But my only symptoms are a feeling like a lump in the throat / very dry throat. Oh, and some rib cage pain, especially under my left side. Because of this it’s hard for me to tell what foods are triggering it. I know coffee is a problem cos my throat feels extra dry and tight after. But after wine I feel a bit better and I haven’t noticed it with any other foods yet. Any advice on where to start identifying problems? Or does this not sound like LPR at all!</t>
        </is>
      </c>
      <c r="D9604" t="n">
        <v>1</v>
      </c>
      <c r="E9604" t="n">
        <v>7</v>
      </c>
      <c r="F9604">
        <f>HYPERLINK("https://www.reddit.com/r/GERD/comments/i1d1om/how_do_you_identify_trigger_foods/")</f>
        <v/>
      </c>
      <c r="G9604" t="inlineStr">
        <is>
          <t>2020-07-31 11:43:55</t>
        </is>
      </c>
      <c r="H9604" t="inlineStr"/>
    </row>
    <row r="9605">
      <c r="A9605" t="inlineStr">
        <is>
          <t>i1dqg7</t>
        </is>
      </c>
      <c r="B9605" t="inlineStr">
        <is>
          <t>CHEWING GUM!</t>
        </is>
      </c>
      <c r="C9605" t="inlineStr">
        <is>
          <t>I have been experiencing some pretty severe GERD symptoms over the past few months, including acid reflux, constant nausea, lack of appetite and a dry mouth. However I tried chewing gum this morning... wow. After about an hour all of my symptoms seemed to decrease by about 80%, and I could finally eat a normal amount of food today for the first time in a while. Never underestimate the power of your salivary glands!</t>
        </is>
      </c>
      <c r="D9605" t="n">
        <v>1</v>
      </c>
      <c r="E9605" t="n">
        <v>48</v>
      </c>
      <c r="F9605">
        <f>HYPERLINK("https://www.reddit.com/r/GERD/comments/i1dqg7/chewing_gum/")</f>
        <v/>
      </c>
      <c r="G9605" t="inlineStr">
        <is>
          <t>2020-07-31 12:21:39</t>
        </is>
      </c>
      <c r="H9605" t="inlineStr"/>
    </row>
    <row r="9606">
      <c r="A9606" t="inlineStr">
        <is>
          <t>i1dt7l</t>
        </is>
      </c>
      <c r="B9606" t="inlineStr">
        <is>
          <t>A question about onions/garlic</t>
        </is>
      </c>
      <c r="C9606" t="inlineStr">
        <is>
          <t>I want to make a chicken broth for someone who has GERD. Is it ok to add an onion to the broth for flavor? Since the onion will be strained out of a large stockpot, I was wondering if it might still be ok.</t>
        </is>
      </c>
      <c r="D9606" t="n">
        <v>1</v>
      </c>
      <c r="E9606" t="n">
        <v>8</v>
      </c>
      <c r="F9606">
        <f>HYPERLINK("https://www.reddit.com/r/GERD/comments/i1dt7l/a_question_about_onionsgarlic/")</f>
        <v/>
      </c>
      <c r="G9606" t="inlineStr">
        <is>
          <t>2020-07-31 12:25:56</t>
        </is>
      </c>
      <c r="H9606" t="inlineStr"/>
    </row>
    <row r="9607">
      <c r="A9607" t="inlineStr">
        <is>
          <t>i1euaq</t>
        </is>
      </c>
      <c r="B9607" t="inlineStr">
        <is>
          <t>How do I know of my esophagitis healed?</t>
        </is>
      </c>
      <c r="C9607" t="inlineStr">
        <is>
          <t>I was diagnosed 3 months ago with esophagitis grade D. I suffered from heartburn for the past 10 years, but the wake up call happened when I felt pain amd burning  while eating a salad with lemon juice in it. 
I started with 80mg pantrozole and the pain subsisded within a week, and I continued on 40 mg after a month. And to be honest I barely changed my diet and still indulged in the foods and lifestyle  I shouldn be avoiding,  thinking that as long as there is no heartburn no damage is done to the esophagus.
3 weeks ago i stopped taking medication, and after a week I started getting mild heartburn after every meal no matter how healthy it had been. So i started taking the medication every other day and the heartburn subsided. 
What do you guys think? How much did my esophagus heal? Could I have gone down to grade A at least? Does the lack of heartburn mean no damage is being done? 
I am really concerned,  thanks</t>
        </is>
      </c>
      <c r="D9607" t="n">
        <v>1</v>
      </c>
      <c r="E9607" t="n">
        <v>9</v>
      </c>
      <c r="F9607">
        <f>HYPERLINK("https://www.reddit.com/r/GERD/comments/i1euaq/how_do_i_know_of_my_esophagitis_healed/")</f>
        <v/>
      </c>
      <c r="G9607" t="inlineStr">
        <is>
          <t>2020-07-31 13:23:56</t>
        </is>
      </c>
      <c r="H9607" t="inlineStr"/>
    </row>
    <row r="9608">
      <c r="A9608" t="inlineStr">
        <is>
          <t>i1fmaw</t>
        </is>
      </c>
      <c r="B9608" t="inlineStr">
        <is>
          <t>Endoscopy is clear. What now?!</t>
        </is>
      </c>
      <c r="C9608" t="inlineStr">
        <is>
          <t>Had an endoscopy done this past Tuesday. Visually everything looked fine. Biopsies came back today showing nothing. Doctor is now recommending a barium swallow after I asked what’s next. Seemed like he believes nothing is wrong with me. It was originally suspected that I had EoE but eosinophils are normal. Doc said it might be from the PPI though. 
My symptoms since March have been chest pains and tightness, tightness in my throat, sore throat, and strained voice. All intermittent throughout the day. No stomach issues. Been on PPI for 4+ months. 
My allergist mentioned Oral Allergy Syndrome since I’m allergic to tree pollens, grass/ragweed, dust mites and cats(I have two at home). It’s funny, I noticed after picking Zucchini’s from our garden the other day I had rashes all over my arms from handling them. We eat Zucchini’s A LOT. Just started cutting that out. Food allergy testing is next Friday.
Getting frustrated though. Anyone have a similar story. If so, what’s helping?</t>
        </is>
      </c>
      <c r="D9608" t="n">
        <v>1</v>
      </c>
      <c r="E9608" t="n">
        <v>11</v>
      </c>
      <c r="F9608">
        <f>HYPERLINK("https://www.reddit.com/r/GERD/comments/i1fmaw/endoscopy_is_clear_what_now/")</f>
        <v/>
      </c>
      <c r="G9608" t="inlineStr">
        <is>
          <t>2020-07-31 14:07:45</t>
        </is>
      </c>
      <c r="H9608" t="inlineStr"/>
    </row>
    <row r="9609">
      <c r="A9609" t="inlineStr">
        <is>
          <t>i1g856</t>
        </is>
      </c>
      <c r="B9609" t="inlineStr">
        <is>
          <t>Had a Barrium swallow test today</t>
        </is>
      </c>
      <c r="C9609" t="inlineStr">
        <is>
          <t>21M , I've been having symptoms for more than 2 years now , heartburn , swallowing difficulties , feeling of food getting stuck in throat , feeling of acid/food creeping up my esophagus, hoarse voice and the list goes on , i had an endoscopy a couple of months ago that came clear, and today I had a Barrium swallow test which showed reflux happening, the stuff was going all the way up to shoulder/throat level , I have no hernia , and I'm not overweight so the doctor said its probably a weak LES muscle, the only solution would be medication (ppi's for the rest of my life) .
FUCK GERD :/</t>
        </is>
      </c>
      <c r="D9609" t="n">
        <v>1</v>
      </c>
      <c r="E9609" t="n">
        <v>7</v>
      </c>
      <c r="F9609">
        <f>HYPERLINK("https://www.reddit.com/r/GERD/comments/i1g856/had_a_barrium_swallow_test_today/")</f>
        <v/>
      </c>
      <c r="G9609" t="inlineStr">
        <is>
          <t>2020-07-31 14:42:09</t>
        </is>
      </c>
      <c r="H9609" t="inlineStr"/>
    </row>
    <row r="9610">
      <c r="A9610" t="inlineStr">
        <is>
          <t>i1g90b</t>
        </is>
      </c>
      <c r="B9610" t="inlineStr">
        <is>
          <t>Can you eat plain baked lays</t>
        </is>
      </c>
      <c r="C9610" t="inlineStr">
        <is>
          <t>I heard some people can get away with eating them but I want to know how others get along with them. Have you ever tried them?</t>
        </is>
      </c>
      <c r="D9610" t="n">
        <v>1</v>
      </c>
      <c r="E9610" t="n">
        <v>0</v>
      </c>
      <c r="F9610">
        <f>HYPERLINK("https://www.reddit.com/r/GERD/comments/i1g90b/can_you_eat_plain_baked_lays/")</f>
        <v/>
      </c>
      <c r="G9610" t="inlineStr">
        <is>
          <t>2020-07-31 14:43:34</t>
        </is>
      </c>
      <c r="H9610" t="inlineStr"/>
    </row>
    <row r="9611">
      <c r="A9611" t="inlineStr">
        <is>
          <t>i1h66c</t>
        </is>
      </c>
      <c r="B9611" t="inlineStr">
        <is>
          <t>GERD symptoms are worse when I'm anxious.</t>
        </is>
      </c>
      <c r="C9611" t="inlineStr">
        <is>
          <t>I've developed GERD symptoms (acid reflux, frequent burps, tightness in throat, chest pain, heartburn) around 4 months ago. My dad also has it. I've noticed that my symptoms are worse when I'm anxious and it seems like they're coming out of nowhere sometimes. I was just wondering if others noticed that as well.</t>
        </is>
      </c>
      <c r="D9611" t="n">
        <v>1</v>
      </c>
      <c r="E9611" t="n">
        <v>9</v>
      </c>
      <c r="F9611">
        <f>HYPERLINK("https://www.reddit.com/r/GERD/comments/i1h66c/gerd_symptoms_are_worse_when_im_anxious/")</f>
        <v/>
      </c>
      <c r="G9611" t="inlineStr">
        <is>
          <t>2020-07-31 15:37:58</t>
        </is>
      </c>
      <c r="H9611" t="inlineStr"/>
    </row>
    <row r="9612">
      <c r="A9612" t="inlineStr">
        <is>
          <t>i1hahc</t>
        </is>
      </c>
      <c r="B9612" t="inlineStr">
        <is>
          <t>Fat free cheese or fat free ice cream?</t>
        </is>
      </c>
      <c r="C9612" t="inlineStr">
        <is>
          <t>Does this work or no? I ask because I found some gerd friendly recipes that recommend this and also on a side note I've have eaten mozzarella cheese with GERD and nothing happened but it does it you do it too much.</t>
        </is>
      </c>
      <c r="D9612" t="n">
        <v>1</v>
      </c>
      <c r="E9612" t="n">
        <v>2</v>
      </c>
      <c r="F9612">
        <f>HYPERLINK("https://www.reddit.com/r/GERD/comments/i1hahc/fat_free_cheese_or_fat_free_ice_cream/")</f>
        <v/>
      </c>
      <c r="G9612" t="inlineStr">
        <is>
          <t>2020-07-31 15:45:32</t>
        </is>
      </c>
      <c r="H9612" t="inlineStr"/>
    </row>
    <row r="9613">
      <c r="A9613" t="inlineStr">
        <is>
          <t>i1hij4</t>
        </is>
      </c>
      <c r="B9613" t="inlineStr">
        <is>
          <t>What works best for you?</t>
        </is>
      </c>
      <c r="C9613" t="inlineStr">
        <is>
          <t>Ok y’all, hope you’re doing well and surviving the craziness of 2002.
I’ve been working pretty hard to heal my most recent flare up, and so far I’ve been managing, but I cut out a lot of foods this time (last time I cut out much less and it took me a very long time to heal). 
As I start to incorporate more foods into my diet, I bought a few books to help with meal planning(I like to read). So my question is, did any work particularly well for you? 
The Acid Watcher Diet?
The Acid Reflux Escape Plan?
The Complete Avid Reflux Diet Plan? 
Did any work better than others? Did none of them work? Last time I went full Keto but my body doesn’t love high fat yet so I’m hesitant to go that route until I’m a little father along. 
Any thoughts or experiences would be welcomed!</t>
        </is>
      </c>
      <c r="D9613" t="n">
        <v>1</v>
      </c>
      <c r="E9613" t="n">
        <v>0</v>
      </c>
      <c r="F9613">
        <f>HYPERLINK("https://www.reddit.com/r/GERD/comments/i1hij4/what_works_best_for_you/")</f>
        <v/>
      </c>
      <c r="G9613" t="inlineStr">
        <is>
          <t>2020-07-31 15:59:36</t>
        </is>
      </c>
      <c r="H9613" t="inlineStr"/>
    </row>
    <row r="9614">
      <c r="A9614" t="inlineStr">
        <is>
          <t>i1hrsg</t>
        </is>
      </c>
      <c r="B9614" t="inlineStr">
        <is>
          <t>Got my endoscopy today!</t>
        </is>
      </c>
      <c r="C9614" t="inlineStr">
        <is>
          <t>Hello! I’ve never posted before but I finally got my endoscopy and am very glad to have some answers. I’ve been having reflux since I was 15 and I’m 18 now, got diagnosed with GERD about a year ago but it didn’t get better with omeprazole so my PCP sent me to a gastroenterologist. The endoscopy was a lot better than I thought it was, a girl was sobbing and gagging next to me tho so that kinda...freaked me out. And then the nurses freaked me out about the aspirin I take, making me think I was going to bleed out during the procedure lol. Did not bleed out, thankfully. I took a lot longer to wake up than everybody else though, and I almost fell a good few times trying to put my clothes on and walk back to my moms car. I honestly expected to have a few ulcers but thankfully he didn’t mention that I had any ulcers! He said he took a few biopsies and that my stomach lining was red and inflamed, which I think means gastritis? I get the results back in a week! Either way, I’m glad to be reassured that I’m not dying especially because I could never tell if my chest pain was from the gastrointestinal issues or my costochondritis, and if my abdominal pain was from muscle spasms or my GI issues, since I can literally FEEL the muscle spasms happen in my abdomen. Still don’t know exactly what all of my problems are from, since I got tested for MS a while back (came back negative) and so my neurologist is trying to figure out what pain is from my GI issues and what isn’t. Unfortunately I have to stop taking aspirin for my horrible joint pain and chronic migraine, took my last two aspirin today and then threw the rest away. I’m gonna wait a few days andTylenol doesn’t work well for my pain so that really sucks. I hope that last two aspirin didn’t kill me though haha. They really need to warn ppl on the bottles about the GI issues though because I was an IDIOTIC 13 year old and I definitely would have stopped taking it had I known that THAT’S what was causing my GI issues. My anxiety still is spiraling a bit out of control bc the gastroenterologist wasn’t very clear about what pain is causing what, and my mind still likes to convince me that I’m dying...definitely think he would have told me if I was though. Also it’s been hurting for so long that I think I’d be dead by now if it was super serious! Anyway, thanks for reading, and thanks for any reassurances anyone can give me as to why i’m not dying because anxiety is a crappy thing!</t>
        </is>
      </c>
      <c r="D9614" t="n">
        <v>1</v>
      </c>
      <c r="E9614" t="n">
        <v>16</v>
      </c>
      <c r="F9614">
        <f>HYPERLINK("https://www.reddit.com/r/GERD/comments/i1hrsg/got_my_endoscopy_today/")</f>
        <v/>
      </c>
      <c r="G9614" t="inlineStr">
        <is>
          <t>2020-07-31 16:15:01</t>
        </is>
      </c>
      <c r="H9614" t="inlineStr"/>
    </row>
    <row r="9615">
      <c r="A9615" t="inlineStr">
        <is>
          <t>i1icd0</t>
        </is>
      </c>
      <c r="B9615" t="inlineStr">
        <is>
          <t>Possible Hiatal Hernia/GERD? Any advice is appreciated!</t>
        </is>
      </c>
      <c r="C9615" t="inlineStr">
        <is>
          <t>Not sure I'm in the right place but I wanted to see if anyone else has similar symptoms. Going back to the Gastro in 10 days but does this sound like GERD but the treatment hasn't been effective or could it be a hiatal hernia?
⠀
Basically it all started during a cruise last October. I was with a bunch of friends and being younger we all drank heavily. When I got home I had a severe cough that just wouldn't go away. I saw a pulmonologist and after multiple tests he said everything was good. After about 3 months of this "chronic cough" it started to go away but at that point I began belching a lot (20 times and hour) and had this pressure right in the middle of my chest (between the first set of abs). Most of the time it feels like I can't take a deep breath and over the past 8 months it's begun to burn constantly. Yes some days are better than others, but the pressure is ALWAYS there. Back in March I made an appointment with my gastro Dr, the same one treating my IBS and he believed it was just gas build up. Treatment didn't work so I went back for a second opinion. This time the Gastro believed it was GERD and prescribed pantoprazole and carafate. I've been on Pantoprazole for 4 months now and I still feel the same... Oddly enough, eating small meals and physical activity seem to help (or at least take my mind off of the constant pressure/burning and breathing problems). Does this sound like GERD? The chest pressure/burning and inability to take a deep breath have been an all day thing for 8 months now.. 
⠀
Also random info: Had an endoscopy 2 years ago and they found nothing.
I'm 6'2 162 lbs so I'm certainly not overweight.</t>
        </is>
      </c>
      <c r="D9615" t="n">
        <v>1</v>
      </c>
      <c r="E9615" t="n">
        <v>3</v>
      </c>
      <c r="F9615">
        <f>HYPERLINK("https://www.reddit.com/r/GERD/comments/i1icd0/possible_hiatal_herniagerd_any_advice_is/")</f>
        <v/>
      </c>
      <c r="G9615" t="inlineStr">
        <is>
          <t>2020-07-31 16:51:16</t>
        </is>
      </c>
      <c r="H9615" t="inlineStr"/>
    </row>
    <row r="9616">
      <c r="A9616" t="inlineStr">
        <is>
          <t>i1icnn</t>
        </is>
      </c>
      <c r="B9616" t="inlineStr">
        <is>
          <t>I think I know why I get reflux</t>
        </is>
      </c>
      <c r="C9616" t="inlineStr">
        <is>
          <t>I’m skinny, almost underweight for my height/age
Basically, I used to be able to eat as many calories as I wanted to no problem. Out of the blue one day, I started to get acid reflux I think from trying to gain weight by eating a lot every day (increased calorie daily intake by like 700-800) and ever since then, things haven’t been the same
Basically I’ve concluded that if I end up getting reflux, it means I’m not waiting long enough for my digestive system to have a break or I’m not burning enough calories off before going for more food. Because I can sometimes eat 3,000 calories a day with no problems but like today, I could barely hit 2,000 before I got symptoms. I’ve concluded also it doesn’t matter what I eat, although really fatty stuff does make it worse. 
So if I end up getting reflux, I have to take like 2-3 days of eating around 1,500 cals a day and then it clears up those symptoms until I end up over time eating too much and it happens again. It makes no sense... but at least I’ve kinda figured out how it works. Just my experience with GERD  in case someone might have a similar experience and is looking for a solution</t>
        </is>
      </c>
      <c r="D9616" t="n">
        <v>1</v>
      </c>
      <c r="E9616" t="n">
        <v>0</v>
      </c>
      <c r="F9616">
        <f>HYPERLINK("https://www.reddit.com/r/GERD/comments/i1icnn/i_think_i_know_why_i_get_reflux/")</f>
        <v/>
      </c>
      <c r="G9616" t="inlineStr">
        <is>
          <t>2020-07-31 16:51:45</t>
        </is>
      </c>
      <c r="H9616" t="inlineStr"/>
    </row>
    <row r="9617">
      <c r="A9617" t="inlineStr">
        <is>
          <t>i1ido8</t>
        </is>
      </c>
      <c r="B9617" t="inlineStr">
        <is>
          <t>Has anyone tried keto diet?</t>
        </is>
      </c>
      <c r="C9617" t="inlineStr">
        <is>
          <t>I’m so curious to see if anyone has success with it</t>
        </is>
      </c>
      <c r="D9617" t="n">
        <v>1</v>
      </c>
      <c r="E9617" t="n">
        <v>1</v>
      </c>
      <c r="F9617">
        <f>HYPERLINK("https://www.reddit.com/r/GERD/comments/i1ido8/has_anyone_tried_keto_diet/")</f>
        <v/>
      </c>
      <c r="G9617" t="inlineStr">
        <is>
          <t>2020-07-31 16:53:44</t>
        </is>
      </c>
      <c r="H9617" t="inlineStr"/>
    </row>
    <row r="9618">
      <c r="A9618" t="inlineStr">
        <is>
          <t>i1jm59</t>
        </is>
      </c>
      <c r="B9618" t="inlineStr">
        <is>
          <t>Hard Kombucha with GERD?</t>
        </is>
      </c>
      <c r="C9618" t="inlineStr">
        <is>
          <t>Hi everyone,
Does anybody know if Hard Kombucha is okay?
I have a 4pk of Flying Embers Grapefruit Hard Kombucha in the fridge and was wondering if anybody had any experience with it.
Thank you!</t>
        </is>
      </c>
      <c r="D9618" t="n">
        <v>1</v>
      </c>
      <c r="E9618" t="n">
        <v>2</v>
      </c>
      <c r="F9618">
        <f>HYPERLINK("https://www.reddit.com/r/GERD/comments/i1jm59/hard_kombucha_with_gerd/")</f>
        <v/>
      </c>
      <c r="G9618" t="inlineStr">
        <is>
          <t>2020-07-31 18:16:08</t>
        </is>
      </c>
      <c r="H9618" t="inlineStr"/>
    </row>
    <row r="9619">
      <c r="A9619" t="inlineStr">
        <is>
          <t>i1jnwv</t>
        </is>
      </c>
      <c r="B9619" t="inlineStr">
        <is>
          <t>What does gallbladder pain feel like?</t>
        </is>
      </c>
      <c r="C9619" t="inlineStr">
        <is>
          <t>I just went for a follow up with my GI specialist and I discussed this with him. He checked me out, but idk if I should bring it up to him again because I don’t know if it’s a consistent enough pain to be a big issue. He didn’t mention anything about it and he didn’t seem concerned after, but put me on an elimination diet to see what foods give me bad acid reflux and gas. 
My question is - What does Gallbladder pain feel like? Is it consistent? Does it feel like an ache?
I have a follow up appointment in 4 weeks, so I can always ask him again. But I want to confirm what it feels like instead of brushing it off like it’s not a big issue the next time I see him.</t>
        </is>
      </c>
      <c r="D9619" t="n">
        <v>1</v>
      </c>
      <c r="E9619" t="n">
        <v>6</v>
      </c>
      <c r="F9619">
        <f>HYPERLINK("https://www.reddit.com/r/GERD/comments/i1jnwv/what_does_gallbladder_pain_feel_like/")</f>
        <v/>
      </c>
      <c r="G9619" t="inlineStr">
        <is>
          <t>2020-07-31 18:19:36</t>
        </is>
      </c>
      <c r="H9619" t="inlineStr"/>
    </row>
    <row r="9620">
      <c r="A9620" t="inlineStr">
        <is>
          <t>i1k1ve</t>
        </is>
      </c>
      <c r="B9620" t="inlineStr">
        <is>
          <t>Does anyone else feel this?</t>
        </is>
      </c>
      <c r="C9620" t="inlineStr">
        <is>
          <t>Does anyone else’s reflux/GERD make your throat feel like there is mucus in it when swallowing ??</t>
        </is>
      </c>
      <c r="D9620" t="n">
        <v>1</v>
      </c>
      <c r="E9620" t="n">
        <v>11</v>
      </c>
      <c r="F9620">
        <f>HYPERLINK("https://www.reddit.com/r/GERD/comments/i1k1ve/does_anyone_else_feel_this/")</f>
        <v/>
      </c>
      <c r="G9620" t="inlineStr">
        <is>
          <t>2020-07-31 18:46:42</t>
        </is>
      </c>
      <c r="H9620" t="inlineStr"/>
    </row>
    <row r="9621">
      <c r="A9621" t="inlineStr">
        <is>
          <t>i1ljc4</t>
        </is>
      </c>
      <c r="B9621" t="inlineStr">
        <is>
          <t>Sinus inflammation as a primary symptom?</t>
        </is>
      </c>
      <c r="C9621" t="inlineStr">
        <is>
          <t>Desperately trying to determine what's causing my sinus pain. Looking to see if anyone has similar symptoms and has found relief by treating GERD. My main symptom is pain just behind the bridge of my nose that radiates outward around my eyes as well as chronic post nasal drip that I constantly have to clear. This pain has been going on for about 7 months, but I've have lesser sinus issues in the past.
What's the best way to determine if my sinus issues are caused by GERD or LPR?
**More background**
I've been to an allergist and they didn't find any environmental allergies, but asked me to read up on LPR as a possible thing that's happening. I've been to an ENT and tried 5-6 different nasal sprays, different saline nasal rinses, and 3 rounds of antibiotics (that didn't do anything). The ENT thinks it's may be a structural issue with my sinus and recommends surgery if nothing else works. I want to rule out absolutely everything before considering surgery because my ENT didn't sound confident.
I was previously diagnosed with IBS-D in 2013, but I mostly have it under control by avoiding trigger foods, but I still eat like absolute shit. I used to take Zyrtec/Zantac combo frequently until I found out I didn't have environmental allergies and they pulled Zantac from the shelves.
I sleep on a wedge pillow and have the head of my bed raised 4 inches already.</t>
        </is>
      </c>
      <c r="D9621" t="n">
        <v>1</v>
      </c>
      <c r="E9621" t="n">
        <v>0</v>
      </c>
      <c r="F9621">
        <f>HYPERLINK("https://www.reddit.com/r/GERD/comments/i1ljc4/sinus_inflammation_as_a_primary_symptom/")</f>
        <v/>
      </c>
      <c r="G9621" t="inlineStr">
        <is>
          <t>2020-07-31 20:34:40</t>
        </is>
      </c>
      <c r="H9621" t="inlineStr"/>
    </row>
    <row r="9622">
      <c r="A9622" t="inlineStr">
        <is>
          <t>i1n9bn</t>
        </is>
      </c>
      <c r="B9622" t="inlineStr">
        <is>
          <t>Well I do this to myself, paying the price now..</t>
        </is>
      </c>
      <c r="C9622" t="inlineStr">
        <is>
          <t>Did it to myself again. 
My girlfriend and I took a PTO day today. We went to a cool Mexican place and sat on the patio for lunch. Lovely afternoon. That's where I though I could have chips, queso, tacos, and a couple margs with no repurcuasiona. We went back home and got in the pool, I thought hell its Friday and a day off, I'll have a couple vodka sodas while I float around. 
After the fun day, we eat pizza for dinner and watch movies until bedtime. 
Just woke up at midnight with acid literally crawling up my throat. The fun begins, now I'm writhing in pain in the guest bedroom so as to not make anyone else suffer along with me. 
How do you guys remember to make proper food and drink choices when it's the heat of the moment? I really need to get this GERD under control and am acting like a five year old sometimes.</t>
        </is>
      </c>
      <c r="D9622" t="n">
        <v>1</v>
      </c>
      <c r="E9622" t="n">
        <v>5</v>
      </c>
      <c r="F9622">
        <f>HYPERLINK("https://www.reddit.com/r/GERD/comments/i1n9bn/well_i_do_this_to_myself_paying_the_price_now/")</f>
        <v/>
      </c>
      <c r="G9622" t="inlineStr">
        <is>
          <t>2020-07-31 22:50:21</t>
        </is>
      </c>
      <c r="H9622" t="inlineStr"/>
    </row>
    <row r="9623">
      <c r="A9623" t="inlineStr">
        <is>
          <t>i1noeo</t>
        </is>
      </c>
      <c r="B9623" t="inlineStr">
        <is>
          <t>Incline Pillow Recommendations</t>
        </is>
      </c>
      <c r="C9623" t="inlineStr">
        <is>
          <t>From what I've read, an incline pillow can offer a lot of relief and healing over time to relieve the pressure on the sphincter.  Do you guys have any recommendations on good incline pillows?</t>
        </is>
      </c>
      <c r="D9623" t="n">
        <v>1</v>
      </c>
      <c r="E9623" t="n">
        <v>3</v>
      </c>
      <c r="F9623">
        <f>HYPERLINK("https://www.reddit.com/r/GERD/comments/i1noeo/incline_pillow_recommendations/")</f>
        <v/>
      </c>
      <c r="G9623" t="inlineStr">
        <is>
          <t>2020-07-31 23:27:51</t>
        </is>
      </c>
      <c r="H9623" t="inlineStr"/>
    </row>
    <row r="9624">
      <c r="A9624" t="inlineStr">
        <is>
          <t>i1pdfx</t>
        </is>
      </c>
      <c r="B9624" t="inlineStr">
        <is>
          <t>Apple juice?</t>
        </is>
      </c>
      <c r="C9624" t="inlineStr">
        <is>
          <t>Lots of conflicting info about this. Is it generally tolerated / ok?</t>
        </is>
      </c>
      <c r="D9624" t="n">
        <v>1</v>
      </c>
      <c r="E9624" t="n">
        <v>8</v>
      </c>
      <c r="F9624">
        <f>HYPERLINK("https://www.reddit.com/r/GERD/comments/i1pdfx/apple_juice/")</f>
        <v/>
      </c>
      <c r="G9624" t="inlineStr">
        <is>
          <t>2020-08-01 02:16:40</t>
        </is>
      </c>
      <c r="H9624" t="inlineStr"/>
    </row>
    <row r="9625">
      <c r="A9625" t="inlineStr">
        <is>
          <t>i1qnd3</t>
        </is>
      </c>
      <c r="B9625" t="inlineStr">
        <is>
          <t>Dr.Nandi's solution for Gerd and heartburn - Opinions ?</t>
        </is>
      </c>
      <c r="C9625" t="inlineStr">
        <is>
          <t>Hello everyone im new to gerd boat or bloat i could also say. personally im not affected by it but my sister have been dealing with it for a long time and after many treatments it seems its still there and im just digging in internet with curiosity what is such a big deal about this and why its so hard to give it final solution because it seems there are many assumptions, theories and methods but it does not work for all because it just won't go away like that. it kinda reminds me of hairloss community with no cure.
i have heard that some people reporting good results from facebook groups about Dr.Nandi digestive issues fix and i have been also getting some ads about it. do you guys have experience with it? is it some kind of e book or online treatment course or similar thing ? 
talking about [This Article](https://medium.com/@shmagigobeglejia/dr-partha-nandis-health-hero-masterclass-review-final-solution-for-weight-and-mental-related-bf8ab28d3e88)
is there any legit way to cure it or its all just hope by time ?</t>
        </is>
      </c>
      <c r="D9625" t="n">
        <v>1</v>
      </c>
      <c r="E9625" t="n">
        <v>5</v>
      </c>
      <c r="F9625">
        <f>HYPERLINK("https://www.reddit.com/r/GERD/comments/i1qnd3/drnandis_solution_for_gerd_and_heartburn_opinions/")</f>
        <v/>
      </c>
      <c r="G9625" t="inlineStr">
        <is>
          <t>2020-08-01 04:20:45</t>
        </is>
      </c>
      <c r="H9625" t="inlineStr"/>
    </row>
    <row r="9626">
      <c r="A9626" t="inlineStr">
        <is>
          <t>i1rhhx</t>
        </is>
      </c>
      <c r="B9626" t="inlineStr">
        <is>
          <t>struggling to cope with stomach pain and regurgitation</t>
        </is>
      </c>
      <c r="C9626" t="inlineStr">
        <is>
          <t>19F, stomach pain concentrated around the upper middle-left side. Started a month ago, and as of now, my stomach is in extreme pain 24/7. It’s a dull, wrenching pain, not exactly “burny” or anything. Sometimes I feel as if the opposite sides of my stomach are touching, and when i eat, i can feel the exact location of the food in my stomach, which is extremely painful.
When i burp, huge mouthfuls of food would come up. In addition, since a week ago, whenever i bent down vertically, my stomach contents would literally leak into my mouth (not to mention, I literally found out about this the horrible, disgusting way during work. WORK.). Whenever these things happen, I’d have to run to the toilet and vomit everything out. Also, in the morning, the stomach pain would literally paralysing until i do something that triggers vomiting, be it burping or purposely leaning down. also, i think I’m not digesting any of the food i eat—whenever i vomit, half of its contents would be chunky, undigested food.
Ive tried all sorts of gaviscon, alkaline water, as well as omeprazole and other PPIs. None of these helped. I have to take constant bathroom breaks during lectures to spit out the acid that comes up, and I cant concentrate in school because I’m literally dizzy with pain. I also have a part time job at night that requires a lot of moving around, and i get my worst flare ups during that time but i only have one co-worker who’s pretty done with me puking in the toilet for half the shift. I’m really not coping well, and i have to wait another 9 days till i get to consult a GI. I feel really hopeless, and I’m really worried that i might puke in public. The pain has been so extreme for the past week that i really feel like i cant go to school or work anymore. I dont wanna constantly burden my friends and roommates about this, but i cant find any solutions.</t>
        </is>
      </c>
      <c r="D9626" t="n">
        <v>1</v>
      </c>
      <c r="E9626" t="n">
        <v>19</v>
      </c>
      <c r="F9626">
        <f>HYPERLINK("https://www.reddit.com/r/GERD/comments/i1rhhx/struggling_to_cope_with_stomach_pain_and/")</f>
        <v/>
      </c>
      <c r="G9626" t="inlineStr">
        <is>
          <t>2020-08-01 05:33:08</t>
        </is>
      </c>
      <c r="H9626" t="inlineStr"/>
    </row>
    <row r="9627">
      <c r="A9627" t="inlineStr">
        <is>
          <t>i1skti</t>
        </is>
      </c>
      <c r="B9627" t="inlineStr">
        <is>
          <t>Help! GERD flare up coming off my long term PPI. Need relief</t>
        </is>
      </c>
      <c r="C9627" t="inlineStr">
        <is>
          <t>I’ve been on omeprozole for about 9 years now. I’ve effectively managed to decrease it from 20mg to 10mg and over the past 6 months down to 5mg. Well, a few days ago I got a little over excited and tried to skip a day of the 5mg and it gave me the worse GERD flare up. I’m on the third day of the flare up and it sucks, Tums only work for a couple hours. Gum seems to help a little bit. I’m looking to calm it down a bit and decrease any inflammation.</t>
        </is>
      </c>
      <c r="D9627" t="n">
        <v>1</v>
      </c>
      <c r="E9627" t="n">
        <v>0</v>
      </c>
      <c r="F9627">
        <f>HYPERLINK("https://www.reddit.com/r/GERD/comments/i1skti/help_gerd_flare_up_coming_off_my_long_term_ppi/")</f>
        <v/>
      </c>
      <c r="G9627" t="inlineStr">
        <is>
          <t>2020-08-01 06:55:16</t>
        </is>
      </c>
      <c r="H9627" t="inlineStr"/>
    </row>
    <row r="9628">
      <c r="A9628" t="inlineStr">
        <is>
          <t>i1sndy</t>
        </is>
      </c>
      <c r="B9628" t="inlineStr">
        <is>
          <t>Having a hard time, mentally.</t>
        </is>
      </c>
      <c r="C9628" t="inlineStr">
        <is>
          <t>Hey guys. Basically am really scared to eat, not during eating but after. I dont know why but everyday 10 to 15 mins after food i will feel like something is stuck in my throat and yes i get it anxiety can cause a lump feeling in the throat but no.. i actually panic because i burp out bits and pieces of ingested chicken and once i burp them out the feeling is gone. Now im always afraid of the next meal because i fear the feeling of food getting stucked.. and thn choked to death or something.. what could it be actually</t>
        </is>
      </c>
      <c r="D9628" t="n">
        <v>1</v>
      </c>
      <c r="E9628" t="n">
        <v>10</v>
      </c>
      <c r="F9628">
        <f>HYPERLINK("https://www.reddit.com/r/GERD/comments/i1sndy/having_a_hard_time_mentally/")</f>
        <v/>
      </c>
      <c r="G9628" t="inlineStr">
        <is>
          <t>2020-08-01 07:00:22</t>
        </is>
      </c>
      <c r="H9628" t="inlineStr"/>
    </row>
    <row r="9629">
      <c r="A9629" t="inlineStr">
        <is>
          <t>i1t01h</t>
        </is>
      </c>
      <c r="B9629" t="inlineStr">
        <is>
          <t>I ended up in the hospital last night</t>
        </is>
      </c>
      <c r="C9629" t="inlineStr">
        <is>
          <t>I have really bad GERD, and I eat Tums and Zantac like candy to try and weigh it down a little.
These past few days I’ve been waking up oddly with shortness of breath.  This has never been an issue for me, for as long as I can remember.
Yesterday morning I scheduled an appointment with my GP, not knowing what the shortness of breath was from, and before going I ate a sandwich and some tums.  On my way there, my anxiety started kicking in, and it suddenly became more difficult to breath again.
At my GP, I had high heart rate, high blood pressure, shortness of breath, and an abnormal EKG, so he sent me to the ER for a chest X-ray, and a D Dimer to check for any blood clots, and to run some bloodwork.
X-ray and D Dimer both came back clear, but my bloodwork came back with low phosphate and slightly low potassium.  They gave me phosphate pills and a potassium phosphate IV, and I almost instantly started feeling better.
After researching, anti-acids like Tums use calcium carbonate to bind to phosphate and prevent it from being absorbed into the blood.  When your body doesn’t receive enough phosphate, there is difficulty in the ATP process which impacts energy related activities, such as breathing.
I was relieved that I had likely found the culprit, especially because as soon as they began my potassium phosphate IV drip it became much easier to breathe, but last night I woke up in the middle of the night with really bad GERD (since I didn’t take Tums like usual after eating late), and I had the same feeling of difficulty breathing.  This morning I also feel slightly short of breath.
Has anyone had a similar issue or experience?</t>
        </is>
      </c>
      <c r="D9629" t="n">
        <v>1</v>
      </c>
      <c r="E9629" t="n">
        <v>9</v>
      </c>
      <c r="F9629">
        <f>HYPERLINK("https://www.reddit.com/r/GERD/comments/i1t01h/i_ended_up_in_the_hospital_last_night/")</f>
        <v/>
      </c>
      <c r="G9629" t="inlineStr">
        <is>
          <t>2020-08-01 07:24:01</t>
        </is>
      </c>
      <c r="H9629" t="inlineStr"/>
    </row>
    <row r="9630">
      <c r="A9630" t="inlineStr">
        <is>
          <t>i1t9om</t>
        </is>
      </c>
      <c r="B9630" t="inlineStr">
        <is>
          <t>choking at night ?</t>
        </is>
      </c>
      <c r="C9630" t="inlineStr">
        <is>
          <t>over the last year i’ve been having this issue where maybe once a month or so i wake up choking and coughing, i’m assuming it’s from stomach acid coming up in my throat? there’s a burning in my chest like it’s gotten into my lungs and in my nose and it tastes awful. and the next day i still feel like i have to cough. i was already on omeprazole and my doctor recently added famotidine, but it’s still happening. does anyone else deal with this and has anyone been able to get rid of it ??? it’s very unpleasant and also scary :/</t>
        </is>
      </c>
      <c r="D9630" t="n">
        <v>1</v>
      </c>
      <c r="E9630" t="n">
        <v>11</v>
      </c>
      <c r="F9630">
        <f>HYPERLINK("https://www.reddit.com/r/GERD/comments/i1t9om/choking_at_night/")</f>
        <v/>
      </c>
      <c r="G9630" t="inlineStr">
        <is>
          <t>2020-08-01 07:42:08</t>
        </is>
      </c>
      <c r="H9630" t="inlineStr"/>
    </row>
    <row r="9631">
      <c r="A9631" t="inlineStr">
        <is>
          <t>i1urff</t>
        </is>
      </c>
      <c r="B9631" t="inlineStr">
        <is>
          <t>Nausea ad nauseum</t>
        </is>
      </c>
      <c r="C9631" t="inlineStr">
        <is>
          <t>59, F. Fairly fit, regular yoga swimming etc..I have been diagnosed with post Camplyobacter IBS. (A very bad case of food poisoning)
Have had  an endoscopy, cat scan and MRI. All normal, essentially. My main issue that has stopped me in my tracks is unrelenting nausea. Worse when food hits the stomach. Has anyone had nausea as the chief hallmark of IBS?</t>
        </is>
      </c>
      <c r="D9631" t="n">
        <v>1</v>
      </c>
      <c r="E9631" t="n">
        <v>12</v>
      </c>
      <c r="F9631">
        <f>HYPERLINK("https://www.reddit.com/r/GERD/comments/i1urff/nausea_ad_nauseum/")</f>
        <v/>
      </c>
      <c r="G9631" t="inlineStr">
        <is>
          <t>2020-08-01 09:15:07</t>
        </is>
      </c>
      <c r="H9631" t="inlineStr"/>
    </row>
    <row r="9632">
      <c r="A9632" t="inlineStr">
        <is>
          <t>i1utdp</t>
        </is>
      </c>
      <c r="B9632" t="inlineStr">
        <is>
          <t>Bravo and Endoscopy</t>
        </is>
      </c>
      <c r="C9632" t="inlineStr">
        <is>
          <t>Hi all,
I had a bravo procedure done recently and the capsule has yet to dislodge. I am on day 5. When does the capsule disclosed normally? I feel like 5 days is a lot. What can I do to dislodge it. Peanut butter hasn’t worked:(</t>
        </is>
      </c>
      <c r="D9632" t="n">
        <v>1</v>
      </c>
      <c r="E9632" t="n">
        <v>3</v>
      </c>
      <c r="F9632">
        <f>HYPERLINK("https://www.reddit.com/r/GERD/comments/i1utdp/bravo_and_endoscopy/")</f>
        <v/>
      </c>
      <c r="G9632" t="inlineStr">
        <is>
          <t>2020-08-01 09:18:31</t>
        </is>
      </c>
      <c r="H9632" t="inlineStr"/>
    </row>
    <row r="9633">
      <c r="A9633" t="inlineStr">
        <is>
          <t>i1vlkh</t>
        </is>
      </c>
      <c r="B9633" t="inlineStr">
        <is>
          <t>does anyone have trouble sleeping ?</t>
        </is>
      </c>
      <c r="C9633" t="inlineStr">
        <is>
          <t>in the past few days, when im about to fall asleep, the feeling of ( urgeency, excitement, im not sure how to describe) woke me up from falling into deep sleep. it happens only when im about to fall asleep - multiple times a day. i can lie on bed for hours without anything happen. 
in addition, i feel little lump of mucus behind my throat and slimy white tongue in the morning.</t>
        </is>
      </c>
      <c r="D9633" t="n">
        <v>1</v>
      </c>
      <c r="E9633" t="n">
        <v>1</v>
      </c>
      <c r="F9633">
        <f>HYPERLINK("https://www.reddit.com/r/GERD/comments/i1vlkh/does_anyone_have_trouble_sleeping/")</f>
        <v/>
      </c>
      <c r="G9633" t="inlineStr">
        <is>
          <t>2020-08-01 10:05:59</t>
        </is>
      </c>
      <c r="H9633" t="inlineStr"/>
    </row>
    <row r="9634">
      <c r="A9634" t="inlineStr">
        <is>
          <t>i1w6wo</t>
        </is>
      </c>
      <c r="B9634" t="inlineStr">
        <is>
          <t>Constant burps and struggling to take a deep breath</t>
        </is>
      </c>
      <c r="C9634" t="inlineStr">
        <is>
          <t>Has anybody dealt with this or have any tips on how to reduce these things or get rid of them all together? I am prescribed omeprazole and something else (basically pepcid  I think). They aren't really helping and its very hard to live with</t>
        </is>
      </c>
      <c r="D9634" t="n">
        <v>1</v>
      </c>
      <c r="E9634" t="n">
        <v>1</v>
      </c>
      <c r="F9634">
        <f>HYPERLINK("https://www.reddit.com/r/GERD/comments/i1w6wo/constant_burps_and_struggling_to_take_a_deep/")</f>
        <v/>
      </c>
      <c r="G9634" t="inlineStr">
        <is>
          <t>2020-08-01 10:40:57</t>
        </is>
      </c>
      <c r="H9634" t="inlineStr"/>
    </row>
    <row r="9635">
      <c r="A9635" t="inlineStr">
        <is>
          <t>i1wcs3</t>
        </is>
      </c>
      <c r="B9635" t="inlineStr">
        <is>
          <t>weird foods that give me issues</t>
        </is>
      </c>
      <c r="C9635" t="inlineStr">
        <is>
          <t>It seems that random foods are giving me issues. I had an endoscopy but nothing was found or little   H. pylori. The prescription I am taking is helping a bit but what I find it staying away from some foods is helping more. Here is a list of weird ones I have found. Has anyone else seen this?
Whey Protein - lactose free from IsoPure  
Strawberries - this is new for me but I noticed it after I ran out of them  
then the rest are most common like chocolate and pasta sauce, etc.  
thanks</t>
        </is>
      </c>
      <c r="D9635" t="n">
        <v>1</v>
      </c>
      <c r="E9635" t="n">
        <v>22</v>
      </c>
      <c r="F9635">
        <f>HYPERLINK("https://www.reddit.com/r/GERD/comments/i1wcs3/weird_foods_that_give_me_issues/")</f>
        <v/>
      </c>
      <c r="G9635" t="inlineStr">
        <is>
          <t>2020-08-01 10:50:37</t>
        </is>
      </c>
      <c r="H9635" t="inlineStr"/>
    </row>
    <row r="9636">
      <c r="A9636" t="inlineStr">
        <is>
          <t>i1wuxs</t>
        </is>
      </c>
      <c r="B9636" t="inlineStr">
        <is>
          <t>Does tums help any of you guys?</t>
        </is>
      </c>
      <c r="C9636" t="inlineStr">
        <is>
          <t>What helped you with your acid reflex in terms of diet changes and medications or teas or herbs that helped cope?</t>
        </is>
      </c>
      <c r="D9636" t="n">
        <v>1</v>
      </c>
      <c r="E9636" t="n">
        <v>15</v>
      </c>
      <c r="F9636">
        <f>HYPERLINK("https://www.reddit.com/r/GERD/comments/i1wuxs/does_tums_help_any_of_you_guys/")</f>
        <v/>
      </c>
      <c r="G9636" t="inlineStr">
        <is>
          <t>2020-08-01 11:19:56</t>
        </is>
      </c>
      <c r="H9636" t="inlineStr"/>
    </row>
    <row r="9637">
      <c r="A9637" t="inlineStr">
        <is>
          <t>i1xv5a</t>
        </is>
      </c>
      <c r="B9637" t="inlineStr">
        <is>
          <t>is burning sensation on the side of the neck considered as symptom of gerd ?</t>
        </is>
      </c>
      <c r="C9637" t="inlineStr">
        <is>
          <t>the burning does not happen in middle of throat just the side of the neck - it seems as sternocleidomastoi muscles.</t>
        </is>
      </c>
      <c r="D9637" t="n">
        <v>1</v>
      </c>
      <c r="E9637" t="n">
        <v>5</v>
      </c>
      <c r="F9637">
        <f>HYPERLINK("https://www.reddit.com/r/GERD/comments/i1xv5a/is_burning_sensation_on_the_side_of_the_neck/")</f>
        <v/>
      </c>
      <c r="G9637" t="inlineStr">
        <is>
          <t>2020-08-01 12:19:01</t>
        </is>
      </c>
      <c r="H9637" t="inlineStr"/>
    </row>
    <row r="9638">
      <c r="A9638" t="inlineStr">
        <is>
          <t>i202yz</t>
        </is>
      </c>
      <c r="B9638" t="inlineStr">
        <is>
          <t>How can you tell if you have irreversible LES damage?</t>
        </is>
      </c>
      <c r="C9638" t="inlineStr">
        <is>
          <t>Do symptoms such as stuff leaking back up into your esophagus suggest irreversible damage to your LES? Or do you need an endoscopy to be sure? 
Sometimes I feel like I swallow and then shortly need the urge to reswallow whatever I swallowed...</t>
        </is>
      </c>
      <c r="D9638" t="n">
        <v>1</v>
      </c>
      <c r="E9638" t="n">
        <v>5</v>
      </c>
      <c r="F9638">
        <f>HYPERLINK("https://www.reddit.com/r/GERD/comments/i202yz/how_can_you_tell_if_you_have_irreversible_les/")</f>
        <v/>
      </c>
      <c r="G9638" t="inlineStr">
        <is>
          <t>2020-08-01 14:21:21</t>
        </is>
      </c>
      <c r="H9638" t="inlineStr"/>
    </row>
    <row r="9639">
      <c r="A9639" t="inlineStr">
        <is>
          <t>i21asb</t>
        </is>
      </c>
      <c r="B9639" t="inlineStr">
        <is>
          <t>Having a bad day could use some advice</t>
        </is>
      </c>
      <c r="C9639" t="inlineStr">
        <is>
          <t>I'm having a really bad day atm.   
For the last 2-3 weeks I have been feeling my throat more and more and everything just feels so wrong. I noticed my lymphnodes and they suddenly just feel way to large (even though I have no comparison as I never really looked for them before).  
Also constant burping and my voice just feels a lot "weaker".
I am just so worried that anything I feel might be cancer. On the one hand I know that because I am young and don't smoke or do anything else that is harmful (except for having acid reflux welp).  
I just could really use some advice on how to avoid the thought of having cancer. I will go talk to my doctor but they aren't around for another week so I'll have to wait.  
How do you deal with that?</t>
        </is>
      </c>
      <c r="D9639" t="n">
        <v>1</v>
      </c>
      <c r="E9639" t="n">
        <v>1</v>
      </c>
      <c r="F9639">
        <f>HYPERLINK("https://www.reddit.com/r/GERD/comments/i21asb/having_a_bad_day_could_use_some_advice/")</f>
        <v/>
      </c>
      <c r="G9639" t="inlineStr">
        <is>
          <t>2020-08-01 15:36:43</t>
        </is>
      </c>
      <c r="H9639" t="inlineStr"/>
    </row>
    <row r="9640">
      <c r="A9640" t="inlineStr">
        <is>
          <t>i21mfr</t>
        </is>
      </c>
      <c r="B9640" t="inlineStr">
        <is>
          <t>Neck tightness and tickle in throat?</t>
        </is>
      </c>
      <c r="C9640" t="inlineStr">
        <is>
          <t>Hi guys! I recently went camping and had spaghetti with sauce on it being that was the only food option I had for that day. Ever since I’ve had a tight neck and weird tickle at the bottom of my throat. Not sure if it is GERD related or just a coincidence? Does anyone else have these symptoms?</t>
        </is>
      </c>
      <c r="D9640" t="n">
        <v>1</v>
      </c>
      <c r="E9640" t="n">
        <v>2</v>
      </c>
      <c r="F9640">
        <f>HYPERLINK("https://www.reddit.com/r/GERD/comments/i21mfr/neck_tightness_and_tickle_in_throat/")</f>
        <v/>
      </c>
      <c r="G9640" t="inlineStr">
        <is>
          <t>2020-08-01 15:57:35</t>
        </is>
      </c>
      <c r="H9640" t="inlineStr"/>
    </row>
    <row r="9641">
      <c r="A9641" t="inlineStr">
        <is>
          <t>i21yyc</t>
        </is>
      </c>
      <c r="B9641" t="inlineStr">
        <is>
          <t>Is this typical of GERD?</t>
        </is>
      </c>
      <c r="C9641" t="inlineStr">
        <is>
          <t>So over the past 2 days I’ve had this pain in the middle of my chest when swallowing period. Just normal swallows of saliva, food, drinks.
It almost feels like there is something stuck in the middle of my chest.
No other symptoms like coughing or vomiting or nausea or anything like that.
I’m 35 no smoker, I do drink occasionally maybe a few drinks in a single night once every couple of nights. Nothing in my diet has changed and I don’t recall eating anything large to cause it.
Any tips?</t>
        </is>
      </c>
      <c r="D9641" t="n">
        <v>1</v>
      </c>
      <c r="E9641" t="n">
        <v>0</v>
      </c>
      <c r="F9641">
        <f>HYPERLINK("https://www.reddit.com/r/GERD/comments/i21yyc/is_this_typical_of_gerd/")</f>
        <v/>
      </c>
      <c r="G9641" t="inlineStr">
        <is>
          <t>2020-08-01 16:20:01</t>
        </is>
      </c>
      <c r="H9641" t="inlineStr"/>
    </row>
    <row r="9642">
      <c r="A9642" t="inlineStr">
        <is>
          <t>i2254g</t>
        </is>
      </c>
      <c r="B9642" t="inlineStr">
        <is>
          <t>Food that's good for both GERD and diarrhea?</t>
        </is>
      </c>
      <c r="C9642" t="inlineStr">
        <is>
          <t>Ugh. help. I was living off dried fruit and nuts but now I can't eat that bc diarrhea. Lol.</t>
        </is>
      </c>
      <c r="D9642" t="n">
        <v>1</v>
      </c>
      <c r="E9642" t="n">
        <v>6</v>
      </c>
      <c r="F9642">
        <f>HYPERLINK("https://www.reddit.com/r/GERD/comments/i2254g/food_thats_good_for_both_gerd_and_diarrhea/")</f>
        <v/>
      </c>
      <c r="G9642" t="inlineStr">
        <is>
          <t>2020-08-01 16:31:07</t>
        </is>
      </c>
      <c r="H9642" t="inlineStr"/>
    </row>
    <row r="9643">
      <c r="A9643" t="inlineStr">
        <is>
          <t>i22eo4</t>
        </is>
      </c>
      <c r="B9643" t="inlineStr">
        <is>
          <t>Help me please with gastritis and hernia</t>
        </is>
      </c>
      <c r="C9643" t="inlineStr">
        <is>
          <t xml:space="preserve"> 
Hello im a 22 year old male and ive ben suffering with gastritis and a small hiatal hernia.
This all started when unfortunately my father has fell into a coma and later on passed away. I recently had a endoscopy done and on the report it says
"LA grade A reflux esophagitis. Biopsed
\-Small Hiatal hernia
\-Gastritis"
i have a werid cough that i developed. I was reading through reddit and i just ordered some alkaline water. The Prescription does help me. I also feel like i have to clear my throat more than often and it feels like my throat is being bothered, i cant explain the feeling its like a sharp pain that isnt that painful but it doesnt feel normal. I also feel like sometimes i get a shortness of breath and the inside of my nose has a weird tingling feeling.
Im still taking my prescription in the morning before i eat ( He has prescribed me Pantroazole 40mg once daily) it does solve my acid reflux although i still feel like my throat is itchy and makes me cough.
Can you guy provide me with some advice as well the links on amazon for the supplements and etc.
I've read about Gaviscon Advanced UK version and DSG licorice. Is there more out there thatll help me? as well can you guys help me with dosage and when to take the supplements!
Thank you guys we are not alone! &amp;lt;3</t>
        </is>
      </c>
      <c r="D9643" t="n">
        <v>1</v>
      </c>
      <c r="E9643" t="n">
        <v>0</v>
      </c>
      <c r="F9643">
        <f>HYPERLINK("https://www.reddit.com/r/GERD/comments/i22eo4/help_me_please_with_gastritis_and_hernia/")</f>
        <v/>
      </c>
      <c r="G9643" t="inlineStr">
        <is>
          <t>2020-08-01 16:48:38</t>
        </is>
      </c>
      <c r="H9643" t="inlineStr"/>
    </row>
    <row r="9644">
      <c r="A9644" t="inlineStr">
        <is>
          <t>i22hzl</t>
        </is>
      </c>
      <c r="B9644" t="inlineStr">
        <is>
          <t>Morning Mucus</t>
        </is>
      </c>
      <c r="C9644" t="inlineStr">
        <is>
          <t>Hi all,
I’ve been fairly consistent in following a healthier life style, but notice that some mornings no matter what, the post nasal drip gets the best of me, and I have this unpleasant yellow mucus when I clear my throat and spit first thing in the am. It’s thicker and darker some days than others. 
It tends to be then go away for the day after brushing my teeth and come back the next am, but not always. 
I’m using a nasal spray as needed and have an endoscopy scheduled Friday, but would love to hear some advice regarding dealing with this mucus. 
Definitely off putting and frustrating.
Thanks!</t>
        </is>
      </c>
      <c r="D9644" t="n">
        <v>1</v>
      </c>
      <c r="E9644" t="n">
        <v>5</v>
      </c>
      <c r="F9644">
        <f>HYPERLINK("https://www.reddit.com/r/GERD/comments/i22hzl/morning_mucus/")</f>
        <v/>
      </c>
      <c r="G9644" t="inlineStr">
        <is>
          <t>2020-08-01 16:55:02</t>
        </is>
      </c>
      <c r="H9644" t="inlineStr"/>
    </row>
    <row r="9645">
      <c r="A9645" t="inlineStr">
        <is>
          <t>i22m9v</t>
        </is>
      </c>
      <c r="B9645" t="inlineStr">
        <is>
          <t>Pinch in chest</t>
        </is>
      </c>
      <c r="C9645" t="inlineStr">
        <is>
          <t>I get GERDy sometimes and burping or drinking water helps generally. I feel a pinching feeling on the right side of my chest. Does anyone else get this? 
Feel like gerd us always throwing new symptoms our way.</t>
        </is>
      </c>
      <c r="D9645" t="n">
        <v>1</v>
      </c>
      <c r="E9645" t="n">
        <v>0</v>
      </c>
      <c r="F9645">
        <f>HYPERLINK("https://www.reddit.com/r/GERD/comments/i22m9v/pinch_in_chest/")</f>
        <v/>
      </c>
      <c r="G9645" t="inlineStr">
        <is>
          <t>2020-08-01 17:03:00</t>
        </is>
      </c>
      <c r="H9645" t="inlineStr"/>
    </row>
    <row r="9646">
      <c r="A9646" t="inlineStr">
        <is>
          <t>i248q4</t>
        </is>
      </c>
      <c r="B9646" t="inlineStr">
        <is>
          <t>Really need some advice!</t>
        </is>
      </c>
      <c r="C9646" t="inlineStr">
        <is>
          <t xml:space="preserve"> Hello im a 22 year old male and ive ben suffering with gastritis and a small hiatal hernia.
This all started when unfortunately my father has fell into a coma and later on passed away. I recently had a endoscopy done and on the report it says
"LA grade A reflux esophagitis. Biopsed
\-Small Hiatal hernia
\-Gastritis"
i have a werid cough that i developed. I was reading through reddit and i just ordered some alkaline water. The Prescription does help me. I also feel like i have to clear my throat more than often and it feels like my throat is being bothered, i cant explain the feeling its like a sharp pain that isnt that painful but it doesnt feel normal. I also feel like sometimes i get a shortness of breath and the inside of my nose feels weird like its been burned by the acid. i really wish someone can help out.
Im still taking my prescription in the morning before i eat ( He has prescribed me Pantroazole 40mg once daily) it does solve my acid reflux although i still feel like my throat is itchy and makes me cough.
Can you guy provide me with some advice as well the links on amazon for the supplements and etc.
I've read about Gaviscon Advanced UK version and DSG licorice. Is there more out there thatll help me? as well can you guys help me with dosage and when to take the supplements!
Thank you guys we are not alone! &amp;lt;3</t>
        </is>
      </c>
      <c r="D9646" t="n">
        <v>1</v>
      </c>
      <c r="E9646" t="n">
        <v>5</v>
      </c>
      <c r="F9646">
        <f>HYPERLINK("https://www.reddit.com/r/GERD/comments/i248q4/really_need_some_advice/")</f>
        <v/>
      </c>
      <c r="G9646" t="inlineStr">
        <is>
          <t>2020-08-01 18:58:52</t>
        </is>
      </c>
      <c r="H9646" t="inlineStr"/>
    </row>
    <row r="9647">
      <c r="A9647" t="inlineStr">
        <is>
          <t>i24om2</t>
        </is>
      </c>
      <c r="B9647" t="inlineStr">
        <is>
          <t>Need Advice on how to use DSG licorise and Mastic gum 1000mg</t>
        </is>
      </c>
      <c r="C9647" t="inlineStr">
        <is>
          <t>Links to the supplements. 
 [https://www.amazon.com/gp/product/B001IAJW0K/ref=ppx\_yo\_dt\_b\_asin\_title\_o01\_s00?ie=UTF8&amp;amp;psc=1](https://www.amazon.com/gp/product/B001IAJW0K/ref=ppx_yo_dt_b_asin_title_o01_s00?ie=UTF8&amp;amp;psc=1) 
 [https://www.amazon.com/gp/product/B07C5SXJGJ/ref=ppx\_yo\_dt\_b\_asin\_title\_o00\_s00?ie=UTF8&amp;amp;psc=1](https://www.amazon.com/gp/product/B07C5SXJGJ/ref=ppx_yo_dt_b_asin_title_o00_s00?ie=UTF8&amp;amp;psc=1) 
&amp;amp;#x200B;
if anyone has gastritis and  grade A reflux esophagitis.</t>
        </is>
      </c>
      <c r="D9647" t="n">
        <v>1</v>
      </c>
      <c r="E9647" t="n">
        <v>0</v>
      </c>
      <c r="F9647">
        <f>HYPERLINK("https://www.reddit.com/r/GERD/comments/i24om2/need_advice_on_how_to_use_dsg_licorise_and_mastic/")</f>
        <v/>
      </c>
      <c r="G9647" t="inlineStr">
        <is>
          <t>2020-08-01 19:31:18</t>
        </is>
      </c>
      <c r="H9647" t="inlineStr"/>
    </row>
    <row r="9648">
      <c r="A9648" t="inlineStr">
        <is>
          <t>i24oyp</t>
        </is>
      </c>
      <c r="B9648" t="inlineStr">
        <is>
          <t>Throat is constantly uncomfortable from LPR. Any relief medications I am missing?</t>
        </is>
      </c>
      <c r="C9648" t="inlineStr">
        <is>
          <t>I am constantly needing to clear my throat and it’s just very uncomfortable everyday. Just started a throat detox diet from my doctor and taking Prilosec.
Are there any other Things I can take to soothe my throat in the US? Any over the counter meds help anyone soothe? Tums doesn’t do much. I don’t think I can find any NSAID lozenges in US Or Amazon either.</t>
        </is>
      </c>
      <c r="D9648" t="n">
        <v>1</v>
      </c>
      <c r="E9648" t="n">
        <v>6</v>
      </c>
      <c r="F9648">
        <f>HYPERLINK("https://www.reddit.com/r/GERD/comments/i24oyp/throat_is_constantly_uncomfortable_from_lpr_any/")</f>
        <v/>
      </c>
      <c r="G9648" t="inlineStr">
        <is>
          <t>2020-08-01 19:32:00</t>
        </is>
      </c>
      <c r="H9648" t="inlineStr"/>
    </row>
    <row r="9649">
      <c r="A9649" t="inlineStr">
        <is>
          <t>i24xoq</t>
        </is>
      </c>
      <c r="B9649" t="inlineStr">
        <is>
          <t>Y'all I just felt a flare coming on and staved it off by chewing a massive amount of gum</t>
        </is>
      </c>
      <c r="C9649" t="inlineStr">
        <is>
          <t>I feel powerful</t>
        </is>
      </c>
      <c r="D9649" t="n">
        <v>1</v>
      </c>
      <c r="E9649" t="n">
        <v>24</v>
      </c>
      <c r="F9649">
        <f>HYPERLINK("https://www.reddit.com/r/GERD/comments/i24xoq/yall_i_just_felt_a_flare_coming_on_and_staved_it/")</f>
        <v/>
      </c>
      <c r="G9649" t="inlineStr">
        <is>
          <t>2020-08-01 19:50:15</t>
        </is>
      </c>
      <c r="H9649" t="inlineStr"/>
    </row>
    <row r="9650">
      <c r="A9650" t="inlineStr">
        <is>
          <t>i25tce</t>
        </is>
      </c>
      <c r="B9650" t="inlineStr">
        <is>
          <t>H Pylori and Pylera</t>
        </is>
      </c>
      <c r="C9650" t="inlineStr">
        <is>
          <t>So I am eight days in now to taking antibiotics for H Pylori discovered in my endoscopy and was wondering if anyone how long after the treatment if finished that they noticed their symptoms get better? I’ve cut out all dairy and gluten while taking the antibiotics, but just an in case scenario since I kept a food diary since this started 4 months ago and was never really able to nail down trigger foods. It all still seemed so random on when symptoms occur. I am also on aciphex, a ppi, but still experience gas pains, chest pains, shortness of breath, etc and am hoping once the h pylori is gone that ends up being the culprit.</t>
        </is>
      </c>
      <c r="D9650" t="n">
        <v>1</v>
      </c>
      <c r="E9650" t="n">
        <v>4</v>
      </c>
      <c r="F9650">
        <f>HYPERLINK("https://www.reddit.com/r/GERD/comments/i25tce/h_pylori_and_pylera/")</f>
        <v/>
      </c>
      <c r="G9650" t="inlineStr">
        <is>
          <t>2020-08-01 20:56:49</t>
        </is>
      </c>
      <c r="H9650" t="inlineStr"/>
    </row>
    <row r="9651">
      <c r="A9651" t="inlineStr">
        <is>
          <t>i25vbr</t>
        </is>
      </c>
      <c r="B9651" t="inlineStr">
        <is>
          <t>Am I underestimating the power of eating slowly and not overeating?</t>
        </is>
      </c>
      <c r="C9651" t="inlineStr">
        <is>
          <t>I have LPR which manifests in throat clearing and excessive mucus on my throat especially after eating. I've had this for more than five years now until I decided enough was enough. I'm currently on 20mg twice a day omeprazole and Gaviscon after meals, and for the first time, altering my diet. 
Ever since I was a kid, I burped a lot occasionally especially when I overeat and become bloated. I now feel that it shouldn't be that way, hence my lifetyle changes.
I never thought how eating fast and overeating sometimes would be major factors? Are they really? Sometimes my friends are shocked at how fast I eat and I never noticed it until they mentioned it to me a few years back. 
It's only now that I am trying to alter my eating habits by eating slowly. The only problem is that whenever I see food before me I JUST WANNAAAAA EATTTTT them sooo fast. I think it's a psychological issue as well? 
I just wanna start my road to healing. :(</t>
        </is>
      </c>
      <c r="D9651" t="n">
        <v>1</v>
      </c>
      <c r="E9651" t="n">
        <v>3</v>
      </c>
      <c r="F9651">
        <f>HYPERLINK("https://www.reddit.com/r/GERD/comments/i25vbr/am_i_underestimating_the_power_of_eating_slowly/")</f>
        <v/>
      </c>
      <c r="G9651" t="inlineStr">
        <is>
          <t>2020-08-01 21:01:06</t>
        </is>
      </c>
      <c r="H9651" t="inlineStr"/>
    </row>
    <row r="9652">
      <c r="A9652" t="inlineStr">
        <is>
          <t>i26xk3</t>
        </is>
      </c>
      <c r="B9652" t="inlineStr">
        <is>
          <t>No water 40 mins. within eating?</t>
        </is>
      </c>
      <c r="C9652" t="inlineStr">
        <is>
          <t>This is the rule that frustrates me the most. I am constantly dehydrated. I hate it. Is this rule really that important? I have never seen it listed with the usual GERD tips. In fact, I have never seen it mentioned anywhere outside this group.
Then there is the "Don't drink water 3 hours after taking gaviscon" rule. You are supposed to take Gaviscon 4 times a day, so I don't see how anyone can follow that rule without dying.
Isn't soup the same as combining water and food? I see no anti-soup rule. What about soymilk? Watermelon? Where is the line drawn?</t>
        </is>
      </c>
      <c r="D9652" t="n">
        <v>1</v>
      </c>
      <c r="E9652" t="n">
        <v>3</v>
      </c>
      <c r="F9652">
        <f>HYPERLINK("https://www.reddit.com/r/GERD/comments/i26xk3/no_water_40_mins_within_eating/")</f>
        <v/>
      </c>
      <c r="G9652" t="inlineStr">
        <is>
          <t>2020-08-01 22:27:45</t>
        </is>
      </c>
      <c r="H9652" t="inlineStr"/>
    </row>
    <row r="9653">
      <c r="A9653" t="inlineStr">
        <is>
          <t>i276y3</t>
        </is>
      </c>
      <c r="B9653" t="inlineStr">
        <is>
          <t>Does anyone else do this?</t>
        </is>
      </c>
      <c r="C9653" t="inlineStr">
        <is>
          <t>Was recently diagnosed with GERD and was placed on omeprazole 20mg once a day. Ever since I started, I cough up a lot of clear liquid. Today, I coughed up (threw up? TMI!) yellow liquid that burned. Is this normal? I’m on day 14 of 28 days of the pills. I just want to know if I’m alone in this?? I also have no taste and blisters in my mouth. Doctor said this was normal, but I’ve never met anyone else with GERD this bad! Thanks.</t>
        </is>
      </c>
      <c r="D9653" t="n">
        <v>1</v>
      </c>
      <c r="E9653" t="n">
        <v>3</v>
      </c>
      <c r="F9653">
        <f>HYPERLINK("https://www.reddit.com/r/GERD/comments/i276y3/does_anyone_else_do_this/")</f>
        <v/>
      </c>
      <c r="G9653" t="inlineStr">
        <is>
          <t>2020-08-01 22:50:59</t>
        </is>
      </c>
      <c r="H9653" t="inlineStr"/>
    </row>
    <row r="9654">
      <c r="A9654" t="inlineStr">
        <is>
          <t>i27q44</t>
        </is>
      </c>
      <c r="B9654" t="inlineStr">
        <is>
          <t>H Pylori test accuracy: clueless doctor = bad test</t>
        </is>
      </c>
      <c r="C9654" t="inlineStr">
        <is>
          <t>I've been dealing with GERD issues for the past two months. After a couple of weeks of it not going away I went to the doctor, and had me do an H Pylori (stool sample) test (after giving me prescription for PPI). 
It unfortunately came back negative. I did have H Pylori 2 years ago, which was cured with antibiotics.
The doc then put me on PPIs with a shrug on what to do next. I was told they'll do an endoscopy within 4 - 5 years!!!
I was recently reading up online on the accuracy of the common stool antigen test, and it is very accurate *UNLESS* the patient has been on PPI or Bismuth medication for the previous *TWO WEEKS*.
At the time of the stole test, I had been taking Pepto Bismo for at least a couple of weeks (not every day), and had taken it the night before giving them a sample. The doctor didn't tell me any of this...
https://www.mayoclinic.org/diseases-conditions/h-pylori/diagnosis-treatment/drc-20356177
https://pubmed.ncbi.nlm.nih.gov/10483995/
https://www.ncbi.nlm.nih.gov/pmc/articles/PMC4864555/
https://www.health.harvard.edu/blog/h-pylori-a-true-stomach-bug-who-should-doctors-test-and-treat-2017040511328
Now, I'm questioning the validity of the test, and going to be going in for a second test and talking to a GI specialist.  I'm stopping my PPI medication as of today for the two week in anticipation of the second test. I'll start back up if the GI doctor tells me to in a few days.
Now I have to plan out how to survive with GERD for 2 weeks without taking a PPI or Pepto Bismol.... I'm having reflux even with the PPI, so this will be fun ;(
I'm posting this here in case any of you might have also had a compromised test results.</t>
        </is>
      </c>
      <c r="D9654" t="n">
        <v>1</v>
      </c>
      <c r="E9654" t="n">
        <v>5</v>
      </c>
      <c r="F9654">
        <f>HYPERLINK("https://www.reddit.com/r/GERD/comments/i27q44/h_pylori_test_accuracy_clueless_doctor_bad_test/")</f>
        <v/>
      </c>
      <c r="G9654" t="inlineStr">
        <is>
          <t>2020-08-01 23:40:19</t>
        </is>
      </c>
      <c r="H9654" t="inlineStr"/>
    </row>
    <row r="9655">
      <c r="A9655" t="inlineStr">
        <is>
          <t>i27u07</t>
        </is>
      </c>
      <c r="B9655" t="inlineStr">
        <is>
          <t>Gagging?</t>
        </is>
      </c>
      <c r="C9655" t="inlineStr">
        <is>
          <t>Recently, I’ve been gagging a lot but nothing ever comes up. Tonight, I threw up some yellow liquid which I guess is bile. Does this mean my LES is damaged permanently or just a symptom of acid reflux? Should I see the doctor?</t>
        </is>
      </c>
      <c r="D9655" t="n">
        <v>1</v>
      </c>
      <c r="E9655" t="n">
        <v>2</v>
      </c>
      <c r="F9655">
        <f>HYPERLINK("https://www.reddit.com/r/GERD/comments/i27u07/gagging/")</f>
        <v/>
      </c>
      <c r="G9655" t="inlineStr">
        <is>
          <t>2020-08-01 23:51:02</t>
        </is>
      </c>
      <c r="H9655" t="inlineStr"/>
    </row>
    <row r="9656">
      <c r="A9656" t="inlineStr">
        <is>
          <t>i2a634</t>
        </is>
      </c>
      <c r="B9656" t="inlineStr">
        <is>
          <t>Let Friend Influence Me</t>
        </is>
      </c>
      <c r="C9656" t="inlineStr">
        <is>
          <t>Early last week things we're really looking up for me! I had 4 days in a row with very mild symptoms, and I was feeling almost like my old self again! Then my friend convinced me I shouldn't be on the meds, did I even know why I was taking them? Couldn't I just manage it with the lifestyle changes? I did drastically change my lifestyle habits in the 2 weeks since diagnosis, so I reduced the three pills I've been taking daily to just one pill. I know how stupid that was, but I just felt so great! Within a day and a half, my symptoms got significantly worse, and it took a whole day of my regular meds before I started to feel some relief again. 
&amp;amp;#x200B;
The sad part is, since then, I haven't been able to get back to that level of symptom reduction. And probably the saddest part is, I'm way too old (in my early thirties) to be so easily influenced. While I'd rather not take reflux meds for the rest of my life, I have to give my body at least a chance to really heal before trying to reduce or eliminate meds. I guess the good things I learned were that the effects of my meds were not simply a placebo affect, and that lifestyle changes are great and contribute to reducing symptoms, but for right now, are not enough on their own.</t>
        </is>
      </c>
      <c r="D9656" t="n">
        <v>1</v>
      </c>
      <c r="E9656" t="n">
        <v>6</v>
      </c>
      <c r="F9656">
        <f>HYPERLINK("https://www.reddit.com/r/GERD/comments/i2a634/let_friend_influence_me/")</f>
        <v/>
      </c>
      <c r="G9656" t="inlineStr">
        <is>
          <t>2020-08-02 03:50:23</t>
        </is>
      </c>
      <c r="H9656" t="inlineStr"/>
    </row>
    <row r="9657">
      <c r="A9657" t="inlineStr">
        <is>
          <t>i2ayxs</t>
        </is>
      </c>
      <c r="B9657" t="inlineStr">
        <is>
          <t>Does nexium cause stomach upset and bowel changes?</t>
        </is>
      </c>
      <c r="C9657" t="inlineStr">
        <is>
          <t>Ever since I started taking nexium I’ve been having a weird stomach. Like it doesn’t hurt. But it feels like there is gas and bubbles in it and my bowel has been odd. Does it usually happen? It has stopped heart burn completely. I’m on a 3 week prescription</t>
        </is>
      </c>
      <c r="D9657" t="n">
        <v>1</v>
      </c>
      <c r="E9657" t="n">
        <v>7</v>
      </c>
      <c r="F9657">
        <f>HYPERLINK("https://www.reddit.com/r/GERD/comments/i2ayxs/does_nexium_cause_stomach_upset_and_bowel_changes/")</f>
        <v/>
      </c>
      <c r="G9657" t="inlineStr">
        <is>
          <t>2020-08-02 05:03:37</t>
        </is>
      </c>
      <c r="H9657" t="inlineStr"/>
    </row>
    <row r="9658">
      <c r="A9658" t="inlineStr">
        <is>
          <t>i2c2zu</t>
        </is>
      </c>
      <c r="B9658" t="inlineStr">
        <is>
          <t>When and how do I take Dexilant?</t>
        </is>
      </c>
      <c r="C9658" t="inlineStr">
        <is>
          <t>I heard that you can take Dexilant with no regards to eating. But isn't it better to take it 30 minutes before eating like any other PPI or it doesn't matter at all?</t>
        </is>
      </c>
      <c r="D9658" t="n">
        <v>1</v>
      </c>
      <c r="E9658" t="n">
        <v>3</v>
      </c>
      <c r="F9658">
        <f>HYPERLINK("https://www.reddit.com/r/GERD/comments/i2c2zu/when_and_how_do_i_take_dexilant/")</f>
        <v/>
      </c>
      <c r="G9658" t="inlineStr">
        <is>
          <t>2020-08-02 06:31:10</t>
        </is>
      </c>
      <c r="H9658" t="inlineStr"/>
    </row>
    <row r="9659">
      <c r="A9659" t="inlineStr">
        <is>
          <t>i2c67h</t>
        </is>
      </c>
      <c r="B9659" t="inlineStr">
        <is>
          <t>2nd Day with Chest Discomfort</t>
        </is>
      </c>
      <c r="C9659" t="inlineStr">
        <is>
          <t>I had GERD like symptoms for a long time.  Probably 2 years. Since the last 36 hrs, I have been experiencing slight chest discomfort. I went to the doctor immediately and he did an ECG. They found nothing wrong with my heart but I still do experience slight discomfort even now. Anybody have experience with chest discomfort related GERD and how long it lasts ?</t>
        </is>
      </c>
      <c r="D9659" t="n">
        <v>1</v>
      </c>
      <c r="E9659" t="n">
        <v>23</v>
      </c>
      <c r="F9659">
        <f>HYPERLINK("https://www.reddit.com/r/GERD/comments/i2c67h/2nd_day_with_chest_discomfort/")</f>
        <v/>
      </c>
      <c r="G9659" t="inlineStr">
        <is>
          <t>2020-08-02 06:37:16</t>
        </is>
      </c>
      <c r="H9659" t="inlineStr"/>
    </row>
    <row r="9660">
      <c r="A9660" t="inlineStr">
        <is>
          <t>i2d4yy</t>
        </is>
      </c>
      <c r="B9660" t="inlineStr">
        <is>
          <t>Aloe Vera juice is a god send</t>
        </is>
      </c>
      <c r="C9660" t="inlineStr">
        <is>
          <t>I’ve had such a horrible throat for months, so dry and full of mucus constantly. I got this fresh juice in the U.K. from Sainsbury’s and all my shitty symptoms have completely disappeared! Thought it was worth telling you, it might help!</t>
        </is>
      </c>
      <c r="D9660" t="n">
        <v>1</v>
      </c>
      <c r="E9660" t="n">
        <v>26</v>
      </c>
      <c r="F9660">
        <f>HYPERLINK("https://www.reddit.com/r/GERD/comments/i2d4yy/aloe_vera_juice_is_a_god_send/")</f>
        <v/>
      </c>
      <c r="G9660" t="inlineStr">
        <is>
          <t>2020-08-02 07:42:26</t>
        </is>
      </c>
      <c r="H9660" t="inlineStr"/>
    </row>
    <row r="9661">
      <c r="A9661" t="inlineStr">
        <is>
          <t>i2dc2d</t>
        </is>
      </c>
      <c r="B9661" t="inlineStr">
        <is>
          <t>Waking up grasping for air and dizzy every day</t>
        </is>
      </c>
      <c r="C9661" t="inlineStr">
        <is>
          <t>I was diagnosed with GERD by a terrible doctor, than the pandemic came and I don't feel safe to go to a clinic in my country since more than 1000 deaths a day was normalized by people and most of the population is not wearing masks of practicing social distancing.
The doctor didn't answer my questions. I did endoscopy and another exam Inforgot the name. Anyway, the point is I wake up with a sore throat everyday, at 7 am, but I can only leave bed after 2 hours because I wake up without air, hard to breathe, and dizzy. It's been like that since last year.
I looked up about GERD, and I have no idea why I have it, because I have a plant based diet, do exercise, I eat healthy, I don't have any health problems, I'm not overweight. It's probably anxiety that is causing it, but I've been taking anxiety medication since February, I meditate, but living with toxic people will never ease anxiety.
I feel like one day I'll just die in my sleep because of it. I also don't have any sleeping problems because I did a sleeping study at the same time I did the endoscopy and it was normal...
I just want to sleep well again...</t>
        </is>
      </c>
      <c r="D9661" t="n">
        <v>1</v>
      </c>
      <c r="E9661" t="n">
        <v>9</v>
      </c>
      <c r="F9661">
        <f>HYPERLINK("https://www.reddit.com/r/GERD/comments/i2dc2d/waking_up_grasping_for_air_and_dizzy_every_day/")</f>
        <v/>
      </c>
      <c r="G9661" t="inlineStr">
        <is>
          <t>2020-08-02 07:55:01</t>
        </is>
      </c>
      <c r="H9661" t="inlineStr"/>
    </row>
    <row r="9662">
      <c r="A9662" t="inlineStr">
        <is>
          <t>i2eqpe</t>
        </is>
      </c>
      <c r="B9662" t="inlineStr">
        <is>
          <t>Probably need surgery</t>
        </is>
      </c>
      <c r="C9662" t="inlineStr">
        <is>
          <t>So I've been told I probably need Nissen fundoplication to repair a very large hernia. From my research, thats pretty much my only option if I have a large hernia, if that's wrong, let me know, I talk to the surgeon tomorrow. My biggest worry is the diet after surgery, how bad is it? how long? D:</t>
        </is>
      </c>
      <c r="D9662" t="n">
        <v>1</v>
      </c>
      <c r="E9662" t="n">
        <v>12</v>
      </c>
      <c r="F9662">
        <f>HYPERLINK("https://www.reddit.com/r/GERD/comments/i2eqpe/probably_need_surgery/")</f>
        <v/>
      </c>
      <c r="G9662" t="inlineStr">
        <is>
          <t>2020-08-02 09:20:50</t>
        </is>
      </c>
      <c r="H9662" t="inlineStr"/>
    </row>
    <row r="9663">
      <c r="A9663" t="inlineStr">
        <is>
          <t>i2f4k8</t>
        </is>
      </c>
      <c r="B9663" t="inlineStr">
        <is>
          <t>Is this more IBS or reflux related? Breathing in before burping.</t>
        </is>
      </c>
      <c r="C9663" t="inlineStr">
        <is>
          <t>I’ve had this issue on and off for 4 years. I belch a lot and my stomach just feels like there’s a lot of gas in it/feels bloated.
I burp normally but a lot of times I also feel the need to breath in and then burp. Almost like a hiccup burp.
I find that it could be related to anxiety too. Like when I think about it, it tends to happen.
I do take Pepcid ac but I don’t think it fixes it.
Any ideas or any tips to calm down this annoying burping/bloat? Or maybe it’s mental and ibs.</t>
        </is>
      </c>
      <c r="D9663" t="n">
        <v>1</v>
      </c>
      <c r="E9663" t="n">
        <v>8</v>
      </c>
      <c r="F9663">
        <f>HYPERLINK("https://www.reddit.com/r/GERD/comments/i2f4k8/is_this_more_ibs_or_reflux_related_breathing_in/")</f>
        <v/>
      </c>
      <c r="G9663" t="inlineStr">
        <is>
          <t>2020-08-02 09:43:25</t>
        </is>
      </c>
      <c r="H9663" t="inlineStr"/>
    </row>
    <row r="9664">
      <c r="A9664" t="inlineStr">
        <is>
          <t>i2g77p</t>
        </is>
      </c>
      <c r="B9664" t="inlineStr">
        <is>
          <t>Need help with stopping PPI</t>
        </is>
      </c>
      <c r="C9664" t="inlineStr">
        <is>
          <t>I made the mistake of stopping 20mg Nexium cold turkey and about a week later I was getting really bad nausea and symptoms of reflux. I’ll feel dizzy at times, have stomach growling, has and just generally unwell. I’ve been diagnosed with mild gastritis before and it may be that stopping the PPI has caused gastritis symptoms again. 
I want to change to an H2 blocker, so I’ve been using a high dose of Pepcid. My gastroenterologist suggested I alternate with Nexium one day and Pepcid the other for a couple weeks. So I’m starting to do that. I also have Gaviscon advance I take sometimes at night. 
Is there any advice for the nausea and sick feeling I get? It will happen sometimes on an empty stomach or after eating. For example, this morning I drank carrot juice and then felt nauseous soon after. I ate a bowl of oatmeal and then it subsided a little. My appetite isn’t great because of the nausea. 
I would love any food, lifestyle, medication recommendations and to know if anyone has experienced something similar. Thank you</t>
        </is>
      </c>
      <c r="D9664" t="n">
        <v>1</v>
      </c>
      <c r="E9664" t="n">
        <v>2</v>
      </c>
      <c r="F9664">
        <f>HYPERLINK("https://www.reddit.com/r/GERD/comments/i2g77p/need_help_with_stopping_ppi/")</f>
        <v/>
      </c>
      <c r="G9664" t="inlineStr">
        <is>
          <t>2020-08-02 10:45:17</t>
        </is>
      </c>
      <c r="H9664" t="inlineStr"/>
    </row>
    <row r="9665">
      <c r="A9665" t="inlineStr">
        <is>
          <t>i2g8ee</t>
        </is>
      </c>
      <c r="B9665" t="inlineStr">
        <is>
          <t>Motion sickness + Gerd is the worst. Am i the only one? :(</t>
        </is>
      </c>
      <c r="C9665" t="inlineStr">
        <is>
          <t>The feeling of extreme nausea plus a bad flareup is like hell.</t>
        </is>
      </c>
      <c r="D9665" t="n">
        <v>1</v>
      </c>
      <c r="E9665" t="n">
        <v>29</v>
      </c>
      <c r="F9665">
        <f>HYPERLINK("https://www.reddit.com/r/GERD/comments/i2g8ee/motion_sickness_gerd_is_the_worst_am_i_the_only/")</f>
        <v/>
      </c>
      <c r="G9665" t="inlineStr">
        <is>
          <t>2020-08-02 10:47:12</t>
        </is>
      </c>
      <c r="H9665" t="inlineStr"/>
    </row>
    <row r="9666">
      <c r="A9666" t="inlineStr">
        <is>
          <t>i2gs9g</t>
        </is>
      </c>
      <c r="B9666" t="inlineStr">
        <is>
          <t>Does anyone get really really hungry or crave sugar?</t>
        </is>
      </c>
      <c r="C9666" t="inlineStr">
        <is>
          <t>Ofc I have times where I don’t even want to think about food for the whole day, but sometimes I feel this extreme, weird hunger- I have a hard time discerning whether it is actual hunger or acid attacking my stomach :/ 
I tend to crave sugar like crazy when my acidity is flaring up. Is this common?</t>
        </is>
      </c>
      <c r="D9666" t="n">
        <v>1</v>
      </c>
      <c r="E9666" t="n">
        <v>4</v>
      </c>
      <c r="F9666">
        <f>HYPERLINK("https://www.reddit.com/r/GERD/comments/i2gs9g/does_anyone_get_really_really_hungry_or_crave/")</f>
        <v/>
      </c>
      <c r="G9666" t="inlineStr">
        <is>
          <t>2020-08-02 11:18:13</t>
        </is>
      </c>
      <c r="H9666" t="inlineStr"/>
    </row>
    <row r="9667">
      <c r="A9667" t="inlineStr">
        <is>
          <t>i2gzhx</t>
        </is>
      </c>
      <c r="B9667" t="inlineStr">
        <is>
          <t>First glass of wine and burning in chest</t>
        </is>
      </c>
      <c r="C9667" t="inlineStr">
        <is>
          <t>Is that heartburn?!?! It’s high up. I have never experienced that before. I’ve had a break from wine and cut out common triggers (following possible - but unconfirmed - diagnosis of LPR). I’ve never had a burning sensation ever. Had a sip just now and felt burning in my chest, high in my rib cage. So is this the evidence? Is this how reflux feels? And, if so, why would it suddenly happen now? could it be psychosomatic cos I’m starting to learn about reflux? And WHY must it be wine?!</t>
        </is>
      </c>
      <c r="D9667" t="n">
        <v>1</v>
      </c>
      <c r="E9667" t="n">
        <v>7</v>
      </c>
      <c r="F9667">
        <f>HYPERLINK("https://www.reddit.com/r/GERD/comments/i2gzhx/first_glass_of_wine_and_burning_in_chest/")</f>
        <v/>
      </c>
      <c r="G9667" t="inlineStr">
        <is>
          <t>2020-08-02 11:29:37</t>
        </is>
      </c>
      <c r="H9667" t="inlineStr"/>
    </row>
    <row r="9668">
      <c r="A9668" t="inlineStr">
        <is>
          <t>i2hdfx</t>
        </is>
      </c>
      <c r="B9668" t="inlineStr">
        <is>
          <t>ER?</t>
        </is>
      </c>
      <c r="C9668" t="inlineStr">
        <is>
          <t>If I go to the ER what do they do? I’m feeling like I should go to the ER not because the pain but the anxiety and because I’m getting close to killing myself</t>
        </is>
      </c>
      <c r="D9668" t="n">
        <v>1</v>
      </c>
      <c r="E9668" t="n">
        <v>28</v>
      </c>
      <c r="F9668">
        <f>HYPERLINK("https://www.reddit.com/r/GERD/comments/i2hdfx/er/")</f>
        <v/>
      </c>
      <c r="G9668" t="inlineStr">
        <is>
          <t>2020-08-02 11:51:00</t>
        </is>
      </c>
      <c r="H9668" t="inlineStr"/>
    </row>
    <row r="9669">
      <c r="A9669" t="inlineStr">
        <is>
          <t>i2iw1w</t>
        </is>
      </c>
      <c r="B9669" t="inlineStr">
        <is>
          <t>How can I safely and effectively switch from a PPI to an H2 Inhibitor?</t>
        </is>
      </c>
      <c r="C9669" t="inlineStr">
        <is>
          <t>I’ve been taking Omeprazole 40mg for a month now, and a doctor recommended I switch to 20mg Pepcid twice daily. Is it that simple?</t>
        </is>
      </c>
      <c r="D9669" t="n">
        <v>1</v>
      </c>
      <c r="E9669" t="n">
        <v>5</v>
      </c>
      <c r="F9669">
        <f>HYPERLINK("https://www.reddit.com/r/GERD/comments/i2iw1w/how_can_i_safely_and_effectively_switch_from_a/")</f>
        <v/>
      </c>
      <c r="G9669" t="inlineStr">
        <is>
          <t>2020-08-02 13:16:22</t>
        </is>
      </c>
      <c r="H9669" t="inlineStr"/>
    </row>
    <row r="9670">
      <c r="A9670" t="inlineStr">
        <is>
          <t>i2jhfo</t>
        </is>
      </c>
      <c r="B9670" t="inlineStr">
        <is>
          <t>How do you balance fear of esophageal cancer with living your life and eating trigger foods?</t>
        </is>
      </c>
      <c r="C9670" t="inlineStr">
        <is>
          <t>I was told by a doc that I have gerd and they ran a bunch of tests and didn’t find any long term damage as of two years ago at least. 
My gerd seems to come in waves but lately it’s been chronic. It seems that everything that I love is a trigger and I’ll be left eating just steam chicken and broccoli if I follow my diet perfectly. Example I can never have caffeine or alcohol or even the slightest amount of citrus or spice. 
Lately I’ve just been saying screw it and having all of my stuff I like and my body has been laying the price. Then I become super paranoid at the idea of cancer and I get panic attacks. 
So how do you all handle it?</t>
        </is>
      </c>
      <c r="D9670" t="n">
        <v>1</v>
      </c>
      <c r="E9670" t="n">
        <v>12</v>
      </c>
      <c r="F9670">
        <f>HYPERLINK("https://www.reddit.com/r/GERD/comments/i2jhfo/how_do_you_balance_fear_of_esophageal_cancer_with/")</f>
        <v/>
      </c>
      <c r="G9670" t="inlineStr">
        <is>
          <t>2020-08-02 13:50:56</t>
        </is>
      </c>
      <c r="H9670" t="inlineStr"/>
    </row>
    <row r="9671">
      <c r="A9671" t="inlineStr">
        <is>
          <t>i2jxyq</t>
        </is>
      </c>
      <c r="B9671" t="inlineStr">
        <is>
          <t>Are burgers bad or not?</t>
        </is>
      </c>
      <c r="C9671" t="inlineStr">
        <is>
          <t>No heartburn but lots of burps and regurgitation I can’t figure out if it’s a trigger because everything is a trigger!! 🥴</t>
        </is>
      </c>
      <c r="D9671" t="n">
        <v>1</v>
      </c>
      <c r="E9671" t="n">
        <v>3</v>
      </c>
      <c r="F9671">
        <f>HYPERLINK("https://www.reddit.com/r/GERD/comments/i2jxyq/are_burgers_bad_or_not/")</f>
        <v/>
      </c>
      <c r="G9671" t="inlineStr">
        <is>
          <t>2020-08-02 14:17:20</t>
        </is>
      </c>
      <c r="H9671" t="inlineStr"/>
    </row>
    <row r="9672">
      <c r="A9672" t="inlineStr">
        <is>
          <t>i2lqji</t>
        </is>
      </c>
      <c r="B9672" t="inlineStr">
        <is>
          <t>Anyone have a spasm in your abdomen when you bend?</t>
        </is>
      </c>
      <c r="C9672" t="inlineStr">
        <is>
          <t>Sometimes I have spasms (stomach? esophagus? abdomen?) when I’m not doing anything at all, but most of the time it’s when I bend and pressure is put on my abdomen. 
Anyone have this? Wondering if it’s connected to the cause of my GERD. So far doctors have just been treating the symptoms, but not well enough.</t>
        </is>
      </c>
      <c r="D9672" t="n">
        <v>1</v>
      </c>
      <c r="E9672" t="n">
        <v>0</v>
      </c>
      <c r="F9672">
        <f>HYPERLINK("https://www.reddit.com/r/GERD/comments/i2lqji/anyone_have_a_spasm_in_your_abdomen_when_you_bend/")</f>
        <v/>
      </c>
      <c r="G9672" t="inlineStr">
        <is>
          <t>2020-08-02 16:03:26</t>
        </is>
      </c>
      <c r="H9672" t="inlineStr"/>
    </row>
    <row r="9673">
      <c r="A9673" t="inlineStr">
        <is>
          <t>i2m8wv</t>
        </is>
      </c>
      <c r="B9673" t="inlineStr">
        <is>
          <t>worried and need advice</t>
        </is>
      </c>
      <c r="C9673" t="inlineStr">
        <is>
          <t>I've had burning pains in my sternum now for a month.  Right at the lowest point of the sternum/breast bone and on the left side on the breast. The pain migrates back and forth.  I went to a gastro and he prescribed omeprezole and pepcid.  This didn't work.  Then he prescribed dexilant.  That didn't really work either. Now they put me on Sucralfate, which hasn't helped much either.  I have also been trying other things like licorice extract chews, honey and probiotics.  The gastro group doesn't seem to know if this is gerd, an ulcer or something worse. 
They have scheduled an endoscopy the beginning of next week.  I'm just really worried this is cancer.
I think this all started because I was juicing lemons and drinking the juice mixed with some water to help dissolve a kidney stones.  
It is really scary because nothing is working.  I thought heartburn only occurred after eating. Mine seems to be constant.</t>
        </is>
      </c>
      <c r="D9673" t="n">
        <v>1</v>
      </c>
      <c r="E9673" t="n">
        <v>20</v>
      </c>
      <c r="F9673">
        <f>HYPERLINK("https://www.reddit.com/r/GERD/comments/i2m8wv/worried_and_need_advice/")</f>
        <v/>
      </c>
      <c r="G9673" t="inlineStr">
        <is>
          <t>2020-08-02 16:35:21</t>
        </is>
      </c>
      <c r="H9673" t="inlineStr"/>
    </row>
    <row r="9674">
      <c r="A9674" t="inlineStr">
        <is>
          <t>i2mayo</t>
        </is>
      </c>
      <c r="B9674" t="inlineStr">
        <is>
          <t>worried and need advice</t>
        </is>
      </c>
      <c r="C9674" t="inlineStr">
        <is>
          <t xml:space="preserve"> 
I've had burning pains in my sternum now for a month. Right at the lowest point of the sternum/breast bone and on the left side on the breast. The pain migrates back and forth. I went to a gastro and he prescribed omeprezole and pepcid. This didn't work. Then he prescribed dexilant. That didn't really work either. Now they put me on Sucralfate, which hasn't helped much either. I have also been trying other things like licorice extract chews, honey and probiotics. The gastro group doesn't seem to know if this is gerd, an ulcer or something worse.
They have scheduled an endoscopy the beginning of next week. I'm just really worried this is cancer.
I think this all started because I was juicing lemons and drinking the juice mixed with some water to help dissolve a kidney stones.
It is really scary because nothing is working. I thought heartburn only occurred after eating. Mine seems to be constant.</t>
        </is>
      </c>
      <c r="D9674" t="n">
        <v>1</v>
      </c>
      <c r="E9674" t="n">
        <v>0</v>
      </c>
      <c r="F9674">
        <f>HYPERLINK("https://www.reddit.com/r/GERD/comments/i2mayo/worried_and_need_advice/")</f>
        <v/>
      </c>
      <c r="G9674" t="inlineStr">
        <is>
          <t>2020-08-02 16:38:43</t>
        </is>
      </c>
      <c r="H9674" t="inlineStr"/>
    </row>
    <row r="9675">
      <c r="A9675" t="inlineStr">
        <is>
          <t>i2nj6b</t>
        </is>
      </c>
      <c r="B9675" t="inlineStr">
        <is>
          <t>Does anyone get uncomfortably full all day?</t>
        </is>
      </c>
      <c r="C9675" t="inlineStr">
        <is>
          <t>Hey fellow Gerd sufferers. I wanted to know if anyone else feels this uncomfortable full feeling, even when just waking up. It feels like it's right under the center of my rib cage. I also have a hiatial hernia as well. I can't seem to find anything to stop it. I've tried pepto and h2 blockers in case it was my Gerd, but nothing seems to stop it. Does anyone else get this and if so, how do you stop it? Thanks!</t>
        </is>
      </c>
      <c r="D9675" t="n">
        <v>1</v>
      </c>
      <c r="E9675" t="n">
        <v>26</v>
      </c>
      <c r="F9675">
        <f>HYPERLINK("https://www.reddit.com/r/GERD/comments/i2nj6b/does_anyone_get_uncomfortably_full_all_day/")</f>
        <v/>
      </c>
      <c r="G9675" t="inlineStr">
        <is>
          <t>2020-08-02 17:55:21</t>
        </is>
      </c>
      <c r="H9675" t="inlineStr"/>
    </row>
    <row r="9676">
      <c r="A9676" t="inlineStr">
        <is>
          <t>i2nln6</t>
        </is>
      </c>
      <c r="B9676" t="inlineStr">
        <is>
          <t>GERD ultimate remedy ranker</t>
        </is>
      </c>
      <c r="C9676" t="inlineStr">
        <is>
          <t>Hi GERD Subreddit,
I am new to this subreddit, but not new to the pains of GERD on every day life.
I thought it would be fun and maybe even helpful to try to do a google sheet of remedies. We hear all the time about ACV, prilosec, gum, tea, diet, etc.
I've created this Google Sheet here and would like to see what works for everyone and what doesn't.
1) under "remedy" - just put a general title for the remedy (i.e. prilosec, extra watermelon gum, apple cider vineger, probiotics)
2) under "description" - feel free to be more specific (i.e. extra watermelon gum AFTER eating every meal; specific probiotic name)
3) effectiveness - from 0 to 10 rate how well this worked for you. this means feel free to put remedies that didn't work. 0 means literally did nothing or even made it worse. 5 is like "meh, i think it kind of helped but nothing great) and 10 means this was a true game changer and nearly "cured" it
4) feel free to put the symptoms it relieved as everyone has weird GERD symptoms
I'd love to come back and post results to see what helped for everyone! I work as a data analyst so I'd love to post some charts and graphs as well!
 [https://docs.google.com/spreadsheets/d/1yGrGxA9ohyWpM45bY7XRKV5j5ViG\_1lo1OGwMEhbfNo/edit#gid=0](https://docs.google.com/spreadsheets/d/1yGrGxA9ohyWpM45bY7XRKV5j5ViG_1lo1OGwMEhbfNo/edit#gid=0)</t>
        </is>
      </c>
      <c r="D9676" t="n">
        <v>1</v>
      </c>
      <c r="E9676" t="n">
        <v>4</v>
      </c>
      <c r="F9676">
        <f>HYPERLINK("https://www.reddit.com/r/GERD/comments/i2nln6/gerd_ultimate_remedy_ranker/")</f>
        <v/>
      </c>
      <c r="G9676" t="inlineStr">
        <is>
          <t>2020-08-02 17:59:39</t>
        </is>
      </c>
      <c r="H9676" t="inlineStr"/>
    </row>
    <row r="9677">
      <c r="A9677" t="inlineStr">
        <is>
          <t>i2ntsx</t>
        </is>
      </c>
      <c r="B9677" t="inlineStr">
        <is>
          <t>New to this GERD crap</t>
        </is>
      </c>
      <c r="C9677" t="inlineStr">
        <is>
          <t>The pain is damn near impossible to function with. I was prescribed pantoprazole and it’s been 4 days. I feel the same. I’ve just been testing what’s triggering it, which has not been the best decision I’ve made. But I recently stopped coffee, ketchup, and other high acidic things. I have to start eating better and making better food decisions. Any advice would just be so helpful. I’m already tired of the pain and discomfort. Thanks in advance.</t>
        </is>
      </c>
      <c r="D9677" t="n">
        <v>1</v>
      </c>
      <c r="E9677" t="n">
        <v>11</v>
      </c>
      <c r="F9677">
        <f>HYPERLINK("https://www.reddit.com/r/GERD/comments/i2ntsx/new_to_this_gerd_crap/")</f>
        <v/>
      </c>
      <c r="G9677" t="inlineStr">
        <is>
          <t>2020-08-02 18:14:02</t>
        </is>
      </c>
      <c r="H9677" t="inlineStr"/>
    </row>
    <row r="9678">
      <c r="A9678" t="inlineStr">
        <is>
          <t>i2nu66</t>
        </is>
      </c>
      <c r="B9678" t="inlineStr">
        <is>
          <t>Chest and neck pain?</t>
        </is>
      </c>
      <c r="C9678" t="inlineStr">
        <is>
          <t>I've dealt with burning and throbbing pains in my chest before and managed to clear those up with simple omeprazole and pepcid. However, I recently had sharp pains in the right side of my chest, mixed with dull throbs on the front right side of my throat. Went to the ER twice in June for pains that I thought were heart attack symptoms and they said my EKGs showed no signs of clotting or heart problems and after getting me a GI cocktail, they insisted it was probably bad reflux on the verge of GERD.
However, I also deal immensely with anxiety (currently on medication) and it has me freaked the hell out. I never know when it's something more serious than just GERD pains because it seems GERD pains can be VERY versatile in terms of feeling and position. So any slight feeling of pain has me worked up so bad anxiety wise that my breathing gets worse, my heart rate gets quick, and it has me panicked that I may be having a heart attack.
Does anyone have similar pain? And how the hell do you manage to not freak out at any sudden sharp pain in your chest?</t>
        </is>
      </c>
      <c r="D9678" t="n">
        <v>1</v>
      </c>
      <c r="E9678" t="n">
        <v>6</v>
      </c>
      <c r="F9678">
        <f>HYPERLINK("https://www.reddit.com/r/GERD/comments/i2nu66/chest_and_neck_pain/")</f>
        <v/>
      </c>
      <c r="G9678" t="inlineStr">
        <is>
          <t>2020-08-02 18:14:42</t>
        </is>
      </c>
      <c r="H9678" t="inlineStr"/>
    </row>
    <row r="9679">
      <c r="A9679" t="inlineStr">
        <is>
          <t>i2par1</t>
        </is>
      </c>
      <c r="B9679" t="inlineStr">
        <is>
          <t>Blood in saliva?</t>
        </is>
      </c>
      <c r="C9679" t="inlineStr">
        <is>
          <t>Do any of you guys have blood in your saliva when you spit it out. I have GERD but i spit out maybe a little less than a tbs of blood while showering just now. Do any of you guys experience this?</t>
        </is>
      </c>
      <c r="D9679" t="n">
        <v>1</v>
      </c>
      <c r="E9679" t="n">
        <v>3</v>
      </c>
      <c r="F9679">
        <f>HYPERLINK("https://www.reddit.com/r/GERD/comments/i2par1/blood_in_saliva/")</f>
        <v/>
      </c>
      <c r="G9679" t="inlineStr">
        <is>
          <t>2020-08-02 19:53:27</t>
        </is>
      </c>
      <c r="H9679" t="inlineStr"/>
    </row>
    <row r="9680">
      <c r="A9680" t="inlineStr">
        <is>
          <t>i2peb2</t>
        </is>
      </c>
      <c r="B9680" t="inlineStr">
        <is>
          <t>Constant Chest Pressure</t>
        </is>
      </c>
      <c r="C9680" t="inlineStr">
        <is>
          <t>For the past 5 days now I have had a constant pressure on my chest. It changes in intensity from subtle background annoyance to OMG I'm having a heart attack. I went to the ER when it started and was worked up fully from a cardiology perspective and my ticker is doing dandy apparently. I have suffer from GERD for 6 years now and I have noticed it's been worse lately. The doctors wrote my chest pressure of as skeletal muscular pain. I just have this feeling it is connected to my GERD some how. Have any of you ever gone through a period of constant Chest pain/pressure from GERD?</t>
        </is>
      </c>
      <c r="D9680" t="n">
        <v>1</v>
      </c>
      <c r="E9680" t="n">
        <v>1</v>
      </c>
      <c r="F9680">
        <f>HYPERLINK("https://www.reddit.com/r/GERD/comments/i2peb2/constant_chest_pressure/")</f>
        <v/>
      </c>
      <c r="G9680" t="inlineStr">
        <is>
          <t>2020-08-02 20:00:05</t>
        </is>
      </c>
      <c r="H9680" t="inlineStr"/>
    </row>
    <row r="9681">
      <c r="A9681" t="inlineStr">
        <is>
          <t>i2po7j</t>
        </is>
      </c>
      <c r="B9681" t="inlineStr">
        <is>
          <t>Silent Reflux Diet Not Working</t>
        </is>
      </c>
      <c r="C9681" t="inlineStr">
        <is>
          <t>I started having silent reflux symptoms in May. I thought it was allergies, but after 6 weeks, my throat was hurting so bad I had no choice but to go to the doctor. She told me it was acid reflux, prescribed Omeprazole. 
I started taking the meds and limiting all the foods she told me to. My throat got a little better, but after two weeks it came back with a vengence - so painful I couldn't believe it. I read into it and decided I definitely had Silent Reflux.
I started a zero-acid diet - I quit EVERYTHING cold turkey. Because of the nature of this diet, Im eating about 1/2 the calories I'm used to. In the first week, I was constantly tired, massive brain fog, and not feeling great in general. I've since added some things to the diet that help, but it's still difficult to maintain - I passed out at work yesterday because I'm so calorie-deficient and most likely anemic because of this diet.
I allow myself one deviation - a vanilla protein drink made with almond milk - in an attempt to get some more protein in and help me at work. 
I've been on this diet for 3 weeks, and I still feel a mild burning sensation in the back of my throat. I'm worried that it's not working. I know it takes time but I'm so scared that I'm going to get to the end of the 8 weeks and still not be able to eat anything without intense pain. Is this normal at this stage? I don't feel acid reflux directly after the vanilla protein drink and I tried to Google whether or not I could have it, and I didn't find anything that said no so Ive been drinking one a day for about a week. Is this ruining my progress? 
I'm losing weight when I'm already pretty thin. I'm a singer, and silent reflux has taken that away from me for the last two and a half months after doing damage to my vocal cords - I just want to know that it'll be worth it at the end of this stupid diet. 
Any advice or encouragement is very welcome and appreciated!</t>
        </is>
      </c>
      <c r="D9681" t="n">
        <v>1</v>
      </c>
      <c r="E9681" t="n">
        <v>3</v>
      </c>
      <c r="F9681">
        <f>HYPERLINK("https://www.reddit.com/r/GERD/comments/i2po7j/silent_reflux_diet_not_working/")</f>
        <v/>
      </c>
      <c r="G9681" t="inlineStr">
        <is>
          <t>2020-08-02 20:19:18</t>
        </is>
      </c>
      <c r="H9681" t="inlineStr"/>
    </row>
    <row r="9682">
      <c r="A9682" t="inlineStr">
        <is>
          <t>i2pqih</t>
        </is>
      </c>
      <c r="B9682" t="inlineStr">
        <is>
          <t>Confused about my GERD</t>
        </is>
      </c>
      <c r="C9682" t="inlineStr">
        <is>
          <t>Hey all! I’m 21 (M) who developed GERD back in December. I’m not nor was I overweight or unhealthy by any means but I was severely stressed which I personally think played a role In developing GERD. I was on PPIs for about 2 months, saw a gastro and had an endoscopy in June. My GI told me he found absolutely nothing wrong or out of the ordinary. My esophagus was perfect with no kind of inflammation. Which confuses me because if everything is Perfect and nothing is wrong how do I have GERD? My doctor said it was possible to have GERD with nothing physically being wrong with me but that just left me confused. Any opinion or comment would be much appreciated!</t>
        </is>
      </c>
      <c r="D9682" t="n">
        <v>1</v>
      </c>
      <c r="E9682" t="n">
        <v>1</v>
      </c>
      <c r="F9682">
        <f>HYPERLINK("https://www.reddit.com/r/GERD/comments/i2pqih/confused_about_my_gerd/")</f>
        <v/>
      </c>
      <c r="G9682" t="inlineStr">
        <is>
          <t>2020-08-02 20:23:47</t>
        </is>
      </c>
      <c r="H9682" t="inlineStr"/>
    </row>
    <row r="9683">
      <c r="A9683" t="inlineStr">
        <is>
          <t>i2pxlc</t>
        </is>
      </c>
      <c r="B9683" t="inlineStr">
        <is>
          <t>Heat intolerance</t>
        </is>
      </c>
      <c r="C9683" t="inlineStr">
        <is>
          <t>Hi everyone,
So I'm doing one last drug trial with 60mg dexilant before we start talking about surgery (no hiatal hernia). I had been on omeprazole for 5 months now, 40mg for 3 months with 40mg of pepcid, then 40mg omeprazole twice a day for the last 2 months. I just switched to dexilant one week ago and the past 4 days or so have not been good. 
I get lightheaded and nauseous with shortness of breath. But the heat makes it about 100x worse. I had to take one dose of pepcid tonight which really helped.
Am I have withdrawl symptoms from omeprazole? Should I tough it out a little longer or throw in the towel? 
Does anyone else with reflux have really bad heat intolerance?
And honestly, I'm no stranger to surgery, I'm ready for it.</t>
        </is>
      </c>
      <c r="D9683" t="n">
        <v>1</v>
      </c>
      <c r="E9683" t="n">
        <v>3</v>
      </c>
      <c r="F9683">
        <f>HYPERLINK("https://www.reddit.com/r/GERD/comments/i2pxlc/heat_intolerance/")</f>
        <v/>
      </c>
      <c r="G9683" t="inlineStr">
        <is>
          <t>2020-08-02 20:37:45</t>
        </is>
      </c>
      <c r="H9683" t="inlineStr"/>
    </row>
    <row r="9684">
      <c r="A9684" t="inlineStr">
        <is>
          <t>i2qgfn</t>
        </is>
      </c>
      <c r="B9684" t="inlineStr">
        <is>
          <t>Heart races when drinking alcohol? GERD the cause?</t>
        </is>
      </c>
      <c r="C9684" t="inlineStr">
        <is>
          <t>I had two mimosas today at brunch, and while sitting just eating and talking, I started to feel my heart beating faster, I had my Apple Watch on and it read 150!! Of course I stopped and didn’t take no more mimosas, later I got a notification from my watch that my heart was above 100 for 10 minutes and I was inactive. Now it’s on the 80s hours after I stopped drinking. I’ve had this happened before where I feel my heart pounding but hadn’t had my watch on. Also I’ve drink way more back then in my 20’s with no issues. Now 31. Gerd issues started 6 years ago. 
I’ve been to see a cardiologist due to other health problems (stomach issues, gerd/gastritis) and been told my heart it’s fine. Last time I saw the cardiologist I had a stress test and wore a holster monitor for two days, everything came back normal, this was this year in February. I went to see the cardiologist because when I eat it seems to give me heart palpitations but not this high, maybe in the 90’s but not above 100. 
Anyone else have experience this? It seems like I can’t drink anymore? Which it would be ok, but I do enjoy a mimosa or margarita here and there. Again it was only two mimosas, which I don’t think it was much since I’ve drink way more before.</t>
        </is>
      </c>
      <c r="D9684" t="n">
        <v>1</v>
      </c>
      <c r="E9684" t="n">
        <v>34</v>
      </c>
      <c r="F9684">
        <f>HYPERLINK("https://www.reddit.com/r/GERD/comments/i2qgfn/heart_races_when_drinking_alcohol_gerd_the_cause/")</f>
        <v/>
      </c>
      <c r="G9684" t="inlineStr">
        <is>
          <t>2020-08-02 21:16:01</t>
        </is>
      </c>
      <c r="H9684" t="inlineStr"/>
    </row>
    <row r="9685">
      <c r="A9685" t="inlineStr">
        <is>
          <t>i2qjy8</t>
        </is>
      </c>
      <c r="B9685" t="inlineStr">
        <is>
          <t>Is my weight gain due to GERD?</t>
        </is>
      </c>
      <c r="C9685" t="inlineStr">
        <is>
          <t>I have GERD since 2 years ago, I often feel bloated after every meal, and in the past two years I've felt my chest burn twice. Since I had GERD 2 years ago, my weight suddenly rose, whereas before I was a slim guy, even my body weight is below average, is my weight gain due to GERD?</t>
        </is>
      </c>
      <c r="D9685" t="n">
        <v>1</v>
      </c>
      <c r="E9685" t="n">
        <v>6</v>
      </c>
      <c r="F9685">
        <f>HYPERLINK("https://www.reddit.com/r/GERD/comments/i2qjy8/is_my_weight_gain_due_to_gerd/")</f>
        <v/>
      </c>
      <c r="G9685" t="inlineStr">
        <is>
          <t>2020-08-02 21:23:33</t>
        </is>
      </c>
      <c r="H9685" t="inlineStr"/>
    </row>
    <row r="9686">
      <c r="A9686" t="inlineStr">
        <is>
          <t>i2rgvr</t>
        </is>
      </c>
      <c r="B9686" t="inlineStr">
        <is>
          <t>Silent Reflux and Voice Hoarseness</t>
        </is>
      </c>
      <c r="C9686" t="inlineStr">
        <is>
          <t>Ive been dealing with chronic voice hoarseness for the last almost 2 months.
Went to an ENT and a GI, ENTs treament didnt do anything so she suggested i may have reflux, went to a GI and im currently on the 4th day of treatment.
However, i have none of the common symptoms of reflux.
Even with silent reflux it seems i should have at least experienced cough,  post nasal drip, soreness or burning sensation, which i have not.
Other than the hoarse voice i feel completely fine.
Anyone here has experienced reflux with no symptoms at all?</t>
        </is>
      </c>
      <c r="D9686" t="n">
        <v>1</v>
      </c>
      <c r="E9686" t="n">
        <v>14</v>
      </c>
      <c r="F9686">
        <f>HYPERLINK("https://www.reddit.com/r/GERD/comments/i2rgvr/silent_reflux_and_voice_hoarseness/")</f>
        <v/>
      </c>
      <c r="G9686" t="inlineStr">
        <is>
          <t>2020-08-02 22:36:01</t>
        </is>
      </c>
      <c r="H9686" t="inlineStr"/>
    </row>
    <row r="9687">
      <c r="A9687" t="inlineStr">
        <is>
          <t>i2s82k</t>
        </is>
      </c>
      <c r="B9687" t="inlineStr">
        <is>
          <t>Is this possibly GERD/LPR? Because it sucks</t>
        </is>
      </c>
      <c r="C9687" t="inlineStr">
        <is>
          <t>I'm 23, active, healthy weight, non smoker and don't drink alcohol.
For the past 4 or so months my throat has mostly constantly felt tight, like something is pressing on it. It would occasionally go away and then come back again. I've also had varying symptoms like chest pains, burning in throat and chest, pressure in chest, coughing, hoarseness, sore throat, lots of throat clearing because it felt like mucus was stuck, lots of swallowing and burping (and often I felt the pressure of needing to burp but had trouble burping), trouble swallowing, neck and jaw pain (although those are probably TMJ related), nausea, and wet burps/regurgitation.
Most of these symptoms came and went, with the exception of the tight throat which was present most of the time. Now recently I've also started to feel like the throat tightness is gagging me or making me feel nauseous and so for the last couple days I've constantly been feeling like I'm about to vomit (but haven't yet). 
Does this all sound GERD/LPR related?
Also, the throat tightness and nausea does not seem to happen at specific times or have any specific triggers, but usually when I eat the throat tightness and nausea tend to go away until I'm done eating.</t>
        </is>
      </c>
      <c r="D9687" t="n">
        <v>1</v>
      </c>
      <c r="E9687" t="n">
        <v>6</v>
      </c>
      <c r="F9687">
        <f>HYPERLINK("https://www.reddit.com/r/GERD/comments/i2s82k/is_this_possibly_gerdlpr_because_it_sucks/")</f>
        <v/>
      </c>
      <c r="G9687" t="inlineStr">
        <is>
          <t>2020-08-02 23:42:54</t>
        </is>
      </c>
      <c r="H9687" t="inlineStr"/>
    </row>
    <row r="9688">
      <c r="A9688" t="inlineStr">
        <is>
          <t>i2u0ay</t>
        </is>
      </c>
      <c r="B9688" t="inlineStr">
        <is>
          <t>Suggest any quick relief</t>
        </is>
      </c>
      <c r="C9688" t="inlineStr">
        <is>
          <t>This week, my lpr has been really bad. I was wondering if you guys have any suggestions for quick relief.</t>
        </is>
      </c>
      <c r="D9688" t="n">
        <v>1</v>
      </c>
      <c r="E9688" t="n">
        <v>2</v>
      </c>
      <c r="F9688">
        <f>HYPERLINK("https://www.reddit.com/r/GERD/comments/i2u0ay/suggest_any_quick_relief/")</f>
        <v/>
      </c>
      <c r="G9688" t="inlineStr">
        <is>
          <t>2020-08-03 02:30:12</t>
        </is>
      </c>
      <c r="H9688" t="inlineStr"/>
    </row>
    <row r="9689">
      <c r="A9689" t="inlineStr">
        <is>
          <t>i2u80v</t>
        </is>
      </c>
      <c r="B9689" t="inlineStr">
        <is>
          <t>Baking soda, gaviscon - pantoprazol</t>
        </is>
      </c>
      <c r="C9689" t="inlineStr">
        <is>
          <t>Can I use baking soda water or gaviscon advance while taking pantoprazol? Any experiences?</t>
        </is>
      </c>
      <c r="D9689" t="n">
        <v>1</v>
      </c>
      <c r="E9689" t="n">
        <v>5</v>
      </c>
      <c r="F9689">
        <f>HYPERLINK("https://www.reddit.com/r/GERD/comments/i2u80v/baking_soda_gaviscon_pantoprazol/")</f>
        <v/>
      </c>
      <c r="G9689" t="inlineStr">
        <is>
          <t>2020-08-03 02:49:48</t>
        </is>
      </c>
      <c r="H9689" t="inlineStr"/>
    </row>
    <row r="9690">
      <c r="A9690" t="inlineStr">
        <is>
          <t>i2v058</t>
        </is>
      </c>
      <c r="B9690" t="inlineStr">
        <is>
          <t>Heartburn for a few days, which OTC med?</t>
        </is>
      </c>
      <c r="C9690" t="inlineStr">
        <is>
          <t>I have been taking Tums and it works for like 5 minutes and then comes right back. Going to Walmart tomorrow, which OTC should I get? It seems like there are several options. Leaning toward Pepcid and if that doesn't work short-term Omeprazole. Really trying to avoid a doctor visit. My normal diet has basically all the foods that are worst for it so I'm going to try cutting that stuff out for a while too.</t>
        </is>
      </c>
      <c r="D9690" t="n">
        <v>1</v>
      </c>
      <c r="E9690" t="n">
        <v>6</v>
      </c>
      <c r="F9690">
        <f>HYPERLINK("https://www.reddit.com/r/GERD/comments/i2v058/heartburn_for_a_few_days_which_otc_med/")</f>
        <v/>
      </c>
      <c r="G9690" t="inlineStr">
        <is>
          <t>2020-08-03 04:00:00</t>
        </is>
      </c>
      <c r="H9690" t="inlineStr"/>
    </row>
    <row r="9691">
      <c r="A9691" t="inlineStr">
        <is>
          <t>i2v8vv</t>
        </is>
      </c>
      <c r="B9691" t="inlineStr">
        <is>
          <t>Endoscopy on Wednesday. A bit nervous.</t>
        </is>
      </c>
      <c r="C9691" t="inlineStr">
        <is>
          <t>I’d love to hear your positive experiences thank you haha</t>
        </is>
      </c>
      <c r="D9691" t="n">
        <v>1</v>
      </c>
      <c r="E9691" t="n">
        <v>11</v>
      </c>
      <c r="F9691">
        <f>HYPERLINK("https://www.reddit.com/r/GERD/comments/i2v8vv/endoscopy_on_wednesday_a_bit_nervous/")</f>
        <v/>
      </c>
      <c r="G9691" t="inlineStr">
        <is>
          <t>2020-08-03 04:20:17</t>
        </is>
      </c>
      <c r="H9691" t="inlineStr"/>
    </row>
    <row r="9692">
      <c r="A9692" t="inlineStr">
        <is>
          <t>i2vkm7</t>
        </is>
      </c>
      <c r="B9692" t="inlineStr">
        <is>
          <t>I have a question regarding LPR (silent reflux) and endoscopy</t>
        </is>
      </c>
      <c r="C9692" t="inlineStr">
        <is>
          <t>Apologies for the essay, please bear with me. I have been suffering with digestion, a sore throat, coughing, and sinus issues (including post nasal drip) for as long as I can remember. I have been an ENT patient during this time and for some reason the penny has finally dropped with them that I might have LPR (silent reflux), and this may be the starting point of all my horrible symptoms. I have been on a very strict low acid diet for a few days now along with a high dose of PPI, as long as making some lifestyle changes, and I can feel a very minor improvement. I am due to have an endoscopy on my throat area with ENT roughly 2 weeks from today to see if it is acid reflux that’s causing the irritation. My question is this - If I keep up my strict low acid diet for another 2 weeks, is the problem possibly going to reduce enough to the point where I won’t get an accurate diagnosis when they do the endoscopy? If it is LPR I want it confirmed for sure, and would therefore rather suffer for another 2 weeks if it means getting an accurate diagnosis. Hopefully that all makes sense. Thanks.</t>
        </is>
      </c>
      <c r="D9692" t="n">
        <v>1</v>
      </c>
      <c r="E9692" t="n">
        <v>3</v>
      </c>
      <c r="F9692">
        <f>HYPERLINK("https://www.reddit.com/r/GERD/comments/i2vkm7/i_have_a_question_regarding_lpr_silent_reflux_and/")</f>
        <v/>
      </c>
      <c r="G9692" t="inlineStr">
        <is>
          <t>2020-08-03 04:45:43</t>
        </is>
      </c>
      <c r="H9692" t="inlineStr"/>
    </row>
    <row r="9693">
      <c r="A9693" t="inlineStr">
        <is>
          <t>i2y8vx</t>
        </is>
      </c>
      <c r="B9693" t="inlineStr">
        <is>
          <t>Noises in chest</t>
        </is>
      </c>
      <c r="C9693" t="inlineStr">
        <is>
          <t>Does anyone else get noises in the chest? Like it really doesn’t feel like it’s in the stomach but it feels like gas bubbles and bowel noises but in the middle and left side of my chest. A lot of moving around of air or something.</t>
        </is>
      </c>
      <c r="D9693" t="n">
        <v>1</v>
      </c>
      <c r="E9693" t="n">
        <v>4</v>
      </c>
      <c r="F9693">
        <f>HYPERLINK("https://www.reddit.com/r/GERD/comments/i2y8vx/noises_in_chest/")</f>
        <v/>
      </c>
      <c r="G9693" t="inlineStr">
        <is>
          <t>2020-08-03 07:43:29</t>
        </is>
      </c>
      <c r="H9693" t="inlineStr"/>
    </row>
    <row r="9694">
      <c r="A9694" t="inlineStr">
        <is>
          <t>i2z6ud</t>
        </is>
      </c>
      <c r="B9694" t="inlineStr">
        <is>
          <t>Wierd feeling of warm liquid in esophagus, anyone else?</t>
        </is>
      </c>
      <c r="C9694" t="inlineStr">
        <is>
          <t>I have LRP/sometimes feels like GERD. After meals, 1-2 hours later I get a warmth feeling in my throat and then it feels like my whole esophagus is filled with warm liquid up to the bottom of my throat. Kinda makes me feel like I'm under water. Anyone else ?</t>
        </is>
      </c>
      <c r="D9694" t="n">
        <v>1</v>
      </c>
      <c r="E9694" t="n">
        <v>4</v>
      </c>
      <c r="F9694">
        <f>HYPERLINK("https://www.reddit.com/r/GERD/comments/i2z6ud/wierd_feeling_of_warm_liquid_in_esophagus_anyone/")</f>
        <v/>
      </c>
      <c r="G9694" t="inlineStr">
        <is>
          <t>2020-08-03 08:36:08</t>
        </is>
      </c>
      <c r="H9694" t="inlineStr"/>
    </row>
    <row r="9695">
      <c r="A9695" t="inlineStr">
        <is>
          <t>i2zi6s</t>
        </is>
      </c>
      <c r="B9695" t="inlineStr">
        <is>
          <t>Throw up when eating something too spicy?</t>
        </is>
      </c>
      <c r="C9695" t="inlineStr">
        <is>
          <t>Happened 2nd time now, wife made something bit too spicy and I threw up about 15minutes later then sick all day with burning stomach. Other time it happened when I ordered medium chicken curry and it was really spicy medium. Does this happen to anyone else?</t>
        </is>
      </c>
      <c r="D9695" t="n">
        <v>1</v>
      </c>
      <c r="E9695" t="n">
        <v>2</v>
      </c>
      <c r="F9695">
        <f>HYPERLINK("https://www.reddit.com/r/GERD/comments/i2zi6s/throw_up_when_eating_something_too_spicy/")</f>
        <v/>
      </c>
      <c r="G9695" t="inlineStr">
        <is>
          <t>2020-08-03 08:53:35</t>
        </is>
      </c>
      <c r="H9695" t="inlineStr"/>
    </row>
    <row r="9696">
      <c r="A9696" t="inlineStr">
        <is>
          <t>i2zlu3</t>
        </is>
      </c>
      <c r="B9696" t="inlineStr">
        <is>
          <t>Stomach Pains/Cramps on Omeprazole?</t>
        </is>
      </c>
      <c r="C9696" t="inlineStr">
        <is>
          <t>Started 40mg a day treatment 3 days ago. I have mild but fairly consistent random pains in my abdomen (different locations). Is this normal? Should I stop treatment?</t>
        </is>
      </c>
      <c r="D9696" t="n">
        <v>1</v>
      </c>
      <c r="E9696" t="n">
        <v>7</v>
      </c>
      <c r="F9696">
        <f>HYPERLINK("https://www.reddit.com/r/GERD/comments/i2zlu3/stomach_painscramps_on_omeprazole/")</f>
        <v/>
      </c>
      <c r="G9696" t="inlineStr">
        <is>
          <t>2020-08-03 08:59:17</t>
        </is>
      </c>
      <c r="H9696" t="inlineStr"/>
    </row>
    <row r="9697">
      <c r="A9697" t="inlineStr">
        <is>
          <t>i2zn1n</t>
        </is>
      </c>
      <c r="B9697" t="inlineStr">
        <is>
          <t>Bread</t>
        </is>
      </c>
      <c r="C9697" t="inlineStr">
        <is>
          <t>I was hoping someone could give me some tips on safe breads...sliced bread, hamburger rolls, dinner rolls, etc. I miss toast and can’t find bread that doesn’t bother me. I did find a sourdough roll that didn’t bother me last night with my turkey burger but I really miss toast.  I tried gf bread and it was vile. Thanks!</t>
        </is>
      </c>
      <c r="D9697" t="n">
        <v>1</v>
      </c>
      <c r="E9697" t="n">
        <v>7</v>
      </c>
      <c r="F9697">
        <f>HYPERLINK("https://www.reddit.com/r/GERD/comments/i2zn1n/bread/")</f>
        <v/>
      </c>
      <c r="G9697" t="inlineStr">
        <is>
          <t>2020-08-03 09:00:57</t>
        </is>
      </c>
      <c r="H9697" t="inlineStr"/>
    </row>
    <row r="9698">
      <c r="A9698" t="inlineStr">
        <is>
          <t>i2zp95</t>
        </is>
      </c>
      <c r="B9698" t="inlineStr">
        <is>
          <t>Dexilant and Diarrhea</t>
        </is>
      </c>
      <c r="C9698" t="inlineStr">
        <is>
          <t>Anyone experience this? It’s listed as a side effect but uncommon. I think it’s happening to me since I switched to a higher dose.</t>
        </is>
      </c>
      <c r="D9698" t="n">
        <v>1</v>
      </c>
      <c r="E9698" t="n">
        <v>0</v>
      </c>
      <c r="F9698">
        <f>HYPERLINK("https://www.reddit.com/r/GERD/comments/i2zp95/dexilant_and_diarrhea/")</f>
        <v/>
      </c>
      <c r="G9698" t="inlineStr">
        <is>
          <t>2020-08-03 09:04:12</t>
        </is>
      </c>
      <c r="H9698" t="inlineStr"/>
    </row>
    <row r="9699">
      <c r="A9699" t="inlineStr">
        <is>
          <t>i300ke</t>
        </is>
      </c>
      <c r="B9699" t="inlineStr">
        <is>
          <t>Tight throat</t>
        </is>
      </c>
      <c r="C9699" t="inlineStr">
        <is>
          <t>Does anyone else experience the feeling that someone is holding your throat or is jabbing their finger into your throat? I have GERD and this is how it seems to be presenting itself recently! Always seems to happen a few hours after eating.</t>
        </is>
      </c>
      <c r="D9699" t="n">
        <v>1</v>
      </c>
      <c r="E9699" t="n">
        <v>21</v>
      </c>
      <c r="F9699">
        <f>HYPERLINK("https://www.reddit.com/r/GERD/comments/i300ke/tight_throat/")</f>
        <v/>
      </c>
      <c r="G9699" t="inlineStr">
        <is>
          <t>2020-08-03 09:21:12</t>
        </is>
      </c>
      <c r="H9699" t="inlineStr"/>
    </row>
    <row r="9700">
      <c r="A9700" t="inlineStr">
        <is>
          <t>i30x5e</t>
        </is>
      </c>
      <c r="B9700" t="inlineStr">
        <is>
          <t>Lump in throat caused by...water?!</t>
        </is>
      </c>
      <c r="C9700" t="inlineStr">
        <is>
          <t>Sorry, I’m posting a lot on this board at the moment as I’m experiencing all of this for the first time. It’s helping me learn a lot! Anyway, I have not been bothered by the lump in the throat feeling all day. Just now, I drank some water - and it’s come back! I felt the water almost sitting where the lump is (like the coolness of the water could be felt there) and now the feeling is back. I mean, water isn’t food. Nothing I’ve eaten today has caused a feeling in my throat. Has anybody else experienced this? Why would water exacerbate the globus feeling?</t>
        </is>
      </c>
      <c r="D9700" t="n">
        <v>1</v>
      </c>
      <c r="E9700" t="n">
        <v>7</v>
      </c>
      <c r="F9700">
        <f>HYPERLINK("https://www.reddit.com/r/GERD/comments/i30x5e/lump_in_throat_caused_bywater/")</f>
        <v/>
      </c>
      <c r="G9700" t="inlineStr">
        <is>
          <t>2020-08-03 10:07:40</t>
        </is>
      </c>
      <c r="H9700" t="inlineStr"/>
    </row>
    <row r="9701">
      <c r="A9701" t="inlineStr">
        <is>
          <t>i338mf</t>
        </is>
      </c>
      <c r="B9701" t="inlineStr">
        <is>
          <t>Fearless Health Podcast - Histamines &amp;amp; Other Causes of Digestive Upset ...</t>
        </is>
      </c>
      <c r="C9701" t="inlineStr">
        <is>
          <t>This interview was focused on histamine, but we ended up talking a lot about GERD if anyone is interested.</t>
        </is>
      </c>
      <c r="D9701" t="n">
        <v>1</v>
      </c>
      <c r="E9701" t="n">
        <v>0</v>
      </c>
      <c r="F9701">
        <f>HYPERLINK("https://www.reddit.com/r/GERD/comments/i338mf/fearless_health_podcast_histamines_other_causes/")</f>
        <v/>
      </c>
      <c r="G9701" t="inlineStr">
        <is>
          <t>2020-08-03 12:04:41</t>
        </is>
      </c>
      <c r="H9701" t="inlineStr"/>
    </row>
    <row r="9702">
      <c r="A9702" t="inlineStr">
        <is>
          <t>i33f55</t>
        </is>
      </c>
      <c r="B9702" t="inlineStr">
        <is>
          <t>Upper Right Back Pain &amp;amp; Shoulder Ache - Anyone have this?</t>
        </is>
      </c>
      <c r="C9702" t="inlineStr">
        <is>
          <t>Hey! I’m pretty sure I have LPR (still waiting for formal diagnosis). 
I’ve had flares where the middle / right side feels swollen, or have had globus sensation and extreme throat weakness / tightness. Usually this gets relieved by an acid blocked. 
I’ve constantly dealt with my upper right back / right shoulder area being tight sometimes burning. 
Has anyone else experienced this? If so, how did you deal with it?</t>
        </is>
      </c>
      <c r="D9702" t="n">
        <v>1</v>
      </c>
      <c r="E9702" t="n">
        <v>3</v>
      </c>
      <c r="F9702">
        <f>HYPERLINK("https://www.reddit.com/r/GERD/comments/i33f55/upper_right_back_pain_shoulder_ache_anyone_have/")</f>
        <v/>
      </c>
      <c r="G9702" t="inlineStr">
        <is>
          <t>2020-08-03 12:13:53</t>
        </is>
      </c>
      <c r="H9702" t="inlineStr"/>
    </row>
    <row r="9703">
      <c r="A9703" t="inlineStr">
        <is>
          <t>i34ejg</t>
        </is>
      </c>
      <c r="B9703" t="inlineStr">
        <is>
          <t>Sore lymph glands from GERD and LPR?</t>
        </is>
      </c>
      <c r="C9703" t="inlineStr">
        <is>
          <t>Can GERD / LPR cause sore lymph nodes?
I've had GERD for a number of years and take a daily PPI.  I had my gallbladder removed 10 months ago which has thrown bile reflux into the mix. 
Recently I went through something of a flare up although I think it's now under control. As a result my voice is slightly husky and my throat, when it was at its worst, got tight. 
However I now have something that I've never had before: the lymph nodes right under my neck feel swollen and painful. I can "feel" them, as such.
Have an appointment with my primary booked for Thursday but would be curious to know from other GERD/LPR sufferers if this is something that the condition can cause ... it's the most obvious connection I can think of.</t>
        </is>
      </c>
      <c r="D9703" t="n">
        <v>1</v>
      </c>
      <c r="E9703" t="n">
        <v>2</v>
      </c>
      <c r="F9703">
        <f>HYPERLINK("https://www.reddit.com/r/GERD/comments/i34ejg/sore_lymph_glands_from_gerd_and_lpr/")</f>
        <v/>
      </c>
      <c r="G9703" t="inlineStr">
        <is>
          <t>2020-08-03 13:04:39</t>
        </is>
      </c>
      <c r="H9703" t="inlineStr"/>
    </row>
    <row r="9704">
      <c r="A9704" t="inlineStr">
        <is>
          <t>i34vi4</t>
        </is>
      </c>
      <c r="B9704" t="inlineStr">
        <is>
          <t>does rebound happen if i take PPI for 7 days?</t>
        </is>
      </c>
      <c r="C9704" t="inlineStr">
        <is>
          <t>anyone experience this before?</t>
        </is>
      </c>
      <c r="D9704" t="n">
        <v>1</v>
      </c>
      <c r="E9704" t="n">
        <v>2</v>
      </c>
      <c r="F9704">
        <f>HYPERLINK("https://www.reddit.com/r/GERD/comments/i34vi4/does_rebound_happen_if_i_take_ppi_for_7_days/")</f>
        <v/>
      </c>
      <c r="G9704" t="inlineStr">
        <is>
          <t>2020-08-03 13:28:20</t>
        </is>
      </c>
      <c r="H9704" t="inlineStr"/>
    </row>
    <row r="9705">
      <c r="A9705" t="inlineStr">
        <is>
          <t>i357wi</t>
        </is>
      </c>
      <c r="B9705" t="inlineStr">
        <is>
          <t>Trying to figure it out</t>
        </is>
      </c>
      <c r="C9705" t="inlineStr">
        <is>
          <t>Hi there! I’m 23 and trying to learn what makes my Acid reflux worse or not! I’ve had it since I was about 9. It went away in high school I now realize that back then I was eating one large meals by splitting it up  per class period. So one snack per class period. I never had acid reflux and if I did it was related to being lactose intolerant and it was an easy fix. I utilized  the same fix at the beginning of college. When I graduated the problem increased extremely! I related it to stress and poor eating habits. I changed my eating habits but the problem was still there but I still ate what I like on special occasion and never felt worried about it, in fact I would say it was as under control as it could get.  Now I am having extreme acid reflux daily which is  causing me weight  loss. I can only eat about half of my meals and cannot sleep through the night. I understand the world is under a lot of stress and I started a new post graduate job. Now I am experiencing lip tingling and swelling in my face. I have a doctor’s appointment and an upcoming allergist appointment. But I wanted to ask have you guys had good  reactions to food one day and the next day had a horrible reaction to the same food? In example I realized that as a sweet treat pop tarts don’t bother me so I had one yesterday. Today I did the same thing and now I have extreme stomach pain and my face felt like it is swelling. I took a Benadryl because I felt like I was having a minor  allergic reaction. Any ideas what’s going on? My quality of life has decreased extremely. However just three weeks ago I was celebrating my anniversary with my BF and we ate at a tapas restaurant and I had no problems at all just the classic acid reflux that’s slightly bothersome. And I had dairy and alchohol. How is it suddenly worse one day then good then worse again?</t>
        </is>
      </c>
      <c r="D9705" t="n">
        <v>1</v>
      </c>
      <c r="E9705" t="n">
        <v>3</v>
      </c>
      <c r="F9705">
        <f>HYPERLINK("https://www.reddit.com/r/GERD/comments/i357wi/trying_to_figure_it_out/")</f>
        <v/>
      </c>
      <c r="G9705" t="inlineStr">
        <is>
          <t>2020-08-03 13:46:02</t>
        </is>
      </c>
      <c r="H9705" t="inlineStr"/>
    </row>
    <row r="9706">
      <c r="A9706" t="inlineStr">
        <is>
          <t>i35t1q</t>
        </is>
      </c>
      <c r="B9706" t="inlineStr">
        <is>
          <t>Low fat cheese</t>
        </is>
      </c>
      <c r="C9706" t="inlineStr">
        <is>
          <t>Can i eat cheese if it’s low fat?</t>
        </is>
      </c>
      <c r="D9706" t="n">
        <v>1</v>
      </c>
      <c r="E9706" t="n">
        <v>4</v>
      </c>
      <c r="F9706">
        <f>HYPERLINK("https://www.reddit.com/r/GERD/comments/i35t1q/low_fat_cheese/")</f>
        <v/>
      </c>
      <c r="G9706" t="inlineStr">
        <is>
          <t>2020-08-03 14:16:53</t>
        </is>
      </c>
      <c r="H9706" t="inlineStr"/>
    </row>
    <row r="9707">
      <c r="A9707" t="inlineStr">
        <is>
          <t>i377g2</t>
        </is>
      </c>
      <c r="B9707" t="inlineStr">
        <is>
          <t>Does your chest tightness happen during a meal or hours after?</t>
        </is>
      </c>
      <c r="C9707" t="inlineStr">
        <is>
          <t>I recently found out I have acid reflux and I’ve had some bad anxiety about it. I’ve been barely eating and when I do eat, it’s very small and I eat really slowly. But, today, I was eating Mac and cheese and I was getting chest tightness about 2-3 bites in. Same thing happened with hard boiled eggs. I think it’s anxiety but apparently it’s a common symptom of GERD. It also goes away about 20 minutes after I’ve stopped eating.</t>
        </is>
      </c>
      <c r="D9707" t="n">
        <v>1</v>
      </c>
      <c r="E9707" t="n">
        <v>0</v>
      </c>
      <c r="F9707">
        <f>HYPERLINK("https://www.reddit.com/r/GERD/comments/i377g2/does_your_chest_tightness_happen_during_a_meal_or/")</f>
        <v/>
      </c>
      <c r="G9707" t="inlineStr">
        <is>
          <t>2020-08-03 15:32:29</t>
        </is>
      </c>
      <c r="H9707" t="inlineStr"/>
    </row>
    <row r="9708">
      <c r="A9708" t="inlineStr">
        <is>
          <t>i37msi</t>
        </is>
      </c>
      <c r="B9708" t="inlineStr">
        <is>
          <t>Had My Endoscopy Earlier Today</t>
        </is>
      </c>
      <c r="C9708" t="inlineStr">
        <is>
          <t>Hey guys, I just wanna share my experience about my endoscopy earlier today. I read these posts all of the time because I was extremely (extremely!!) nervous about mine, but it went completely smooth! For clearance I am located in Brazil and had the exam done at a private clinic.
I had it scheduled at 10:45 and I was called at 10:40. I went into a room, they just asked me to take my jacket off and the nurse checked for my vitals, my heart rate was probably over 100 at this point because I got so nervous. The doctor was very nice and told me that it was completely safe etc. The doctor told me she was looking for a vein and that I was going to get sleepy pretty soon (I don't know what medicine they used). She then asked why I was sent to get an endoscopy but I can't tell if I finished answering because right after I blacked out completely. The nurse woke me up at 11:10 and she helped me get to my dad who drove me home. 
I don't have any results yet, asked the doctor to tell me afterwards but she said I was probably going to forget it and I think this is exactly what happened because I have a vague memory of her saying that everything was fine. This was probably the best test I've ever had and I still got to take a very pleasing nap after it.</t>
        </is>
      </c>
      <c r="D9708" t="n">
        <v>1</v>
      </c>
      <c r="E9708" t="n">
        <v>5</v>
      </c>
      <c r="F9708">
        <f>HYPERLINK("https://www.reddit.com/r/GERD/comments/i37msi/had_my_endoscopy_earlier_today/")</f>
        <v/>
      </c>
      <c r="G9708" t="inlineStr">
        <is>
          <t>2020-08-03 15:56:55</t>
        </is>
      </c>
      <c r="H9708" t="inlineStr"/>
    </row>
    <row r="9709">
      <c r="A9709" t="inlineStr">
        <is>
          <t>i37x8r</t>
        </is>
      </c>
      <c r="B9709" t="inlineStr">
        <is>
          <t>Asthma</t>
        </is>
      </c>
      <c r="C9709" t="inlineStr">
        <is>
          <t>I got diagnosed with GERD a few months ago. I'm on 20mg/omeprazole a day. 
I've had very mild (I'd when running in winter) asthma my whole life.
For the past few days I have been getting the sensation of irritated airways. It feels the same as when my asthma is aggrevated. Happens when I'm sitting up as well as lying down. I'm scared that it's damaging my lungs.
I'm supposed to come off PPIs for 2 weeks to get a h pylori test, but I have no idea how I will manage for that long.</t>
        </is>
      </c>
      <c r="D9709" t="n">
        <v>1</v>
      </c>
      <c r="E9709" t="n">
        <v>3</v>
      </c>
      <c r="F9709">
        <f>HYPERLINK("https://www.reddit.com/r/GERD/comments/i37x8r/asthma/")</f>
        <v/>
      </c>
      <c r="G9709" t="inlineStr">
        <is>
          <t>2020-08-03 16:13:51</t>
        </is>
      </c>
      <c r="H9709" t="inlineStr"/>
    </row>
    <row r="9710">
      <c r="A9710" t="inlineStr">
        <is>
          <t>i37zvq</t>
        </is>
      </c>
      <c r="B9710" t="inlineStr">
        <is>
          <t>Pepto</t>
        </is>
      </c>
      <c r="C9710" t="inlineStr">
        <is>
          <t>Does pepto bismol chewable tablets cause or prevent puking I’m really paranoid cuz I have a fear of vomiting</t>
        </is>
      </c>
      <c r="D9710" t="n">
        <v>1</v>
      </c>
      <c r="E9710" t="n">
        <v>1</v>
      </c>
      <c r="F9710">
        <f>HYPERLINK("https://www.reddit.com/r/GERD/comments/i37zvq/pepto/")</f>
        <v/>
      </c>
      <c r="G9710" t="inlineStr">
        <is>
          <t>2020-08-03 16:18:20</t>
        </is>
      </c>
      <c r="H9710" t="inlineStr"/>
    </row>
    <row r="9711">
      <c r="A9711" t="inlineStr">
        <is>
          <t>i386fy</t>
        </is>
      </c>
      <c r="B9711" t="inlineStr">
        <is>
          <t>I am scared its a heart issue but maybe its Gerd? Advice?</t>
        </is>
      </c>
      <c r="C9711" t="inlineStr">
        <is>
          <t>Im a 29F. I'm overweight, but I've been losing.
I have posted before about my fear of having a heart issue right now. Which.. it is still my concern right now. But i feel like every day its something new with my body and that I'm going nuts. 
This is what has been happening;
-the other night it felt like my heart dropped into my stomach and I had to gasp for air. My body just felt chills, and my heart rate jumped straight up.
-last night it felt like.. and this is hard to explain, like my heart just skipped or stopped for a second and this weird feeling of warmth rushed over my chest and i had to gasp again. 
My doctor in the loooong past said I had gerd. My upper stomach under my breast has been burning here and there and i constantly have a lump in my lump these days.
I am up the wall anxious. I started wellbutrin. It hasnt really... helped my anxiety but has mellowed me out in a way? My fiancé thinks i have panic disorder, which.. i kinda agree.
I did an ekg at the doc two weeks ago, it was normal. They then sent me home with a CAM heart monitor. Its been a week and I am still waiting on those results. Im scared its taking them so long cause there is an issue with my heart. I dread the night time these days cause i dread going to sleep and not waking up. 
I also have sleep apnea and ive been trying and trying to get a cpap but with no money it is hard. 
Just.. has anyone else experienced this? 
(Im also posted in the panic subreddit since maybe this is panic afterall and im just crazy.. im sorry for bothering.)</t>
        </is>
      </c>
      <c r="D9711" t="n">
        <v>1</v>
      </c>
      <c r="E9711" t="n">
        <v>12</v>
      </c>
      <c r="F9711">
        <f>HYPERLINK("https://www.reddit.com/r/GERD/comments/i386fy/i_am_scared_its_a_heart_issue_but_maybe_its_gerd/")</f>
        <v/>
      </c>
      <c r="G9711" t="inlineStr">
        <is>
          <t>2020-08-03 16:29:11</t>
        </is>
      </c>
      <c r="H9711" t="inlineStr"/>
    </row>
    <row r="9712">
      <c r="A9712" t="inlineStr">
        <is>
          <t>i38tvm</t>
        </is>
      </c>
      <c r="B9712" t="inlineStr">
        <is>
          <t>Is this GERD ?</t>
        </is>
      </c>
      <c r="C9712" t="inlineStr">
        <is>
          <t>So before I was eating and would get trapped gas and bad back pains and burping or farting or both or feel like I have burped stuck now after I eat anything mostly I had cream ceased salad dressing and croutons and my throat burn it’s been burning for a while and everytime at night I get it even when I don’t eat it it’s worse I also have anxiety so I think this is would caused it and I do tend to eat really fast without even noticing like my foods going to runaway</t>
        </is>
      </c>
      <c r="D9712" t="n">
        <v>1</v>
      </c>
      <c r="E9712" t="n">
        <v>1</v>
      </c>
      <c r="F9712">
        <f>HYPERLINK("https://www.reddit.com/r/GERD/comments/i38tvm/is_this_gerd/")</f>
        <v/>
      </c>
      <c r="G9712" t="inlineStr">
        <is>
          <t>2020-08-03 17:08:49</t>
        </is>
      </c>
      <c r="H9712" t="inlineStr"/>
    </row>
    <row r="9713">
      <c r="A9713" t="inlineStr">
        <is>
          <t>i393zc</t>
        </is>
      </c>
      <c r="B9713" t="inlineStr">
        <is>
          <t>GERD Flare Up &amp;amp; Stress</t>
        </is>
      </c>
      <c r="C9713" t="inlineStr">
        <is>
          <t>I too am having (my first) bad flare up with GERD. I’ve been diagnosed with acid reflux. a year ago and haven’t had any crazy reflux or indigestion within that time. Currently, I am having tightness in my chest (near sternum), burning sensation in my stomach and what feels like a lump in my throat. I was seen in the ER yesterday because I was to the point where I couldn’t even sit comfortably and watch tv or read a book. I’ve already tried things like bed wedge, not eating before bed or laying down after I eat and eating small portions (and more slowly). I’d say I’m pretty healthy. A week before my flare up, I exposed myself to a heaping of trigger foods (coffee, alcohol, spicy food) though so I’m thinking that was what set it off. Anyway, the doctor put me on Prilosec in AM (which I’ve already been taking) Sucraflate (4xday), and Pepcid before bed. She also advised that I stick to a strict IBS/Low FODMAP Diet. I’m barely eating because I feel the most of my pain comes after I eat or drink some water.  It is going on one week since this started and I feel like the stress I’m getting from worrying is making my symptoms worse. I get to see a GI specialist on Friday but I can’t help but panic and think that something is terribly wrong. Any advice on what to do until then? With stress? With symptoms?</t>
        </is>
      </c>
      <c r="D9713" t="n">
        <v>1</v>
      </c>
      <c r="E9713" t="n">
        <v>6</v>
      </c>
      <c r="F9713">
        <f>HYPERLINK("https://www.reddit.com/r/GERD/comments/i393zc/gerd_flare_up_stress/")</f>
        <v/>
      </c>
      <c r="G9713" t="inlineStr">
        <is>
          <t>2020-08-03 17:26:10</t>
        </is>
      </c>
      <c r="H9713" t="inlineStr"/>
    </row>
    <row r="9714">
      <c r="A9714" t="inlineStr">
        <is>
          <t>i39h6o</t>
        </is>
      </c>
      <c r="B9714" t="inlineStr">
        <is>
          <t>Burps</t>
        </is>
      </c>
      <c r="C9714" t="inlineStr">
        <is>
          <t>Burps stuck, Everytime i have to force them out. It causes weird heart palpations kinda thing. Been suffering few months now. I googled alot and it says it could be very wel linked to low stomach acid. Has anyone got rid of this or tried the beet test to check their stomach acid level? And how accurate is that?
Docs are shit !!!</t>
        </is>
      </c>
      <c r="D9714" t="n">
        <v>1</v>
      </c>
      <c r="E9714" t="n">
        <v>1</v>
      </c>
      <c r="F9714">
        <f>HYPERLINK("https://www.reddit.com/r/GERD/comments/i39h6o/burps/")</f>
        <v/>
      </c>
      <c r="G9714" t="inlineStr">
        <is>
          <t>2020-08-03 17:49:05</t>
        </is>
      </c>
      <c r="H9714" t="inlineStr"/>
    </row>
    <row r="9715">
      <c r="A9715" t="inlineStr">
        <is>
          <t>i39v2g</t>
        </is>
      </c>
      <c r="B9715" t="inlineStr">
        <is>
          <t>Coughing up blood</t>
        </is>
      </c>
      <c r="C9715" t="inlineStr">
        <is>
          <t>I was told I had GERD and a stomach ulcer by my doctor about a month ago and have been on ppi’s 
Ever since but lately I’ve been getting up blood in my saliva usually in the mornings almost daily so is this common with Gerd and has anyone else experienced this?</t>
        </is>
      </c>
      <c r="D9715" t="n">
        <v>1</v>
      </c>
      <c r="E9715" t="n">
        <v>0</v>
      </c>
      <c r="F9715">
        <f>HYPERLINK("https://www.reddit.com/r/GERD/comments/i39v2g/coughing_up_blood/")</f>
        <v/>
      </c>
      <c r="G9715" t="inlineStr">
        <is>
          <t>2020-08-03 18:13:36</t>
        </is>
      </c>
      <c r="H9715" t="inlineStr"/>
    </row>
    <row r="9716">
      <c r="A9716" t="inlineStr">
        <is>
          <t>i3a9q9</t>
        </is>
      </c>
      <c r="B9716" t="inlineStr">
        <is>
          <t>What are the equivalent dosages, for different H2 Blockers?</t>
        </is>
      </c>
      <c r="C9716" t="inlineStr">
        <is>
          <t>Hi everyone,
I'm just wondering what the dose equivalent is, for different H2 Blockers (H2 Receptor Antagonists)?
E.g. - What equivalent, would a 75 mg Ranitidine tablet be, in terms of the dose for;
- Famotidine
- Cimetidine
- Nizatidine
- etc...
Thanks
Background;
I currently take 75 mg Ranitidine tablets nightly, and have done for many years, due to essentially what is ongoing issues since having gastritis/stomach ulcers.
Naturally, given the current state of Ranitidine's recall, it's looking like I'll no longer be able to take it for a while, and so will need to switch to a different H2 Blocker.
Though it surprised me just how much different H2 Blockers vary in gram/dosage size, as well as supposed effeciacy, so it looks like it it's not straightforward, figuring out what dosage to take when switching?</t>
        </is>
      </c>
      <c r="D9716" t="n">
        <v>1</v>
      </c>
      <c r="E9716" t="n">
        <v>2</v>
      </c>
      <c r="F9716">
        <f>HYPERLINK("https://www.reddit.com/r/GERD/comments/i3a9q9/what_are_the_equivalent_dosages_for_different_h2/")</f>
        <v/>
      </c>
      <c r="G9716" t="inlineStr">
        <is>
          <t>2020-08-03 18:39:35</t>
        </is>
      </c>
      <c r="H9716" t="inlineStr"/>
    </row>
    <row r="9717">
      <c r="A9717" t="inlineStr">
        <is>
          <t>i3abw1</t>
        </is>
      </c>
      <c r="B9717" t="inlineStr">
        <is>
          <t>Endoscopy</t>
        </is>
      </c>
      <c r="C9717" t="inlineStr">
        <is>
          <t>Did everyone get put to sleep or sedated during their endoscopy? Because for mine my doctor just shoved some numbing solution into the back of my nose and down my throat and went to town; such an uncomfortable experience. Anyone else? TIA</t>
        </is>
      </c>
      <c r="D9717" t="n">
        <v>1</v>
      </c>
      <c r="E9717" t="n">
        <v>2</v>
      </c>
      <c r="F9717">
        <f>HYPERLINK("https://www.reddit.com/r/GERD/comments/i3abw1/endoscopy/")</f>
        <v/>
      </c>
      <c r="G9717" t="inlineStr">
        <is>
          <t>2020-08-03 18:43:35</t>
        </is>
      </c>
      <c r="H9717" t="inlineStr"/>
    </row>
    <row r="9718">
      <c r="A9718" t="inlineStr">
        <is>
          <t>i3b2z7</t>
        </is>
      </c>
      <c r="B9718" t="inlineStr">
        <is>
          <t>Fodmap friendly foods causing bloat?</t>
        </is>
      </c>
      <c r="C9718" t="inlineStr">
        <is>
          <t>Does anybody else have experience with eating fodmap friendly foods and your GERD still flares up? 
I’m on an elimination diet to figure out which foods give me the most bloat and I’ve been so bloated the past two days. My stomach and lower abdominal also has a weird burning sensation.
I’m talking about bananas, oatmeal, grapes, white rice, and egg. I have had fig bars as well - I wonder if that might be causing it? 
My GERD also flares up at night probably 4 hours after I’ve eaten. 
Anybody else have a similar experience and know what might help to combat it?</t>
        </is>
      </c>
      <c r="D9718" t="n">
        <v>1</v>
      </c>
      <c r="E9718" t="n">
        <v>3</v>
      </c>
      <c r="F9718">
        <f>HYPERLINK("https://www.reddit.com/r/GERD/comments/i3b2z7/fodmap_friendly_foods_causing_bloat/")</f>
        <v/>
      </c>
      <c r="G9718" t="inlineStr">
        <is>
          <t>2020-08-03 19:32:24</t>
        </is>
      </c>
      <c r="H9718" t="inlineStr"/>
    </row>
    <row r="9719">
      <c r="A9719" t="inlineStr">
        <is>
          <t>i3c3ob</t>
        </is>
      </c>
      <c r="B9719" t="inlineStr">
        <is>
          <t>How often do you recommend getting an endoscopy?</t>
        </is>
      </c>
      <c r="C9719" t="inlineStr">
        <is>
          <t>As the title says, I'm not entirely sure how often I should have one. I had my last (and only) one 3 years ago. How many have you guys had? How often do you get them?</t>
        </is>
      </c>
      <c r="D9719" t="n">
        <v>1</v>
      </c>
      <c r="E9719" t="n">
        <v>2</v>
      </c>
      <c r="F9719">
        <f>HYPERLINK("https://www.reddit.com/r/GERD/comments/i3c3ob/how_often_do_you_recommend_getting_an_endoscopy/")</f>
        <v/>
      </c>
      <c r="G9719" t="inlineStr">
        <is>
          <t>2020-08-03 20:42:17</t>
        </is>
      </c>
      <c r="H9719" t="inlineStr"/>
    </row>
    <row r="9720">
      <c r="A9720" t="inlineStr">
        <is>
          <t>i3c97r</t>
        </is>
      </c>
      <c r="B9720" t="inlineStr">
        <is>
          <t>Received my gastroscopy results today..</t>
        </is>
      </c>
      <c r="C9720" t="inlineStr">
        <is>
          <t>Finally had my surgeon call after a four week wait today to give me my gastroscopy results. Nothing. Absolutely nothing. No inflammation, negative for H. Pylori (which I'd already had tested and confirmed), no abnormalities and all biopsies returned normal. 
I'm just beyond frustrated at this point, the only test I've had come back abnormal so far was my barium swallow, showing significant dismotility toward the bottom of my oesophagus, and yet it's been over eight months now since I've been able to eat without pain and choking. I'm to the point where I'm not even confident to eat solid foods when I'm by myself because of how severe my choking has become. 
It doesn't matter what I do or don't eat and no medication I've been given has made any impact. Occasionally I think I'm feeling better and then I wake up in so much pain that I can't eat or I can't sleep because my heartburn feels like I'm having a heart attack. Every doctor I see tells me that I just don't know what heartburn is supposed to feel like and that because I'm young it couldn't possibly be anything more serious than some mild reflux.
I just don't know what to do, I hope it's okay to come and rant here a little.</t>
        </is>
      </c>
      <c r="D9720" t="n">
        <v>1</v>
      </c>
      <c r="E9720" t="n">
        <v>36</v>
      </c>
      <c r="F9720">
        <f>HYPERLINK("https://www.reddit.com/r/GERD/comments/i3c97r/received_my_gastroscopy_results_today/")</f>
        <v/>
      </c>
      <c r="G9720" t="inlineStr">
        <is>
          <t>2020-08-03 20:53:19</t>
        </is>
      </c>
      <c r="H9720" t="inlineStr"/>
    </row>
    <row r="9721">
      <c r="A9721" t="inlineStr">
        <is>
          <t>i3ccj3</t>
        </is>
      </c>
      <c r="B9721" t="inlineStr">
        <is>
          <t>What causes a weak seal?</t>
        </is>
      </c>
      <c r="C9721" t="inlineStr">
        <is>
          <t>I’m almost certainly convinced that my GERD and GERD triggered asthma are the result of a weakened seal or LES, but I’m wondering where this comes from.
I had an endoscopy as a teenager many years ago. No damage, but “dysmotility” in the esophagus which I’ve always struggled with even when I didn’t deal with reflux. 
This is almost always aggravated by anxiety and stress which, it should come as no surprise in 2020, I have plenty of. 
Anybody know the relationship between GERD/asthma, dysmotility, a weak LES and anxiety/stress? 
How would you try to tackle it when PPIs are lessening it but you’re still suffering terribly?</t>
        </is>
      </c>
      <c r="D9721" t="n">
        <v>1</v>
      </c>
      <c r="E9721" t="n">
        <v>0</v>
      </c>
      <c r="F9721">
        <f>HYPERLINK("https://www.reddit.com/r/GERD/comments/i3ccj3/what_causes_a_weak_seal/")</f>
        <v/>
      </c>
      <c r="G9721" t="inlineStr">
        <is>
          <t>2020-08-03 20:59:49</t>
        </is>
      </c>
      <c r="H9721" t="inlineStr"/>
    </row>
    <row r="9722">
      <c r="A9722" t="inlineStr">
        <is>
          <t>i3ckgm</t>
        </is>
      </c>
      <c r="B9722" t="inlineStr">
        <is>
          <t>Just felt like venting a bit... Here's my story</t>
        </is>
      </c>
      <c r="C9722" t="inlineStr">
        <is>
          <t>(I apologize for the length.)
It started when I was about 9 or 10. For while I couldn't eat red meat because on about the 3rd or 4th bite, it would get stuck in my throat and I wouldn't even be able to swallow (I could breath fine.) I would be gagging over a toilet for about 20 minutes and the heart burn would last about 40-60 minutes. Pediatrician finally put me on an acid reducer for 30 days, and poof, it was gone. 
I didn't really have any issues again until my freshman year of high school, at about 15. I started getting these really bad stomach pains during my sports tournaments and couldn't figure out what was causing it. I tried cutting gluten, cutting lactose, a bunch of stuff. It ended up being eggs that were the problem. I would often eat breakfast sandwiches on the way to tournaments because it was quick that early in the morning. The pain would get bad enough that I couldn't play for a few hours. 
Anyway, thinking it was an intolerance, I just avoided eggs for a while. As long as I only ate them occasionally I was fine. I wouldn't really say my acid reflux was that bad in high school, all things considered. Eggs cooked in things were fine, plain eggs in the form of an omelet, for example, were not fine. I wasn't really triggered by too many foods back then.
Fast forward to Sophomore year of college, at about 19 or 20, I got drunk one night. (I bet you guys can figure out where this is going.) I was never really that into drinking, the most I had ever had before that was a shot or two every now and then. That night I got to the puking level of drunk and definitely regretted it. A few days after that, I started what wound up being a really bad flair up of GERD. For about a month I dealt with stomach pain on and off, not knowing what was causing it. I even went to urgent care at one point because I was sick of dealing with it on top of my classes. They were useless. 
I finally scheduled an appointment with an off campus doctor, who is probably my favorite doctor I've ever had. The morning of the appointment, I woke up with severe chest pain and I felt like I was suffocating. (I really picked a perfect day for the appointment.) I skipped my classes that day because I could barely take more than a shallow breath without lots of pain. Went to the doctors appointment and the doctor completely skimmed over having GERD and was like okay here are your steroids for your walking pneumonia. WHAT?!?! She had assumed I already knew of the GERD and had dealt with it before. That's when I put two and two together that my stomach pain from eggs was the same thing. Ah! Finally I have answers! If only I could've gotten them without the pneumonia to match. 
Here I am, 2 years later, with a laundry list of foods that I can't eat, which you all are familiar with. Now, I'm considering the idea of going vegetarian. I already can't eat red meat, I'm already allergic to shellfish and a few vegetables, all I need to do is cut chicken. I guess we'll see where I end up in a few years.</t>
        </is>
      </c>
      <c r="D9722" t="n">
        <v>1</v>
      </c>
      <c r="E9722" t="n">
        <v>1</v>
      </c>
      <c r="F9722">
        <f>HYPERLINK("https://www.reddit.com/r/GERD/comments/i3ckgm/just_felt_like_venting_a_bit_heres_my_story/")</f>
        <v/>
      </c>
      <c r="G9722" t="inlineStr">
        <is>
          <t>2020-08-03 21:15:21</t>
        </is>
      </c>
      <c r="H9722" t="inlineStr"/>
    </row>
    <row r="9723">
      <c r="A9723" t="inlineStr">
        <is>
          <t>i3cqw1</t>
        </is>
      </c>
      <c r="B9723" t="inlineStr">
        <is>
          <t>GERD / LPR / Functional Dyspepsia? Can't narrow down problem with my symptoms.</t>
        </is>
      </c>
      <c r="C9723" t="inlineStr">
        <is>
          <t>For starters I've done a lot of searching through here and have found a good amount of basic help and feedback, but recently I've felt stuck with my GI problems. Roughly 2-3 years ago was when I began having heartburn and extreme belching, probably due to my terrible late night habits, drinking, and poor diet. I had taken Omeprazole and quickly felt relief for the heartburn, so I thought it was all figured out. Fast forward to more recently, and my issues are now spread across multiple symptoms that I can't pinpoint a problem towards:
* Indigestion: I mostly experience it after drinking water (I pretty much only drink water, no coffee, alcohol, or carbonated beverages) when I've eaten a meal recently. I feel a slight burning around my sternum and often it feels like the water itself might be sitting at the top of my throat.
* Post Nasal Drip: I've had this for as long as I can remember, so I'm unsure if it's reflux related. I am always clearing my throat, but even so I never seem to have a sore throat or any real regurgitation, just general post nasal drip.
* Stuck Gas: My main symptom, I get this from seemingly the most random things. At first it was only from carbonated beverages, but over time I've had it with chips, sandwiches, chicken, crackers, eggs, etc. It's as if during a certain point in my meal, the gas from the beginning of eating is trying to rush back up but gets stuck halfway in my chest. I can try and force some burps out which helps, but it isn't until an hour or so later when it finally seems to loosen up and I get extreme mega burps. Overall as a whole I'm still excessively burpy throughout the day regardless of what I eat, or what meds I've taken.
I've tried multiple PPI's, Tums, GasX, FD Gard-- they have given me slight to full relief from the indigestion but the burps and gas simply don't stop. I'm hoping someone on here has gone through this with similar symptoms so I can get some more insight, because the only reasonable next step is an endoscopy which seems futile since I have no heartburn, no trouble with spicy foods (I still try to avoid them, but on second thought I don't think they've ever given me the stuck gas problem), no sleeping issues, and so on. It just seems so nontraditional for textbook GERD, and the only similar posts on here focus on globus, shortness of breath, and more- all symptoms I just don't have. Sorry for the extreme rant, just hoping someone might resonate with this. Thanks!</t>
        </is>
      </c>
      <c r="D9723" t="n">
        <v>1</v>
      </c>
      <c r="E9723" t="n">
        <v>2</v>
      </c>
      <c r="F9723">
        <f>HYPERLINK("https://www.reddit.com/r/GERD/comments/i3cqw1/gerd_lpr_functional_dyspepsia_cant_narrow_down/")</f>
        <v/>
      </c>
      <c r="G9723" t="inlineStr">
        <is>
          <t>2020-08-03 21:28:41</t>
        </is>
      </c>
      <c r="H9723" t="inlineStr"/>
    </row>
    <row r="9724">
      <c r="A9724" t="inlineStr">
        <is>
          <t>i3dqex</t>
        </is>
      </c>
      <c r="B9724" t="inlineStr">
        <is>
          <t>Is there more I can do?</t>
        </is>
      </c>
      <c r="C9724" t="inlineStr">
        <is>
          <t>Just looking for some advice, I feel like I'm at my wits end.
In May 2019 I came down with a 24hr gastro virus that effectively sent me to hospital, since that episode I've experienced on-going gastro acid reflux, bloating and chest pain whenever I eat food. I had to take a course of antibiotics in November last year which I feel just made everything much worse.
The chest pain has become significantly worse prompting me to get my heart checked with EKG tests and blood tests, all of which came back fine. I've had H. Pylori tests done multiple times with negative results. My doctor has prescribed PPI drugs which do seem to work as a band-aid solution but make me feel worse overall and with constant diarrhea.
I've been drinking probiotics drinks such as Kombucha and Kefir Water to help with digestion. I've made a dramatic change to my diet to align with low FODMAP. I switched to oatmeal for breakfast for high fiber but I think the flavored oatmeal is causing bloating issues so I'm going to stick with plain. I've also been taking simethicone after meals but I'm not sure how much its helping.
I've just recently bought some Bone Broth as I read it can be very healing for the stomach and esophagus, i'm yet to try it but I'm hoping it will help.
Overall I'm just exhausted.. I don't even want to eat half the time because it will be followed by hours and hours of pain and discomfort. The chest pain really disturbs me because it can be really sharp stabbing pains on occasion or just a dull ache that lingers all day.
Thanks.</t>
        </is>
      </c>
      <c r="D9724" t="n">
        <v>1</v>
      </c>
      <c r="E9724" t="n">
        <v>2</v>
      </c>
      <c r="F9724">
        <f>HYPERLINK("https://www.reddit.com/r/GERD/comments/i3dqex/is_there_more_i_can_do/")</f>
        <v/>
      </c>
      <c r="G9724" t="inlineStr">
        <is>
          <t>2020-08-03 22:45:46</t>
        </is>
      </c>
      <c r="H9724" t="inlineStr"/>
    </row>
    <row r="9725">
      <c r="A9725" t="inlineStr">
        <is>
          <t>i3dvtm</t>
        </is>
      </c>
      <c r="B9725" t="inlineStr">
        <is>
          <t>Tums with gas relief</t>
        </is>
      </c>
      <c r="C9725" t="inlineStr">
        <is>
          <t>Has anyone tried these? I bought some thinking they may help with the feeling of a burp being stuck in my throat. Let me know! :)</t>
        </is>
      </c>
      <c r="D9725" t="n">
        <v>1</v>
      </c>
      <c r="E9725" t="n">
        <v>2</v>
      </c>
      <c r="F9725">
        <f>HYPERLINK("https://www.reddit.com/r/GERD/comments/i3dvtm/tums_with_gas_relief/")</f>
        <v/>
      </c>
      <c r="G9725" t="inlineStr">
        <is>
          <t>2020-08-03 22:58:58</t>
        </is>
      </c>
      <c r="H9725" t="inlineStr"/>
    </row>
    <row r="9726">
      <c r="A9726" t="inlineStr">
        <is>
          <t>i3f2fb</t>
        </is>
      </c>
      <c r="B9726" t="inlineStr">
        <is>
          <t>Anyone ever have a feeling your throat is closing and its hard to breathe?</t>
        </is>
      </c>
      <c r="C9726" t="inlineStr">
        <is>
          <t>Hi, guys. I'm still new to gerd so I was wondering if anyone has gone through this ... 
While writing this I feel like it's hard to breathe and it feels like my throat is closing up. It's been an hour with this feeling. 
I'm scared, I've tried breathing in through my nose and out by mouth. I've tried moving around my head . I even tried to eat some tums. Nothing.
Anyone have this before? How long did it last? How did it go away?</t>
        </is>
      </c>
      <c r="D9726" t="n">
        <v>1</v>
      </c>
      <c r="E9726" t="n">
        <v>3</v>
      </c>
      <c r="F9726">
        <f>HYPERLINK("https://www.reddit.com/r/GERD/comments/i3f2fb/anyone_ever_have_a_feeling_your_throat_is_closing/")</f>
        <v/>
      </c>
      <c r="G9726" t="inlineStr">
        <is>
          <t>2020-08-04 00:41:40</t>
        </is>
      </c>
      <c r="H9726" t="inlineStr"/>
    </row>
    <row r="9727">
      <c r="A9727" t="inlineStr">
        <is>
          <t>i3gpua</t>
        </is>
      </c>
      <c r="B9727" t="inlineStr">
        <is>
          <t>Can you reverse barret esophagus</t>
        </is>
      </c>
      <c r="C9727" t="inlineStr">
        <is>
          <t>Hello, is it possible to reverse barret esophagus ?  I  had my fibroscopy some weeks ago, they found a suspicious area for BE,  but the biopsy came back negative for it 
But I have reflux since my childhood and i'm afraid of getting it in the future ,  do you know any way to reverse it or to  prevent it ?</t>
        </is>
      </c>
      <c r="D9727" t="n">
        <v>1</v>
      </c>
      <c r="E9727" t="n">
        <v>3</v>
      </c>
      <c r="F9727">
        <f>HYPERLINK("https://www.reddit.com/r/GERD/comments/i3gpua/can_you_reverse_barret_esophagus/")</f>
        <v/>
      </c>
      <c r="G9727" t="inlineStr">
        <is>
          <t>2020-08-04 03:14:12</t>
        </is>
      </c>
      <c r="H9727" t="inlineStr"/>
    </row>
    <row r="9728">
      <c r="A9728" t="inlineStr">
        <is>
          <t>i3hhkp</t>
        </is>
      </c>
      <c r="B9728" t="inlineStr">
        <is>
          <t>GERD Questions on frequency of acid reflux</t>
        </is>
      </c>
      <c r="C9728" t="inlineStr">
        <is>
          <t>Hi there, I have read up on GERD lately as I think I might have it,  but despite reading a lot on it, I haven't come across roughly the frequency or how many times a GERD sufferer actually experiences acid reflux, and if it's only after meals. So I have some questions and would be delighted if anyone could shed some light on them:
1. Mostly, do GERD patients experience acid reflux after meals, or can they experience it during fasting?
2. If they experience acid reflux after any meals/drinks including water, does this indicate something else apart from GERD?
3. Is it possible to have GERD without any heartburn/pain/acid taste in the mouth?</t>
        </is>
      </c>
      <c r="D9728" t="n">
        <v>1</v>
      </c>
      <c r="E9728" t="n">
        <v>5</v>
      </c>
      <c r="F9728">
        <f>HYPERLINK("https://www.reddit.com/r/GERD/comments/i3hhkp/gerd_questions_on_frequency_of_acid_reflux/")</f>
        <v/>
      </c>
      <c r="G9728" t="inlineStr">
        <is>
          <t>2020-08-04 04:17:05</t>
        </is>
      </c>
      <c r="H9728" t="inlineStr"/>
    </row>
    <row r="9729">
      <c r="A9729" t="inlineStr">
        <is>
          <t>i3ih3e</t>
        </is>
      </c>
      <c r="B9729" t="inlineStr">
        <is>
          <t>Gerb and nust?</t>
        </is>
      </c>
      <c r="C9729" t="inlineStr">
        <is>
          <t>Hi guys! I've recently found this sub and would like your opinion:
1. )i've wrote somewhere how constantly hungry i am and in that i've kinda find out eating nuts keeps me full for longer period. I mostly eat peanuts (roasted&amp;amp;salted) or sometimes almonds and they are good against my constipation. Well, i don't eat those in the evenings but ... could that still be bad for anti-gerb-treatment (as i don't have stomach pain anymore, just sore throat, raspy voice...  ).  
2. ) could my HAE attacks (Hereditary Angeoedema) be from Gerb?  This year i've been swelling (two times in February and march quite largely, then with dieting it kinda went down a little bit),  and i still didn't find the reason for it..
i'll be very grateful if you have anything for me about written things (experiences, opinions, advises...) Thanks in advance!</t>
        </is>
      </c>
      <c r="D9729" t="n">
        <v>1</v>
      </c>
      <c r="E9729" t="n">
        <v>0</v>
      </c>
      <c r="F9729">
        <f>HYPERLINK("https://www.reddit.com/r/GERD/comments/i3ih3e/gerb_and_nust/")</f>
        <v/>
      </c>
      <c r="G9729" t="inlineStr">
        <is>
          <t>2020-08-04 05:32:19</t>
        </is>
      </c>
      <c r="H9729" t="inlineStr"/>
    </row>
    <row r="9730">
      <c r="A9730" t="inlineStr">
        <is>
          <t>i3j9vi</t>
        </is>
      </c>
      <c r="B9730" t="inlineStr">
        <is>
          <t>Gerd Relief??</t>
        </is>
      </c>
      <c r="C9730" t="inlineStr">
        <is>
          <t>I'm a 21f, I've posted a few places now but maybe I can get some sort of idea what to do, so I have Gerd, IBS, anxiety, allergies, I'm severely lactose intolerance and I have an iron and vitamin D deficiency so I've had a number of issues over the years but recently I've been unable to eat anything cause it hurts to swallow or is super uncomfortable and feels like it gets stuck. But due to having such a crazy diet I need to go by I'm miserable. But the only problem is alot of the foods I can eat with all the other issues makes my IBS acts up or the same but with my gerd. Hopefully here soon I'm gonna go get officially tested to see what all I'm really allergic to but in the mean time any advise or reccomendations or advise? Or any think that's worked for you that you suggest? Anywhere I can look for meal plans for any of these?  I am taking CBD for anxiety, Flonase and Zyrtec for seasonal allergies, I've been off and on taking medications for IBS over the years, and Nexium for my Gerd.</t>
        </is>
      </c>
      <c r="D9730" t="n">
        <v>1</v>
      </c>
      <c r="E9730" t="n">
        <v>12</v>
      </c>
      <c r="F9730">
        <f>HYPERLINK("https://www.reddit.com/r/GERD/comments/i3j9vi/gerd_relief/")</f>
        <v/>
      </c>
      <c r="G9730" t="inlineStr">
        <is>
          <t>2020-08-04 06:26:46</t>
        </is>
      </c>
      <c r="H9730" t="inlineStr"/>
    </row>
    <row r="9731">
      <c r="A9731" t="inlineStr">
        <is>
          <t>i3juiu</t>
        </is>
      </c>
      <c r="B9731" t="inlineStr">
        <is>
          <t>Endoscopy on Thursday</t>
        </is>
      </c>
      <c r="C9731" t="inlineStr">
        <is>
          <t>I’m a very anxious person and absolutely terrified about this procedure. The more I read the worse my anxiety gets (totally my own problem I know). The doctor told me he’ll be using conscious sedation. Does that mean I’ll be full out? I keep freaking out because the word conscious is mixed in there so I must be awake right?
I’ve had teeth pulled with anesthesia but they never called it conscious sedation so wtf?
I just really don’t want to be awake for this thing.</t>
        </is>
      </c>
      <c r="D9731" t="n">
        <v>1</v>
      </c>
      <c r="E9731" t="n">
        <v>6</v>
      </c>
      <c r="F9731">
        <f>HYPERLINK("https://www.reddit.com/r/GERD/comments/i3juiu/endoscopy_on_thursday/")</f>
        <v/>
      </c>
      <c r="G9731" t="inlineStr">
        <is>
          <t>2020-08-04 07:02:24</t>
        </is>
      </c>
      <c r="H9731" t="inlineStr"/>
    </row>
    <row r="9732">
      <c r="A9732" t="inlineStr">
        <is>
          <t>i3k300</t>
        </is>
      </c>
      <c r="B9732" t="inlineStr">
        <is>
          <t>Food Poisoning or GERD/Hernia Flareup?</t>
        </is>
      </c>
      <c r="C9732" t="inlineStr">
        <is>
          <t>27 m with a hiatal hernia and GERD here.
Ate a stir fry of bell peppers, chicken, eggplant and drank a kale smoothie. Stomach started to hurt around 8pm and strained a hard poop at 12am. 
At 1AM i was sweating and extremely nauseous. 
Pooped some more and threw up before I went to bed. Feel slightly better right now.
I'm throwing away the bell peppers, but the pain in my stomach was like that of food poisoning rather than GERD/HH</t>
        </is>
      </c>
      <c r="D9732" t="n">
        <v>1</v>
      </c>
      <c r="E9732" t="n">
        <v>1</v>
      </c>
      <c r="F9732">
        <f>HYPERLINK("https://www.reddit.com/r/GERD/comments/i3k300/food_poisoning_or_gerdhernia_flareup/")</f>
        <v/>
      </c>
      <c r="G9732" t="inlineStr">
        <is>
          <t>2020-08-04 07:16:19</t>
        </is>
      </c>
      <c r="H9732" t="inlineStr"/>
    </row>
    <row r="9733">
      <c r="A9733" t="inlineStr">
        <is>
          <t>i3kdnl</t>
        </is>
      </c>
      <c r="B9733" t="inlineStr">
        <is>
          <t>Does anyone get excess phlegm in throat with GERD?</t>
        </is>
      </c>
      <c r="C9733" t="inlineStr">
        <is>
          <t>I’m on nexium and. It sure if that’s contributing but I’ve been getting a lot of phlegm or mucus in my throat, wondering if it’s normal with GERD. I had a very severe GERD “attack” last week that caused me to vomit for days and belch all day nonstop. Thankfully that’s over but now I have phlegm</t>
        </is>
      </c>
      <c r="D9733" t="n">
        <v>1</v>
      </c>
      <c r="E9733" t="n">
        <v>66</v>
      </c>
      <c r="F9733">
        <f>HYPERLINK("https://www.reddit.com/r/GERD/comments/i3kdnl/does_anyone_get_excess_phlegm_in_throat_with_gerd/")</f>
        <v/>
      </c>
      <c r="G9733" t="inlineStr">
        <is>
          <t>2020-08-04 07:33:49</t>
        </is>
      </c>
      <c r="H9733" t="inlineStr"/>
    </row>
    <row r="9734">
      <c r="A9734" t="inlineStr">
        <is>
          <t>i3ks1a</t>
        </is>
      </c>
      <c r="B9734" t="inlineStr">
        <is>
          <t>Gastroscopy without sedation experience (spoiler alert: not that bad)</t>
        </is>
      </c>
      <c r="C9734" t="inlineStr">
        <is>
          <t>So I (25m) have LRP (feels like GERD sometimes). First symtoms came after I was prescribed PPIs for intestinal cramping ( ...for ...some...reason). Then I swallowed a very sharp piece of dry bay leaf and had the most colossal esophageal spasm known to man (it was pretty bad - nausea, intense chest squeezing, hard to breathe) and after that passed my swallowing never was the same. 
Started getting pain with swallowing, food started going down slower (sometimes felt like it stuck in the middle of my chest), stomach pain, nausea in the morning sometimes vomiting in the morning.
So like any reasonable young fellow that eats a healthy plant based diet, almost no dairy, rarely meat (if it's organic from farmers I know), never smoke, didn't get smashed drunk in years and normal weight, I thought I had the big C...
So I scheduled myself for an upper GE and today was the  day that it went down. The whole clinic visit was like 25 min, the exploration lasted 3 min tops. I got they spay in the back of my throat (1 round of 3 puffs - that s*** is $$$) and laid on my left side. My heart was pounding, I was terrified and in it went. And you gag, you try to swallow but you feel the tube in your throat, you can breath through your mouth, your throat hurts and your insides feel wierd while he maneuvers the endoscope. You gag the most when it goes in the first few inches *wink wink* and when I it comes out. 
How I coped: I kept reminding me that I was surrounded by medical professionals and even if something bad happened, I'll be fine in the end, I kept focusing on breathing ( you will lose focus but it is important to jump right back in it when you stop gagging), I kept relaxed but I was grabbing my shirt and squeezing it as hard as I could (gripping something stable helped me feel secured), I tried to control the gagging but I gagged as many times as I needed (after gagging you will feel some relief). And before I knew it, it was over, and you become so happy when it is over, like you were born again.
Overall it was not as bad as I expected, the throat hurts and it will still hurt for a couple of days I imagine. My diagnosis was small hiatal hernia and gastritis. The trouble swallowing is a mistery for now, maybe just in my head as PTSD from that spasm. Hope you have the same experience as I did (or a better one) if you get to do this. Best of luck !</t>
        </is>
      </c>
      <c r="D9734" t="n">
        <v>1</v>
      </c>
      <c r="E9734" t="n">
        <v>10</v>
      </c>
      <c r="F9734">
        <f>HYPERLINK("https://www.reddit.com/r/GERD/comments/i3ks1a/gastroscopy_without_sedation_experience_spoiler/")</f>
        <v/>
      </c>
      <c r="G9734" t="inlineStr">
        <is>
          <t>2020-08-04 07:56:50</t>
        </is>
      </c>
      <c r="H9734" t="inlineStr"/>
    </row>
    <row r="9735">
      <c r="A9735" t="inlineStr">
        <is>
          <t>i3kvrn</t>
        </is>
      </c>
      <c r="B9735" t="inlineStr">
        <is>
          <t>I lifted a really heavy object on Saturday, then I overindulged with dinner, dessert, and alcohol...</t>
        </is>
      </c>
      <c r="C9735" t="inlineStr">
        <is>
          <t>* So, just a quick history - I thought I had GERD last year (February 2019) and I suspected I had a hiatal hernia from shovelling snow (that's Canada for you!) (and that night I had a huge dinner, with wine and cake - it was Valentines). 
* I went on rabeprazole, and stopped eating and drinking most stuff. I just went bland as hell with my diet - only water, no spices, etc. All the right things. I also went on a good probiotic and vitamin D.
* By December 2019, I tried a little bit of coffee, and it didn't affect me. So I slowly started to go back to normal. Since then I've been pretty good. Coffee every day now, the odd beer, some wine on the weekend, that sort of stuff. Desserts are mostly fine, though I still avoid spicy foods. I was almost back to normal and loving life. I only get burning when I'm reallllly hungry, or when I'm backed up and need to clear myself out.
* But...this past Saturday, I stupidly lifted a very heavy mitre saw with my back rather than lifting with bended legs in the proper, safe way. That hurt my back for a little bit but I thought I was fine. Later that day, I had some coffee (more than usual, for some reason), and then in the evening I had prosecco, beer, and wine, along with some wedding cake. Morning after, I had burning, which really dismayed me. And today, some burning too. Not too bad, but especially gets worse when I bend over.
Do you think it's possible that I re-injured my LES, and then all that eating and drinking just sent my stomach acid into overdrive?</t>
        </is>
      </c>
      <c r="D9735" t="n">
        <v>1</v>
      </c>
      <c r="E9735" t="n">
        <v>7</v>
      </c>
      <c r="F9735">
        <f>HYPERLINK("https://www.reddit.com/r/GERD/comments/i3kvrn/i_lifted_a_really_heavy_object_on_saturday_then_i/")</f>
        <v/>
      </c>
      <c r="G9735" t="inlineStr">
        <is>
          <t>2020-08-04 08:02:40</t>
        </is>
      </c>
      <c r="H9735" t="inlineStr"/>
    </row>
    <row r="9736">
      <c r="A9736" t="inlineStr">
        <is>
          <t>i3lk7b</t>
        </is>
      </c>
      <c r="B9736" t="inlineStr">
        <is>
          <t>Both a PPI and H2 inhibitor have made me nauseous. Anyone else?</t>
        </is>
      </c>
      <c r="C9736" t="inlineStr">
        <is>
          <t>From my understanding, both medications lower stomach acid. Do you think that is what causes nausea for me? Has anyone else had a similar experience?</t>
        </is>
      </c>
      <c r="D9736" t="n">
        <v>1</v>
      </c>
      <c r="E9736" t="n">
        <v>0</v>
      </c>
      <c r="F9736">
        <f>HYPERLINK("https://www.reddit.com/r/GERD/comments/i3lk7b/both_a_ppi_and_h2_inhibitor_have_made_me_nauseous/")</f>
        <v/>
      </c>
      <c r="G9736" t="inlineStr">
        <is>
          <t>2020-08-04 08:39:38</t>
        </is>
      </c>
      <c r="H9736" t="inlineStr"/>
    </row>
    <row r="9737">
      <c r="A9737" t="inlineStr">
        <is>
          <t>i3lkif</t>
        </is>
      </c>
      <c r="B9737" t="inlineStr">
        <is>
          <t>Both a PPI and H2 inhibitor have made me nauseous. Anyone else?</t>
        </is>
      </c>
      <c r="C9737" t="inlineStr">
        <is>
          <t>From my understanding, both medications lower stomach acid. Do you think that is what causes nausea for me? Has anyone else had a similar experience?</t>
        </is>
      </c>
      <c r="D9737" t="n">
        <v>1</v>
      </c>
      <c r="E9737" t="n">
        <v>3</v>
      </c>
      <c r="F9737">
        <f>HYPERLINK("https://www.reddit.com/r/GERD/comments/i3lkif/both_a_ppi_and_h2_inhibitor_have_made_me_nauseous/")</f>
        <v/>
      </c>
      <c r="G9737" t="inlineStr">
        <is>
          <t>2020-08-04 08:40:09</t>
        </is>
      </c>
      <c r="H9737" t="inlineStr"/>
    </row>
    <row r="9738">
      <c r="A9738" t="inlineStr">
        <is>
          <t>i3mei2</t>
        </is>
      </c>
      <c r="B9738" t="inlineStr">
        <is>
          <t>Ribs, side, back pain</t>
        </is>
      </c>
      <c r="C9738" t="inlineStr">
        <is>
          <t>For those of you that struggle with pains from GERD, how do you deal with it?? I don’t usually take pain meds but I’m so tired of being in pain, actual back pain side pains and of course soreness right where the acid hangs out. How can this be fixed?? Any recommendations are helpful.</t>
        </is>
      </c>
      <c r="D9738" t="n">
        <v>1</v>
      </c>
      <c r="E9738" t="n">
        <v>4</v>
      </c>
      <c r="F9738">
        <f>HYPERLINK("https://www.reddit.com/r/GERD/comments/i3mei2/ribs_side_back_pain/")</f>
        <v/>
      </c>
      <c r="G9738" t="inlineStr">
        <is>
          <t>2020-08-04 09:24:31</t>
        </is>
      </c>
      <c r="H9738" t="inlineStr"/>
    </row>
    <row r="9739">
      <c r="A9739" t="inlineStr">
        <is>
          <t>i3o32r</t>
        </is>
      </c>
      <c r="B9739" t="inlineStr">
        <is>
          <t>Throat Clicking/LPR</t>
        </is>
      </c>
      <c r="C9739" t="inlineStr">
        <is>
          <t>Hey guys, just wondering about your thoughts on throat clicking when drinking fluids. How long might something like this last once you've cleaned up your diet and stopped the acid from splashing up? I still do wake up with mucus in my throat and some have some minor dysphagia, but my throat's not hurting like crazy like it was a last month and my eating has slightly improved. The throat clicking definitely feels like part of the dysphagia.
The emergency doctor did say it looked like acid damage when he put a scope down my throat, but I had an endoscopy done and they didn't find anything wrong there. They just said say I had some stomach inflammation. Also my barium swallow also showed nothing abnormal. Tea and salt water rinses help and I've healed a lot, however the clicking is still there. Any advice or suggestions or stories of how you've dealt with it are greatly appreciated.</t>
        </is>
      </c>
      <c r="D9739" t="n">
        <v>1</v>
      </c>
      <c r="E9739" t="n">
        <v>3</v>
      </c>
      <c r="F9739">
        <f>HYPERLINK("https://www.reddit.com/r/GERD/comments/i3o32r/throat_clickinglpr/")</f>
        <v/>
      </c>
      <c r="G9739" t="inlineStr">
        <is>
          <t>2020-08-04 10:52:16</t>
        </is>
      </c>
      <c r="H9739" t="inlineStr"/>
    </row>
    <row r="9740">
      <c r="A9740" t="inlineStr">
        <is>
          <t>i3odv8</t>
        </is>
      </c>
      <c r="B9740" t="inlineStr">
        <is>
          <t>Significant relief, finally</t>
        </is>
      </c>
      <c r="C9740" t="inlineStr">
        <is>
          <t>I am writing this in hopes that some or all of it may help someone else! I developed GERD after being drugged at a party and being extremely sick, so much so that it seems to have seriously damaged my stomach lining. I had endoscopies and labs and xrays, to no avail for a cause of my symptoms, and honestly pretty dismissive doctors. I've tried acid reducers and probiotics and gas reducers and I eat like 30 tums a day. After 13 months of progressively worsening symptoms, I've finally figured out a regiment that has reduced my symptoms by at least 98% in 3 weeks. [This post](https://www.reddit.com/r/GERD/comments/hv04dg/i_cured_my_gerd_completely/) helped me a lot in getting started.
Symptoms: constant burping (the first and more pervasive symptom), extreme bloating, and I developed acid reflux, I think from the constant burping honestly.
Here is what has been working for me. I don't know which of the things are doing the trick or if they are all working together or what, but I feel like a completely different person. Here's hoping the effects last:
AM (before food): 1 otc lansoprazole (15 mg), 1 extra-strength Culturelle probiotic, 2 DGL capsusles (500 mg each), 2 apple cider vinegar gummies 
PM (after dinner): 1 otc lansoprazole (15 mg)
Diet: Not eating chocolate, alcohol, tomatoes, onion, cauliflower, peppers, spicy foods, fried foods, coffee.
I hope someone else finds this helpful! GERD is an absolutely miserable and demoralizing experience.</t>
        </is>
      </c>
      <c r="D9740" t="n">
        <v>1</v>
      </c>
      <c r="E9740" t="n">
        <v>4</v>
      </c>
      <c r="F9740">
        <f>HYPERLINK("https://www.reddit.com/r/GERD/comments/i3odv8/significant_relief_finally/")</f>
        <v/>
      </c>
      <c r="G9740" t="inlineStr">
        <is>
          <t>2020-08-04 11:07:50</t>
        </is>
      </c>
      <c r="H9740" t="inlineStr"/>
    </row>
    <row r="9741">
      <c r="A9741" t="inlineStr">
        <is>
          <t>i3pk9g</t>
        </is>
      </c>
      <c r="B9741" t="inlineStr">
        <is>
          <t>Worse GERD pain if don't brush teeth?</t>
        </is>
      </c>
      <c r="C9741" t="inlineStr">
        <is>
          <t>If I don't get a chance to brush my teeth right after eating and can't do so for a few hours because am working then the pain in my throat from GERD gets a ton worse.
Anyone else also have this issue? Haven't noticed it being mentioned a lot.</t>
        </is>
      </c>
      <c r="D9741" t="n">
        <v>1</v>
      </c>
      <c r="E9741" t="n">
        <v>0</v>
      </c>
      <c r="F9741">
        <f>HYPERLINK("https://www.reddit.com/r/GERD/comments/i3pk9g/worse_gerd_pain_if_dont_brush_teeth/")</f>
        <v/>
      </c>
      <c r="G9741" t="inlineStr">
        <is>
          <t>2020-08-04 12:09:07</t>
        </is>
      </c>
      <c r="H9741" t="inlineStr"/>
    </row>
    <row r="9742">
      <c r="A9742" t="inlineStr">
        <is>
          <t>i3q42x</t>
        </is>
      </c>
      <c r="B9742" t="inlineStr">
        <is>
          <t>Gerd and gallbladder issues</t>
        </is>
      </c>
      <c r="C9742" t="inlineStr">
        <is>
          <t>I have symptoms of both gallbladder and gerd I also have right shoulder pain my symptoms are nausea stomach churning acid reflux on empty stomach also acid reflux even while I eat and I think when I press on the my gallbladder it is tender my question is can I have both gerd and gallbladder problems at once and what does my symptoms mostly sound like ?</t>
        </is>
      </c>
      <c r="D9742" t="n">
        <v>1</v>
      </c>
      <c r="E9742" t="n">
        <v>3</v>
      </c>
      <c r="F9742">
        <f>HYPERLINK("https://www.reddit.com/r/GERD/comments/i3q42x/gerd_and_gallbladder_issues/")</f>
        <v/>
      </c>
      <c r="G9742" t="inlineStr">
        <is>
          <t>2020-08-04 12:36:48</t>
        </is>
      </c>
      <c r="H9742" t="inlineStr"/>
    </row>
    <row r="9743">
      <c r="A9743" t="inlineStr">
        <is>
          <t>i3q5ge</t>
        </is>
      </c>
      <c r="B9743" t="inlineStr">
        <is>
          <t>Trouble swallowing ??</t>
        </is>
      </c>
      <c r="C9743" t="inlineStr">
        <is>
          <t>Does anyone just get trouble swallowing with no other symptoms or is it just me ?? (I do get frequent heartburn and reflux)</t>
        </is>
      </c>
      <c r="D9743" t="n">
        <v>1</v>
      </c>
      <c r="E9743" t="n">
        <v>10</v>
      </c>
      <c r="F9743">
        <f>HYPERLINK("https://www.reddit.com/r/GERD/comments/i3q5ge/trouble_swallowing/")</f>
        <v/>
      </c>
      <c r="G9743" t="inlineStr">
        <is>
          <t>2020-08-04 12:38:42</t>
        </is>
      </c>
      <c r="H9743" t="inlineStr"/>
    </row>
    <row r="9744">
      <c r="A9744" t="inlineStr">
        <is>
          <t>i3qif5</t>
        </is>
      </c>
      <c r="B9744" t="inlineStr">
        <is>
          <t>H Pylori question</t>
        </is>
      </c>
      <c r="C9744" t="inlineStr">
        <is>
          <t>I was diagnosed last month and did 2 weeks of triple therapy (pantoprazole, amoxicillin, levofloxacin). My symptoms to begin with were: acid reflux, bloating, gas, little burps here and there, unintentional weight loss, but i always felt like my stomach needed food in there otherwise it would be making sounds. When I started the treatment I had really bad diarrhea due to the antibiotics, but other than that I felt much better than I have in so long. I have now been off antibiotics for a week. Some of the symptoms are back but not as severe. I’m already thin to begin with but for the past few weeks i’ve been losing weight and i’ve been unable to put on weight no matter how hard i tried. I’m pretty sure I have fat malabsorption because of this and because my stool has been a slightly lighter color than usual. Its not pale but it still has a hint of yellow/green. I’m really worried that the bacteria hasn’t cleared or maybe its a different issue that’s even more serious. Assuming the bacteria has been eradicated, when should I expect to gain some weight back? I know that it takes time for the stomach to get back to normal after the antibiotics but does that affect how nutrients and fat are absorbed? In case anyones wondering, ever since I finished my course of antibiotics i’ve been taking probiotics everyday in addition to mastic gum extract and manuka honey. I’m supposed to take the breath test at the end of the month. 
There haven’t been any news posts for months so idk if anyone’s going to read this but any insight would be much appreciated. Thank you.</t>
        </is>
      </c>
      <c r="D9744" t="n">
        <v>1</v>
      </c>
      <c r="E9744" t="n">
        <v>7</v>
      </c>
      <c r="F9744">
        <f>HYPERLINK("https://www.reddit.com/r/GERD/comments/i3qif5/h_pylori_question/")</f>
        <v/>
      </c>
      <c r="G9744" t="inlineStr">
        <is>
          <t>2020-08-04 12:57:13</t>
        </is>
      </c>
      <c r="H9744" t="inlineStr"/>
    </row>
    <row r="9745">
      <c r="A9745" t="inlineStr">
        <is>
          <t>i3qoli</t>
        </is>
      </c>
      <c r="B9745" t="inlineStr">
        <is>
          <t>Association between GERD and dry mouth? (poll + research)</t>
        </is>
      </c>
      <c r="C9745" t="inlineStr">
        <is>
          <t>Association between GERD and dry mouth?  (poll + research)
----
Recently in a few discussions on /r/GERD, some users have noted a correlation between dry mouth and GERD.
It makes sense on some level, because saliva is quite alkaline and helps neutralize acid in your mouth, throat, and esophagus.  So it makes theoretical sense that lack of adequate saliva (dry mouth) could make GERD or Silent Reflux symptoms a notch or two worse.
I've found one research article that touches on this--and I would be interested if anyone knows of more research:
https://medcraveonline.com/JOENTR/salivary-stimulation-could-it-play-a-role-in-gerd-management.html
And I thought it would be interesting to see how /r/GERD members are experiencing GERD vs dry mouth.  Please choose one or more of the choices below that best fit your situation:
----
|Vote Button| Poll Options|Current Vote Count|
|:-----------:|:------------:|:------------|
|**[Vote](http://redditpoll.com/vote/ELZ1Uq4ME)**|I experience both GERD and dry mouth|**0** Votes 
|**[Vote](http://redditpoll.com/vote/JwnVHZrL0)**|I experience GERD but not dry mouth|**0** Votes 
|**[Vote](http://redditpoll.com/vote/meDMio1nW)**|I experience both Silent Reflux (LPR) and dry mouth|**0** Votes 
|**[Vote](http://redditpoll.com/vote/veDMiDogG)**|I experience Silent Reflux (LPR) but not dry mouth|**0** Votes 
|**[Vote](http://redditpoll.com/vote/Pnxzs6Jow)**|I experience dry mouth but not GERD or Silent Reflux|**0** Votes 
|**[Vote](http://redditpoll.com/vote/yzbMsjqrq)**|I don't experience any of dry mouth, GERD, or Silent Reflux|**0** Votes 
----
**Instructions:**
* Click Vote to Register Your Vote.
----
**Note:** Vote Count in this post will be updated real time with new data.
----
Make Your Own Poll Here **[redditpoll.com](http://redditpoll.com)**.
----
See live vote count **[here](http://redditpoll.com/poll/association-between-gerd-and-dry-mouth-poll-research)**</t>
        </is>
      </c>
      <c r="D9745" t="n">
        <v>1</v>
      </c>
      <c r="E9745" t="n">
        <v>0</v>
      </c>
      <c r="F9745">
        <f>HYPERLINK("https://www.reddit.com/r/GERD/comments/i3qoli/association_between_gerd_and_dry_mouth_poll/")</f>
        <v/>
      </c>
      <c r="G9745" t="inlineStr">
        <is>
          <t>2020-08-04 13:05:59</t>
        </is>
      </c>
      <c r="H9745" t="inlineStr"/>
    </row>
    <row r="9746">
      <c r="A9746" t="inlineStr">
        <is>
          <t>i3r62w</t>
        </is>
      </c>
      <c r="B9746" t="inlineStr">
        <is>
          <t>GERD Symptoms</t>
        </is>
      </c>
      <c r="C9746" t="inlineStr">
        <is>
          <t>So, I found out I have GERD and have the worst symptoms. Super tight chest left and middle mostly,feels like I’m having a heart attack), phlegm,sore throat, and my stomach has a burning feeling and feels like there’s rocks in it when I have an empty stomach things get worse too. Does anyone have these symptoms? I’m getting the pH test soon for acid. Also, have you ever overcome your GERD or if you have had the acid reflux surgery has that stopped GERD? Thanks!</t>
        </is>
      </c>
      <c r="D9746" t="n">
        <v>1</v>
      </c>
      <c r="E9746" t="n">
        <v>1</v>
      </c>
      <c r="F9746">
        <f>HYPERLINK("https://www.reddit.com/r/GERD/comments/i3r62w/gerd_symptoms/")</f>
        <v/>
      </c>
      <c r="G9746" t="inlineStr">
        <is>
          <t>2020-08-04 13:31:07</t>
        </is>
      </c>
      <c r="H9746" t="inlineStr"/>
    </row>
    <row r="9747">
      <c r="A9747" t="inlineStr">
        <is>
          <t>i3r9se</t>
        </is>
      </c>
      <c r="B9747" t="inlineStr">
        <is>
          <t>Anybody else's face/nostrils burn from reflux?</t>
        </is>
      </c>
      <c r="C9747" t="inlineStr">
        <is>
          <t>Some days (more often than not) my nostrils and just behind my nose will burn like there's a fire inside. Anybody else? Any solution?</t>
        </is>
      </c>
      <c r="D9747" t="n">
        <v>1</v>
      </c>
      <c r="E9747" t="n">
        <v>0</v>
      </c>
      <c r="F9747">
        <f>HYPERLINK("https://www.reddit.com/r/GERD/comments/i3r9se/anybody_elses_facenostrils_burn_from_reflux/")</f>
        <v/>
      </c>
      <c r="G9747" t="inlineStr">
        <is>
          <t>2020-08-04 13:36:30</t>
        </is>
      </c>
      <c r="H9747" t="inlineStr"/>
    </row>
    <row r="9748">
      <c r="A9748" t="inlineStr">
        <is>
          <t>i3rr2g</t>
        </is>
      </c>
      <c r="B9748" t="inlineStr">
        <is>
          <t>Success/Relief stories?</t>
        </is>
      </c>
      <c r="C9748" t="inlineStr">
        <is>
          <t>I think what this group needs is stories of people who have successfully beaten this disease or have seen relief for this disease through either diet/lifestyle changes/medications/surgery. That would definitely motivate people to follow diet/lifestyle changes and also help people understand what works. 
Bring the relief/success stories on!!! :burn:</t>
        </is>
      </c>
      <c r="D9748" t="n">
        <v>1</v>
      </c>
      <c r="E9748" t="n">
        <v>12</v>
      </c>
      <c r="F9748">
        <f>HYPERLINK("https://www.reddit.com/r/GERD/comments/i3rr2g/successrelief_stories/")</f>
        <v/>
      </c>
      <c r="G9748" t="inlineStr">
        <is>
          <t>2020-08-04 14:02:17</t>
        </is>
      </c>
      <c r="H9748" t="inlineStr"/>
    </row>
    <row r="9749">
      <c r="A9749" t="inlineStr">
        <is>
          <t>i3txwn</t>
        </is>
      </c>
      <c r="B9749" t="inlineStr">
        <is>
          <t>Looks like H2B are better than PPI for me when I'm weaning off PPI</t>
        </is>
      </c>
      <c r="C9749" t="inlineStr">
        <is>
          <t>I was on 40 mg Pantoprazole for 3 months for heartburn and LPR. I have improved a lot, so decided to wean off PPI
I follow this routine H2B-PPI-PPI-PPI-PPI-H2B. On the H2B days I'm currently taking 20mg pepcid 2 times a day.
I've noticed that 2 days after stopping ppi some moderate rebound starts and slowly decreases after taking ppis for 3 days. When I take h2b next there is literally no heartbutn, i'm thinking of switching completely to h2bs.
1. Should I switch completely to H2Bs?
2. Is taking 20mgx2 pepcid a day too much? I don't want to have a wean off strategy with H2Bs</t>
        </is>
      </c>
      <c r="D9749" t="n">
        <v>1</v>
      </c>
      <c r="E9749" t="n">
        <v>2</v>
      </c>
      <c r="F9749">
        <f>HYPERLINK("https://www.reddit.com/r/GERD/comments/i3txwn/looks_like_h2b_are_better_than_ppi_for_me_when_im/")</f>
        <v/>
      </c>
      <c r="G9749" t="inlineStr">
        <is>
          <t>2020-08-04 16:05:39</t>
        </is>
      </c>
      <c r="H9749" t="inlineStr"/>
    </row>
    <row r="9750">
      <c r="A9750" t="inlineStr">
        <is>
          <t>i3ugc6</t>
        </is>
      </c>
      <c r="B9750" t="inlineStr">
        <is>
          <t>Jaw and ear pain?</t>
        </is>
      </c>
      <c r="C9750" t="inlineStr">
        <is>
          <t>Does anyone have jaw and ear pain with there acid reflex? Right when I started getting acid reflex is around the same time my jaw and ear started acting up.</t>
        </is>
      </c>
      <c r="D9750" t="n">
        <v>1</v>
      </c>
      <c r="E9750" t="n">
        <v>21</v>
      </c>
      <c r="F9750">
        <f>HYPERLINK("https://www.reddit.com/r/GERD/comments/i3ugc6/jaw_and_ear_pain/")</f>
        <v/>
      </c>
      <c r="G9750" t="inlineStr">
        <is>
          <t>2020-08-04 16:36:43</t>
        </is>
      </c>
      <c r="H9750" t="inlineStr"/>
    </row>
    <row r="9751">
      <c r="A9751" t="inlineStr">
        <is>
          <t>i3uue4</t>
        </is>
      </c>
      <c r="B9751" t="inlineStr">
        <is>
          <t>Stomach issue</t>
        </is>
      </c>
      <c r="C9751" t="inlineStr">
        <is>
          <t>so i am recovering well and having way less chest pains than what i used to have. my medication of pantoprazole and famotidine ran out on the 30th. but i can still refill. the issue now is that for the past two days ive had stomach pains after i eat in the morning i ate spaghetti to see if i was recovering and it made my stomach hurt for like 3 hours. then today i forgot that i had some lime chips and they made my stomach hurt. anyone know how to make these go away or should i refill my medications?</t>
        </is>
      </c>
      <c r="D9751" t="n">
        <v>1</v>
      </c>
      <c r="E9751" t="n">
        <v>0</v>
      </c>
      <c r="F9751">
        <f>HYPERLINK("https://www.reddit.com/r/GERD/comments/i3uue4/stomach_issue/")</f>
        <v/>
      </c>
      <c r="G9751" t="inlineStr">
        <is>
          <t>2020-08-04 17:01:13</t>
        </is>
      </c>
      <c r="H9751" t="inlineStr"/>
    </row>
    <row r="9752">
      <c r="A9752" t="inlineStr">
        <is>
          <t>i3ux90</t>
        </is>
      </c>
      <c r="B9752" t="inlineStr">
        <is>
          <t>Is magnesium carbonate better for gerd/lpr or calcium carbonate?</t>
        </is>
      </c>
      <c r="C9752" t="inlineStr">
        <is>
          <t>I’ve had kidney stones and they are hell, so I’m reluctant to take too much calcium carbonate. 
Is magnesium carbonate as effective as calcium carbonate?</t>
        </is>
      </c>
      <c r="D9752" t="n">
        <v>1</v>
      </c>
      <c r="E9752" t="n">
        <v>0</v>
      </c>
      <c r="F9752">
        <f>HYPERLINK("https://www.reddit.com/r/GERD/comments/i3ux90/is_magnesium_carbonate_better_for_gerdlpr_or/")</f>
        <v/>
      </c>
      <c r="G9752" t="inlineStr">
        <is>
          <t>2020-08-04 17:06:04</t>
        </is>
      </c>
      <c r="H9752" t="inlineStr"/>
    </row>
    <row r="9753">
      <c r="A9753" t="inlineStr">
        <is>
          <t>i3v08w</t>
        </is>
      </c>
      <c r="B9753" t="inlineStr">
        <is>
          <t>Experience with Gaviscon? (UK version)</t>
        </is>
      </c>
      <c r="C9753" t="inlineStr">
        <is>
          <t>I'm in the US but heard the UK version was superior. It finally came today, and after downing some after dinner, I actually don't have any heartburn yet. Its been roughly 20 minutes, and usually symptoms show up for me pretty quickly so this is the moment of truth. Would be cool if this actually helped me long term. My GERD tends to make me feel like I have difficulty breathing, but I'm breathing just fine right now.</t>
        </is>
      </c>
      <c r="D9753" t="n">
        <v>1</v>
      </c>
      <c r="E9753" t="n">
        <v>2</v>
      </c>
      <c r="F9753">
        <f>HYPERLINK("https://www.reddit.com/r/GERD/comments/i3v08w/experience_with_gaviscon_uk_version/")</f>
        <v/>
      </c>
      <c r="G9753" t="inlineStr">
        <is>
          <t>2020-08-04 17:11:17</t>
        </is>
      </c>
      <c r="H9753" t="inlineStr"/>
    </row>
    <row r="9754">
      <c r="A9754" t="inlineStr">
        <is>
          <t>i3v0og</t>
        </is>
      </c>
      <c r="B9754" t="inlineStr">
        <is>
          <t>Palpitations</t>
        </is>
      </c>
      <c r="C9754" t="inlineStr">
        <is>
          <t>Does anyone else get pretty bad Palpitations when they’re having reflux? I noticed that my heart would start racing while having reflux. This was never an issue before, and I’ve been diagnosed with GERD for about 7 years now. I noticed it’s a lot worse at night, though it’s probably from laying down.</t>
        </is>
      </c>
      <c r="D9754" t="n">
        <v>1</v>
      </c>
      <c r="E9754" t="n">
        <v>8</v>
      </c>
      <c r="F9754">
        <f>HYPERLINK("https://www.reddit.com/r/GERD/comments/i3v0og/palpitations/")</f>
        <v/>
      </c>
      <c r="G9754" t="inlineStr">
        <is>
          <t>2020-08-04 17:12:02</t>
        </is>
      </c>
      <c r="H9754" t="inlineStr"/>
    </row>
    <row r="9755">
      <c r="A9755" t="inlineStr">
        <is>
          <t>i3vagl</t>
        </is>
      </c>
      <c r="B9755" t="inlineStr">
        <is>
          <t>Is PPIs making me feel full easier</t>
        </is>
      </c>
      <c r="C9755" t="inlineStr">
        <is>
          <t>Hi,
After 2 months of agony, I finally realize I MIGHT have GERD. It's most likely cause I love to eat big meal before I go to sleep and I eat super fast. I am 31, I guess my body finally couldn't take it anymore after years of neglect.
&amp;amp;#x200B;
My symptoms:
a) A lot of times I have mucus sticking to my throat (thought it was allergy before). People always think I have sore throat.
b) I recently feel there is a lump in my throat (around where the collar bone is) when I swallow 
c) There was a morning where I woke up and felt food from the night before came back up
d) There are time I woke up right after I fall asleep cause I felt some sort of food stuck in my throat.
e) Chest/lung feel discomfort in the morning when I go washroom then try to go back to sleep. (I think it comes whenever I breath in) Really hard to go back to sleep.
&amp;amp;#x200B;
I talked to my doctor and asked him something for GERD and he gave me Act-Esomeprazole (PPIs I think). I've been on it for 4 days now, I still have the e) symptoms.
My question is: 
1. Is it normal that, after on PPIs, my stomach feel really full really quickly when I eat.
2. GERD is when you feel acid coming back up right? However before I stopped eating later at night, I only experienced food coming back up, never acid. Base on my symptoms Is it still GERD? 
3. I read a lot of negatives comment on PPIs online, should I be worried PPIs is not for me? Is it hindering my digestion?
4. Anything you guys can suggest for me to get relieve for symptoms e)?
Thanks</t>
        </is>
      </c>
      <c r="D9755" t="n">
        <v>1</v>
      </c>
      <c r="E9755" t="n">
        <v>0</v>
      </c>
      <c r="F9755">
        <f>HYPERLINK("https://www.reddit.com/r/GERD/comments/i3vagl/is_ppis_making_me_feel_full_easier/")</f>
        <v/>
      </c>
      <c r="G9755" t="inlineStr">
        <is>
          <t>2020-08-04 17:29:26</t>
        </is>
      </c>
      <c r="H9755" t="inlineStr"/>
    </row>
    <row r="9756">
      <c r="A9756" t="inlineStr">
        <is>
          <t>i3vjq6</t>
        </is>
      </c>
      <c r="B9756" t="inlineStr">
        <is>
          <t>So... Any chance it will stop?</t>
        </is>
      </c>
      <c r="C9756" t="inlineStr">
        <is>
          <t>It started suddenly a couple of weeks ago. I had a reflux once, then twice, then many times, then I woke up at 3:00 AM with chest pain... I used to drink like 6 cans of sparkling water a day + caffeine + lot of stress, so it may not be a big surprise.
What's a surprise is how it's like a switch turned ON/OFF. I did not have those reflux and now I have them all the time.
I take Dexilant (I split a 60 mg in two, so maybe about 30 mg daily) + Zantac + I stopped sparkling water, yet it gets worse and worse. Now I'm coughing and it hurts in the throat and lately I have see that my gums aren't as nice as they were (I have the periodontist disease, so I need to check this frequently).
So, well... 
1) Does it get better eventually?
2) Is it normal that it's like a switch turned ON, that something that never bothered me before now bothers me every day even with meds? Any chance it gets back to normal, that the sphincter works again like it used before?
P.S. I cheated on caffeine two days last week; would it be enough to create such havoc?</t>
        </is>
      </c>
      <c r="D9756" t="n">
        <v>1</v>
      </c>
      <c r="E9756" t="n">
        <v>6</v>
      </c>
      <c r="F9756">
        <f>HYPERLINK("https://www.reddit.com/r/GERD/comments/i3vjq6/so_any_chance_it_will_stop/")</f>
        <v/>
      </c>
      <c r="G9756" t="inlineStr">
        <is>
          <t>2020-08-04 17:45:58</t>
        </is>
      </c>
      <c r="H9756" t="inlineStr"/>
    </row>
    <row r="9757">
      <c r="A9757" t="inlineStr">
        <is>
          <t>i3wtvp</t>
        </is>
      </c>
      <c r="B9757" t="inlineStr">
        <is>
          <t>Can i drink water with gaviscon advace?</t>
        </is>
      </c>
      <c r="C9757" t="inlineStr">
        <is>
          <t>Can i drink water after just taking some gaviscon or will that wash it away??</t>
        </is>
      </c>
      <c r="D9757" t="n">
        <v>1</v>
      </c>
      <c r="E9757" t="n">
        <v>3</v>
      </c>
      <c r="F9757">
        <f>HYPERLINK("https://www.reddit.com/r/GERD/comments/i3wtvp/can_i_drink_water_with_gaviscon_advace/")</f>
        <v/>
      </c>
      <c r="G9757" t="inlineStr">
        <is>
          <t>2020-08-04 19:12:11</t>
        </is>
      </c>
      <c r="H9757" t="inlineStr"/>
    </row>
    <row r="9758">
      <c r="A9758" t="inlineStr">
        <is>
          <t>i3xcov</t>
        </is>
      </c>
      <c r="B9758" t="inlineStr">
        <is>
          <t>Anybody else get burning in the nostrils and behind the nose?</t>
        </is>
      </c>
      <c r="C9758" t="inlineStr">
        <is>
          <t>Some days (more often than not) my nostrils and just behind my nose will burn like there's a fire inside. Anybody else? Any solution?</t>
        </is>
      </c>
      <c r="D9758" t="n">
        <v>1</v>
      </c>
      <c r="E9758" t="n">
        <v>1</v>
      </c>
      <c r="F9758">
        <f>HYPERLINK("https://www.reddit.com/r/GERD/comments/i3xcov/anybody_else_get_burning_in_the_nostrils_and/")</f>
        <v/>
      </c>
      <c r="G9758" t="inlineStr">
        <is>
          <t>2020-08-04 19:47:56</t>
        </is>
      </c>
      <c r="H9758" t="inlineStr"/>
    </row>
    <row r="9759">
      <c r="A9759" t="inlineStr">
        <is>
          <t>i3xe5c</t>
        </is>
      </c>
      <c r="B9759" t="inlineStr">
        <is>
          <t>Baking Soda as temporary cure?</t>
        </is>
      </c>
      <c r="C9759" t="inlineStr">
        <is>
          <t>I have been drinking a tablespoon of baking soda a couple times a day, and it seems to knock out any gerd symptoms. Anyone else tried this? Are there any long term side effects  I should be worried about?</t>
        </is>
      </c>
      <c r="D9759" t="n">
        <v>1</v>
      </c>
      <c r="E9759" t="n">
        <v>2</v>
      </c>
      <c r="F9759">
        <f>HYPERLINK("https://www.reddit.com/r/GERD/comments/i3xe5c/baking_soda_as_temporary_cure/")</f>
        <v/>
      </c>
      <c r="G9759" t="inlineStr">
        <is>
          <t>2020-08-04 19:50:39</t>
        </is>
      </c>
      <c r="H9759" t="inlineStr"/>
    </row>
    <row r="9760">
      <c r="A9760" t="inlineStr">
        <is>
          <t>i3xgas</t>
        </is>
      </c>
      <c r="B9760" t="inlineStr">
        <is>
          <t>Big meals and anxiety</t>
        </is>
      </c>
      <c r="C9760" t="inlineStr">
        <is>
          <t>My first experience with GERD/Reflux was a month or so ago and it was after stuffing my face. Afterwards I had a panic attack, which has never happened.
Now when I overeat (which is rare), the anxiety comes back. Does anyone else experience this? Any tips to help calm oneself down?</t>
        </is>
      </c>
      <c r="D9760" t="n">
        <v>1</v>
      </c>
      <c r="E9760" t="n">
        <v>1</v>
      </c>
      <c r="F9760">
        <f>HYPERLINK("https://www.reddit.com/r/GERD/comments/i3xgas/big_meals_and_anxiety/")</f>
        <v/>
      </c>
      <c r="G9760" t="inlineStr">
        <is>
          <t>2020-08-04 19:54:49</t>
        </is>
      </c>
      <c r="H9760" t="inlineStr"/>
    </row>
    <row r="9761">
      <c r="A9761" t="inlineStr">
        <is>
          <t>i3xm1y</t>
        </is>
      </c>
      <c r="B9761" t="inlineStr">
        <is>
          <t>Suggestions for non-stop belching?</t>
        </is>
      </c>
      <c r="C9761" t="inlineStr">
        <is>
          <t>I have been diagnosed with GERD due to an hpylori infection, im on antibiotics as well as donperdone for slow gastric emptying which may have either been caused by or caused the hypylori. My bloating/distension is so severe that I’ve had to go to the ER, feeling like my stomach is going to explode. I’m still distended, but in less pain since the ER. I haven’t eaten any solid food in 6 days and I’ve gotten IVs for hydration and keeping me functioning properly. I’m in the middle of taking the hpylori “pack” that they give to eradicate the GI symptoms, but the worst part right now is that I consistently burp. Like perpetually, it doesn’t end. I burp basically as much as I breathe. I’ve tried all of the ways to breathe deeply and try and ensure I’m not swallowing air when I breathe but I’m breathing deeply and slowly with my nose and I’m still needed to burp every few seconds. Does anyone have any suggestions for this? it happens if I’m sitting lying down etc. It is driving me absolutely insane.</t>
        </is>
      </c>
      <c r="D9761" t="n">
        <v>1</v>
      </c>
      <c r="E9761" t="n">
        <v>4</v>
      </c>
      <c r="F9761">
        <f>HYPERLINK("https://www.reddit.com/r/GERD/comments/i3xm1y/suggestions_for_nonstop_belching/")</f>
        <v/>
      </c>
      <c r="G9761" t="inlineStr">
        <is>
          <t>2020-08-04 20:05:51</t>
        </is>
      </c>
      <c r="H9761" t="inlineStr"/>
    </row>
    <row r="9762">
      <c r="A9762" t="inlineStr">
        <is>
          <t>i3xpxu</t>
        </is>
      </c>
      <c r="B9762" t="inlineStr">
        <is>
          <t>Chest pressure on the left side</t>
        </is>
      </c>
      <c r="C9762" t="inlineStr">
        <is>
          <t>Does anyone feel pressure on the left side of their chest? Sometimes I’ll burp and I’ll feel relieved but eventually the feeling comes back. Any remedies?</t>
        </is>
      </c>
      <c r="D9762" t="n">
        <v>1</v>
      </c>
      <c r="E9762" t="n">
        <v>0</v>
      </c>
      <c r="F9762">
        <f>HYPERLINK("https://www.reddit.com/r/GERD/comments/i3xpxu/chest_pressure_on_the_left_side/")</f>
        <v/>
      </c>
      <c r="G9762" t="inlineStr">
        <is>
          <t>2020-08-04 20:13:08</t>
        </is>
      </c>
      <c r="H9762" t="inlineStr"/>
    </row>
    <row r="9763">
      <c r="A9763" t="inlineStr">
        <is>
          <t>i3z23s</t>
        </is>
      </c>
      <c r="B9763" t="inlineStr">
        <is>
          <t>Constant reflux - no burning</t>
        </is>
      </c>
      <c r="C9763" t="inlineStr">
        <is>
          <t>Hi friends,
Does this happen to anyone else?
I had an endoscopy done and it looks like my GE junction shows laxity. Basically, it feels like I can constantly feel the rush of acid come up. All the time, almost like my LES is just open. When I move too much, after I eat, when I sleep, sometimes when I'm even sitting upright. It almost seems like there isn't one thing or the other making it more lax, it's just constantly open. It doesn't necessarily burn or irritate too much, but it's more just the feeling of liquid constantly coming up. Any suggestions for this? Is there a difference between a malfunctioning LES vs a LES that is just always lax?
I am currently on PPIs, Gavison, probiotics, and just started taking digestive enzymes 2 days ago.</t>
        </is>
      </c>
      <c r="D9763" t="n">
        <v>1</v>
      </c>
      <c r="E9763" t="n">
        <v>14</v>
      </c>
      <c r="F9763">
        <f>HYPERLINK("https://www.reddit.com/r/GERD/comments/i3z23s/constant_reflux_no_burning/")</f>
        <v/>
      </c>
      <c r="G9763" t="inlineStr">
        <is>
          <t>2020-08-04 21:50:29</t>
        </is>
      </c>
      <c r="H9763" t="inlineStr"/>
    </row>
    <row r="9764">
      <c r="A9764" t="inlineStr">
        <is>
          <t>i3zb83</t>
        </is>
      </c>
      <c r="B9764" t="inlineStr">
        <is>
          <t>How do you deal with GERD symptoms when alone?</t>
        </is>
      </c>
      <c r="C9764" t="inlineStr">
        <is>
          <t>College is starting back soon (as much as I wish it wouldn't) and I attend university out of state. Ever since my GERD symptoms started (the symptoms that make you think you're having a heart attack), I've been at home with my family, and have been happily letting my mother and siblings keep my anxiety calm by being around them whenever the chest pains are at an all time high. 
But now I'm about to be 3 hours away in a city with one of the worst flare ups I've had since I've dealt with GERD and I just KNOW my anxiety is gonna be through the roof. Between overthinking every pain I have and not having that safety and comfort of an older (and much more responsible) family member, I just know I'll be a wreck, which will inevitably keep these GERD pains constant since I know anxiety is such a big cause.
How do you deal with the scary symptoms on your own? I have such crazy health anxiety and being in a city with a pandemic going on while having a condition that's convincing many they have the virus is just tearing me to shreds. 
Considered letting this semester go, but not sure if I can get out of my housing contract in time. If it's worse case scenario and I can't, how do you recommend keeping myself level-headed?</t>
        </is>
      </c>
      <c r="D9764" t="n">
        <v>1</v>
      </c>
      <c r="E9764" t="n">
        <v>1</v>
      </c>
      <c r="F9764">
        <f>HYPERLINK("https://www.reddit.com/r/GERD/comments/i3zb83/how_do_you_deal_with_gerd_symptoms_when_alone/")</f>
        <v/>
      </c>
      <c r="G9764" t="inlineStr">
        <is>
          <t>2020-08-04 22:10:25</t>
        </is>
      </c>
      <c r="H9764" t="inlineStr"/>
    </row>
    <row r="9765">
      <c r="A9765" t="inlineStr">
        <is>
          <t>i3zn5r</t>
        </is>
      </c>
      <c r="B9765" t="inlineStr">
        <is>
          <t>ever burp and the globus sensation goes away? for a few minutes</t>
        </is>
      </c>
      <c r="C9765" t="inlineStr">
        <is>
          <t>It's awesome.
Then it comes back.
That first swallow after a burp.  Yes!</t>
        </is>
      </c>
      <c r="D9765" t="n">
        <v>1</v>
      </c>
      <c r="E9765" t="n">
        <v>1</v>
      </c>
      <c r="F9765">
        <f>HYPERLINK("https://www.reddit.com/r/GERD/comments/i3zn5r/ever_burp_and_the_globus_sensation_goes_away_for/")</f>
        <v/>
      </c>
      <c r="G9765" t="inlineStr">
        <is>
          <t>2020-08-04 22:37:58</t>
        </is>
      </c>
      <c r="H9765" t="inlineStr"/>
    </row>
    <row r="9766">
      <c r="A9766" t="inlineStr">
        <is>
          <t>i3zp0m</t>
        </is>
      </c>
      <c r="B9766" t="inlineStr">
        <is>
          <t>trick I discovered to temporarily relieve globus sensation and dysphagia</t>
        </is>
      </c>
      <c r="C9766" t="inlineStr">
        <is>
          <t>This might not work for everybody.
Take your hand and put it under your jaw.  Push down with your chin and up with your hand.  Swallow while you're doing this.
With a situation where this doesn't work:
Take your and and put it on the lower part of your chin.  Push back with your hand and push ahead with your face.  Swallow while you're doing this.
No idea what's happening when you do this, but for me, this briefly relieves globus sensation and I can swallow easier.</t>
        </is>
      </c>
      <c r="D9766" t="n">
        <v>1</v>
      </c>
      <c r="E9766" t="n">
        <v>4</v>
      </c>
      <c r="F9766">
        <f>HYPERLINK("https://www.reddit.com/r/GERD/comments/i3zp0m/trick_i_discovered_to_temporarily_relieve_globus/")</f>
        <v/>
      </c>
      <c r="G9766" t="inlineStr">
        <is>
          <t>2020-08-04 22:42:10</t>
        </is>
      </c>
      <c r="H9766" t="inlineStr"/>
    </row>
    <row r="9767">
      <c r="A9767" t="inlineStr">
        <is>
          <t>i403dc</t>
        </is>
      </c>
      <c r="B9767" t="inlineStr">
        <is>
          <t>Got diagnosed today, need light at end of the tunnel</t>
        </is>
      </c>
      <c r="C9767" t="inlineStr">
        <is>
          <t>Was in the ER on Friday with excruciating abdominal pain. After a misdiagnosis and an absolutely horrible weekend, I ended up at a gastroenterologist today and now have a diagnosis of GERD. 
I was prescribed Zolfran because I have not been able to keep nearly any food or liquids down since Friday and Nexium (which I still do not know what it is but I took it and it helped me eat a bit). 
I'm terrified and so hungry. I have lost 8 pounds since Friday. Someone please tell me it gets better from here.</t>
        </is>
      </c>
      <c r="D9767" t="n">
        <v>1</v>
      </c>
      <c r="E9767" t="n">
        <v>7</v>
      </c>
      <c r="F9767">
        <f>HYPERLINK("https://www.reddit.com/r/GERD/comments/i403dc/got_diagnosed_today_need_light_at_end_of_the/")</f>
        <v/>
      </c>
      <c r="G9767" t="inlineStr">
        <is>
          <t>2020-08-04 23:16:13</t>
        </is>
      </c>
      <c r="H9767" t="inlineStr"/>
    </row>
    <row r="9768">
      <c r="A9768" t="inlineStr">
        <is>
          <t>i40pim</t>
        </is>
      </c>
      <c r="B9768" t="inlineStr">
        <is>
          <t>Has anyone cured severe GERD without surgery? (Diet, weight loss, exercise)</t>
        </is>
      </c>
      <c r="C9768" t="inlineStr">
        <is>
          <t>I’m really worried because I’ve been throwing up these days but nothing has been coming up except for some mucus. Can I ever recover from this disease with omeprazole and diet and exercise changes? I’m really scared of getting surgery...</t>
        </is>
      </c>
      <c r="D9768" t="n">
        <v>1</v>
      </c>
      <c r="E9768" t="n">
        <v>19</v>
      </c>
      <c r="F9768">
        <f>HYPERLINK("https://www.reddit.com/r/GERD/comments/i40pim/has_anyone_cured_severe_gerd_without_surgery_diet/")</f>
        <v/>
      </c>
      <c r="G9768" t="inlineStr">
        <is>
          <t>2020-08-05 00:10:45</t>
        </is>
      </c>
      <c r="H9768" t="inlineStr"/>
    </row>
    <row r="9769">
      <c r="A9769" t="inlineStr">
        <is>
          <t>i411fb</t>
        </is>
      </c>
      <c r="B9769" t="inlineStr">
        <is>
          <t>Shortness of breath from heartburn, what to do?</t>
        </is>
      </c>
      <c r="C9769" t="inlineStr">
        <is>
          <t>I don't have a primary right now because my insurance changed and they don't take my new insurance.
I've gotten obese over the last year, food helped me cope with my protracted benzo withdrawal.
I've noticed I've been getting heartburn and I got a bad case one day, reallllyyyy bad. And I've had shortness of breath since.
It's been 2 weeks, should I take otc acid reducers for a month or so?
I'll try and get a primary soon, c*vid(censored because the filter) has things messed up.</t>
        </is>
      </c>
      <c r="D9769" t="n">
        <v>1</v>
      </c>
      <c r="E9769" t="n">
        <v>2</v>
      </c>
      <c r="F9769">
        <f>HYPERLINK("https://www.reddit.com/r/GERD/comments/i411fb/shortness_of_breath_from_heartburn_what_to_do/")</f>
        <v/>
      </c>
      <c r="G9769" t="inlineStr">
        <is>
          <t>2020-08-05 00:41:23</t>
        </is>
      </c>
      <c r="H9769" t="inlineStr"/>
    </row>
    <row r="9770">
      <c r="A9770" t="inlineStr">
        <is>
          <t>i43fdh</t>
        </is>
      </c>
      <c r="B9770" t="inlineStr">
        <is>
          <t>GERD: Tinnitus, burning eyes and nasal congestion</t>
        </is>
      </c>
      <c r="C9770" t="inlineStr">
        <is>
          <t>When my GERD started, within 3 months I developed tinnitus in both ears, nasal congestion and burning eyes. Initially I thought it is due to stress and anxiety, but somehow I feel GERD is the culprit. Anyone is facing same problems?</t>
        </is>
      </c>
      <c r="D9770" t="n">
        <v>1</v>
      </c>
      <c r="E9770" t="n">
        <v>5</v>
      </c>
      <c r="F9770">
        <f>HYPERLINK("https://www.reddit.com/r/GERD/comments/i43fdh/gerd_tinnitus_burning_eyes_and_nasal_congestion/")</f>
        <v/>
      </c>
      <c r="G9770" t="inlineStr">
        <is>
          <t>2020-08-05 04:14:48</t>
        </is>
      </c>
      <c r="H9770" t="inlineStr"/>
    </row>
    <row r="9771">
      <c r="A9771" t="inlineStr">
        <is>
          <t>i43i6i</t>
        </is>
      </c>
      <c r="B9771" t="inlineStr">
        <is>
          <t>Should I supplement vitamin C?</t>
        </is>
      </c>
      <c r="C9771" t="inlineStr">
        <is>
          <t>pretty much all the food sources of vitamins I can't have. Fruits are too acidic and the veggies that have vitamin c give me digestive problems. Looking at my diet in cronometer I am getting hardly any vitamin C, only a little bit from fortified cereal. Do you guys think I should take a vitamin C supplement?</t>
        </is>
      </c>
      <c r="D9771" t="n">
        <v>1</v>
      </c>
      <c r="E9771" t="n">
        <v>2</v>
      </c>
      <c r="F9771">
        <f>HYPERLINK("https://www.reddit.com/r/GERD/comments/i43i6i/should_i_supplement_vitamin_c/")</f>
        <v/>
      </c>
      <c r="G9771" t="inlineStr">
        <is>
          <t>2020-08-05 04:21:11</t>
        </is>
      </c>
      <c r="H9771" t="inlineStr"/>
    </row>
    <row r="9772">
      <c r="A9772" t="inlineStr">
        <is>
          <t>i44gqd</t>
        </is>
      </c>
      <c r="B9772" t="inlineStr">
        <is>
          <t>How to cure GERD (forever)</t>
        </is>
      </c>
      <c r="C9772" t="inlineStr">
        <is>
          <t>I wonder what you guys think about the advices here: [https://chriskresser.com/how-to-cure-gerd-without-medication/](https://chriskresser.com/how-to-cure-gerd-without-medication/)
I don't like taking those PPI forever so I'd like to find a natural alternative. Anything true or false there? I've read about the H. Pylori connection at some places as well. I wonder if it's possible to get rid of it naturally. 
And what about HCL capsules... I'm not sure how they work and wouldn't that be like simply switching an addiction to PPI to HCL?
Still looking for a solution...</t>
        </is>
      </c>
      <c r="D9772" t="n">
        <v>1</v>
      </c>
      <c r="E9772" t="n">
        <v>21</v>
      </c>
      <c r="F9772">
        <f>HYPERLINK("https://www.reddit.com/r/GERD/comments/i44gqd/how_to_cure_gerd_forever/")</f>
        <v/>
      </c>
      <c r="G9772" t="inlineStr">
        <is>
          <t>2020-08-05 05:31:54</t>
        </is>
      </c>
      <c r="H9772" t="inlineStr"/>
    </row>
    <row r="9773">
      <c r="A9773" t="inlineStr">
        <is>
          <t>i45uj4</t>
        </is>
      </c>
      <c r="B9773" t="inlineStr">
        <is>
          <t>I just want to be able to drink beer at night and coffee in the morning....</t>
        </is>
      </c>
      <c r="C9773" t="inlineStr">
        <is>
          <t>I've had GERD for a few years, I have my routines and solutions, I do everything right for me. Eventually would love to get off PPIs (been on them for about 2 years) but oh well. I could live with giving up literally everything - I'm a New Yorker and easily gave up pizza and bagels, but just want to drink beer on weekend nights with my friends (I'm 26 give me a break) and my morning coffee. I can do the beer with little to no irritation depending on the type of beer, but I haven't quite figured out coffee yet. Anyone have any hacks/solutions for their morning brew?</t>
        </is>
      </c>
      <c r="D9773" t="n">
        <v>1</v>
      </c>
      <c r="E9773" t="n">
        <v>77</v>
      </c>
      <c r="F9773">
        <f>HYPERLINK("https://www.reddit.com/r/GERD/comments/i45uj4/i_just_want_to_be_able_to_drink_beer_at_night_and/")</f>
        <v/>
      </c>
      <c r="G9773" t="inlineStr">
        <is>
          <t>2020-08-05 07:00:10</t>
        </is>
      </c>
      <c r="H9773" t="inlineStr"/>
    </row>
    <row r="9774">
      <c r="A9774" t="inlineStr">
        <is>
          <t>i45wln</t>
        </is>
      </c>
      <c r="B9774" t="inlineStr">
        <is>
          <t>GERD and working</t>
        </is>
      </c>
      <c r="C9774" t="inlineStr">
        <is>
          <t>I'm really worried about managing my GERD at work. I work in education and we're going back to in-person working in a few weeks. Outside of my 30-minute lunch, it's hard to find 5 minutes to spare, on top of coming into work early and sometimes staying late. Right now I'm doing 5 meals a day, which is definitely helpful. Even finding one additional time for a light meal or snack on top of lunch is going to be difficult. I won't have 20 minutes to chew my food anymore. 
My GERD is like the world's most fragile sculpture. If I try to do anything different, it causes me problems. I don't really want to alert anyone at work about how bad it is though (public education can be a very vindictive world when it wants to be).</t>
        </is>
      </c>
      <c r="D9774" t="n">
        <v>1</v>
      </c>
      <c r="E9774" t="n">
        <v>15</v>
      </c>
      <c r="F9774">
        <f>HYPERLINK("https://www.reddit.com/r/GERD/comments/i45wln/gerd_and_working/")</f>
        <v/>
      </c>
      <c r="G9774" t="inlineStr">
        <is>
          <t>2020-08-05 07:03:29</t>
        </is>
      </c>
      <c r="H9774" t="inlineStr"/>
    </row>
    <row r="9775">
      <c r="A9775" t="inlineStr">
        <is>
          <t>i46jnn</t>
        </is>
      </c>
      <c r="B9775" t="inlineStr">
        <is>
          <t>Success with short-term PPI?</t>
        </is>
      </c>
      <c r="C9775" t="inlineStr">
        <is>
          <t>Basically I’m just wondering if anyone has ever been able to just take PPIs for 2-4 weeks and then come off of them successfully or if it’s a once you’re on them you’re on them type of thing. I seem to have more LPR or silent reflux so not sure if this is truly my first experience with it or if I’m just now noticing it but I’m really hoping I don’t have to be on them for years. I’ve been in Omeprazole for 5 days so far and not sure I’m noticing much of a difference. I’ve also drastically changed my diet and dropped around 20 pounds so far all to avail. Will keep trucking along. Feel free to share your experiences.</t>
        </is>
      </c>
      <c r="D9775" t="n">
        <v>1</v>
      </c>
      <c r="E9775" t="n">
        <v>8</v>
      </c>
      <c r="F9775">
        <f>HYPERLINK("https://www.reddit.com/r/GERD/comments/i46jnn/success_with_shortterm_ppi/")</f>
        <v/>
      </c>
      <c r="G9775" t="inlineStr">
        <is>
          <t>2020-08-05 07:42:14</t>
        </is>
      </c>
      <c r="H9775" t="inlineStr"/>
    </row>
    <row r="9776">
      <c r="A9776" t="inlineStr">
        <is>
          <t>i474mu</t>
        </is>
      </c>
      <c r="B9776" t="inlineStr">
        <is>
          <t>Trouble breathing?</t>
        </is>
      </c>
      <c r="C9776" t="inlineStr">
        <is>
          <t>I was just recently disgnosed with GERD and i’m now on omeprazole. Its been hard for me to breathe recently or even talk, anyone having similar issues or can give me some advice?</t>
        </is>
      </c>
      <c r="D9776" t="n">
        <v>1</v>
      </c>
      <c r="E9776" t="n">
        <v>4</v>
      </c>
      <c r="F9776">
        <f>HYPERLINK("https://www.reddit.com/r/GERD/comments/i474mu/trouble_breathing/")</f>
        <v/>
      </c>
      <c r="G9776" t="inlineStr">
        <is>
          <t>2020-08-05 08:14:49</t>
        </is>
      </c>
      <c r="H9776" t="inlineStr"/>
    </row>
    <row r="9777">
      <c r="A9777" t="inlineStr">
        <is>
          <t>i47b1t</t>
        </is>
      </c>
      <c r="B9777" t="inlineStr">
        <is>
          <t>Esophageal spasms?</t>
        </is>
      </c>
      <c r="C9777" t="inlineStr">
        <is>
          <t>Anyone unlucky enough to also experience the hell that is esophageal spasms? And you feel like your throat is going to close up any minute for good? So uncomfortable, at some point even swallowing is a challenge. Looking for any guidance on symptom relief for this one ....</t>
        </is>
      </c>
      <c r="D9777" t="n">
        <v>1</v>
      </c>
      <c r="E9777" t="n">
        <v>0</v>
      </c>
      <c r="F9777">
        <f>HYPERLINK("https://www.reddit.com/r/GERD/comments/i47b1t/esophageal_spasms/")</f>
        <v/>
      </c>
      <c r="G9777" t="inlineStr">
        <is>
          <t>2020-08-05 08:24:33</t>
        </is>
      </c>
      <c r="H9777" t="inlineStr"/>
    </row>
    <row r="9778">
      <c r="A9778" t="inlineStr">
        <is>
          <t>i47ejw</t>
        </is>
      </c>
      <c r="B9778" t="inlineStr">
        <is>
          <t>Is it possible that my PPI was part of the problem??</t>
        </is>
      </c>
      <c r="C9778" t="inlineStr">
        <is>
          <t>So I got a pretty intense flare up a few weeks ago even after taking omeprazole religiously every morning for months. I started to take another pill before bed at night to help with the flare. Eventually I ran out of pills and because I’m moving I haven’t been able to get more from the store. Well soon after I stopped taking the omeprazole, my symptoms cleared despite not being able to ween off it in the past without problems. Is it possible that the medication was contributing to some of my GERD issues? I know there’s a lot of factors that contribute to GERD but I haven’t changed my routine much at all except for not taking the medicine.</t>
        </is>
      </c>
      <c r="D9778" t="n">
        <v>1</v>
      </c>
      <c r="E9778" t="n">
        <v>2</v>
      </c>
      <c r="F9778">
        <f>HYPERLINK("https://www.reddit.com/r/GERD/comments/i47ejw/is_it_possible_that_my_ppi_was_part_of_the_problem/")</f>
        <v/>
      </c>
      <c r="G9778" t="inlineStr">
        <is>
          <t>2020-08-05 08:30:06</t>
        </is>
      </c>
      <c r="H9778" t="inlineStr"/>
    </row>
    <row r="9779">
      <c r="A9779" t="inlineStr">
        <is>
          <t>i47ogb</t>
        </is>
      </c>
      <c r="B9779" t="inlineStr">
        <is>
          <t>anyone have slow motility?</t>
        </is>
      </c>
      <c r="C9779" t="inlineStr">
        <is>
          <t>I used to take a dump every morning.  Since this started, it's like... every other day?  Maybe I'm not eating as much.</t>
        </is>
      </c>
      <c r="D9779" t="n">
        <v>1</v>
      </c>
      <c r="E9779" t="n">
        <v>1</v>
      </c>
      <c r="F9779">
        <f>HYPERLINK("https://www.reddit.com/r/GERD/comments/i47ogb/anyone_have_slow_motility/")</f>
        <v/>
      </c>
      <c r="G9779" t="inlineStr">
        <is>
          <t>2020-08-05 08:44:26</t>
        </is>
      </c>
      <c r="H9779" t="inlineStr"/>
    </row>
    <row r="9780">
      <c r="A9780" t="inlineStr">
        <is>
          <t>i47osl</t>
        </is>
      </c>
      <c r="B9780" t="inlineStr">
        <is>
          <t>GERD Cough?</t>
        </is>
      </c>
      <c r="C9780" t="inlineStr">
        <is>
          <t>Sorry for posting a lot, I’m new to this GERD crap. Can people that have this symptom associated with GERD explain what theirs is like? I’ve had it for months and most say it’s worse at night but for me it’s at its worst in the morning or upon waking up. I get this weird feeling in my throat or chest when I take a deep breath that makes me have to cough. Does anyone else relate with this?</t>
        </is>
      </c>
      <c r="D9780" t="n">
        <v>1</v>
      </c>
      <c r="E9780" t="n">
        <v>10</v>
      </c>
      <c r="F9780">
        <f>HYPERLINK("https://www.reddit.com/r/GERD/comments/i47osl/gerd_cough/")</f>
        <v/>
      </c>
      <c r="G9780" t="inlineStr">
        <is>
          <t>2020-08-05 08:44:58</t>
        </is>
      </c>
      <c r="H9780" t="inlineStr"/>
    </row>
    <row r="9781">
      <c r="A9781" t="inlineStr">
        <is>
          <t>i49lhx</t>
        </is>
      </c>
      <c r="B9781" t="inlineStr">
        <is>
          <t>PPI's making GERD worse, can't wean myself off them because of rebound. I'm slowly losing hope.</t>
        </is>
      </c>
      <c r="C9781" t="inlineStr">
        <is>
          <t>I had LPR since I was 12-14 years old, I'm 22 years old now. Between then and now I was taking Omeprazole. I was taking 80 mg, sometimes less, sometimes more, but I was taking it incorrectly (first thing after waking up (then I would not eat for at least 1-2 hours) and I would take it again before going to sleep. Around 6-8 months ago I went to ENT (for not GERD related reasons), she said that I have GERD which I knew because I undergo endoscopy every year because I have an ulcer, and endoscopy also confirmed it. ENT put me on 40 mg of Rabeprazole, didn't even asked how I was taking Omeprazole, she just assumed I guess. While on 40 mg of Rabeprazole my GERD got worse (constant heartburn, sore throat etc.), before all of this I wouldn't get heartburn unless I would eat large amounts of citrus foods or mint.  After taking Rabeprazole for a month or two I decided to quit it cold turkey (didn't know anything about PPI rebound), then GERD came back even more. I tried to tough it out for 3 months, because I read somewhere that rebound lasts up to 3 months, but rebound never went away for me. After that decided that I should go to gastroenterologist, she put me on 40 mg of panteprazole and asked me to take it for 2 weeks and come back. I took it for about 1 week and said fuck this I'm not going back to her anymore because shes one of those doctors who told me that the cause for my GERD was anxiety LOL (which I do suffer from, but how did she even knew that if she didn't ask? She just like that ENT doctor assumed it. So I went back on 80 mg of Omeprazole, with each month my symptoms improved a bit but my GERD was nowhere close the level I was when I took it wrong or should I say didn't take it. As of right now I'm on my 3rd different PPI, I tried Nexium and it was better than Omeprazole, but I would get nauseous some time after eating which got to the point where it was worse than heartburn for me. Right now I'm on Dexilant, and my apetite came back, was eating like a normal person, almost complete relief in terms of heartburn but I get nauseous after eating (not like on Nexium, but it still sucks). I know PPI's for whatever reason are causing GERD to become more severe which is ridicilous, but I can't come off them I tried to go from 80 to 60 mg Omeprazole before (I was taking 60mg every other day and surprise, surprise on the days when I was taking 60 mg and not 80 mg my GERD were somehow moer managable LOL) but after 2 weeks I started to take 60 mg daily and rebound hit me again. So yeah, I'm pretty much stuck between two choices equally bad, either somehow wean yourself off PPI's with no guarantee that it'll get better, or have some relief when taking big dose (60 mg) of Dexilant but get nausea, abdominal pain and constipation/indigestion as your new substitute teachers. Either way I'm going to have to suffer I guess... There's no avoiding that.
There's probably going to be people who are going to give me GERD tips like (dont lay down for 2-3 hours after eating, avoid this, avoid that), but my lifestyle or diet isn't causing this issue. I was doing a lot of things wrong when I was not taking PPI's and my GERD was very managable. Also I actually changed a lot of things that should help my GERD, like raising the head of my bed, not eating trigger foods, not drinking coffee, I lost 95 pounds and GERD is way worse than when I was doing basically "fuck all", drinking coffee, laying down after eating, was obese etc. I know PPI's are what's causing all of this, but now the question is why the hell would PPI's actually make GERD worse for me and not better? And how the hell do I come off them?</t>
        </is>
      </c>
      <c r="D9781" t="n">
        <v>1</v>
      </c>
      <c r="E9781" t="n">
        <v>10</v>
      </c>
      <c r="F9781">
        <f>HYPERLINK("https://www.reddit.com/r/GERD/comments/i49lhx/ppis_making_gerd_worse_cant_wean_myself_off_them/")</f>
        <v/>
      </c>
      <c r="G9781" t="inlineStr">
        <is>
          <t>2020-08-05 10:24:57</t>
        </is>
      </c>
      <c r="H9781" t="inlineStr"/>
    </row>
    <row r="9782">
      <c r="A9782" t="inlineStr">
        <is>
          <t>i4aae1</t>
        </is>
      </c>
      <c r="B9782" t="inlineStr">
        <is>
          <t>Heartburn/acid reflux returning less than a week after omeprazole course</t>
        </is>
      </c>
      <c r="C9782" t="inlineStr">
        <is>
          <t>My heartburn is coming back within a week of finishing a 2 week course of omeprazole. The first time I tried omeprazole the effects lasted 2 months (I've heard it's supposed to last 3-4 months), and it was fantastic. I could eat anything I wanted and feel fine. Now, a super tiny cup of coffee 4 days after the course will have me not feeling right the entire day. Generally speaking, a glass of water in the morning (and the water I have to drink throughout the day to stay hydrated) can trigger and prolong my heartburn until I go to bed, where it gets worse because I'm laying down. I consume tums like candy. I have never seen a doc for my heartburn, it has only been this bad within the last year or so. I can't even have a beer after work, or even just enjoy a glass of water.
Advice? (see a doctor ofc), tips? Is this normal for those with this condition?</t>
        </is>
      </c>
      <c r="D9782" t="n">
        <v>1</v>
      </c>
      <c r="E9782" t="n">
        <v>3</v>
      </c>
      <c r="F9782">
        <f>HYPERLINK("https://www.reddit.com/r/GERD/comments/i4aae1/heartburnacid_reflux_returning_less_than_a_week/")</f>
        <v/>
      </c>
      <c r="G9782" t="inlineStr">
        <is>
          <t>2020-08-05 11:01:31</t>
        </is>
      </c>
      <c r="H9782" t="inlineStr"/>
    </row>
    <row r="9783">
      <c r="A9783" t="inlineStr">
        <is>
          <t>i4afnh</t>
        </is>
      </c>
      <c r="B9783" t="inlineStr">
        <is>
          <t>Dr upped Pantoprazole and now I'm in more pain</t>
        </is>
      </c>
      <c r="C9783" t="inlineStr">
        <is>
          <t>I take Carafate 1gm twice daily and I was taking Pantoprazole 40mg once daily, the past month or so my symptoms haven't been as controlled by the medications so I talked to my doctor. She told me to take an additional Pantoprazole 40mg daily. Ever since then I'm in more pain than before. Is my body just adjusting or should I talk to my doctor?</t>
        </is>
      </c>
      <c r="D9783" t="n">
        <v>1</v>
      </c>
      <c r="E9783" t="n">
        <v>2</v>
      </c>
      <c r="F9783">
        <f>HYPERLINK("https://www.reddit.com/r/GERD/comments/i4afnh/dr_upped_pantoprazole_and_now_im_in_more_pain/")</f>
        <v/>
      </c>
      <c r="G9783" t="inlineStr">
        <is>
          <t>2020-08-05 11:09:02</t>
        </is>
      </c>
      <c r="H9783" t="inlineStr"/>
    </row>
    <row r="9784">
      <c r="A9784" t="inlineStr">
        <is>
          <t>i4arp3</t>
        </is>
      </c>
      <c r="B9784" t="inlineStr">
        <is>
          <t>My Nissen Fundoplication failed.</t>
        </is>
      </c>
      <c r="C9784" t="inlineStr">
        <is>
          <t>Hi guys. I’ve made a few posts about my experience with GERD, and having surgery. I had surgery on June 3rd this year. 
I’m still experiencing severe reflux so I had a Barium Swallow done on Friday to see what’s going on, and confirm it is reflux. 
It is still severe reflux and my surgeon said it looks like the wrap came undone, or a stitch came loose; causing the reflux to remain. 
This is NOT my surgeons fault. This is caused from my birth defect, Congenital Diaphragmatic Hernia. This is why I have gerd. This has caused me life long issues and gerd is one of them. During surgery, there was scar tissue build up, and apparently my diaphragm tissue is extremely thin. There was a pear sized hole in  my diaphragm as well that was repaired. 
She thinks the tissue is not strong enough to hold the wrap; and that is the reason it came undone. 
I’m pretty devastated. I am having surgery again in about 3 weeks. Now I have to go through this pain and recovery again...and be more strict. She wants me to do strictly liquids for longer than before. I was doing that for 3/4 weeks; she wants me to do 6 weeks. Which is understandable. It’s just so mentally challenging to not eat. It’s really difficult. 
It is normal for your wrap to loosen over time (years later) but it’s only been 9 weeks for me. I hope that surgery works. I am starting to think I am a lost cause because of my birth defect.</t>
        </is>
      </c>
      <c r="D9784" t="n">
        <v>1</v>
      </c>
      <c r="E9784" t="n">
        <v>5</v>
      </c>
      <c r="F9784">
        <f>HYPERLINK("https://www.reddit.com/r/GERD/comments/i4arp3/my_nissen_fundoplication_failed/")</f>
        <v/>
      </c>
      <c r="G9784" t="inlineStr">
        <is>
          <t>2020-08-05 11:26:28</t>
        </is>
      </c>
      <c r="H9784" t="inlineStr"/>
    </row>
    <row r="9785">
      <c r="A9785" t="inlineStr">
        <is>
          <t>i4b771</t>
        </is>
      </c>
      <c r="B9785" t="inlineStr">
        <is>
          <t>Surgical options?</t>
        </is>
      </c>
      <c r="C9785" t="inlineStr">
        <is>
          <t>Hey all! I’m nowhere near the need for surgery yet, but I just wanted to see if any of you have had one of the below procedures and how it’s worked for you:
LINX
MUSE
Stretta
Hernia repair
Fundoplication
Transoral Incisionless Fundoplication (TIF)
I like to read a lot about treatment options, but I don’t hear a lot about these procedures on here. 
Thank you in advance!</t>
        </is>
      </c>
      <c r="D9785" t="n">
        <v>1</v>
      </c>
      <c r="E9785" t="n">
        <v>14</v>
      </c>
      <c r="F9785">
        <f>HYPERLINK("https://www.reddit.com/r/GERD/comments/i4b771/surgical_options/")</f>
        <v/>
      </c>
      <c r="G9785" t="inlineStr">
        <is>
          <t>2020-08-05 11:48:18</t>
        </is>
      </c>
      <c r="H9785" t="inlineStr"/>
    </row>
    <row r="9786">
      <c r="A9786" t="inlineStr">
        <is>
          <t>i4bm0p</t>
        </is>
      </c>
      <c r="B9786" t="inlineStr">
        <is>
          <t>Do you have to swallow mastic gum to get the benefits?</t>
        </is>
      </c>
      <c r="C9786" t="inlineStr">
        <is>
          <t>I tested positive for H Pylori so I've been chewing on mastic gum everyday, but I haven't been swallowing the gum (its taking forever to disintegrate). Do I still get the benefits just from chewing and I guess swallowing the saliva?</t>
        </is>
      </c>
      <c r="D9786" t="n">
        <v>1</v>
      </c>
      <c r="E9786" t="n">
        <v>0</v>
      </c>
      <c r="F9786">
        <f>HYPERLINK("https://www.reddit.com/r/GERD/comments/i4bm0p/do_you_have_to_swallow_mastic_gum_to_get_the/")</f>
        <v/>
      </c>
      <c r="G9786" t="inlineStr">
        <is>
          <t>2020-08-05 12:09:04</t>
        </is>
      </c>
      <c r="H9786" t="inlineStr"/>
    </row>
    <row r="9787">
      <c r="A9787" t="inlineStr">
        <is>
          <t>i4bpz5</t>
        </is>
      </c>
      <c r="B9787" t="inlineStr">
        <is>
          <t>Anyone else suffer from Achalasia?</t>
        </is>
      </c>
      <c r="C9787" t="inlineStr">
        <is>
          <t>Just had a second barium food study after a decade of trouble swallowing food and regurgitation. I’ve had so many other tests and it was always concluded, trouble swallowing? Must be a GERD flare up. Nope, I have Achalasia AND GERD cause I hit the medical lotto. Does anyone else have this, is so how have you managed it?</t>
        </is>
      </c>
      <c r="D9787" t="n">
        <v>1</v>
      </c>
      <c r="E9787" t="n">
        <v>3</v>
      </c>
      <c r="F9787">
        <f>HYPERLINK("https://www.reddit.com/r/GERD/comments/i4bpz5/anyone_else_suffer_from_achalasia/")</f>
        <v/>
      </c>
      <c r="G9787" t="inlineStr">
        <is>
          <t>2020-08-05 12:14:36</t>
        </is>
      </c>
      <c r="H9787" t="inlineStr"/>
    </row>
    <row r="9788">
      <c r="A9788" t="inlineStr">
        <is>
          <t>i4dilz</t>
        </is>
      </c>
      <c r="B9788" t="inlineStr">
        <is>
          <t>Throat clicking when I swallow</t>
        </is>
      </c>
      <c r="C9788" t="inlineStr">
        <is>
          <t>Hi! I need help. So I've been on Omeprazole for almost 3 weeks, about a month ago I had a severe acid reflux attack that has damaged my esophagus.
Now when I got to sleep, or sing, or some days all day I get this throat clicking when I swallow. And I know it's GERD related but nothing online can explain to me why it's happening.
Does anyone else get this and if you do, is there anything you can take or do to stop it from happening? I'm going kind of crazy.</t>
        </is>
      </c>
      <c r="D9788" t="n">
        <v>1</v>
      </c>
      <c r="E9788" t="n">
        <v>3</v>
      </c>
      <c r="F9788">
        <f>HYPERLINK("https://www.reddit.com/r/GERD/comments/i4dilz/throat_clicking_when_i_swallow/")</f>
        <v/>
      </c>
      <c r="G9788" t="inlineStr">
        <is>
          <t>2020-08-05 13:47:18</t>
        </is>
      </c>
      <c r="H9788" t="inlineStr"/>
    </row>
    <row r="9789">
      <c r="A9789" t="inlineStr">
        <is>
          <t>i4dytm</t>
        </is>
      </c>
      <c r="B9789" t="inlineStr">
        <is>
          <t>Does anyone else get intense stomach pains?</t>
        </is>
      </c>
      <c r="C9789" t="inlineStr">
        <is>
          <t>Ive only been on the omeprazole for a couple days but  my stomachs been hurting so bad today for almost the entire day. Just had another anxiety attack and started getting dizzy.</t>
        </is>
      </c>
      <c r="D9789" t="n">
        <v>1</v>
      </c>
      <c r="E9789" t="n">
        <v>2</v>
      </c>
      <c r="F9789">
        <f>HYPERLINK("https://www.reddit.com/r/GERD/comments/i4dytm/does_anyone_else_get_intense_stomach_pains/")</f>
        <v/>
      </c>
      <c r="G9789" t="inlineStr">
        <is>
          <t>2020-08-05 14:11:30</t>
        </is>
      </c>
      <c r="H9789" t="inlineStr"/>
    </row>
    <row r="9790">
      <c r="A9790" t="inlineStr">
        <is>
          <t>i4e0ws</t>
        </is>
      </c>
      <c r="B9790" t="inlineStr">
        <is>
          <t>Stress echo test?</t>
        </is>
      </c>
      <c r="C9790" t="inlineStr">
        <is>
          <t>So I went to my first cardiologist visit. They took my blood pressure, measure my heart rate, listen to the sound of my heart. Doctor said that even if I had a little heart murmur it is nothing concerning, but he hasn’t diagnosed that yet. I will be doing my first stress echo test in the end of August! Anyone ever had one done? How and what do they do to measure any problems. To be honest I don’t think I have any heart problems based on my chest pains and doctors think that is the case as well, but they wanted to take precautions before I do an endoscopy to see if there’s
something wrong in my stomach and esophagus which is a more likely story of the problem because I told the doctor about heartburn like symptoms and then this recurring chest pain that comes and goes while breathing out. I had this symptom since August so it’s a pain... anyways my actual primary care think it’s GERD and I think it as well. Anything I should know would be appreciated. Thank you!</t>
        </is>
      </c>
      <c r="D9790" t="n">
        <v>1</v>
      </c>
      <c r="E9790" t="n">
        <v>2</v>
      </c>
      <c r="F9790">
        <f>HYPERLINK("https://www.reddit.com/r/GERD/comments/i4e0ws/stress_echo_test/")</f>
        <v/>
      </c>
      <c r="G9790" t="inlineStr">
        <is>
          <t>2020-08-05 14:14:37</t>
        </is>
      </c>
      <c r="H9790" t="inlineStr"/>
    </row>
    <row r="9791">
      <c r="A9791" t="inlineStr">
        <is>
          <t>i4e5hx</t>
        </is>
      </c>
      <c r="B9791" t="inlineStr">
        <is>
          <t>Gerd flare ups</t>
        </is>
      </c>
      <c r="C9791" t="inlineStr">
        <is>
          <t>So I'm pretty sure I have GERD that is induced by anxiety. For weeks I and eat whatever I like and be totally fine so I don't really think what I'm eating is the issue really. But when it's bad about an hour after I've eaten my tea I get such a tight pain in the middle of my chest that takes about 6 hours to clear. Does anyone else have the same issue ?? I'm hoping to go to my GP about it as soon as I can.</t>
        </is>
      </c>
      <c r="D9791" t="n">
        <v>1</v>
      </c>
      <c r="E9791" t="n">
        <v>1</v>
      </c>
      <c r="F9791">
        <f>HYPERLINK("https://www.reddit.com/r/GERD/comments/i4e5hx/gerd_flare_ups/")</f>
        <v/>
      </c>
      <c r="G9791" t="inlineStr">
        <is>
          <t>2020-08-05 14:21:40</t>
        </is>
      </c>
      <c r="H9791" t="inlineStr"/>
    </row>
    <row r="9792">
      <c r="A9792" t="inlineStr">
        <is>
          <t>i4ea05</t>
        </is>
      </c>
      <c r="B9792" t="inlineStr">
        <is>
          <t>Has anyone else experienced this? GERD + new symptoms</t>
        </is>
      </c>
      <c r="C9792" t="inlineStr">
        <is>
          <t>Hi all!
I am 23F. I have been diagnosed with GERD since I was very young. I suffered from esophageal dysmotility issues as a baby and eventually it sort of progressed into reflux problems and so thats what brought about the diagnosis. Sometimes I have LPR-like symptoms, other times straight up heartburn (not induced by any specific foods - all food does it). Many bouts of nighttime vomiting and a very persistent cough at night as well. I take 40mg of omeprazole every day, occasionally a dose of famotidine for breakthrough reflux, and those both seem to keep my symptoms at bay and I don't usually even notice I have GERD.
Lately, I have been experiencing a pain on the upper right side of my abdomen. It isn't that severe, more just uncomfortable and feels like a constant pressure right below my rib cage on the left side. I feel like its worse after eating, but I forget to keep track sometimes. I've noticed it for a few days now (less than a week probably) and it is accompanied by this weird pressure that sort of radiates into my lower abdomen and creates this urgency to poop. When I try to go to the bathroom, I am unable to. I'm not constipated - I still poop my usual 1 or 2 times a day, but with this pressure I always have that feeling of bloatedness/gas/urgency that I can't quite describe. Has anyone else with GERD experienced these symptoms?? I can't help but think that this new progression is related to my GERD as usually all my abdomen/stomach ailments are related to it, but I find it strange that now I am feeling pain on my right side (as opposed to the left side or middle of the stomach or higher up in my throat where my usual symptoms hit). Additionally, this is like a pressure and less of a burn or globus feeling.
It's totally possible that this has nothing to do with my GERD and its something else, or its nothing at all, but I figured I would check here and see if anyone else has experienced something similar.</t>
        </is>
      </c>
      <c r="D9792" t="n">
        <v>1</v>
      </c>
      <c r="E9792" t="n">
        <v>5</v>
      </c>
      <c r="F9792">
        <f>HYPERLINK("https://www.reddit.com/r/GERD/comments/i4ea05/has_anyone_else_experienced_this_gerd_new_symptoms/")</f>
        <v/>
      </c>
      <c r="G9792" t="inlineStr">
        <is>
          <t>2020-08-05 14:28:23</t>
        </is>
      </c>
      <c r="H9792" t="inlineStr"/>
    </row>
    <row r="9793">
      <c r="A9793" t="inlineStr">
        <is>
          <t>i4eayq</t>
        </is>
      </c>
      <c r="B9793" t="inlineStr">
        <is>
          <t>Endoscopy is normal!</t>
        </is>
      </c>
      <c r="C9793" t="inlineStr">
        <is>
          <t>Hi all,
Two days ago I posted about how nervous I was for this. 
Home now after getting my scope done just an hour ago. Feel fantastic. I was out like a light and everyone was so lovely! Have a minorly sore throat and that is it. 
Woke up feeling absolutely amazing. 
If you’re nervous about the procedure trust me when I say I understand. Take some deep breaths and go for it. 
The sedation is fantastic and it’s 100% worth getting it done. 
The worst part is all the pre-op anxiety. 
Much love everyone!</t>
        </is>
      </c>
      <c r="D9793" t="n">
        <v>1</v>
      </c>
      <c r="E9793" t="n">
        <v>32</v>
      </c>
      <c r="F9793">
        <f>HYPERLINK("https://www.reddit.com/r/GERD/comments/i4eayq/endoscopy_is_normal/")</f>
        <v/>
      </c>
      <c r="G9793" t="inlineStr">
        <is>
          <t>2020-08-05 14:29:52</t>
        </is>
      </c>
      <c r="H9793" t="inlineStr"/>
    </row>
    <row r="9794">
      <c r="A9794" t="inlineStr">
        <is>
          <t>i4ed0b</t>
        </is>
      </c>
      <c r="B9794" t="inlineStr">
        <is>
          <t>Does side effects from PPI go away with time?</t>
        </is>
      </c>
      <c r="C9794" t="inlineStr">
        <is>
          <t>I've been taking 60 mg Dexilant and it's really helping me but I get side effects from it. Mainly nausea after eating (once or twice daily, I eat 3 times), belching which is associated with nausea because I belch a lot when I'm nauseous and not so much when I'm not, also I get gas, mild stomach pains and constipation. Should I continue to take it and try to wait it out so hopefully side effects go away? Or should I try a different PPI (I've tried 3 so far, Omeprazole, Nexium and Dexilant). I've been on Dexilant for 3 days now.</t>
        </is>
      </c>
      <c r="D9794" t="n">
        <v>1</v>
      </c>
      <c r="E9794" t="n">
        <v>4</v>
      </c>
      <c r="F9794">
        <f>HYPERLINK("https://www.reddit.com/r/GERD/comments/i4ed0b/does_side_effects_from_ppi_go_away_with_time/")</f>
        <v/>
      </c>
      <c r="G9794" t="inlineStr">
        <is>
          <t>2020-08-05 14:32:43</t>
        </is>
      </c>
      <c r="H9794" t="inlineStr"/>
    </row>
    <row r="9795">
      <c r="A9795" t="inlineStr">
        <is>
          <t>i4etcu</t>
        </is>
      </c>
      <c r="B9795" t="inlineStr">
        <is>
          <t>Dizziness</t>
        </is>
      </c>
      <c r="C9795" t="inlineStr">
        <is>
          <t>I got diagnosed with gerd a few months ago all my symptoms have subsided except one I get really dizzy from time to time sometimes I look at things and it’s almost like I can’t focus my eyes on it and I end up feeling really foggy headed is this Normal does this happen to anybody else ?? And if so how can I fix it or will it go away with more time ??</t>
        </is>
      </c>
      <c r="D9795" t="n">
        <v>1</v>
      </c>
      <c r="E9795" t="n">
        <v>9</v>
      </c>
      <c r="F9795">
        <f>HYPERLINK("https://www.reddit.com/r/GERD/comments/i4etcu/dizziness/")</f>
        <v/>
      </c>
      <c r="G9795" t="inlineStr">
        <is>
          <t>2020-08-05 14:57:17</t>
        </is>
      </c>
      <c r="H9795" t="inlineStr"/>
    </row>
    <row r="9796">
      <c r="A9796" t="inlineStr">
        <is>
          <t>i4evge</t>
        </is>
      </c>
      <c r="B9796" t="inlineStr">
        <is>
          <t>I'm not sure if I have GERD despite 3 medical professionals telling me so...</t>
        </is>
      </c>
      <c r="C9796" t="inlineStr">
        <is>
          <t>Hello. So I'm a 26 year old male who for about a month and half now has felt a "lump" in my throat for a good majority of that time. I vape (which I quite a few days ago) and smoke marijuana. 
Probably around the end of June I have been experiencing a weird sensation where I feel as if I have a lump in my throat, along with a TON of burping. These were basically the only two symptoms, no heartburn or anything else associated with GERD. 
However, about over a week ago I have been experiencing chest tightness/pressure for a good chunk of the day. It almost feels like there is gas trapped in my chest, such as burps. I also feel a slight chest pressure when I swallow sometimes. When I'm able to burp, it feels way better, but sometimes it's slightly uncomfortable. Is this normal for people who have GERD? In my opinion, my symptoms have nothing to do with what I eat. I usually feel perfect in the morning and around the afternoon or so the symptoms start. 
I've seen 3 medical professionals who have all told me it's GERD, I have nothing to worry about, and I should quit smoking. I've never had any prior medical history and this is worrying me because this is constant and won't go away (in fact it's getting worse with the chest pressure). I do have immense depression and anxiety which I've read contributes to GERD. I would truly appreciate some feedback if anyone could help. Thank you.</t>
        </is>
      </c>
      <c r="D9796" t="n">
        <v>1</v>
      </c>
      <c r="E9796" t="n">
        <v>20</v>
      </c>
      <c r="F9796">
        <f>HYPERLINK("https://www.reddit.com/r/GERD/comments/i4evge/im_not_sure_if_i_have_gerd_despite_3_medical/")</f>
        <v/>
      </c>
      <c r="G9796" t="inlineStr">
        <is>
          <t>2020-08-05 15:00:29</t>
        </is>
      </c>
      <c r="H9796" t="inlineStr"/>
    </row>
    <row r="9797">
      <c r="A9797" t="inlineStr">
        <is>
          <t>i4gaq9</t>
        </is>
      </c>
      <c r="B9797" t="inlineStr">
        <is>
          <t>Low acid fruits?</t>
        </is>
      </c>
      <c r="C9797" t="inlineStr">
        <is>
          <t>Hey guys I was just wondering what are some good low acid fruits and fruit juices that you enjoy?</t>
        </is>
      </c>
      <c r="D9797" t="n">
        <v>1</v>
      </c>
      <c r="E9797" t="n">
        <v>4</v>
      </c>
      <c r="F9797">
        <f>HYPERLINK("https://www.reddit.com/r/GERD/comments/i4gaq9/low_acid_fruits/")</f>
        <v/>
      </c>
      <c r="G9797" t="inlineStr">
        <is>
          <t>2020-08-05 16:22:17</t>
        </is>
      </c>
      <c r="H9797" t="inlineStr"/>
    </row>
    <row r="9798">
      <c r="A9798" t="inlineStr">
        <is>
          <t>i4gfb3</t>
        </is>
      </c>
      <c r="B9798" t="inlineStr">
        <is>
          <t>Hypersalivation prior to throwing up with GERD?</t>
        </is>
      </c>
      <c r="C9798" t="inlineStr">
        <is>
          <t>Hey all, I have something odd that’s happened to me a handful of times, particularly when doing something physical and after eating. A month ago I had some peanut butter toast.. went over to my brother’s house to help him with some yard work. My mouth starts producing tons of saliva to the point it’s just flooding out of my mouth, and then I proceed to throw up. I’d had that a couple times before, and had it again today after just running around with my nieces after eating some lunch. I read that hypersalivation can be a symptom of acid reflux, and my older brother also has that. Have any of you experienced anything like that?</t>
        </is>
      </c>
      <c r="D9798" t="n">
        <v>1</v>
      </c>
      <c r="E9798" t="n">
        <v>4</v>
      </c>
      <c r="F9798">
        <f>HYPERLINK("https://www.reddit.com/r/GERD/comments/i4gfb3/hypersalivation_prior_to_throwing_up_with_gerd/")</f>
        <v/>
      </c>
      <c r="G9798" t="inlineStr">
        <is>
          <t>2020-08-05 16:29:37</t>
        </is>
      </c>
      <c r="H9798" t="inlineStr"/>
    </row>
    <row r="9799">
      <c r="A9799" t="inlineStr">
        <is>
          <t>i4gput</t>
        </is>
      </c>
      <c r="B9799" t="inlineStr">
        <is>
          <t>Extremely Sudden Onset of GERD symptoms</t>
        </is>
      </c>
      <c r="C9799" t="inlineStr">
        <is>
          <t>About 3 days ago, in the middle of the day after eating, I was hit with major oversalivation or water brash(it was sour) as well as stomach pain. Before that day, I had never experienced a single symptom of acid reflux or GERD, it was extremely rare that I even had indigestion. After that meal, every single time I eat now I experience the symptoms, and it seems that the stomach pain gets worse and worse after each time I eat. It has gotten so severe that I am afraid to eat. These symptoms appear about 20 minutes after I eat, are terrible for a few hours, and then leave (given I don't eat anything else). I have heard that GERD/acid reflux can come on suddenly for some people, but I find it odd for it be THIS sudden, never ever having an issue with it up until three days ago. I haven't started taking any new medication, or eating anything new, as far as I know. Has anyone experienced this? Those of you with GERD, did it come on within a single day?</t>
        </is>
      </c>
      <c r="D9799" t="n">
        <v>1</v>
      </c>
      <c r="E9799" t="n">
        <v>4</v>
      </c>
      <c r="F9799">
        <f>HYPERLINK("https://www.reddit.com/r/GERD/comments/i4gput/extremely_sudden_onset_of_gerd_symptoms/")</f>
        <v/>
      </c>
      <c r="G9799" t="inlineStr">
        <is>
          <t>2020-08-05 16:47:09</t>
        </is>
      </c>
      <c r="H9799" t="inlineStr"/>
    </row>
    <row r="9800">
      <c r="A9800" t="inlineStr">
        <is>
          <t>i4hp3e</t>
        </is>
      </c>
      <c r="B9800" t="inlineStr">
        <is>
          <t>Does anyone else have a super weak esophagus?</t>
        </is>
      </c>
      <c r="C9800" t="inlineStr">
        <is>
          <t>Apparently, mine is super weak and makes awkward muscle contractions... which leads to me choking on almost everything. I literally cannot even drink a glass of water without having to stop halfway through my gulp because I’m choking on it. 
Does anyone else have this? I’ve been trying to bring it up with my specialist, but she’s really hard to get a hold of... and it doesn’t help that she’s now on vacation for two weeks. 
Any help/advice?</t>
        </is>
      </c>
      <c r="D9800" t="n">
        <v>1</v>
      </c>
      <c r="E9800" t="n">
        <v>4</v>
      </c>
      <c r="F9800">
        <f>HYPERLINK("https://www.reddit.com/r/GERD/comments/i4hp3e/does_anyone_else_have_a_super_weak_esophagus/")</f>
        <v/>
      </c>
      <c r="G9800" t="inlineStr">
        <is>
          <t>2020-08-05 17:45:19</t>
        </is>
      </c>
      <c r="H9800" t="inlineStr"/>
    </row>
    <row r="9801">
      <c r="A9801" t="inlineStr">
        <is>
          <t>i4idrs</t>
        </is>
      </c>
      <c r="B9801" t="inlineStr">
        <is>
          <t>Strange rule</t>
        </is>
      </c>
      <c r="C9801" t="inlineStr">
        <is>
          <t>I think rule number 6 ("No Alternative Medicines") is both very strange and subjective. IMO we should look for ways to feel better and don't discard anything that could make anyone feel better. 
I know for sure, and from personal experience, that pills don't cure everything. Pills are what make big pharmaceutical companies rich and there are nothing they like more than keeping you addicted for years. That's what they do, that's their job.
I believe people are mature enough to judge what has more credibility between many different options. It should not be up to some moderators or individuals to decide what is a good or bad cure. The only thing important is how to make people feel better and I am sure there are good things in "regular" medicines as there are in so-called "alternative" medicines.
BTW, stress-reduction seems to be a factor for GERD, and diet is another one. Are those "alternative medicines"?
Feel free to downvote me if you wish or to delete this message. I rest my case: you should let people discuss whatever cure they think can help them.</t>
        </is>
      </c>
      <c r="D9801" t="n">
        <v>1</v>
      </c>
      <c r="E9801" t="n">
        <v>2</v>
      </c>
      <c r="F9801">
        <f>HYPERLINK("https://www.reddit.com/r/GERD/comments/i4idrs/strange_rule/")</f>
        <v/>
      </c>
      <c r="G9801" t="inlineStr">
        <is>
          <t>2020-08-05 18:26:10</t>
        </is>
      </c>
      <c r="H9801" t="inlineStr"/>
    </row>
    <row r="9802">
      <c r="A9802" t="inlineStr">
        <is>
          <t>i4j8xn</t>
        </is>
      </c>
      <c r="B9802" t="inlineStr">
        <is>
          <t>does anyone else wake up with a sore throat every morning?</t>
        </is>
      </c>
      <c r="C9802" t="inlineStr">
        <is>
          <t>ive noticed a correlation to the time my GERD flares up i have a sore throat. this only happens when i wake up and goes away after an hour or so that i’m up. like i’ve basically had this for the past two months, which is kinda strange but i just deal with it. anyone else?</t>
        </is>
      </c>
      <c r="D9802" t="n">
        <v>1</v>
      </c>
      <c r="E9802" t="n">
        <v>9</v>
      </c>
      <c r="F9802">
        <f>HYPERLINK("https://www.reddit.com/r/GERD/comments/i4j8xn/does_anyone_else_wake_up_with_a_sore_throat_every/")</f>
        <v/>
      </c>
      <c r="G9802" t="inlineStr">
        <is>
          <t>2020-08-05 19:20:16</t>
        </is>
      </c>
      <c r="H9802" t="inlineStr"/>
    </row>
    <row r="9803">
      <c r="A9803" t="inlineStr">
        <is>
          <t>i4k4ev</t>
        </is>
      </c>
      <c r="B9803" t="inlineStr">
        <is>
          <t>Opened up my Gameboy the other day and I'm reminded of how long I've been fighting this.</t>
        </is>
      </c>
      <c r="C9803" t="inlineStr">
        <is>
          <t xml:space="preserve"> [https://i.imgur.com/4M6xH4X.jpg](https://i.imgur.com/4M6xH4X.jpg)
It's been a long battle.</t>
        </is>
      </c>
      <c r="D9803" t="n">
        <v>1</v>
      </c>
      <c r="E9803" t="n">
        <v>0</v>
      </c>
      <c r="F9803">
        <f>HYPERLINK("https://www.reddit.com/r/GERD/comments/i4k4ev/opened_up_my_gameboy_the_other_day_and_im/")</f>
        <v/>
      </c>
      <c r="G9803" t="inlineStr">
        <is>
          <t>2020-08-05 20:16:15</t>
        </is>
      </c>
      <c r="H9803" t="inlineStr"/>
    </row>
    <row r="9804">
      <c r="A9804" t="inlineStr">
        <is>
          <t>i4kvl7</t>
        </is>
      </c>
      <c r="B9804" t="inlineStr">
        <is>
          <t>Success with Gaviscon Advance for LPR?</t>
        </is>
      </c>
      <c r="C9804" t="inlineStr">
        <is>
          <t>Hi everyone,
I’ve been dealing with mucus in the back of my throat (post nasal drip) since March with little to no improvement. 
I stopped nexium after 12 weeks and switched to Gaviscon Advance and an improved diet about a month or so ago. There are some days I feel like it’s getting better and others where it’s like I’m back at square one. 
Has anyone had success relieving their LPR symptoms with Gaviscon Advsnce and how long did it take to show drastic improvement?</t>
        </is>
      </c>
      <c r="D9804" t="n">
        <v>1</v>
      </c>
      <c r="E9804" t="n">
        <v>7</v>
      </c>
      <c r="F9804">
        <f>HYPERLINK("https://www.reddit.com/r/GERD/comments/i4kvl7/success_with_gaviscon_advance_for_lpr/")</f>
        <v/>
      </c>
      <c r="G9804" t="inlineStr">
        <is>
          <t>2020-08-05 21:10:17</t>
        </is>
      </c>
      <c r="H9804" t="inlineStr"/>
    </row>
    <row r="9805">
      <c r="A9805" t="inlineStr">
        <is>
          <t>i4kzov</t>
        </is>
      </c>
      <c r="B9805" t="inlineStr">
        <is>
          <t>I've been tracking symptoms for about 4 months now. My pain has been pretty much eliminated after trying 2 things</t>
        </is>
      </c>
      <c r="C9805" t="inlineStr">
        <is>
          <t>My case is pretty mild, I believe I have LPR and also GERD (used to have regular difficulty swallowing, and would often have pain in my midsection, often after a meal). I had pain on and off for about 4 months. I say "I believe" because my symptoms match up exactly, but I've only been able to get an in person doctors appointment for this upcoming week
I've tried ACV in the past, but because my LPR was in such a raw state, I could feel the typical symptoms of my throat closing up, etc after taking it. As such, I stopped taking it for another couple months.
I want to clarify that even though my symptoms were mild on the whole, I would have pain in my chest or midsection EVERY. DAY. not just every day, but often multiple times a day. I did 2 rounds of PPIs in the beginning but didn't want to continue because I knew there were harmful side effects. I took Gaviscon advance but even that just felt like it was masking the symptoms rather than fixing the root cause
About 7 days ago, I started taking ACV. I had virtually no pain that day, if any. I started taking collagen the next day. When I take ACV, it's heavily diluted with water, maybe 1.5 cups to 2 tbs, and I only have a few sips a day, not the whole glass. I did this for 2 days then took a break. 3 days in, I started getting pains again, but still very mild (and no obvious discomfort when laying down after eating). I've been continuing to take a tiny bit of ACV and collagen every day. It could be the collagen, but I would imagine collagen takes a while to start working, whereas the ACV effect was near instant and makes more logical sense why it would have an effect quickly. My esophagus still needs to heal, but my GERD seems to be almost completely fixed 
I know discussing ACV is against the subreddit rules, but honestly, this issue has been the most debilitating thing I've ever gone through and I feel like I have to share in case it helps someone else. I feel it's the only thing that's truly fixed my GERD/LPR whereas other common 'approved' remedies like PPIs, antacids only masked the issue temporarily
My warning: if you're considering taking it, please dilute it with water. Please don't stop taking PPIs cold turkey to take this, you could give yourself Barrett's esophagus. Please don't try this if you have a more sever case of GERD or LPR, it could aggravate symptoms. Certainly talk to a doctor about it, but to be completely frank, many doctors would have advised against this, and that would have continued to damage my body instead of healing it. I've spoken to 3-4 doctors about my issue and they've all given me just the standard "avoid X and Y" food, which I do, but it didn't get to the root cause.</t>
        </is>
      </c>
      <c r="D9805" t="n">
        <v>1</v>
      </c>
      <c r="E9805" t="n">
        <v>10</v>
      </c>
      <c r="F9805">
        <f>HYPERLINK("https://www.reddit.com/r/GERD/comments/i4kzov/ive_been_tracking_symptoms_for_about_4_months_now/")</f>
        <v/>
      </c>
      <c r="G9805" t="inlineStr">
        <is>
          <t>2020-08-05 21:18:50</t>
        </is>
      </c>
      <c r="H9805" t="inlineStr"/>
    </row>
    <row r="9806">
      <c r="A9806" t="inlineStr">
        <is>
          <t>i4lbuy</t>
        </is>
      </c>
      <c r="B9806" t="inlineStr">
        <is>
          <t>How to deal with the mental side effects of GERD?</t>
        </is>
      </c>
      <c r="C9806" t="inlineStr">
        <is>
          <t>I don’t even get anxiety or depression from my day to day life anymore, this disease controls almost everything about me. I’ve had severe GERD/LPR for the past 2 years and it is legitimately debilitating. It’s made my life completely unmanageable to the point of wanting to commit suicide. I’m currently taking the strongest PPI you can get and I’m still feeling no relief and it’s been months. Going to contact my gasternologist tomorrow to make an appointment and see what other options there are. Do you guys have any tips for managing the mental side of things? My symptoms make it very hard to enjoy any moment in life since I’m feeling them 24/7, it feels like I’m on the brisk of a heart attack due to my LPR. I don’t really even get heartburn that much. Besides GERD/LPR I am a completely healthy 22 year old male. Thank you!</t>
        </is>
      </c>
      <c r="D9806" t="n">
        <v>1</v>
      </c>
      <c r="E9806" t="n">
        <v>2</v>
      </c>
      <c r="F9806">
        <f>HYPERLINK("https://www.reddit.com/r/GERD/comments/i4lbuy/how_to_deal_with_the_mental_side_effects_of_gerd/")</f>
        <v/>
      </c>
      <c r="G9806" t="inlineStr">
        <is>
          <t>2020-08-05 21:44:15</t>
        </is>
      </c>
      <c r="H9806" t="inlineStr"/>
    </row>
    <row r="9807">
      <c r="A9807" t="inlineStr">
        <is>
          <t>i4nfvf</t>
        </is>
      </c>
      <c r="B9807" t="inlineStr">
        <is>
          <t>Electric Adjustable Bed</t>
        </is>
      </c>
      <c r="C9807" t="inlineStr">
        <is>
          <t>We might be in a position to purchase an adjustable bed soon.  Does anyone have any recommendations on what to look for before we buy one? Ie, is the massage feature worth it?</t>
        </is>
      </c>
      <c r="D9807" t="n">
        <v>1</v>
      </c>
      <c r="E9807" t="n">
        <v>2</v>
      </c>
      <c r="F9807">
        <f>HYPERLINK("https://www.reddit.com/r/GERD/comments/i4nfvf/electric_adjustable_bed/")</f>
        <v/>
      </c>
      <c r="G9807" t="inlineStr">
        <is>
          <t>2020-08-06 00:40:00</t>
        </is>
      </c>
      <c r="H9807" t="inlineStr"/>
    </row>
    <row r="9808">
      <c r="A9808" t="inlineStr">
        <is>
          <t>i4ngud</t>
        </is>
      </c>
      <c r="B9808" t="inlineStr">
        <is>
          <t>DAE have GERD associated chest pain that feels like you just smoked a pack of cigarettes?</t>
        </is>
      </c>
      <c r="C9808" t="inlineStr">
        <is>
          <t>Normally, I just have lots of chest gas, but the other morning I awoke to to a pain that I haven't felt since I quit smoking 4 years ago.</t>
        </is>
      </c>
      <c r="D9808" t="n">
        <v>1</v>
      </c>
      <c r="E9808" t="n">
        <v>1</v>
      </c>
      <c r="F9808">
        <f>HYPERLINK("https://www.reddit.com/r/GERD/comments/i4ngud/dae_have_gerd_associated_chest_pain_that_feels/")</f>
        <v/>
      </c>
      <c r="G9808" t="inlineStr">
        <is>
          <t>2020-08-06 00:42:22</t>
        </is>
      </c>
      <c r="H9808" t="inlineStr"/>
    </row>
    <row r="9809">
      <c r="A9809" t="inlineStr">
        <is>
          <t>i4niwk</t>
        </is>
      </c>
      <c r="B9809" t="inlineStr">
        <is>
          <t>Finally got a referral for an endoscopy</t>
        </is>
      </c>
      <c r="C9809" t="inlineStr">
        <is>
          <t>After months of using Somac and still having pain my GP has finally referred me for an endoscopy and I'm relieved. 
I've read on here that some people are knocked out for this but the things I've read from hospitals near me all say you're awake for this - anyone in Australia had an endoscopy and could let me know what happened and if it was private or public? Thanks in advance :)</t>
        </is>
      </c>
      <c r="D9809" t="n">
        <v>1</v>
      </c>
      <c r="E9809" t="n">
        <v>3</v>
      </c>
      <c r="F9809">
        <f>HYPERLINK("https://www.reddit.com/r/GERD/comments/i4niwk/finally_got_a_referral_for_an_endoscopy/")</f>
        <v/>
      </c>
      <c r="G9809" t="inlineStr">
        <is>
          <t>2020-08-06 00:47:38</t>
        </is>
      </c>
      <c r="H9809" t="inlineStr"/>
    </row>
    <row r="9810">
      <c r="A9810" t="inlineStr">
        <is>
          <t>i4nr4w</t>
        </is>
      </c>
      <c r="B9810" t="inlineStr">
        <is>
          <t>Snack recommendation</t>
        </is>
      </c>
      <c r="C9810" t="inlineStr">
        <is>
          <t>Hello and sorry if it's been asked before.  Can anyone recommend some GERD friendly snack between meals? I work from 14:00/21:30. I have lunch around 12:00ish and then at work my first break time is at 18:00  so it's a bit less than 6 hours. I have been eating banana mostly at around 16:00. I like banana as it's good fibre food but somehow it gives me bad acid reflux which I loathe. Thanks to everyone.</t>
        </is>
      </c>
      <c r="D9810" t="n">
        <v>1</v>
      </c>
      <c r="E9810" t="n">
        <v>7</v>
      </c>
      <c r="F9810">
        <f>HYPERLINK("https://www.reddit.com/r/GERD/comments/i4nr4w/snack_recommendation/")</f>
        <v/>
      </c>
      <c r="G9810" t="inlineStr">
        <is>
          <t>2020-08-06 01:08:41</t>
        </is>
      </c>
      <c r="H9810" t="inlineStr"/>
    </row>
    <row r="9811">
      <c r="A9811" t="inlineStr">
        <is>
          <t>i4nu9l</t>
        </is>
      </c>
      <c r="B9811" t="inlineStr">
        <is>
          <t>Its unfair that we can't eat anything</t>
        </is>
      </c>
      <c r="C9811" t="inlineStr">
        <is>
          <t>We literally can't eat anything. Walnuts, ice cream,plums,dairy,chocolate,jelly,gummy bears,lime,berries, chocolate or any kind of cake, and so on
What is this? Living hell? 
I'm so pissed tbh</t>
        </is>
      </c>
      <c r="D9811" t="n">
        <v>1</v>
      </c>
      <c r="E9811" t="n">
        <v>102</v>
      </c>
      <c r="F9811">
        <f>HYPERLINK("https://www.reddit.com/r/GERD/comments/i4nu9l/its_unfair_that_we_cant_eat_anything/")</f>
        <v/>
      </c>
      <c r="G9811" t="inlineStr">
        <is>
          <t>2020-08-06 01:16:41</t>
        </is>
      </c>
      <c r="H9811" t="inlineStr"/>
    </row>
    <row r="9812">
      <c r="A9812" t="inlineStr">
        <is>
          <t>i4o93l</t>
        </is>
      </c>
      <c r="B9812" t="inlineStr">
        <is>
          <t>Gut rot.....</t>
        </is>
      </c>
      <c r="C9812" t="inlineStr">
        <is>
          <t>Anybody get  gut rot where you have these sour tasting burps?  For example a  couple days ago I ate a hotdog a went  for ice cream 2 hours later with my kids.  1 hour later I started to have gut rot.  I find Pepto bismol helps with the burps that tastes sour.    I get this with gerd symptoms once a month. All depends on what processed food I eat.   Anyone similar? 
Btw I'm using Dexilant at the moment and it does not seem to be working.</t>
        </is>
      </c>
      <c r="D9812" t="n">
        <v>1</v>
      </c>
      <c r="E9812" t="n">
        <v>4</v>
      </c>
      <c r="F9812">
        <f>HYPERLINK("https://www.reddit.com/r/GERD/comments/i4o93l/gut_rot/")</f>
        <v/>
      </c>
      <c r="G9812" t="inlineStr">
        <is>
          <t>2020-08-06 01:54:34</t>
        </is>
      </c>
      <c r="H9812" t="inlineStr"/>
    </row>
    <row r="9813">
      <c r="A9813" t="inlineStr">
        <is>
          <t>i4owd6</t>
        </is>
      </c>
      <c r="B9813" t="inlineStr">
        <is>
          <t>Strange upper back and neck pain/stiffness</t>
        </is>
      </c>
      <c r="C9813" t="inlineStr">
        <is>
          <t>Hello, 
So I’ve never been officially diagnosed with GERD but I’m fairly certain I have it as I display a lot of the common symptoms for silent reflux. 
However starting yesterday afternoon I’ve had this symptom I’ve rarely experienced in the past: a strange discomfort in my upper back. I don’t know how to describe, kinda like when you swallow wrong? Like when you need to burp maybe...It’s not really painful at rest (a bit tense at most) but I keep belching and it’s uncomfortable when I do that, mainly in my upper back and even chest area. Last night the stiffness seemed to extend to my neck and shoulder area even (and my ears). 
I haven’t been doing great with my eating habits, often not eating much if at all during the day (just snacking a bit on crackers and chocolate) then eating a meal an hour before bed. Also soda, and lots of stuff that can make it worse. But I wasn’t having bad symptoms so I figured I was getting away with it. 
So I’m wondering: has anyone experienced this type of discomfort as part of their GERD?
Thanks!</t>
        </is>
      </c>
      <c r="D9813" t="n">
        <v>1</v>
      </c>
      <c r="E9813" t="n">
        <v>3</v>
      </c>
      <c r="F9813">
        <f>HYPERLINK("https://www.reddit.com/r/GERD/comments/i4owd6/strange_upper_back_and_neck_painstiffness/")</f>
        <v/>
      </c>
      <c r="G9813" t="inlineStr">
        <is>
          <t>2020-08-06 02:51:56</t>
        </is>
      </c>
      <c r="H9813" t="inlineStr"/>
    </row>
    <row r="9814">
      <c r="A9814" t="inlineStr">
        <is>
          <t>i4r4ic</t>
        </is>
      </c>
      <c r="B9814" t="inlineStr">
        <is>
          <t>Sore throat every morning</t>
        </is>
      </c>
      <c r="C9814" t="inlineStr">
        <is>
          <t>Does anyone else wake up with a terribly sore throat every morning?? Once I drink a bunch of water its better, but man is it annoying.
I do get my daily intake of water so I'm not dehydrated.
I also get a very sore throat if I talk for more than an hour.
I'm not sure if this is a GERD thing 😔</t>
        </is>
      </c>
      <c r="D9814" t="n">
        <v>1</v>
      </c>
      <c r="E9814" t="n">
        <v>12</v>
      </c>
      <c r="F9814">
        <f>HYPERLINK("https://www.reddit.com/r/GERD/comments/i4r4ic/sore_throat_every_morning/")</f>
        <v/>
      </c>
      <c r="G9814" t="inlineStr">
        <is>
          <t>2020-08-06 05:43:15</t>
        </is>
      </c>
      <c r="H9814" t="inlineStr"/>
    </row>
    <row r="9815">
      <c r="A9815" t="inlineStr">
        <is>
          <t>i4sabr</t>
        </is>
      </c>
      <c r="B9815" t="inlineStr">
        <is>
          <t>Does anyone else have constant trapped gas as their primary symptom?</t>
        </is>
      </c>
      <c r="C9815" t="inlineStr">
        <is>
          <t>I constantly have a gurgling stomach which I have to take gas X pills for. They do the job but I’m wondering if I don’t have gerd at all because I rarely get reflux but only gas.</t>
        </is>
      </c>
      <c r="D9815" t="n">
        <v>1</v>
      </c>
      <c r="E9815" t="n">
        <v>13</v>
      </c>
      <c r="F9815">
        <f>HYPERLINK("https://www.reddit.com/r/GERD/comments/i4sabr/does_anyone_else_have_constant_trapped_gas_as/")</f>
        <v/>
      </c>
      <c r="G9815" t="inlineStr">
        <is>
          <t>2020-08-06 06:59:08</t>
        </is>
      </c>
      <c r="H9815" t="inlineStr"/>
    </row>
    <row r="9816">
      <c r="A9816" t="inlineStr">
        <is>
          <t>i4tat9</t>
        </is>
      </c>
      <c r="B9816" t="inlineStr">
        <is>
          <t>Scared, please help!!</t>
        </is>
      </c>
      <c r="C9816" t="inlineStr">
        <is>
          <t>Hi guys, I was just diagnosed with GERD yesterday and lately I haven’t been eating much because I’m terrified I’ll vomit everything back up. Is that normal for people with GERD? I have an intense fear of throwing up, but I can’t just not eat either. Advice would be greatly appreciated!!</t>
        </is>
      </c>
      <c r="D9816" t="n">
        <v>1</v>
      </c>
      <c r="E9816" t="n">
        <v>8</v>
      </c>
      <c r="F9816">
        <f>HYPERLINK("https://www.reddit.com/r/GERD/comments/i4tat9/scared_please_help/")</f>
        <v/>
      </c>
      <c r="G9816" t="inlineStr">
        <is>
          <t>2020-08-06 07:58:19</t>
        </is>
      </c>
      <c r="H9816" t="inlineStr"/>
    </row>
    <row r="9817">
      <c r="A9817" t="inlineStr">
        <is>
          <t>i4tddy</t>
        </is>
      </c>
      <c r="B9817" t="inlineStr">
        <is>
          <t>Gerd / LPR / Hiatal Hernia - which PPI helped you?</t>
        </is>
      </c>
      <c r="C9817" t="inlineStr">
        <is>
          <t>Omeprazol did not work for me but dexilant did - but unfortunately I can’t take it anymore due to side effects. Which PPI has helped you?</t>
        </is>
      </c>
      <c r="D9817" t="n">
        <v>1</v>
      </c>
      <c r="E9817" t="n">
        <v>13</v>
      </c>
      <c r="F9817">
        <f>HYPERLINK("https://www.reddit.com/r/GERD/comments/i4tddy/gerd_lpr_hiatal_hernia_which_ppi_helped_you/")</f>
        <v/>
      </c>
      <c r="G9817" t="inlineStr">
        <is>
          <t>2020-08-06 08:02:12</t>
        </is>
      </c>
      <c r="H9817" t="inlineStr"/>
    </row>
    <row r="9818">
      <c r="A9818" t="inlineStr">
        <is>
          <t>i4ubm5</t>
        </is>
      </c>
      <c r="B9818" t="inlineStr">
        <is>
          <t>Caffeine tablets are not hurting my GERD</t>
        </is>
      </c>
      <c r="C9818" t="inlineStr">
        <is>
          <t>Something of a minor breakthrough.
I've been trying to get off my PPI for years. I'm now on 40mg and have made several failed attempts to quit.
Recently, on a hunch, I dusted down an old box of caffeine tablets. My thinking was that coffee is acidic and has (I believe) a bunch of compounds that are known to aggravate GERD irrespective of the caffeine.
The results have been pretty interesting.
Typically if I forget to take my PPI the rebound reflux will make itself very obviously known within 3 hours.
It's now been 24 +6 hours since my last dose and .... nothing.
I also feel a lot better digestively ... less noise and less of a feeling of gastritis which is also something that I suffer from.
I've kept my caffeine supplement dosage to under 200mg a day - which is about 2 coffees-worth.
This is pretty interesting.
Would be curious to know whether anybody has encountered something similar.</t>
        </is>
      </c>
      <c r="D9818" t="n">
        <v>1</v>
      </c>
      <c r="E9818" t="n">
        <v>3</v>
      </c>
      <c r="F9818">
        <f>HYPERLINK("https://www.reddit.com/r/GERD/comments/i4ubm5/caffeine_tablets_are_not_hurting_my_gerd/")</f>
        <v/>
      </c>
      <c r="G9818" t="inlineStr">
        <is>
          <t>2020-08-06 08:55:40</t>
        </is>
      </c>
      <c r="H9818" t="inlineStr"/>
    </row>
    <row r="9819">
      <c r="A9819" t="inlineStr">
        <is>
          <t>i4v3fm</t>
        </is>
      </c>
      <c r="B9819" t="inlineStr">
        <is>
          <t>Sucking in stomach</t>
        </is>
      </c>
      <c r="C9819" t="inlineStr">
        <is>
          <t>Hi all. Man, I’ve noticed something interesting since my flare up began months ago. After initially being in pain for months with a flare up and mild gastritis, I notice that I suck my stomach in, almost like ‘oh shit, I’m about to get hit.’ I can usually meditate and do belly breathing and it relaxes, and then the burning sensation in my stomach slowly fades. Typically I think of GERD as that acid taste and feeling in my
Throat (diagnosed 8 years ago, ppi successfully resolved everything but regurgitation until last Nov) now I have a constant burning that is definitely connected to anxiety. I’m on week 4 of Prozac to try and unwind my nerves. Anyone else unconsciously carry tension in the stomach like this? I want to believe that it’s tea and occasional chocolate causing my pain, but every time I notice my stomach is clenched, and I can consciously relax it. Up until last Nov, I drank coffee, alcohol, ate spicy food... no problem on ppi.</t>
        </is>
      </c>
      <c r="D9819" t="n">
        <v>1</v>
      </c>
      <c r="E9819" t="n">
        <v>4</v>
      </c>
      <c r="F9819">
        <f>HYPERLINK("https://www.reddit.com/r/GERD/comments/i4v3fm/sucking_in_stomach/")</f>
        <v/>
      </c>
      <c r="G9819" t="inlineStr">
        <is>
          <t>2020-08-06 09:36:57</t>
        </is>
      </c>
      <c r="H9819" t="inlineStr"/>
    </row>
    <row r="9820">
      <c r="A9820" t="inlineStr">
        <is>
          <t>i4vd54</t>
        </is>
      </c>
      <c r="B9820" t="inlineStr">
        <is>
          <t>Not sure whether or not I have GERD...</t>
        </is>
      </c>
      <c r="C9820" t="inlineStr">
        <is>
          <t>Alright, so basically 1 1/2 years ago I had REALLY bad gastroenteritis, my girlfriend and I went through it and it was horrible. I had a lot of trouble ingesting any fluids and I spent more than 24 hours vomiting. I had to go to the hospital to get rehydrated and ever since, I feel like something's wrong with me. 
It started with belching. I really felt the difference; in the following weeks, I started to belch 10 times more than I used to. Every single thing caused me to burp, from eating to drinking to sometimes just swallowing in air. In november of last year I asked my doctor and he decided to put me on a ppi, thinking I was having chronic heartburn. Basically the ppi was just to treat my belching. But I don't know why, ppis seem to trigger in me really bad pain in my abdomen depending on really obtuse factors (what I eat, the time of day, etc.). I stopped taking them, seeing that they caused more bad than good. 
Then, in March I started waking up often with my throat aching. I put the blame on allergies but I started feeling my lymph nodes irritated too, and then when I asked my doctor he told me it probably was due to heartburn. I was put back on a ppi again and it was manageable but the stomach aches came back slowly. Now I'm at the point where I feel like I have to take a ppi or I get really bad acid reflux, and the belching is still there.
My big question about all of this is, isn't it strange that it basically started when I stopped having gastroenteritis? I looked into it and I think I might have caused a hiatal hernia by vomiting. I really hope it's not GERD, even though I share a lot of the symptoms. What do you think?</t>
        </is>
      </c>
      <c r="D9820" t="n">
        <v>1</v>
      </c>
      <c r="E9820" t="n">
        <v>0</v>
      </c>
      <c r="F9820">
        <f>HYPERLINK("https://www.reddit.com/r/GERD/comments/i4vd54/not_sure_whether_or_not_i_have_gerd/")</f>
        <v/>
      </c>
      <c r="G9820" t="inlineStr">
        <is>
          <t>2020-08-06 09:51:10</t>
        </is>
      </c>
      <c r="H9820" t="inlineStr"/>
    </row>
    <row r="9821">
      <c r="A9821" t="inlineStr">
        <is>
          <t>i4vgkr</t>
        </is>
      </c>
      <c r="B9821" t="inlineStr">
        <is>
          <t>Left arm pain</t>
        </is>
      </c>
      <c r="C9821" t="inlineStr">
        <is>
          <t>A few days onto omeprazole, dont know if its caused by it, have a pain throughout my left arm and wrist. Any ideas?</t>
        </is>
      </c>
      <c r="D9821" t="n">
        <v>1</v>
      </c>
      <c r="E9821" t="n">
        <v>7</v>
      </c>
      <c r="F9821">
        <f>HYPERLINK("https://www.reddit.com/r/GERD/comments/i4vgkr/left_arm_pain/")</f>
        <v/>
      </c>
      <c r="G9821" t="inlineStr">
        <is>
          <t>2020-08-06 09:56:02</t>
        </is>
      </c>
      <c r="H9821" t="inlineStr"/>
    </row>
    <row r="9822">
      <c r="A9822" t="inlineStr">
        <is>
          <t>i4w0a9</t>
        </is>
      </c>
      <c r="B9822" t="inlineStr">
        <is>
          <t>Mucus in throat?</t>
        </is>
      </c>
      <c r="C9822" t="inlineStr">
        <is>
          <t>I believe I have gerd, currently on a long waiting list for ent, I had a bad week last week so I are stuff not good for gerd, nothing acidic just chocolate and pizza without sauce, and now I’m back to doing acid watchers diet as I always have a terrible sore throat/nausea, so been back on it 2 days and I have a terrible feeling of mucus in the back of my throat like I’m choking. I’ve done salt water gargle and had honey and ginger tea but it hasn’t helped yet, and gaviscon. Anyone have any remedies and do you know how long it normally takes to go away? I’m hoping soon as I’m back to eating bland foods again</t>
        </is>
      </c>
      <c r="D9822" t="n">
        <v>1</v>
      </c>
      <c r="E9822" t="n">
        <v>16</v>
      </c>
      <c r="F9822">
        <f>HYPERLINK("https://www.reddit.com/r/GERD/comments/i4w0a9/mucus_in_throat/")</f>
        <v/>
      </c>
      <c r="G9822" t="inlineStr">
        <is>
          <t>2020-08-06 10:24:16</t>
        </is>
      </c>
      <c r="H9822" t="inlineStr"/>
    </row>
    <row r="9823">
      <c r="A9823" t="inlineStr">
        <is>
          <t>i4wpn9</t>
        </is>
      </c>
      <c r="B9823" t="inlineStr">
        <is>
          <t>Digestive Enzymes and PPIs</t>
        </is>
      </c>
      <c r="C9823" t="inlineStr">
        <is>
          <t>Recently got an endoscopy, found mild gastritis and reflux (honestly hoped for more information).  I tried asking if the issue was too much or too little acid and didn’t really get a straight answer from my GIs assistant.  I’m interested in trying digestive enzymes because I suspect my issue might be too little stomach acid especially after taking ppis for a while (I stopped for a like a week not too long ago, but have gotten back on).  
Pantoprazole seemed to work for a bit, but now I’m honestly interested in other options for a few reasons (mainly the stomach acid and digestion bit).  
My main question is if I take the digestive enzymes, should I stop the ppis for the time being?  I just thought it’d be counterintuitive to take them both at the same time.
(Btw my symptoms are chest tightness, frequent burping, constant shortness of breath-air hunger, and the infrequent feeling of something filling my throat)</t>
        </is>
      </c>
      <c r="D9823" t="n">
        <v>1</v>
      </c>
      <c r="E9823" t="n">
        <v>19</v>
      </c>
      <c r="F9823">
        <f>HYPERLINK("https://www.reddit.com/r/GERD/comments/i4wpn9/digestive_enzymes_and_ppis/")</f>
        <v/>
      </c>
      <c r="G9823" t="inlineStr">
        <is>
          <t>2020-08-06 11:01:32</t>
        </is>
      </c>
      <c r="H9823" t="inlineStr"/>
    </row>
    <row r="9824">
      <c r="A9824" t="inlineStr">
        <is>
          <t>i4yski</t>
        </is>
      </c>
      <c r="B9824" t="inlineStr">
        <is>
          <t>Does anyone experience heart palpitation/chest fluttering when laying down?</t>
        </is>
      </c>
      <c r="C9824" t="inlineStr">
        <is>
          <t>When I have flare ups I seem to get a lot of chest fluttering and palpitations especially when laying down. I've read they're usually not serious, but it feels awful and I imagine may trigger some anxiety.. which probably only makes it worse.
Just wondering if this happens to anyone else and if anyone has found any good solution to it?
Also, has anyone experienced side effects from pantoprazole? I've been on it for a little while and it seems every so often I will get a warm forehead in the evening. I'd be hard pressed to call it a fever (there arent any other symptoms like chills) but I definitely am warmer than usual.</t>
        </is>
      </c>
      <c r="D9824" t="n">
        <v>1</v>
      </c>
      <c r="E9824" t="n">
        <v>36</v>
      </c>
      <c r="F9824">
        <f>HYPERLINK("https://www.reddit.com/r/GERD/comments/i4yski/does_anyone_experience_heart_palpitationchest/")</f>
        <v/>
      </c>
      <c r="G9824" t="inlineStr">
        <is>
          <t>2020-08-06 12:48:58</t>
        </is>
      </c>
      <c r="H9824" t="inlineStr"/>
    </row>
    <row r="9825">
      <c r="A9825" t="inlineStr">
        <is>
          <t>i4yucz</t>
        </is>
      </c>
      <c r="B9825" t="inlineStr">
        <is>
          <t>Just had an endoscopy, off the bat they found gastritis, esophagitis, and duodenitis. What causes all of this?</t>
        </is>
      </c>
      <c r="C9825" t="inlineStr">
        <is>
          <t>Long story short I’ve been dealing with GI issues for the last year and a half. I have severe gluten sensitivity (never got endoscopy to confirm if it was celiac, long story) and gave up gluten April 2019. Since then I’ve had 30+ symptoms on and off and I know I’ve struggled with gastritis several times, more recently I’ve had esophagus issues and symptoms (they suspect EOE). They took biopsies so I’ll get that info Monday morning. I have severe allergies, my eczema is also a result of that, but I’m not sure exactly to what. Anyone know what causes all of this and if it’s usually allergy related? Just curious, I know I’ll get more answers Monday. Thanks :)</t>
        </is>
      </c>
      <c r="D9825" t="n">
        <v>1</v>
      </c>
      <c r="E9825" t="n">
        <v>11</v>
      </c>
      <c r="F9825">
        <f>HYPERLINK("https://www.reddit.com/r/GERD/comments/i4yucz/just_had_an_endoscopy_off_the_bat_they_found/")</f>
        <v/>
      </c>
      <c r="G9825" t="inlineStr">
        <is>
          <t>2020-08-06 12:51:36</t>
        </is>
      </c>
      <c r="H9825" t="inlineStr"/>
    </row>
    <row r="9826">
      <c r="A9826" t="inlineStr">
        <is>
          <t>i4z4sm</t>
        </is>
      </c>
      <c r="B9826" t="inlineStr">
        <is>
          <t>Nexium Side effects</t>
        </is>
      </c>
      <c r="C9826" t="inlineStr">
        <is>
          <t>Nexium seems to make my upper center stomach burn nearly immediately after swallowing the pill. And it also seems to make my throat tight. I’ve never made it more than 3 days on it because of this.
Does anyone here have any experience with Nexium or any other recommendations?</t>
        </is>
      </c>
      <c r="D9826" t="n">
        <v>1</v>
      </c>
      <c r="E9826" t="n">
        <v>12</v>
      </c>
      <c r="F9826">
        <f>HYPERLINK("https://www.reddit.com/r/GERD/comments/i4z4sm/nexium_side_effects/")</f>
        <v/>
      </c>
      <c r="G9826" t="inlineStr">
        <is>
          <t>2020-08-06 13:07:13</t>
        </is>
      </c>
      <c r="H9826" t="inlineStr"/>
    </row>
    <row r="9827">
      <c r="A9827" t="inlineStr">
        <is>
          <t>i4zs5q</t>
        </is>
      </c>
      <c r="B9827" t="inlineStr">
        <is>
          <t>Not Sure if High or Low Acid</t>
        </is>
      </c>
      <c r="C9827" t="inlineStr">
        <is>
          <t>I have been taking PPIs for over a decade now and they seem to work less and less over time with more and more stomach problems arising. I also have many symptoms that would be explained by Hypochlorydria  (not enough stomach acid). I would like to find out if I really have low or high stomach acid levels, I am trying to get a heidelberg test but that seems like it may take a while. I have started the HCL Betaine test but am a bit confused. I usually take nexium 20mg a day (2 hours after food 30 min before) which lately has not been enough so I have been supplementing with gaviscon. If I do not take a ppi I usually get heartburn within a day, which leaves me confused about the test. How am I supposed to know how much hcl is enough if I have heartburn symptoms regardless and heartburn/acid symptoms can also be caused by low acid? 
Any help or info would be really really appreciated, thanks for reading.</t>
        </is>
      </c>
      <c r="D9827" t="n">
        <v>1</v>
      </c>
      <c r="E9827" t="n">
        <v>17</v>
      </c>
      <c r="F9827">
        <f>HYPERLINK("https://www.reddit.com/r/GERD/comments/i4zs5q/not_sure_if_high_or_low_acid/")</f>
        <v/>
      </c>
      <c r="G9827" t="inlineStr">
        <is>
          <t>2020-08-06 13:41:54</t>
        </is>
      </c>
      <c r="H9827" t="inlineStr"/>
    </row>
    <row r="9828">
      <c r="A9828" t="inlineStr">
        <is>
          <t>i50l2e</t>
        </is>
      </c>
      <c r="B9828" t="inlineStr">
        <is>
          <t>Strange New symptom</t>
        </is>
      </c>
      <c r="C9828" t="inlineStr">
        <is>
          <t>I have been suffering with silent reflux for a few years and it tends to be brought on by stress and anxiety.
Just recently I have developed a new symptom at night when I'm laying down, I wake up and keep swallowing suddenly, sometimes so excessively that I bite my tongue. 
I assume this is a build up of saliva that's causing this does anyone else suffer from this, it's causing a lack of sleep and freaking me out.</t>
        </is>
      </c>
      <c r="D9828" t="n">
        <v>1</v>
      </c>
      <c r="E9828" t="n">
        <v>9</v>
      </c>
      <c r="F9828">
        <f>HYPERLINK("https://www.reddit.com/r/GERD/comments/i50l2e/strange_new_symptom/")</f>
        <v/>
      </c>
      <c r="G9828" t="inlineStr">
        <is>
          <t>2020-08-06 14:24:42</t>
        </is>
      </c>
      <c r="H9828" t="inlineStr"/>
    </row>
    <row r="9829">
      <c r="A9829" t="inlineStr">
        <is>
          <t>i51nsw</t>
        </is>
      </c>
      <c r="B9829" t="inlineStr">
        <is>
          <t>has your larynx ever "moved" when you swallow? Like you can feel it?</t>
        </is>
      </c>
      <c r="C9829" t="inlineStr">
        <is>
          <t>Because of this symptom, I'm wondering if my GERD is really caused by something else.
Let me try to describe.
Sometimes when I swallow, I can feel a "thunk" in my throat.  It's like something is moving out of the way, like when you pop your knuckle almost.  I can touch my larynx and move it to the side, and it pops again.  This is different from GERD pain, however I still have some of the symptoms.
This could be because a muscle or something is in the wrong place and pulling something to where it shouldn't be = GERD symptoms?
This is SO WEIRD I just want to know if anyone else has it.</t>
        </is>
      </c>
      <c r="D9829" t="n">
        <v>1</v>
      </c>
      <c r="E9829" t="n">
        <v>1</v>
      </c>
      <c r="F9829">
        <f>HYPERLINK("https://www.reddit.com/r/GERD/comments/i51nsw/has_your_larynx_ever_moved_when_you_swallow_like/")</f>
        <v/>
      </c>
      <c r="G9829" t="inlineStr">
        <is>
          <t>2020-08-06 15:23:09</t>
        </is>
      </c>
      <c r="H9829" t="inlineStr"/>
    </row>
    <row r="9830">
      <c r="A9830" t="inlineStr">
        <is>
          <t>i5209a</t>
        </is>
      </c>
      <c r="B9830" t="inlineStr">
        <is>
          <t>Acid Reflux ?</t>
        </is>
      </c>
      <c r="C9830" t="inlineStr">
        <is>
          <t>I’m sure these are common posts so I apologize. 
Doctor appointment next week.
Last week I started having some very subtle nausea that would come and go. Nothing debilitating , could go about my day and I wouldn’t even notice it if i focused elsewhere. 
This past weekend I started having some slight chest pressure (almost feels like gas) and a sore throat (only felt sore on the exterior , never hurt when swallowing).
I took some alka seltzer one evening that completely eliminated the chest thing (for that night) but gave me a bad stomach ache / diarrhea. 
I’ll get a very small headache here and there. Today I felt nauseous through most of day, but that was easily quelled by Pepto / chewing some mint gum.
Does this sound like acid reflux or GERD? I don’t have a crazy history of GI issues, but used to get awful stomach aches as a kid, and will still very occasionally get a stomach ache or two.
28/M. 
Thank you!</t>
        </is>
      </c>
      <c r="D9830" t="n">
        <v>1</v>
      </c>
      <c r="E9830" t="n">
        <v>0</v>
      </c>
      <c r="F9830">
        <f>HYPERLINK("https://www.reddit.com/r/GERD/comments/i5209a/acid_reflux/")</f>
        <v/>
      </c>
      <c r="G9830" t="inlineStr">
        <is>
          <t>2020-08-06 15:42:38</t>
        </is>
      </c>
      <c r="H9830" t="inlineStr"/>
    </row>
    <row r="9831">
      <c r="A9831" t="inlineStr">
        <is>
          <t>i523j2</t>
        </is>
      </c>
      <c r="B9831" t="inlineStr">
        <is>
          <t>I’m so anxious about a endoscopy</t>
        </is>
      </c>
      <c r="C9831" t="inlineStr">
        <is>
          <t>Yeah I’m having a endoscopy in a week or 3. I’m a ious as hell. Mainly about if the find anything really bad like cancer or something. I know I have lpr but I’m still worried and kind of a wreck right now</t>
        </is>
      </c>
      <c r="D9831" t="n">
        <v>1</v>
      </c>
      <c r="E9831" t="n">
        <v>0</v>
      </c>
      <c r="F9831">
        <f>HYPERLINK("https://www.reddit.com/r/GERD/comments/i523j2/im_so_anxious_about_a_endoscopy/")</f>
        <v/>
      </c>
      <c r="G9831" t="inlineStr">
        <is>
          <t>2020-08-06 15:48:04</t>
        </is>
      </c>
      <c r="H9831" t="inlineStr"/>
    </row>
    <row r="9832">
      <c r="A9832" t="inlineStr">
        <is>
          <t>i529rf</t>
        </is>
      </c>
      <c r="B9832" t="inlineStr">
        <is>
          <t>Gastric Parietal Cell AB</t>
        </is>
      </c>
      <c r="C9832" t="inlineStr">
        <is>
          <t>I’ve been in PPIs for about 8 years now. They’ve gradually stopped working, and it’s not to the point that if I don’t take one in the morning, I’m experiencing horrible reflux by 2pm, no matter what I eat or don’t eat. It makes me question what I really have. I’ve had two Upper Endoscopies, a Colonoscopy, and many blood tests done. My gastric parietal cell antibody level is sky high- I’m at a 75, where the highest for a normal level is a 25. Does anyone know what might be causing that? Or have any general cures or alleviations for GERD? I haven’t ate anything sour or spicy in months and reduced my acid intake, and still no end in sight to this. I’m getting desperate at this point (mainly because I miss Sour Patch Kids and spicy salsa so much). GERD is not my only symptom, I’m going through a barrage of other health issues currently and seeing about seven doctors at this point. Nobody has any answers to anything and it’s very frustrating.</t>
        </is>
      </c>
      <c r="D9832" t="n">
        <v>1</v>
      </c>
      <c r="E9832" t="n">
        <v>2</v>
      </c>
      <c r="F9832">
        <f>HYPERLINK("https://www.reddit.com/r/GERD/comments/i529rf/gastric_parietal_cell_ab/")</f>
        <v/>
      </c>
      <c r="G9832" t="inlineStr">
        <is>
          <t>2020-08-06 15:57:42</t>
        </is>
      </c>
      <c r="H9832" t="inlineStr"/>
    </row>
    <row r="9833">
      <c r="A9833" t="inlineStr">
        <is>
          <t>i52b3r</t>
        </is>
      </c>
      <c r="B9833" t="inlineStr">
        <is>
          <t>Why do smaller meals give me more problems?</t>
        </is>
      </c>
      <c r="C9833" t="inlineStr">
        <is>
          <t>Any theories?</t>
        </is>
      </c>
      <c r="D9833" t="n">
        <v>1</v>
      </c>
      <c r="E9833" t="n">
        <v>0</v>
      </c>
      <c r="F9833">
        <f>HYPERLINK("https://www.reddit.com/r/GERD/comments/i52b3r/why_do_smaller_meals_give_me_more_problems/")</f>
        <v/>
      </c>
      <c r="G9833" t="inlineStr">
        <is>
          <t>2020-08-06 15:59:57</t>
        </is>
      </c>
      <c r="H9833" t="inlineStr"/>
    </row>
    <row r="9834">
      <c r="A9834" t="inlineStr">
        <is>
          <t>i52c1h</t>
        </is>
      </c>
      <c r="B9834" t="inlineStr">
        <is>
          <t>Have you tried to stop masturbating to see if GERD symptoms go away?</t>
        </is>
      </c>
      <c r="C9834" t="inlineStr">
        <is>
          <t>Can we have an experiment here where you don't masturbate for one week and then notice the difference it makes to your GERD? 
I have tried it like 5 times (one week on, on week off), everytime I have noticed that my GERD symptoms are worse in the weeks it is ON. 
Just wondering if someone else has tried this as well? 
In a perfect world, those reading this would try it and then comment here if it helped them. 
I usually stay away from quack-methods but not masturbating can't hurt or can it lol.</t>
        </is>
      </c>
      <c r="D9834" t="n">
        <v>1</v>
      </c>
      <c r="E9834" t="n">
        <v>1</v>
      </c>
      <c r="F9834">
        <f>HYPERLINK("https://www.reddit.com/r/GERD/comments/i52c1h/have_you_tried_to_stop_masturbating_to_see_if/")</f>
        <v/>
      </c>
      <c r="G9834" t="inlineStr">
        <is>
          <t>2020-08-06 16:01:24</t>
        </is>
      </c>
      <c r="H9834" t="inlineStr"/>
    </row>
    <row r="9835">
      <c r="A9835" t="inlineStr">
        <is>
          <t>i5364h</t>
        </is>
      </c>
      <c r="B9835" t="inlineStr">
        <is>
          <t>What could be triggering mid day acid buildup?</t>
        </is>
      </c>
      <c r="C9835" t="inlineStr">
        <is>
          <t>Sorta new to becoming a lifelong GERD. I was on pantoprazole for a few months and it worked great but after I stopped taking them I got horrible withdrawal symptoms so I vowed to never taking those pills again. Trying to clean out my diet and I know my biggest triggers were alcohol, tomato sauce and some other classics. 
However lately I’ve been getting some acid buildup after work and I’m wondering what it could be from. 
Every morning I make a heavy bulk smoothie (I’m skinny 135 lbs I want to put some weight on)
Ingredients:
Oats
Strawberries
Blueberries
Banana
Spinach
Peanut butter
Flax seeds
Chia seeds
Soy milk
Lunch:
Today I made a veggie melt sandwich
Ingredients:
Sourdough
Broccoli
Mushrooms
Cheese
Mayo
Snack
Granola bar
Dinner tonight:
Salmon
Sweet potato fries
Late night snack:
Cottage cheese
Greek yogurt
Hemp heart seeds
This has been my routine meals more or so, I workout around 5 pm and that’s when it really hits me</t>
        </is>
      </c>
      <c r="D9835" t="n">
        <v>1</v>
      </c>
      <c r="E9835" t="n">
        <v>6</v>
      </c>
      <c r="F9835">
        <f>HYPERLINK("https://www.reddit.com/r/GERD/comments/i5364h/what_could_be_triggering_mid_day_acid_buildup/")</f>
        <v/>
      </c>
      <c r="G9835" t="inlineStr">
        <is>
          <t>2020-08-06 16:50:59</t>
        </is>
      </c>
      <c r="H9835" t="inlineStr"/>
    </row>
    <row r="9836">
      <c r="A9836" t="inlineStr">
        <is>
          <t>i53odj</t>
        </is>
      </c>
      <c r="B9836" t="inlineStr">
        <is>
          <t>Stomach flap surgery</t>
        </is>
      </c>
      <c r="C9836" t="inlineStr">
        <is>
          <t>I know there’s a real term for it but I like calling it the “stomach flap.” Have any of you had the procedure where they attempt to fix the flappiness in order to keep acid in the stomach? It’s kind of my Plan C now..</t>
        </is>
      </c>
      <c r="D9836" t="n">
        <v>1</v>
      </c>
      <c r="E9836" t="n">
        <v>6</v>
      </c>
      <c r="F9836">
        <f>HYPERLINK("https://www.reddit.com/r/GERD/comments/i53odj/stomach_flap_surgery/")</f>
        <v/>
      </c>
      <c r="G9836" t="inlineStr">
        <is>
          <t>2020-08-06 17:22:26</t>
        </is>
      </c>
      <c r="H9836" t="inlineStr"/>
    </row>
    <row r="9837">
      <c r="A9837" t="inlineStr">
        <is>
          <t>i540jf</t>
        </is>
      </c>
      <c r="B9837" t="inlineStr">
        <is>
          <t>Lump/ball/food in throat</t>
        </is>
      </c>
      <c r="C9837" t="inlineStr">
        <is>
          <t>Hi guys I have that terrible lump in throat sensation I’ve been dealing with it over a month now it’s come and gone but always is there. I drink tons of water all day about 64-80ML a day. I carry a big water jug to keep hydrated. I’m not sure I have GERD but I do get bubbling noises sometimes in my stomach not usually associated with pain though. I just wanted to know if anyone’s experienced this globus sensation for this long? it doesn’t obstruct my breathing or eating it goes away when I eat actually but it’s getting really depressing I have to say, after changing so many habits and trying to be healthy. Eating better, getting better sleep etc. all since I quit weed about 2 months ago. I feel like there’s no light at the end of the tunnel and I’m going to have this feeling forever. I can go about my daily life but I never feel “normal” I’ve never experienced anything like this and I’ve had bad anxiety before. Just hoping someone has some hopeful words, advice or experience. Thanks.</t>
        </is>
      </c>
      <c r="D9837" t="n">
        <v>1</v>
      </c>
      <c r="E9837" t="n">
        <v>3</v>
      </c>
      <c r="F9837">
        <f>HYPERLINK("https://www.reddit.com/r/GERD/comments/i540jf/lumpballfood_in_throat/")</f>
        <v/>
      </c>
      <c r="G9837" t="inlineStr">
        <is>
          <t>2020-08-06 17:44:33</t>
        </is>
      </c>
      <c r="H9837" t="inlineStr"/>
    </row>
    <row r="9838">
      <c r="A9838" t="inlineStr">
        <is>
          <t>i54z9d</t>
        </is>
      </c>
      <c r="B9838" t="inlineStr">
        <is>
          <t>Throat clearing help!</t>
        </is>
      </c>
      <c r="C9838" t="inlineStr">
        <is>
          <t>I have LPR and struggle endlessly with my throat being chocked with mucus/acid. It's worse after I eat anything so a lot of times at my job I skip lunch so I don't get hoarse. I work answering phones all day so you can see this is a very embarrassing problem for me. I also have misophonia and I hate the sound of throat clearing and I don't want to irritate my coworkers.
I'm trying to take sips of water instead of clearing it but it doesn't help much. I literally lose my voice if I don't clear it.</t>
        </is>
      </c>
      <c r="D9838" t="n">
        <v>1</v>
      </c>
      <c r="E9838" t="n">
        <v>12</v>
      </c>
      <c r="F9838">
        <f>HYPERLINK("https://www.reddit.com/r/GERD/comments/i54z9d/throat_clearing_help/")</f>
        <v/>
      </c>
      <c r="G9838" t="inlineStr">
        <is>
          <t>2020-08-06 18:48:19</t>
        </is>
      </c>
      <c r="H9838" t="inlineStr"/>
    </row>
    <row r="9839">
      <c r="A9839" t="inlineStr">
        <is>
          <t>i550zk</t>
        </is>
      </c>
      <c r="B9839" t="inlineStr">
        <is>
          <t>do you ever have sore jaw muscles, like below your chin, like talking hurts?</t>
        </is>
      </c>
      <c r="C9839" t="inlineStr">
        <is>
          <t>Sometimes when I am having trouble swallowing and globus sensation, I feel this way, it's like my muscles are actually sore and talking is painful, not in my neck, but below my jaw.  Does this ever happen to anyone else?</t>
        </is>
      </c>
      <c r="D9839" t="n">
        <v>1</v>
      </c>
      <c r="E9839" t="n">
        <v>3</v>
      </c>
      <c r="F9839">
        <f>HYPERLINK("https://www.reddit.com/r/GERD/comments/i550zk/do_you_ever_have_sore_jaw_muscles_like_below_your/")</f>
        <v/>
      </c>
      <c r="G9839" t="inlineStr">
        <is>
          <t>2020-08-06 18:51:26</t>
        </is>
      </c>
      <c r="H9839" t="inlineStr"/>
    </row>
    <row r="9840">
      <c r="A9840" t="inlineStr">
        <is>
          <t>i55306</t>
        </is>
      </c>
      <c r="B9840" t="inlineStr">
        <is>
          <t>Should I get some H2 blockers and use them along with the antacids in already using ?</t>
        </is>
      </c>
      <c r="C9840" t="inlineStr">
        <is>
          <t>M17 . I’ve been using both generic antacids and Alka Seltzer chews and that’s really all , should i look into some h2 blockers as well for long term ? Ive never taken them before but I’ve heard that they’re stronger and provide more relief</t>
        </is>
      </c>
      <c r="D9840" t="n">
        <v>1</v>
      </c>
      <c r="E9840" t="n">
        <v>2</v>
      </c>
      <c r="F9840">
        <f>HYPERLINK("https://www.reddit.com/r/GERD/comments/i55306/should_i_get_some_h2_blockers_and_use_them_along/")</f>
        <v/>
      </c>
      <c r="G9840" t="inlineStr">
        <is>
          <t>2020-08-06 18:55:12</t>
        </is>
      </c>
      <c r="H9840" t="inlineStr"/>
    </row>
    <row r="9841">
      <c r="A9841" t="inlineStr">
        <is>
          <t>i555qv</t>
        </is>
      </c>
      <c r="B9841" t="inlineStr">
        <is>
          <t>how come food gets trapped in your throat with acid reflux?</t>
        </is>
      </c>
      <c r="C9841" t="inlineStr">
        <is>
          <t>Why does this happen with GERD?  I know there are situations like EoE where the throat narrows, but what about GERD?  Is it acid damaging the throat and aggravating it?</t>
        </is>
      </c>
      <c r="D9841" t="n">
        <v>1</v>
      </c>
      <c r="E9841" t="n">
        <v>5</v>
      </c>
      <c r="F9841">
        <f>HYPERLINK("https://www.reddit.com/r/GERD/comments/i555qv/how_come_food_gets_trapped_in_your_throat_with/")</f>
        <v/>
      </c>
      <c r="G9841" t="inlineStr">
        <is>
          <t>2020-08-06 19:00:25</t>
        </is>
      </c>
      <c r="H9841" t="inlineStr"/>
    </row>
    <row r="9842">
      <c r="A9842" t="inlineStr">
        <is>
          <t>i56d7g</t>
        </is>
      </c>
      <c r="B9842" t="inlineStr">
        <is>
          <t>whats surgery like for your tummy</t>
        </is>
      </c>
      <c r="C9842" t="inlineStr">
        <is>
          <t xml:space="preserve"> 
1.whats surgery like
2. will ivs be needed
3. will oxygen be used
4. will i have a catheter
5 will i  have ng tube 
6. will i need diapers
7, my gi issuses are bad  
8. im autistic and special needs
9. how long of a hospital stay
10. will i need plastic bed cover</t>
        </is>
      </c>
      <c r="D9842" t="n">
        <v>1</v>
      </c>
      <c r="E9842" t="n">
        <v>1</v>
      </c>
      <c r="F9842">
        <f>HYPERLINK("https://www.reddit.com/r/GERD/comments/i56d7g/whats_surgery_like_for_your_tummy/")</f>
        <v/>
      </c>
      <c r="G9842" t="inlineStr">
        <is>
          <t>2020-08-06 20:21:41</t>
        </is>
      </c>
      <c r="H9842" t="inlineStr"/>
    </row>
    <row r="9843">
      <c r="A9843" t="inlineStr">
        <is>
          <t>i56nww</t>
        </is>
      </c>
      <c r="B9843" t="inlineStr">
        <is>
          <t>Long but please take time to read it</t>
        </is>
      </c>
      <c r="C9843" t="inlineStr">
        <is>
          <t>I am a mother to 5 human kiddos and 3 fur babies. My humans are 13B, 7G, 2B, 2G, &amp;amp; my newest addition is an 11 weeks old baby boy. Then like I said I have an Alaskan Malmute, Cane Corso (Italian mastiff), and a brindle pitbull. My two year old toddler boy had surgery 8 days ago in North Carolina Children's Hospital in Durham NC on his small intestines, stomach, and also had an umbilical hernia repaired. He was born with severe malrotation birth defect where his whole digestive system was completely upside down  in his abdominal cavity and needed to be completely taken out and redone. We came home two days ago from the hospital to finish recovering at home. He has 42 staples from chest down to his lower stomach. Before surgery for four months he was only allowed to drink PediaSure Peptide and tiny bits of water and now that's ALL he can have for the next 12 weeks while his whole digestive tract is healing in it's proper spot. HE CANNOT HAVE ANY SOLIDS AT ALL OR ANY FLUIDS BESIDES THE PRESCRIPTION PEDIASURE PEPTIDE AND TINY AMOUNTS OF WATER TO RINSE MOUTH OUT... Pediatrician said we/he could not risk having a reaction or him vomiting and straining and tearing open his insides or the big incision outside or he could die due to waste escaping into his body and getting a horrible infection. So for 12 weeks the peptide is his ONLY source of nutrition and food.
Okay now, reason I'm posting this is my pitbull dude has severe seperation anxiety and has to be put in his crate anytime there is not an adult at home with him. If left out he will destroy EVERY THING on his path. And I mean everything including the walls and furniture. My newborn had a pediatrician appointment yesterday afternoon at 4:15pm and we were super late because of course my twin boy who had surgery takes a little longer to get him ready and being careful not to hurt him and them my toddler twin girl was so moody. I ran out the house forgetting to put Dude, the pitbull in his crate. I honestly didn't even think about him being out until we returned home to  ALL OF MY TODDLER SON'S PEDIASURE PEPTIDE BOTTLES AND BOXES CHEWED UP INTO SO MANY PIECES ALL OVER MY LIVING ROOM AND KITCHEN FLOOR AND THE LIQUID WAS COVERED THE FLOOR AND FURNITURE. CHOCOLATE AND VANILLA THICK MILK LIKE LIQUID EVERY WHERE. I cannot believe how stupid and I feel like and idiot I am for forgetting to put him in the crate.
PediaSure Peptide is only obtained by PRESCRIPTION ONLY at pharmacies and medical supply companies. It is super expensive when you have to pay it out of pocket. Insurance buys enough every month for the whole month because that's his breakfast, lunch, and dinner. BUT they refused to pay for a replacement for enough just to last rest of the month til it's time for the new prescription to be filled. We get them on the 15th of every month. I have talked to 8 people at our insurance provider and even spoke to as high up boss as I could. They still will not cover it because I'm guessing the price is super expensive. His gastroenterologist seen us this morning and gave us a prescription for enough for the rest of the month to replace the ruined ones. I called around to all pharmacies and medical supply companies and cheapest place is $48.76 and that's for 9 days worth and 5 bottles a day. I am a newly single mother. I go to court for child support with their father in three weeks because he refused to help or see his kids. I paid all the bills with what I had saved up and got some groceries when he first left because I didn't expect me to screw up and let the dog ruin my child's food source. I screwed up big time and I feel like a horrible mother and I don't have the $50 to buy him more and he HAS to have it ASAP and I mean like within next hour he has to have his drink because that's his only source of nutrition like I said. 
PLEASE PLEASE anyone where or who can I contact that may offer assistance nor can help me buying it? Any public or religious or charities that may help in these times? I contacted local churches so far they all have nothing to offer or any funds. I'm losing my mind and have cried all morning..I gotta fix my mistake asap and he has got to eat very soon. PLEASE pray for us PLEASE and any advice or suggestions are very welcomed.</t>
        </is>
      </c>
      <c r="D9843" t="n">
        <v>1</v>
      </c>
      <c r="E9843" t="n">
        <v>2</v>
      </c>
      <c r="F9843">
        <f>HYPERLINK("https://www.reddit.com/r/GERD/comments/i56nww/long_but_please_take_time_to_read_it/")</f>
        <v/>
      </c>
      <c r="G9843" t="inlineStr">
        <is>
          <t>2020-08-06 20:42:08</t>
        </is>
      </c>
      <c r="H9843" t="inlineStr"/>
    </row>
    <row r="9844">
      <c r="A9844" t="inlineStr">
        <is>
          <t>i5743z</t>
        </is>
      </c>
      <c r="B9844" t="inlineStr">
        <is>
          <t>How many of my redditers have gone through with the lynx surgery?</t>
        </is>
      </c>
      <c r="C9844" t="inlineStr">
        <is>
          <t>Let me know if you have had the procedure done!
How long ago was it?
Did you have a positive or a negative experience?
Did it suppress your symptoms?
Did it cause any new problems?
TIA I am planning on having it done just looking for opinions!</t>
        </is>
      </c>
      <c r="D9844" t="n">
        <v>1</v>
      </c>
      <c r="E9844" t="n">
        <v>4</v>
      </c>
      <c r="F9844">
        <f>HYPERLINK("https://www.reddit.com/r/GERD/comments/i5743z/how_many_of_my_redditers_have_gone_through_with/")</f>
        <v/>
      </c>
      <c r="G9844" t="inlineStr">
        <is>
          <t>2020-08-06 21:13:53</t>
        </is>
      </c>
      <c r="H9844" t="inlineStr"/>
    </row>
    <row r="9845">
      <c r="A9845" t="inlineStr">
        <is>
          <t>i57bit</t>
        </is>
      </c>
      <c r="B9845" t="inlineStr">
        <is>
          <t>That LPR shortness of breath 'feeling' , fix ?</t>
        </is>
      </c>
      <c r="C9845" t="inlineStr">
        <is>
          <t>So long story short, I quit PPI's because im on a gluten free &amp;amp; dairy free diet as of about a week now, going okay I guess... but PLENTY of symptoms as ive been on double dose PPI for over a year. A few times during the day for a few minutes I get that yawning shortness of breath feeling when I feel reflux coming up , and its really rather annoying and im not sure what to do. Any other fixes for this aside from PPIs? as im coming off of the PPI I am taking 2 Pepcid max strength per day , which doesn't seem to be really doing anything tbh</t>
        </is>
      </c>
      <c r="D9845" t="n">
        <v>1</v>
      </c>
      <c r="E9845" t="n">
        <v>6</v>
      </c>
      <c r="F9845">
        <f>HYPERLINK("https://www.reddit.com/r/GERD/comments/i57bit/that_lpr_shortness_of_breath_feeling_fix/")</f>
        <v/>
      </c>
      <c r="G9845" t="inlineStr">
        <is>
          <t>2020-08-06 21:28:44</t>
        </is>
      </c>
      <c r="H9845" t="inlineStr"/>
    </row>
    <row r="9846">
      <c r="A9846" t="inlineStr">
        <is>
          <t>i586wh</t>
        </is>
      </c>
      <c r="B9846" t="inlineStr">
        <is>
          <t>Forgot to take ppi medicine for 3 days, how bad is the relapse going to be?</t>
        </is>
      </c>
      <c r="C9846" t="inlineStr">
        <is>
          <t>I'm on Esomeprazole 40mg once daily for the last 2 months. And it has been working great so far. But I forgot to take it for 3 consecutive days before yesterday. And the GERD symptoms have kicked in once again since yesterday. Can anyone give an idea that how much time is it going to take approximately to return to my usual state?</t>
        </is>
      </c>
      <c r="D9846" t="n">
        <v>1</v>
      </c>
      <c r="E9846" t="n">
        <v>4</v>
      </c>
      <c r="F9846">
        <f>HYPERLINK("https://www.reddit.com/r/GERD/comments/i586wh/forgot_to_take_ppi_medicine_for_3_days_how_bad_is/")</f>
        <v/>
      </c>
      <c r="G9846" t="inlineStr">
        <is>
          <t>2020-08-06 22:36:12</t>
        </is>
      </c>
      <c r="H9846" t="inlineStr"/>
    </row>
    <row r="9847">
      <c r="A9847" t="inlineStr">
        <is>
          <t>i58ym0</t>
        </is>
      </c>
      <c r="B9847" t="inlineStr">
        <is>
          <t>Got a second opinion, endoscopy in a few weeks</t>
        </is>
      </c>
      <c r="C9847" t="inlineStr">
        <is>
          <t>Follow up to [this post](https://www.reddit.com/r/GERD/comments/i0h4xr/getting_a_second_opinion/?utm_source=share&amp;amp;utm_medium=ios_app&amp;amp;utm_name=iossmf)
Got a second opinion, and he said my symptoms seem more like anxiety, since stronger antacids do nothing to get rid of the chest pain I have. He’s going to scope me but only because I pushed for it. 
I’m just wondering.. if this is only anxiety, could the PPI be giving me the stomach trouble? Should I ween off of them? I emailed this concerns to him, but he hasn’t responded back yet.</t>
        </is>
      </c>
      <c r="D9847" t="n">
        <v>1</v>
      </c>
      <c r="E9847" t="n">
        <v>9</v>
      </c>
      <c r="F9847">
        <f>HYPERLINK("https://www.reddit.com/r/GERD/comments/i58ym0/got_a_second_opinion_endoscopy_in_a_few_weeks/")</f>
        <v/>
      </c>
      <c r="G9847" t="inlineStr">
        <is>
          <t>2020-08-06 23:41:41</t>
        </is>
      </c>
      <c r="H9847" t="inlineStr"/>
    </row>
    <row r="9848">
      <c r="A9848" t="inlineStr">
        <is>
          <t>i59fgp</t>
        </is>
      </c>
      <c r="B9848" t="inlineStr">
        <is>
          <t>Concerns With GERD</t>
        </is>
      </c>
      <c r="C9848" t="inlineStr">
        <is>
          <t>Hi there. I'm a 17 year old boy and I have recently been feeling some odd symptoms. About 2 months ago, I woke up from a nap with a very sore throat, feeling groggy and lightheaded. I decided to go and sleep it off. However, when I woke up again I noticed that there was a strange popping/clicking sensation in my throat every time I swallowed. The best way to describe this feeling is as if you were to crack your knuckles and feel that pop, but only in your throat every time you swallowed. I talked to my doctor and he wasn't 100 percent sure of the cause, but gave me some medication for acid reflux. After that one failed to work, he prescribed me a more stronger prescription but yet again didn't work, and also gave me bad heart palpitations. I've been having this clicking sensation, heartburn and grogginess pretty much every day since then. I would like to hear from someone else if they have had similar experiences as me, and if it really is GERD, or something else I need to worry about. Thank you.</t>
        </is>
      </c>
      <c r="D9848" t="n">
        <v>1</v>
      </c>
      <c r="E9848" t="n">
        <v>1</v>
      </c>
      <c r="F9848">
        <f>HYPERLINK("https://www.reddit.com/r/GERD/comments/i59fgp/concerns_with_gerd/")</f>
        <v/>
      </c>
      <c r="G9848" t="inlineStr">
        <is>
          <t>2020-08-07 00:23:48</t>
        </is>
      </c>
      <c r="H9848" t="inlineStr"/>
    </row>
    <row r="9849">
      <c r="A9849" t="inlineStr">
        <is>
          <t>i59ljv</t>
        </is>
      </c>
      <c r="B9849" t="inlineStr">
        <is>
          <t>Small hiatal hernia symptoms</t>
        </is>
      </c>
      <c r="C9849" t="inlineStr">
        <is>
          <t>Wondering if anyone out there has really bad symptoms with a small hiatal hernia? I had an endoscopy done last week that found a 1cm hiatal hernia (and gastritis), but based on what I’m reading I shouldn’t have as severe symptoms as I am with such a small hernia.  I’ve had terrible chest and stomach pain for the last month, burping up food/acid, and trouble breathing.  It’s been worse when sitting or laying down, and worse after eating. I ate food cooked with butter on Sunday and I was in so much pain the rest of the night, it felt like my chest was going to explode. I started dexilant a few weeks ago and it seems to be helping with the exception of the trouble breathing.
Can anyone else share their experiences, or any tips?  I have pretty bad health anxiety, it helps to know I’m not alone!</t>
        </is>
      </c>
      <c r="D9849" t="n">
        <v>1</v>
      </c>
      <c r="E9849" t="n">
        <v>7</v>
      </c>
      <c r="F9849">
        <f>HYPERLINK("https://www.reddit.com/r/GERD/comments/i59ljv/small_hiatal_hernia_symptoms/")</f>
        <v/>
      </c>
      <c r="G9849" t="inlineStr">
        <is>
          <t>2020-08-07 00:39:27</t>
        </is>
      </c>
      <c r="H9849" t="inlineStr"/>
    </row>
    <row r="9850">
      <c r="A9850" t="inlineStr">
        <is>
          <t>i59rih</t>
        </is>
      </c>
      <c r="B9850" t="inlineStr">
        <is>
          <t>8 weeks of heartburn... no relief.</t>
        </is>
      </c>
      <c r="C9850" t="inlineStr">
        <is>
          <t>Just to say, I have a doctor’s appointment on Tuesday but I’m hoping to find some experience here! 
I started having heartburn from the first meal of the day to falling asleep at night about 8 weeks ago. 
I first got in contact with my doctor after about 3 weeks and they prescribed omeprazole. It got rid of my heartburn but I was terribly constipated (sorry for the TMI). The doctor told me to stop the meds and see how I went. 
I had maybe 2 weeks of feeling slightly better, with only a couple of days of heartburn. It then came back just as bad as before. 
I’m so sick of having a sore, phlegm-y throat, burps and that burning sensation all the time. I’ve cut out all the trigger food and drinks. It’s not helping. It’s really getting me down. 
I thought it might have been caused by my prenatal vitamins but I have stopped in the past week and a bit. It hasn’t gone away.
I think I want my doctor to refer me to a specialist because it doesn’t seem to be a normal thing that will go away on its own. Is this the next step?</t>
        </is>
      </c>
      <c r="D9850" t="n">
        <v>1</v>
      </c>
      <c r="E9850" t="n">
        <v>1</v>
      </c>
      <c r="F9850">
        <f>HYPERLINK("https://www.reddit.com/r/GERD/comments/i59rih/8_weeks_of_heartburn_no_relief/")</f>
        <v/>
      </c>
      <c r="G9850" t="inlineStr">
        <is>
          <t>2020-08-07 00:54:57</t>
        </is>
      </c>
      <c r="H9850" t="inlineStr"/>
    </row>
    <row r="9851">
      <c r="A9851" t="inlineStr">
        <is>
          <t>i5bdww</t>
        </is>
      </c>
      <c r="B9851" t="inlineStr">
        <is>
          <t>Chronic Gerd (since 2018) After 8 months of no symptoms, GERD came back kicking. Started the previous treatment and I do not feel better. Advice more than welcome! (NOT looking for diagnosis but wanting to hear others' experience with GERD coming back).</t>
        </is>
      </c>
      <c r="C9851" t="inlineStr">
        <is>
          <t>After persistent symptoms, I had an endoscopy in July 2019 where doctor noticed the sphincter being loose and allowing acid to come up.  
After various doctors, I found THE ONE and I started Pantoprazole in September with great results.  
Stopped around January.  
Now, since June, I have had the globus sensation, heartburn all very intense. Restarted Pantoprazole but no results yet. On the contrary my throar is hoarse and even with fasting since noon, I wake up feeling as if all night the acid came up (I sleep on a DIY incline bed).
I am looking for emotional support to be honest and some advice. It is scary and I will visit a doctor for another endoscopy.
I just wish to know, has someone else had a recurrance like that? How did you handle it?  
How often do symptoms recur?</t>
        </is>
      </c>
      <c r="D9851" t="n">
        <v>1</v>
      </c>
      <c r="E9851" t="n">
        <v>11</v>
      </c>
      <c r="F9851">
        <f>HYPERLINK("https://www.reddit.com/r/GERD/comments/i5bdww/chronic_gerd_since_2018_after_8_months_of_no/")</f>
        <v/>
      </c>
      <c r="G9851" t="inlineStr">
        <is>
          <t>2020-08-07 03:25:43</t>
        </is>
      </c>
      <c r="H9851" t="inlineStr"/>
    </row>
    <row r="9852">
      <c r="A9852" t="inlineStr">
        <is>
          <t>i5cwcz</t>
        </is>
      </c>
      <c r="B9852" t="inlineStr">
        <is>
          <t>Tingling/numbness in body</t>
        </is>
      </c>
      <c r="C9852" t="inlineStr">
        <is>
          <t>So I’ve had GERD for a very long time,
My doc put me on Zoloft and I was having these weird fainting episodes like 24/7 so I stopped it after only 4 days
I was still doing very bad after like 2 weeks and my next hospital trip he said it was my GERD and anxiety being very severe and acting together 
I was put on pantoprazole and got my medical card for anxiety, I have been feeling much better and only really having bad symptoms right after I eat
But this morning I had to call off work because my body feels very strange, I have tingling or like numbness or weakness in my arms and legs
Has anyone else experienced this? Is this from GERD or pantoprazole?</t>
        </is>
      </c>
      <c r="D9852" t="n">
        <v>1</v>
      </c>
      <c r="E9852" t="n">
        <v>57</v>
      </c>
      <c r="F9852">
        <f>HYPERLINK("https://www.reddit.com/r/GERD/comments/i5cwcz/tinglingnumbness_in_body/")</f>
        <v/>
      </c>
      <c r="G9852" t="inlineStr">
        <is>
          <t>2020-08-07 05:28:40</t>
        </is>
      </c>
      <c r="H9852" t="inlineStr"/>
    </row>
    <row r="9853">
      <c r="A9853" t="inlineStr">
        <is>
          <t>i5d8jx</t>
        </is>
      </c>
      <c r="B9853" t="inlineStr">
        <is>
          <t>Long time GERD sufferer....question about throat</t>
        </is>
      </c>
      <c r="C9853" t="inlineStr">
        <is>
          <t>Hey guys,
I have been suffering from GERD for over 10 year. It started way back when when I use to drink way too much. I started taking medicine for it back then and have since quit drinking but I have taken medicine to prevent the rebound heartburn that I get. Most recently I am taking 2 regular pepcid a day.
Anyway a few months ago I go a really bad case of strep and tonsillitis and that since resolved but since I have these periods where the right side of my throat feel irritated. Its not a traditional sore throat, sometimes it feels like something is stuck back there and other times it just feels swollen and dried out. 
I have never tried to manage my GERD with my diet, and I suspect it has something to do with that. I have been eating a ton of italian subs lately covered in vinegar and I feel like that vinegar is either directly hurting my throat, or causing more issue with my GERD than normal which is then irritating my throat while I sleep. I can get a little in my head about medial issues like this, especially since I use to drink and smoke for a bit (I dont do either anymore) but I am comforted by the fact that it seems like it goes away when I stop eating trigger foods (which I then start eating again when I feel better like a dummy.) Just wanted to see if anyone had any similar experiences with throat issues and GERD. Gonna get my diet fixed up this week and see how that goes. Thanks!</t>
        </is>
      </c>
      <c r="D9853" t="n">
        <v>1</v>
      </c>
      <c r="E9853" t="n">
        <v>4</v>
      </c>
      <c r="F9853">
        <f>HYPERLINK("https://www.reddit.com/r/GERD/comments/i5d8jx/long_time_gerd_suffererquestion_about_throat/")</f>
        <v/>
      </c>
      <c r="G9853" t="inlineStr">
        <is>
          <t>2020-08-07 05:51:57</t>
        </is>
      </c>
      <c r="H9853" t="inlineStr"/>
    </row>
    <row r="9854">
      <c r="A9854" t="inlineStr">
        <is>
          <t>i5dp1y</t>
        </is>
      </c>
      <c r="B9854" t="inlineStr">
        <is>
          <t>[Grumpy post] Morning dry heaves. Ow!</t>
        </is>
      </c>
      <c r="C9854" t="inlineStr">
        <is>
          <t>I just dry heaved so hard it caused the arteries in my arms to hurt.
🤬🤬🤬🤬🤬🤬🤬🤬🤬🤬
Oooowwwwwwwwwwwww
I stupidly had pizza yesterday to gauge the state of my GERD. I'm doing better than a few weeks ago.  I still have a while sticking to routine before I'll be close to "under control"</t>
        </is>
      </c>
      <c r="D9854" t="n">
        <v>1</v>
      </c>
      <c r="E9854" t="n">
        <v>8</v>
      </c>
      <c r="F9854">
        <f>HYPERLINK("https://www.reddit.com/r/GERD/comments/i5dp1y/grumpy_post_morning_dry_heaves_ow/")</f>
        <v/>
      </c>
      <c r="G9854" t="inlineStr">
        <is>
          <t>2020-08-07 06:22:05</t>
        </is>
      </c>
      <c r="H9854" t="inlineStr"/>
    </row>
    <row r="9855">
      <c r="A9855" t="inlineStr">
        <is>
          <t>i5dykd</t>
        </is>
      </c>
      <c r="B9855" t="inlineStr">
        <is>
          <t>Short Question</t>
        </is>
      </c>
      <c r="C9855" t="inlineStr">
        <is>
          <t>So I’ve been posting about my chest pains, but just wanted to know if the chest pain stays at one spot or can it radiate to other spots in the chest? Right now I am waiting on doing a stress test at the end of August and then an endoscopy. Mind you, this chest pain has been on and off everyday since April and it’s been stressing me out. I feel it more when I exhale than inhale. Feels like a pleurisy chest pain. Thank you so much for answering in advance. I don’t want to be annoying with the posts, but it’s been making me anxious!</t>
        </is>
      </c>
      <c r="D9855" t="n">
        <v>1</v>
      </c>
      <c r="E9855" t="n">
        <v>8</v>
      </c>
      <c r="F9855">
        <f>HYPERLINK("https://www.reddit.com/r/GERD/comments/i5dykd/short_question/")</f>
        <v/>
      </c>
      <c r="G9855" t="inlineStr">
        <is>
          <t>2020-08-07 06:38:27</t>
        </is>
      </c>
      <c r="H9855" t="inlineStr"/>
    </row>
    <row r="9856">
      <c r="A9856" t="inlineStr">
        <is>
          <t>i5en21</t>
        </is>
      </c>
      <c r="B9856" t="inlineStr">
        <is>
          <t>Always need to clear my throat?</t>
        </is>
      </c>
      <c r="C9856" t="inlineStr">
        <is>
          <t>Does anybody else get this. I always feel like I have something stuck in my throat. It varies from time to time on how bad it is but it really sucks to be honest.</t>
        </is>
      </c>
      <c r="D9856" t="n">
        <v>1</v>
      </c>
      <c r="E9856" t="n">
        <v>24</v>
      </c>
      <c r="F9856">
        <f>HYPERLINK("https://www.reddit.com/r/GERD/comments/i5en21/always_need_to_clear_my_throat/")</f>
        <v/>
      </c>
      <c r="G9856" t="inlineStr">
        <is>
          <t>2020-08-07 07:19:23</t>
        </is>
      </c>
      <c r="H9856" t="inlineStr"/>
    </row>
    <row r="9857">
      <c r="A9857" t="inlineStr">
        <is>
          <t>i5etq4</t>
        </is>
      </c>
      <c r="B9857" t="inlineStr">
        <is>
          <t>I was diagnosed with GERD in February</t>
        </is>
      </c>
      <c r="C9857" t="inlineStr">
        <is>
          <t>I was at a hotel after a swim meet and honest to god though i was having a heart attack. I’ve never had heartburn or anything before but this gave me the worst panic attack of my life. Which the drs. Later told me is what made it so bad. I was just wondering if anyone else had a similar experience?</t>
        </is>
      </c>
      <c r="D9857" t="n">
        <v>1</v>
      </c>
      <c r="E9857" t="n">
        <v>9</v>
      </c>
      <c r="F9857">
        <f>HYPERLINK("https://www.reddit.com/r/GERD/comments/i5etq4/i_was_diagnosed_with_gerd_in_february/")</f>
        <v/>
      </c>
      <c r="G9857" t="inlineStr">
        <is>
          <t>2020-08-07 07:30:04</t>
        </is>
      </c>
      <c r="H9857" t="inlineStr"/>
    </row>
    <row r="9858">
      <c r="A9858" t="inlineStr">
        <is>
          <t>i5f5jv</t>
        </is>
      </c>
      <c r="B9858" t="inlineStr">
        <is>
          <t>Good source of sodium alginate in the US?</t>
        </is>
      </c>
      <c r="C9858" t="inlineStr">
        <is>
          <t>I have recently been diagnosed with LPR, and I've read in many places that Gaviscon Advance is an effective treatment. The trouble is it's a UK drug and pretty expensive to buy in the US. I've done some quick searches and haven't found anything comparable. Has anyone found a similar drug in the US?</t>
        </is>
      </c>
      <c r="D9858" t="n">
        <v>1</v>
      </c>
      <c r="E9858" t="n">
        <v>10</v>
      </c>
      <c r="F9858">
        <f>HYPERLINK("https://www.reddit.com/r/GERD/comments/i5f5jv/good_source_of_sodium_alginate_in_the_us/")</f>
        <v/>
      </c>
      <c r="G9858" t="inlineStr">
        <is>
          <t>2020-08-07 07:48:55</t>
        </is>
      </c>
      <c r="H9858" t="inlineStr"/>
    </row>
    <row r="9859">
      <c r="A9859" t="inlineStr">
        <is>
          <t>i5fd9c</t>
        </is>
      </c>
      <c r="B9859" t="inlineStr">
        <is>
          <t>Globus sensation</t>
        </is>
      </c>
      <c r="C9859" t="inlineStr">
        <is>
          <t>Where is Globus typically located? I have been feeling throat fullness more so on the left side of my throat like around my tonsil region. I’m wondering if Globus can cause this.</t>
        </is>
      </c>
      <c r="D9859" t="n">
        <v>1</v>
      </c>
      <c r="E9859" t="n">
        <v>0</v>
      </c>
      <c r="F9859">
        <f>HYPERLINK("https://www.reddit.com/r/GERD/comments/i5fd9c/globus_sensation/")</f>
        <v/>
      </c>
      <c r="G9859" t="inlineStr">
        <is>
          <t>2020-08-07 08:01:17</t>
        </is>
      </c>
      <c r="H9859" t="inlineStr"/>
    </row>
    <row r="9860">
      <c r="A9860" t="inlineStr">
        <is>
          <t>i5fec4</t>
        </is>
      </c>
      <c r="B9860" t="inlineStr">
        <is>
          <t>GERD headaches?</t>
        </is>
      </c>
      <c r="C9860" t="inlineStr">
        <is>
          <t>Does anyone else get headaches/migraines that make them nauseous the day after eating trigger foods? What helps? Regular NSAIDS (Aleve and Tylenol) and antacids (tums and Pepto) don't help me. 😖</t>
        </is>
      </c>
      <c r="D9860" t="n">
        <v>1</v>
      </c>
      <c r="E9860" t="n">
        <v>1</v>
      </c>
      <c r="F9860">
        <f>HYPERLINK("https://www.reddit.com/r/GERD/comments/i5fec4/gerd_headaches/")</f>
        <v/>
      </c>
      <c r="G9860" t="inlineStr">
        <is>
          <t>2020-08-07 08:02:57</t>
        </is>
      </c>
      <c r="H9860" t="inlineStr"/>
    </row>
    <row r="9861">
      <c r="A9861" t="inlineStr">
        <is>
          <t>i5fqw7</t>
        </is>
      </c>
      <c r="B9861" t="inlineStr">
        <is>
          <t>OMG I have been taking my PPIs wrong for 5 months</t>
        </is>
      </c>
      <c r="C9861" t="inlineStr">
        <is>
          <t>I dont typically eat breakfast so I take my PPI at 8 AM and don't eat till 10 or 11.  Talking to my GI it turns out it can loose 40% efficiency if you don't eat food or antacids 45-60 mins after taking them. Hopefully this explains why my heartburn is still an issue.</t>
        </is>
      </c>
      <c r="D9861" t="n">
        <v>1</v>
      </c>
      <c r="E9861" t="n">
        <v>16</v>
      </c>
      <c r="F9861">
        <f>HYPERLINK("https://www.reddit.com/r/GERD/comments/i5fqw7/omg_i_have_been_taking_my_ppis_wrong_for_5_months/")</f>
        <v/>
      </c>
      <c r="G9861" t="inlineStr">
        <is>
          <t>2020-08-07 08:22:08</t>
        </is>
      </c>
      <c r="H9861" t="inlineStr"/>
    </row>
    <row r="9862">
      <c r="A9862" t="inlineStr">
        <is>
          <t>i5g9ty</t>
        </is>
      </c>
      <c r="B9862" t="inlineStr">
        <is>
          <t>Probiotics</t>
        </is>
      </c>
      <c r="C9862" t="inlineStr">
        <is>
          <t>Has anyone had results using lactobacillus acidophilus</t>
        </is>
      </c>
      <c r="D9862" t="n">
        <v>1</v>
      </c>
      <c r="E9862" t="n">
        <v>6</v>
      </c>
      <c r="F9862">
        <f>HYPERLINK("https://www.reddit.com/r/GERD/comments/i5g9ty/probiotics/")</f>
        <v/>
      </c>
      <c r="G9862" t="inlineStr">
        <is>
          <t>2020-08-07 08:51:36</t>
        </is>
      </c>
      <c r="H9862" t="inlineStr"/>
    </row>
    <row r="9863">
      <c r="A9863" t="inlineStr">
        <is>
          <t>i5gbeb</t>
        </is>
      </c>
      <c r="B9863" t="inlineStr">
        <is>
          <t>Ear aches in both ears and sore throat? GERD?</t>
        </is>
      </c>
      <c r="C9863" t="inlineStr">
        <is>
          <t>I recently started taking a PPI after my LPR got really bad and would happen at least once a day if not 3 times a day. So now that I’m taking a PPI, I immediately felt relief but I also have developed pain/aches in my ears and a sore throat. I don’t know if it’s GERD related since it deals with the tonsils and all? Any ideas or anyone else experience this?</t>
        </is>
      </c>
      <c r="D9863" t="n">
        <v>1</v>
      </c>
      <c r="E9863" t="n">
        <v>1</v>
      </c>
      <c r="F9863">
        <f>HYPERLINK("https://www.reddit.com/r/GERD/comments/i5gbeb/ear_aches_in_both_ears_and_sore_throat_gerd/")</f>
        <v/>
      </c>
      <c r="G9863" t="inlineStr">
        <is>
          <t>2020-08-07 08:54:09</t>
        </is>
      </c>
      <c r="H9863" t="inlineStr"/>
    </row>
    <row r="9864">
      <c r="A9864" t="inlineStr">
        <is>
          <t>i5hjja</t>
        </is>
      </c>
      <c r="B9864" t="inlineStr">
        <is>
          <t>REDNESS or RASH on stomach this morning. HELP!</t>
        </is>
      </c>
      <c r="C9864" t="inlineStr">
        <is>
          <t>5 months strong of acid reflux issues. I woke up this morning with oval rash around my upper abdominal area, where stomach I guess is. I also have a larger rash under my belly button, to above my groin. Doesn't look like bumps or anything, just redness. I have changed my diet drastically the past few months, even losing 20lbs. I still get daily belching but not as bad as it was before I started changing my diet 4 months ago. I also get constipated weekly, genetic inheritance.
Thoughts?</t>
        </is>
      </c>
      <c r="D9864" t="n">
        <v>1</v>
      </c>
      <c r="E9864" t="n">
        <v>1</v>
      </c>
      <c r="F9864">
        <f>HYPERLINK("https://www.reddit.com/r/GERD/comments/i5hjja/redness_or_rash_on_stomach_this_morning_help/")</f>
        <v/>
      </c>
      <c r="G9864" t="inlineStr">
        <is>
          <t>2020-08-07 10:01:31</t>
        </is>
      </c>
      <c r="H9864" t="inlineStr"/>
    </row>
    <row r="9865">
      <c r="A9865" t="inlineStr">
        <is>
          <t>i5i66q</t>
        </is>
      </c>
      <c r="B9865" t="inlineStr">
        <is>
          <t>Bad GERD</t>
        </is>
      </c>
      <c r="C9865" t="inlineStr">
        <is>
          <t>Anyone ever had chest tightness and constant belching for days it is irritating I'm gonna try acv alot of people I know have had success and all the medication seems bad for long term. Also has anyone else ever experienced what feels like your heart stopping for a second with limb numbness when leaning forward in a chair?</t>
        </is>
      </c>
      <c r="D9865" t="n">
        <v>1</v>
      </c>
      <c r="E9865" t="n">
        <v>0</v>
      </c>
      <c r="F9865">
        <f>HYPERLINK("https://www.reddit.com/r/GERD/comments/i5i66q/bad_gerd/")</f>
        <v/>
      </c>
      <c r="G9865" t="inlineStr">
        <is>
          <t>2020-08-07 10:34:44</t>
        </is>
      </c>
      <c r="H9865" t="inlineStr"/>
    </row>
    <row r="9866">
      <c r="A9866" t="inlineStr">
        <is>
          <t>i5iemw</t>
        </is>
      </c>
      <c r="B9866" t="inlineStr">
        <is>
          <t>Plexus?</t>
        </is>
      </c>
      <c r="C9866" t="inlineStr">
        <is>
          <t>Have any of y’all tried Plexus? It’s pretty pricey but I was hoping I can get some people’s feedback on it if they’ve tried it. 
Thanks</t>
        </is>
      </c>
      <c r="D9866" t="n">
        <v>1</v>
      </c>
      <c r="E9866" t="n">
        <v>1</v>
      </c>
      <c r="F9866">
        <f>HYPERLINK("https://www.reddit.com/r/GERD/comments/i5iemw/plexus/")</f>
        <v/>
      </c>
      <c r="G9866" t="inlineStr">
        <is>
          <t>2020-08-07 10:47:23</t>
        </is>
      </c>
      <c r="H9866" t="inlineStr"/>
    </row>
    <row r="9867">
      <c r="A9867" t="inlineStr">
        <is>
          <t>i5ier8</t>
        </is>
      </c>
      <c r="B9867" t="inlineStr">
        <is>
          <t>New to gerd</t>
        </is>
      </c>
      <c r="C9867" t="inlineStr">
        <is>
          <t>Hello, I’m fairly new to Reddit but I’m a 20 year old male and about a month ago after moving to a new house. I started having bad chest pains on my left side, tingling in my arms but mostly my left one and shoulder pain, also felt like there was food stuck in my throat after I ate, I ended up having a massive panic attack thinking I’m dying and my heart is going to fail, I went to emerg and got an ecg and it turned out fine. I was put on 40mg of SDZ-Pantoprazole and over the past 3 weeks my jaw pain, arm tingling has gone away slowly, about two weeks after starting the Panto I had more rolling panic attacks about my health as the chest pain is still there at times and catches me off guard. it’s usually good in the morning and later at night but around noon - 2 p.m i start to get mild chest discomfort. It’s not bad when eating but I’ve found chewing gum has helped a lot, I’m hoping someone has had a similar experience. 
Also: I was put back on my Vyvanse 50mg for adhd and it’s helped my anxiety and helped me think more clearly, especially surrounding my health. 
My Dr. Has ordered blood work, a chest X-ray and a holter monitor. But he seems to think it’s gerd
Any advice or help would be greatly appreciated :)</t>
        </is>
      </c>
      <c r="D9867" t="n">
        <v>1</v>
      </c>
      <c r="E9867" t="n">
        <v>1</v>
      </c>
      <c r="F9867">
        <f>HYPERLINK("https://www.reddit.com/r/GERD/comments/i5ier8/new_to_gerd/")</f>
        <v/>
      </c>
      <c r="G9867" t="inlineStr">
        <is>
          <t>2020-08-07 10:47:34</t>
        </is>
      </c>
      <c r="H9867" t="inlineStr"/>
    </row>
    <row r="9868">
      <c r="A9868" t="inlineStr">
        <is>
          <t>i5j01t</t>
        </is>
      </c>
      <c r="B9868" t="inlineStr">
        <is>
          <t>Question about Prilosec</t>
        </is>
      </c>
      <c r="C9868" t="inlineStr">
        <is>
          <t>I’ve been taking Prilosec every morning for about 2 days now, I’m supposed to take it for 14—does anyone know if vomiting is a common side effect? I want to do what my Dr. recommends but I’m a little scared!</t>
        </is>
      </c>
      <c r="D9868" t="n">
        <v>1</v>
      </c>
      <c r="E9868" t="n">
        <v>7</v>
      </c>
      <c r="F9868">
        <f>HYPERLINK("https://www.reddit.com/r/GERD/comments/i5j01t/question_about_prilosec/")</f>
        <v/>
      </c>
      <c r="G9868" t="inlineStr">
        <is>
          <t>2020-08-07 11:19:08</t>
        </is>
      </c>
      <c r="H9868" t="inlineStr"/>
    </row>
    <row r="9869">
      <c r="A9869" t="inlineStr">
        <is>
          <t>i5jq2e</t>
        </is>
      </c>
      <c r="B9869" t="inlineStr">
        <is>
          <t>Hyoscyamine itching side effect</t>
        </is>
      </c>
      <c r="C9869" t="inlineStr">
        <is>
          <t>I have Gerd and really bad muscle spasms in my throat and under jaw and an inflamed esophagus. I was given hyoscyamine for the bad spasms and they work great temporarily. I've already left a message for my dr but I'm wondering if anyone else experienced itching as a side effect? I've recently had to take it more often, every day due to a really bad flare up. I was switched to protonix two weeks ago and thought it was the new drug but just realized I had also increased this one too and it might be the actual culprit.</t>
        </is>
      </c>
      <c r="D9869" t="n">
        <v>1</v>
      </c>
      <c r="E9869" t="n">
        <v>4</v>
      </c>
      <c r="F9869">
        <f>HYPERLINK("https://www.reddit.com/r/GERD/comments/i5jq2e/hyoscyamine_itching_side_effect/")</f>
        <v/>
      </c>
      <c r="G9869" t="inlineStr">
        <is>
          <t>2020-08-07 11:56:42</t>
        </is>
      </c>
      <c r="H9869" t="inlineStr"/>
    </row>
    <row r="9870">
      <c r="A9870" t="inlineStr">
        <is>
          <t>i5k3n4</t>
        </is>
      </c>
      <c r="B9870" t="inlineStr">
        <is>
          <t>Nasal congestion/sinus pressure</t>
        </is>
      </c>
      <c r="C9870" t="inlineStr">
        <is>
          <t>Looking for advice/experiences with congestion or pressure that is related to GERD. I have had GERD since I was 7 (so now 20 years) but last week got diagnosed with a hiatal hernia after an endoscopy. Saturday night I made the mistake of eating something with a lot of butter, and had a terrible attack all night - worst pain I’ve had in the 20 years of having this. I woke up Sunday morning with nasal congestion/ sinus pressure, that has lasted all week. At night I’ve hard a hard time breathing because of the congestion, which has made it hard to sleep and upped my anxiety. When I blow my nose nothing happens.... just feels like my sinuses are inflamed. Are they related? Does anyone have experience with this?</t>
        </is>
      </c>
      <c r="D9870" t="n">
        <v>1</v>
      </c>
      <c r="E9870" t="n">
        <v>5</v>
      </c>
      <c r="F9870">
        <f>HYPERLINK("https://www.reddit.com/r/GERD/comments/i5k3n4/nasal_congestionsinus_pressure/")</f>
        <v/>
      </c>
      <c r="G9870" t="inlineStr">
        <is>
          <t>2020-08-07 12:16:21</t>
        </is>
      </c>
      <c r="H9870" t="inlineStr"/>
    </row>
    <row r="9871">
      <c r="A9871" t="inlineStr">
        <is>
          <t>i5lvaj</t>
        </is>
      </c>
      <c r="B9871" t="inlineStr">
        <is>
          <t>Do you think GERD is related to stress?</t>
        </is>
      </c>
      <c r="C9871" t="inlineStr">
        <is>
          <t>So, my last doctor, was adamant that GERD is not related to stress.  
Especially my type of GERD that is caused by a "loose" esophageal sphincter.  
He states that GERD, its symptoms as well as how successfully (or not) treatment works is unrelated to stress. He does know that other GI conditions are highly stress related, just not GERD.
Would you say you agree? 
From my personal experience, this week I have had so much stress, anxiety, sadness (panic attacks, crying in despair all in all) and today I my chest aches soooo bad and feels like it is on fire.   
PPIs and sucralfate that I have been taking for 3 weeks are not working, its like i have left my GERD untreated for months, I am surprised by how much it hurts. I believe this flare up is stress related. Or at least I want to, or else I will be even more stressed.  
Have you noticed an actual relation between your GERD and stress?  
Mostly for chronic or more severe cases.</t>
        </is>
      </c>
      <c r="D9871" t="n">
        <v>1</v>
      </c>
      <c r="E9871" t="n">
        <v>12</v>
      </c>
      <c r="F9871">
        <f>HYPERLINK("https://www.reddit.com/r/GERD/comments/i5lvaj/do_you_think_gerd_is_related_to_stress/")</f>
        <v/>
      </c>
      <c r="G9871" t="inlineStr">
        <is>
          <t>2020-08-07 13:51:48</t>
        </is>
      </c>
      <c r="H9871" t="inlineStr"/>
    </row>
    <row r="9872">
      <c r="A9872" t="inlineStr">
        <is>
          <t>i5m425</t>
        </is>
      </c>
      <c r="B9872" t="inlineStr">
        <is>
          <t>Does anyone of you have enlarged lymph nodes?</t>
        </is>
      </c>
      <c r="C9872" t="inlineStr">
        <is>
          <t>So basically I've had more or less enlarged lymph nodes under my chin and jaw for multiple years, like 5 to 7 years or so. Doctors always said its nothing bad without really looking at it. I was young, naive and kinda forgot about it. I've also had pretty bad LPR with severe hoarseness, coughing and shortness of breath. Saw an ENT today who checked up on my lymph nodes with ultrasound. She said everything looked harmless and well. Not what bad lymph nodes would look like. I don't really trust it though and I'm kinda freaking out thinking about having Lymphoma or something. I've read on multiple ressources that GERD/LPR can cause enlarged lymph nodes, but I can't remember to see anyone on here posting about it. I'll have a follow-up check-up on my nodes soon, but for now I just want your experiences. Any input appreciated.</t>
        </is>
      </c>
      <c r="D9872" t="n">
        <v>1</v>
      </c>
      <c r="E9872" t="n">
        <v>1</v>
      </c>
      <c r="F9872">
        <f>HYPERLINK("https://www.reddit.com/r/GERD/comments/i5m425/does_anyone_of_you_have_enlarged_lymph_nodes/")</f>
        <v/>
      </c>
      <c r="G9872" t="inlineStr">
        <is>
          <t>2020-08-07 14:05:18</t>
        </is>
      </c>
      <c r="H9872" t="inlineStr"/>
    </row>
    <row r="9873">
      <c r="A9873" t="inlineStr">
        <is>
          <t>i5mcsn</t>
        </is>
      </c>
      <c r="B9873" t="inlineStr">
        <is>
          <t>How do I heal my acid reflux/GERD symptoms naturally?</t>
        </is>
      </c>
      <c r="C9873" t="inlineStr">
        <is>
          <t>I have been suffering from GERD symptoms for approximately 5 months now. After I eat something, I always feel like there's acid coming up my throat and when I attempt to burp, my burps get stuck. Famotidine (Pepcid) is my go-to OTC medicine before eating but it feels like it's not even helping. I always sleep on my left side and sometimes on two pillows. It truly sucks waking up every day with a mild sore throat because of it. My doctor recommended that I get an endoscopy but it's way too expensive so I want to find ways to heal it naturally. I would appreciate any useful recommendations.</t>
        </is>
      </c>
      <c r="D9873" t="n">
        <v>1</v>
      </c>
      <c r="E9873" t="n">
        <v>13</v>
      </c>
      <c r="F9873">
        <f>HYPERLINK("https://www.reddit.com/r/GERD/comments/i5mcsn/how_do_i_heal_my_acid_refluxgerd_symptoms/")</f>
        <v/>
      </c>
      <c r="G9873" t="inlineStr">
        <is>
          <t>2020-08-07 14:18:25</t>
        </is>
      </c>
      <c r="H9873" t="inlineStr"/>
    </row>
    <row r="9874">
      <c r="A9874" t="inlineStr">
        <is>
          <t>i5mex9</t>
        </is>
      </c>
      <c r="B9874" t="inlineStr">
        <is>
          <t>Mild Reactive Gastropathy - anyone else experience this?</t>
        </is>
      </c>
      <c r="C9874" t="inlineStr">
        <is>
          <t>[Posted this a few days back.](https://www.reddit.com/r/GERD/comments/i4eayq/endoscopy_is_normal/)
Visually my esophagus, stomach, and duodenum looked "normal" according to my GI doc. 
However, pathology indicated that I have "mild reactive gastropathy" of my  "Gastric antral and oxyntic mucosa."
I read up on it and it basically means something caused chemical injury to the gastric mucosa in my stomach and they are raw and exposed to whatever I eat and so forth. Which, as you can imagine, has been pretty painful. 
Has anyone else on here experienced this? My GI doc gave me the feeling that "it is what it is" and there isn't a whole lot we can do about it which is frustrating. 
I know this is a GERD subreddit - and I guess technically I don't have GERD - but I figured this would be the best place to ask.
Thanks everyone.</t>
        </is>
      </c>
      <c r="D9874" t="n">
        <v>1</v>
      </c>
      <c r="E9874" t="n">
        <v>4</v>
      </c>
      <c r="F9874">
        <f>HYPERLINK("https://www.reddit.com/r/GERD/comments/i5mex9/mild_reactive_gastropathy_anyone_else_experience/")</f>
        <v/>
      </c>
      <c r="G9874" t="inlineStr">
        <is>
          <t>2020-08-07 14:21:36</t>
        </is>
      </c>
      <c r="H9874" t="inlineStr"/>
    </row>
    <row r="9875">
      <c r="A9875" t="inlineStr">
        <is>
          <t>i5mlzi</t>
        </is>
      </c>
      <c r="B9875" t="inlineStr">
        <is>
          <t>Should I feel guilty for taking 20mg nexium a few times a week?</t>
        </is>
      </c>
      <c r="C9875" t="inlineStr">
        <is>
          <t>Also posted in sub thread gastritis - There’s so much shaming of PPIs on the internet.. I feel guilty for taking them when needed but luckily for me they really help. I follow a pretty strict diet avoiding triggers but sometimes it’s not enough. Looking for some reassurance and ways to get over the stigma.. should I be worried about the long term effects?</t>
        </is>
      </c>
      <c r="D9875" t="n">
        <v>1</v>
      </c>
      <c r="E9875" t="n">
        <v>2</v>
      </c>
      <c r="F9875">
        <f>HYPERLINK("https://www.reddit.com/r/GERD/comments/i5mlzi/should_i_feel_guilty_for_taking_20mg_nexium_a_few/")</f>
        <v/>
      </c>
      <c r="G9875" t="inlineStr">
        <is>
          <t>2020-08-07 14:32:34</t>
        </is>
      </c>
      <c r="H9875" t="inlineStr"/>
    </row>
    <row r="9876">
      <c r="A9876" t="inlineStr">
        <is>
          <t>i5ndxr</t>
        </is>
      </c>
      <c r="B9876" t="inlineStr">
        <is>
          <t>Anyone have luck with quick relief</t>
        </is>
      </c>
      <c r="C9876" t="inlineStr">
        <is>
          <t>Been taking ppi for 2 days but had really bad reflux for about a week before so I have a sore throat and a ANNOYING lump in the throat. Almost feels like my throat is bruised on the inside. Anyone have suggestions of relief while its healing?</t>
        </is>
      </c>
      <c r="D9876" t="n">
        <v>1</v>
      </c>
      <c r="E9876" t="n">
        <v>1</v>
      </c>
      <c r="F9876">
        <f>HYPERLINK("https://www.reddit.com/r/GERD/comments/i5ndxr/anyone_have_luck_with_quick_relief/")</f>
        <v/>
      </c>
      <c r="G9876" t="inlineStr">
        <is>
          <t>2020-08-07 15:16:35</t>
        </is>
      </c>
      <c r="H9876" t="inlineStr"/>
    </row>
    <row r="9877">
      <c r="A9877" t="inlineStr">
        <is>
          <t>i5njry</t>
        </is>
      </c>
      <c r="B9877" t="inlineStr">
        <is>
          <t>Breathing exercises for GERD?</t>
        </is>
      </c>
      <c r="C9877" t="inlineStr">
        <is>
          <t>I just found a study on GERD and breathing exercises: https://www.europeanreview.org/wp/wp-content/uploads/4547-4552-Breathing-training-on-lower-esophageal-sphincter.pdf
Here are quotes from the study:
&amp;gt; Nobre e Souza et al14 concentrated on motor function, autonomic function and GERD symp-
Breathing training on lower esophageal sphincter4549toms improvement in patients undergoing inspi-ratory muscle training (IMT). Patients underwent an IMT program under progressive inspiratory resistance, managed by a physical therapist, for 5 days a week for 2 months. Each IMT session consisted of 10 series of 15 inspirations (about 30 minutes). This training resulted in a significantly decrease  of  heartburn  and  regurgitation  symp-toms  after  IMT,  with  a  concomitant  improved average EGJ pressure and reduced progression of reflux in the upper part of the esophagus, evalu-ated by esophageal pH monitoring.
&amp;gt;Eherer et al17 used a modified set of exercise typically used by professional singers, that aim to  involve  diaphragm  in  respiration,  changing the  respiration  from  thoracic  to  abdominal.  It was  divided  into  5  exercises:  first  and  second focused  on  supine  abdominal  breathing,  mov-ing  the  abdominal  wall,  eventually  against  re-sistance, while relaxing thorax and lower inter-costal  muscles,  third,  fourth  and  fifth  focused on seated and standing inspiratory training with slow expirations, eventually following abdominal movements with arms elevations and vocalizing. After a month, there was a statistically significant decrease of acid exposure, an increase of Quality of  life  (QoL)  (measured  by  GERD  Health-Re-lated  Quality  of  Life  Scale)  in  physiotherapy group, while the on-demand use of PPIs showed no statistical difference after 1 month. After an 8 months follow-up, there was a significant in-crease of QoL and a decrease of the need of on demand-PPI.</t>
        </is>
      </c>
      <c r="D9877" t="n">
        <v>1</v>
      </c>
      <c r="E9877" t="n">
        <v>0</v>
      </c>
      <c r="F9877">
        <f>HYPERLINK("https://www.reddit.com/r/GERD/comments/i5njry/breathing_exercises_for_gerd/")</f>
        <v/>
      </c>
      <c r="G9877" t="inlineStr">
        <is>
          <t>2020-08-07 15:25:49</t>
        </is>
      </c>
      <c r="H9877" t="inlineStr"/>
    </row>
    <row r="9878">
      <c r="A9878" t="inlineStr">
        <is>
          <t>i5nw42</t>
        </is>
      </c>
      <c r="B9878" t="inlineStr">
        <is>
          <t>Question about referral?</t>
        </is>
      </c>
      <c r="C9878" t="inlineStr">
        <is>
          <t>I started having acid reflux problems after my gallbladder surgery and I am going to my last surgeon follow up appointment so I am wondering  can my surgeon refer me to a gastroenterologist?</t>
        </is>
      </c>
      <c r="D9878" t="n">
        <v>1</v>
      </c>
      <c r="E9878" t="n">
        <v>1</v>
      </c>
      <c r="F9878">
        <f>HYPERLINK("https://www.reddit.com/r/GERD/comments/i5nw42/question_about_referral/")</f>
        <v/>
      </c>
      <c r="G9878" t="inlineStr">
        <is>
          <t>2020-08-07 15:45:42</t>
        </is>
      </c>
      <c r="H9878" t="inlineStr"/>
    </row>
    <row r="9879">
      <c r="A9879" t="inlineStr">
        <is>
          <t>i5nxae</t>
        </is>
      </c>
      <c r="B9879" t="inlineStr">
        <is>
          <t>Experiencing Chest Pain: GERD vs Heart issue</t>
        </is>
      </c>
      <c r="C9879" t="inlineStr">
        <is>
          <t xml:space="preserve"> 
Hello,
I  am a 25 year old male from USA, 6'2 190lbs (skinny-fat physique) and  for the past few hours I've been experiencing moderate sharp chest pain,  concentrated slightly to the left of my sternum. There is a history of  heart attack in my family.
I have a  history of GERD, though not in recent years. It was mainly from my  college days where I'd eat fried foods late at night before bed.
Over  the past few days I have been recovering from a fever/flu, the fever  has died down but I'm now experiencing this sharp/pointed chest pain. I   have been basically lying down in bed for 2 days straight recovering  from the fever, so I see how this could induce GERD symptoms. But I do  not recall GERD being this painful in the past.
I  called a doctor on the phone (virtual doctor thing provided by my  healthcare provider) and he suggested I take tums and see how  I feel,  and get it checked out if there is no improvement. Well, I took tums and  it did not really do anything, but  I know tums have not always helped  me in the past with GERD.
I  would  say my pain is currently around a 5 or 6 out of 10. I can't tell if its  improved or if I've just gotten used to the constant pain.
I know it could very well be GERD but I mainly want to make  sure I'm not having a  cardiac issue/heart attack.
Thank you.</t>
        </is>
      </c>
      <c r="D9879" t="n">
        <v>1</v>
      </c>
      <c r="E9879" t="n">
        <v>3</v>
      </c>
      <c r="F9879">
        <f>HYPERLINK("https://www.reddit.com/r/GERD/comments/i5nxae/experiencing_chest_pain_gerd_vs_heart_issue/")</f>
        <v/>
      </c>
      <c r="G9879" t="inlineStr">
        <is>
          <t>2020-08-07 15:47:37</t>
        </is>
      </c>
      <c r="H9879" t="inlineStr"/>
    </row>
    <row r="9880">
      <c r="A9880" t="inlineStr">
        <is>
          <t>i5o0px</t>
        </is>
      </c>
      <c r="B9880" t="inlineStr">
        <is>
          <t>Allergies?</t>
        </is>
      </c>
      <c r="C9880" t="inlineStr">
        <is>
          <t>My dr did an endoscopy and found that my acid reflux seems to be caused my a possible food allergy. But she put me on omeprazole because she said it usually helps people with allergy problems as well. I am thinking about it now and I dont want to be on omeprazole forever so I want to know what I'm allergic to.  How do people do this? She was talking about steroids and some food diet?</t>
        </is>
      </c>
      <c r="D9880" t="n">
        <v>1</v>
      </c>
      <c r="E9880" t="n">
        <v>6</v>
      </c>
      <c r="F9880">
        <f>HYPERLINK("https://www.reddit.com/r/GERD/comments/i5o0px/allergies/")</f>
        <v/>
      </c>
      <c r="G9880" t="inlineStr">
        <is>
          <t>2020-08-07 15:53:13</t>
        </is>
      </c>
      <c r="H9880" t="inlineStr"/>
    </row>
    <row r="9881">
      <c r="A9881" t="inlineStr">
        <is>
          <t>i5onr7</t>
        </is>
      </c>
      <c r="B9881" t="inlineStr">
        <is>
          <t>Issues with Stomach acid</t>
        </is>
      </c>
      <c r="C9881" t="inlineStr">
        <is>
          <t>Hi,
I began having Gerd symptoms, sore throat and constant feeling of a frog in the throat, shortness of breath, and stomach discomfort. I spoke with my doctor and she put me on Omeprazole for 6 weeks. It did lessen the burning throat and breathing issues but gave me pretty bad stomach aches. I started researching Gerd on here about week 3 and decided to change my diet to low acid foods, eat smaller portions and don't lay down for 3 hours after each meal. I am already in good shape, running 4-5 miles every other day. Doing these things I am off the Omeprazole and my symptoms are very mild.
Four weeks into my new diet I have started to notice gas/bloating, and recently dizziness after eating chicken. I did some quick googling and discovered that having low stomach acid cause all of these things. I have recently cut out anything acidic from my diet and I am wondering if anything else has experienced this. Do I start eating acid foods again to try and balance my stomach or live with the low stomach acid symptoms?</t>
        </is>
      </c>
      <c r="D9881" t="n">
        <v>1</v>
      </c>
      <c r="E9881" t="n">
        <v>4</v>
      </c>
      <c r="F9881">
        <f>HYPERLINK("https://www.reddit.com/r/GERD/comments/i5onr7/issues_with_stomach_acid/")</f>
        <v/>
      </c>
      <c r="G9881" t="inlineStr">
        <is>
          <t>2020-08-07 16:32:17</t>
        </is>
      </c>
      <c r="H9881" t="inlineStr"/>
    </row>
    <row r="9882">
      <c r="A9882" t="inlineStr">
        <is>
          <t>i5pebz</t>
        </is>
      </c>
      <c r="B9882" t="inlineStr">
        <is>
          <t>Solutions for GERD?</t>
        </is>
      </c>
      <c r="C9882" t="inlineStr">
        <is>
          <t>About 1 month and a half ago, I noticed a sore throat. My doctor gave me Amoxicillin for 10 days, then Azitromax for another 5 days. Symptoms improved, but not completely. 
I then went to an ENT who gave me a pack of Methylprednisone to treat the inflammation. One of those take 6 the first day, 5 the next, 4, 3, 2, 1 type packs. I experienced rapid heart beat at the end of day 1 and stopped taking them. Since then multiple other doctors told me that was an unwise prescription to give me.
Then I began experiencing severe acid reflux, vomiting everything I ate. 
I saw another ENT who gave me a full endoscopy (camera down the throat). He determined that I had acid reflux, and the sore throat was a result of the acid affecting the throat. He believes it is caused by allergies, and he ran a test showing I had multiple mild allergies (trees, grass, mold, dogs, cats), and no severe allergies (though he didn't test for food).
Since then I have made adjustments including keeping my place clean, got two de-humidifiers, eating clean, sleeping on my back with a wedge. Those things have helped, but not significantly. The sore throat subsided, the reflux continued. 
Then I experienced chest pain which gave me tons of anxiety, and went to the ER to be safe, just in case it was a heart attack. They ran all the tests, and I went to a cardiologist who determined my heart is healthy. The chest pain is a result of the GERD, not any heart issues. 
Recently the chest pain has gotten a lot better (though not entirely), and I still have the reflux issues everytime I eat. I'm searching for a natural diet and lifestyle based solution. 
I hate taking medications, I hate the side effects, I hate the idea of putting something made in a lab in my body. I really don't want to be dependent on them in the long term, and I've heard bad things about long term PPI usage. I'm currently on Fexofenadine (anti-histamine), it makes me very drowsy and messes with my mood, and hasn't improved the reflux. I was prescribed Prednisone to clear up sinuses, but I'm not taking it cause of the prior chest pain. 
So far, I've adjusted my diet (no garlic onions tomatoes, no citrus fruits, no chocolate, no caffeine, no fried foods, no fatty meats, not eating before bed). Symptoms have improved but are far from completely fixed. The only thing I've really learned is that I react very badly to red meat, and very fatty meals. Cutting out the other stuff hasn't made a major difference. 
I'm 30 years old and live a very healthy lifestyle, maintaining a healthy weight and good stamina. I'm a personal trainer and work out regularly, and always eat a healthy, mostly vegetarian diet with lots of fruits and leafy greens. I went mostly vegetarian 3 months ago, maybe my body is reacting to that? The only bad habits I can think of were marijuana smoking and regular midnight snacking, but I've quit both of these as of a month ago. 
I'm currently experimenting with my diet to identify trigger foods, and ordered a food allergy kit. I hope that helps. 
Can anyone with personal experience or medical or nutritional knowledge weigh in? I know this was a long post, thank you for reading it all, and thank you for your input?</t>
        </is>
      </c>
      <c r="D9882" t="n">
        <v>1</v>
      </c>
      <c r="E9882" t="n">
        <v>6</v>
      </c>
      <c r="F9882">
        <f>HYPERLINK("https://www.reddit.com/r/GERD/comments/i5pebz/solutions_for_gerd/")</f>
        <v/>
      </c>
      <c r="G9882" t="inlineStr">
        <is>
          <t>2020-08-07 17:18:00</t>
        </is>
      </c>
      <c r="H9882" t="inlineStr"/>
    </row>
    <row r="9883">
      <c r="A9883" t="inlineStr">
        <is>
          <t>i5pmpb</t>
        </is>
      </c>
      <c r="B9883" t="inlineStr">
        <is>
          <t>Esophageal Spasm help!!</t>
        </is>
      </c>
      <c r="C9883" t="inlineStr">
        <is>
          <t>So March of last year I was at work and got the feeling some heartburn was coming on, no big deal, took some Zantac and figured it’d go away in an hour. About 20 minutes after taking it I started having heart attack symptoms, tight chest, pain between my shoulder blades, a weird stabbing sensation at the top of my stomach right below my boobs, could barley breath and started sweating really bad. I genuinely thought I was about to die at 22 from a heart attack, my boss ended up calling 911 and I was rushed to the hospital. They did a chest X-ray, and an ultra sound on my kidneys and gallbladder. Dr said I had a few stones but nothing to really worry about just that in the future I would probably end up needing it taken out. He diagnosed me with esophageal spasms, gave me a 3 month prescription of protonix, heart burn reduced and 20 pills of Tylenol #3 Incase the pain got bad. And then sent a referral to the gastro doctor for me.  that doctor ended up being 6 months booked out, and by the time my appointment came I had lost my insurance from a job switch and move. I still have no insurance and it’s happened about 10 different times over the course of the year, all lasting about 3 hour each. I don’t know if I have GERD, gastritis, gallbladder attack, and won’t know until I can afford insurance again and can see a doctor. So, those who experience the esophageal spasms, what were you diagnosed with that is causing them and how do you stop them when they start up? I’m at a loss for words and am currently dealing with them right now. I don’t know how to get them to stop when they start up other than to wait them out, sometimes that’s hours on end</t>
        </is>
      </c>
      <c r="D9883" t="n">
        <v>1</v>
      </c>
      <c r="E9883" t="n">
        <v>3</v>
      </c>
      <c r="F9883">
        <f>HYPERLINK("https://www.reddit.com/r/GERD/comments/i5pmpb/esophageal_spasm_help/")</f>
        <v/>
      </c>
      <c r="G9883" t="inlineStr">
        <is>
          <t>2020-08-07 17:32:49</t>
        </is>
      </c>
      <c r="H9883" t="inlineStr"/>
    </row>
    <row r="9884">
      <c r="A9884" t="inlineStr">
        <is>
          <t>i5q0pt</t>
        </is>
      </c>
      <c r="B9884" t="inlineStr">
        <is>
          <t>Burping burping burping</t>
        </is>
      </c>
      <c r="C9884" t="inlineStr">
        <is>
          <t>Waking up burping, sitting burping, standing burping, drinking water burping, eating super clean burping, eating nothing burping... few months now... tf is this and how to cure this 😭😭😭😭😭😭😭😭😭😭😭😭</t>
        </is>
      </c>
      <c r="D9884" t="n">
        <v>1</v>
      </c>
      <c r="E9884" t="n">
        <v>16</v>
      </c>
      <c r="F9884">
        <f>HYPERLINK("https://www.reddit.com/r/GERD/comments/i5q0pt/burping_burping_burping/")</f>
        <v/>
      </c>
      <c r="G9884" t="inlineStr">
        <is>
          <t>2020-08-07 17:58:22</t>
        </is>
      </c>
      <c r="H9884" t="inlineStr"/>
    </row>
    <row r="9885">
      <c r="A9885" t="inlineStr">
        <is>
          <t>i5qonq</t>
        </is>
      </c>
      <c r="B9885" t="inlineStr">
        <is>
          <t>100mg PPI per day? Is it safe?</t>
        </is>
      </c>
      <c r="C9885" t="inlineStr">
        <is>
          <t>I take 40mg Nexium every morning and while the burning has reduced. Reflux is still constantly happening, whether or not I eat anything, I can feel the acid go into my ears even when I'm sitting upright. I told my doctor this and she suggested that I take Dexilant 60mg at night in addition to the Nexium for 3weeks. That would be 100mg of PPI per day.
I asked her if it was safe and she said yes, they both serve different purposes. Is this true? I'm worried about the dose of PPI I will be on.</t>
        </is>
      </c>
      <c r="D9885" t="n">
        <v>1</v>
      </c>
      <c r="E9885" t="n">
        <v>1</v>
      </c>
      <c r="F9885">
        <f>HYPERLINK("https://www.reddit.com/r/GERD/comments/i5qonq/100mg_ppi_per_day_is_it_safe/")</f>
        <v/>
      </c>
      <c r="G9885" t="inlineStr">
        <is>
          <t>2020-08-07 18:43:30</t>
        </is>
      </c>
      <c r="H9885" t="inlineStr"/>
    </row>
    <row r="9886">
      <c r="A9886" t="inlineStr">
        <is>
          <t>i5qy07</t>
        </is>
      </c>
      <c r="B9886" t="inlineStr">
        <is>
          <t>Anyone else without these symptoms?</t>
        </is>
      </c>
      <c r="C9886" t="inlineStr">
        <is>
          <t>Hi everyone! 
I’ve been noticing lately that I have this constant post nasal drip. I thought it was related to my allergies, but it seems to be ALWAYS around even when my allergies seem to be quiet, and only lately has it gotten worse... ie Every time I eat my swallowing seems to be tight. I only just realized that it could be from my GERD which I’ve had for several years. 
I’m currently on pantaprazole and I don’t think it does much for me. Almost every meal after eating anything (some items are worse) I have a sour taste in my mouth. A lot of foods people with GERD can handle (bananas, oatmeal, etc) I definitely can’t. I hate the idea of eating plain chicken for every meal (only because I don’t love meat and it doesn’t motivate me to eat).
Does anyone else have a clue what else there could be to eat? Rice and almonds would be fine but it’s hardly nutritionally healthy. Also, I’ve noticed that my GERD (at least that’s what I’ve been diagnosed with without testing from my doctor — is there testing?) doesn’t hate fried food.
My main question: Are there any people out there with just the sour taste in their mouth and no heartburn/chest pain and burping?</t>
        </is>
      </c>
      <c r="D9886" t="n">
        <v>1</v>
      </c>
      <c r="E9886" t="n">
        <v>0</v>
      </c>
      <c r="F9886">
        <f>HYPERLINK("https://www.reddit.com/r/GERD/comments/i5qy07/anyone_else_without_these_symptoms/")</f>
        <v/>
      </c>
      <c r="G9886" t="inlineStr">
        <is>
          <t>2020-08-07 19:02:24</t>
        </is>
      </c>
      <c r="H9886" t="inlineStr"/>
    </row>
    <row r="9887">
      <c r="A9887" t="inlineStr">
        <is>
          <t>i5rjmm</t>
        </is>
      </c>
      <c r="B9887" t="inlineStr">
        <is>
          <t>Are probiotics actually helpful?</t>
        </is>
      </c>
      <c r="C9887" t="inlineStr">
        <is>
          <t>I've been experiencing acid reflux symptoms since April, and have since been put on famotidine 20 mg twice a day, and am on the Acid Watcher diet. I've seen some people talk about probiotics on this subreddit, and I'm interested in trying it. For those of you who've tried them - has it actually worked for you? Can you recommend me some brands/specific ones to try?</t>
        </is>
      </c>
      <c r="D9887" t="n">
        <v>1</v>
      </c>
      <c r="E9887" t="n">
        <v>2</v>
      </c>
      <c r="F9887">
        <f>HYPERLINK("https://www.reddit.com/r/GERD/comments/i5rjmm/are_probiotics_actually_helpful/")</f>
        <v/>
      </c>
      <c r="G9887" t="inlineStr">
        <is>
          <t>2020-08-07 19:44:45</t>
        </is>
      </c>
      <c r="H9887" t="inlineStr"/>
    </row>
    <row r="9888">
      <c r="A9888" t="inlineStr">
        <is>
          <t>i5s229</t>
        </is>
      </c>
      <c r="B9888" t="inlineStr">
        <is>
          <t>Anyone else choke on their own saliva and mucus?</t>
        </is>
      </c>
      <c r="C9888" t="inlineStr">
        <is>
          <t>And if I try to clear my throat, it just keeps coming. I tried drinking more water, but it made me gag. What should I do? I’ve been drinking ginger tea and it helps a little.</t>
        </is>
      </c>
      <c r="D9888" t="n">
        <v>1</v>
      </c>
      <c r="E9888" t="n">
        <v>28</v>
      </c>
      <c r="F9888">
        <f>HYPERLINK("https://www.reddit.com/r/GERD/comments/i5s229/anyone_else_choke_on_their_own_saliva_and_mucus/")</f>
        <v/>
      </c>
      <c r="G9888" t="inlineStr">
        <is>
          <t>2020-08-07 20:21:17</t>
        </is>
      </c>
      <c r="H9888" t="inlineStr"/>
    </row>
    <row r="9889">
      <c r="A9889" t="inlineStr">
        <is>
          <t>i5sl30</t>
        </is>
      </c>
      <c r="B9889" t="inlineStr">
        <is>
          <t>How do you guys stay active while having GERD?</t>
        </is>
      </c>
      <c r="C9889" t="inlineStr">
        <is>
          <t>I’ve been wanting to become more active lately. I used to workout a lot before I got GERD. And lately I haven’t been active at all mainly due to the pandemic. I just sit around all day. I have been contemplating learning how to longboard. It seems like it wouldn’t be too hard on the stomach (hopefully). I might give it a try. Does anyone have any experience with skating? Or any other sport or activity that they recommend?</t>
        </is>
      </c>
      <c r="D9889" t="n">
        <v>1</v>
      </c>
      <c r="E9889" t="n">
        <v>3</v>
      </c>
      <c r="F9889">
        <f>HYPERLINK("https://www.reddit.com/r/GERD/comments/i5sl30/how_do_you_guys_stay_active_while_having_gerd/")</f>
        <v/>
      </c>
      <c r="G9889" t="inlineStr">
        <is>
          <t>2020-08-07 20:59:41</t>
        </is>
      </c>
      <c r="H9889" t="inlineStr"/>
    </row>
    <row r="9890">
      <c r="A9890" t="inlineStr">
        <is>
          <t>i5st7p</t>
        </is>
      </c>
      <c r="B9890" t="inlineStr">
        <is>
          <t>GERD chest pain relief suggestions</t>
        </is>
      </c>
      <c r="C9890" t="inlineStr">
        <is>
          <t>Hey ya’ll. Having a bad night. Anyone have some suggestions for things I can try to relieve the pain and sleep? 
Walking around and staying moving alleviates mine to some degree... but naturally I can’t do that and sleep. Ugh. Any suggestions appreciated. (Minus medicine that I won’t already have at home)</t>
        </is>
      </c>
      <c r="D9890" t="n">
        <v>1</v>
      </c>
      <c r="E9890" t="n">
        <v>1</v>
      </c>
      <c r="F9890">
        <f>HYPERLINK("https://www.reddit.com/r/GERD/comments/i5st7p/gerd_chest_pain_relief_suggestions/")</f>
        <v/>
      </c>
      <c r="G9890" t="inlineStr">
        <is>
          <t>2020-08-07 21:16:16</t>
        </is>
      </c>
      <c r="H9890" t="inlineStr"/>
    </row>
    <row r="9891">
      <c r="A9891" t="inlineStr">
        <is>
          <t>i5t12c</t>
        </is>
      </c>
      <c r="B9891" t="inlineStr">
        <is>
          <t>H Pylori and bad headaches</t>
        </is>
      </c>
      <c r="C9891" t="inlineStr">
        <is>
          <t>H. Pylori
I’ve been having some bad head pressure lately especially across both temples and face.  
Also been dealing with indigestion and small stools
Doctor ordered an MRI.  Also ran a bunch of blood work and stool test.  
Nothing of major concern showed up although I tested positive for H. pylori...
Doctor didn’t know specifically if the h pylori was connected to my head pressure and dizziness although I’ve read online that there is a big connection between migraines and h pylori.  
I’m wondering, can the bad head pressure I’m getting have anything to do with testing positive for h pylori? 
Id like to note, I’m a migraine sufferer and my migraines have altered and picked up in quantity since testing positive for h pylori. 
Idk if the stomach issues triggered a different type of migraine response than I’m accustomed too...
Also don’t know if it’s anxiety related...
30 yrs old...185 lbs...male</t>
        </is>
      </c>
      <c r="D9891" t="n">
        <v>1</v>
      </c>
      <c r="E9891" t="n">
        <v>5</v>
      </c>
      <c r="F9891">
        <f>HYPERLINK("https://www.reddit.com/r/GERD/comments/i5t12c/h_pylori_and_bad_headaches/")</f>
        <v/>
      </c>
      <c r="G9891" t="inlineStr">
        <is>
          <t>2020-08-07 21:33:13</t>
        </is>
      </c>
      <c r="H9891" t="inlineStr"/>
    </row>
    <row r="9892">
      <c r="A9892" t="inlineStr">
        <is>
          <t>i5tqhf</t>
        </is>
      </c>
      <c r="B9892" t="inlineStr">
        <is>
          <t>After 3 years of sever GERD I'm feeling my first bit of relieved die to diet changes..</t>
        </is>
      </c>
      <c r="C9892" t="inlineStr">
        <is>
          <t>For the last 9 days I have essentially only eat baked potatoes, brown rice, egg whites, skinless chicken and graham crackers. Around day 3 I started noticing relief and today barely bad any symptoms at all. 
Just tossing it out there if anybody else is interested in trying it. It's not my favorite foods, but it seems to be working</t>
        </is>
      </c>
      <c r="D9892" t="n">
        <v>1</v>
      </c>
      <c r="E9892" t="n">
        <v>0</v>
      </c>
      <c r="F9892">
        <f>HYPERLINK("https://www.reddit.com/r/GERD/comments/i5tqhf/after_3_years_of_sever_gerd_im_feeling_my_first/")</f>
        <v/>
      </c>
      <c r="G9892" t="inlineStr">
        <is>
          <t>2020-08-07 22:29:54</t>
        </is>
      </c>
      <c r="H9892" t="inlineStr"/>
    </row>
    <row r="9893">
      <c r="A9893" t="inlineStr">
        <is>
          <t>i5tr3f</t>
        </is>
      </c>
      <c r="B9893" t="inlineStr">
        <is>
          <t>Has anyone substituted PPIs for Gaviscon Advance UK</t>
        </is>
      </c>
      <c r="C9893" t="inlineStr">
        <is>
          <t>I honestly believe that PPIs have no effect on the amount of mucus and saliva I’ve been producing because of LPR. In fact, ginger tea is helping me more. I want to try Gaviscon Advance UK but it seems expensive. Has anyone tried it and does it actually heal your LPR? I’ve had it for two years along with gastritis. I’ve been choking and gagging a lot.</t>
        </is>
      </c>
      <c r="D9893" t="n">
        <v>1</v>
      </c>
      <c r="E9893" t="n">
        <v>4</v>
      </c>
      <c r="F9893">
        <f>HYPERLINK("https://www.reddit.com/r/GERD/comments/i5tr3f/has_anyone_substituted_ppis_for_gaviscon_advance/")</f>
        <v/>
      </c>
      <c r="G9893" t="inlineStr">
        <is>
          <t>2020-08-07 22:31:19</t>
        </is>
      </c>
      <c r="H9893" t="inlineStr"/>
    </row>
    <row r="9894">
      <c r="A9894" t="inlineStr">
        <is>
          <t>i5u9n3</t>
        </is>
      </c>
      <c r="B9894" t="inlineStr">
        <is>
          <t>Has anyone who suffers from GERD shortness of breath here had a spirometry done?</t>
        </is>
      </c>
      <c r="C9894" t="inlineStr">
        <is>
          <t>A spirometry with a flow volume loop on it. Has anyone here who suffers from reflux induced dyspnea taken one, and if so, what did your flow volume loop look like?</t>
        </is>
      </c>
      <c r="D9894" t="n">
        <v>1</v>
      </c>
      <c r="E9894" t="n">
        <v>4</v>
      </c>
      <c r="F9894">
        <f>HYPERLINK("https://www.reddit.com/r/GERD/comments/i5u9n3/has_anyone_who_suffers_from_gerd_shortness_of/")</f>
        <v/>
      </c>
      <c r="G9894" t="inlineStr">
        <is>
          <t>2020-08-07 23:14:06</t>
        </is>
      </c>
      <c r="H9894" t="inlineStr"/>
    </row>
    <row r="9895">
      <c r="A9895" t="inlineStr">
        <is>
          <t>i5uf56</t>
        </is>
      </c>
      <c r="B9895" t="inlineStr">
        <is>
          <t>Burning sensation in left part of throat</t>
        </is>
      </c>
      <c r="C9895" t="inlineStr">
        <is>
          <t>I have this burning due to eating of exclusively spicy food on the left side of throat from 6 months. I have stomach acid in excess. Problem doesn't go away. Is it even close to normal for having such problem from 6 or more months. I have done all my tests vitamin, ultrasound, Endoscopy. On Endoscopy doctor said acid reflux to throat symptoms. PPIs work and reduce acid but this burning not going away. Confused</t>
        </is>
      </c>
      <c r="D9895" t="n">
        <v>1</v>
      </c>
      <c r="E9895" t="n">
        <v>1</v>
      </c>
      <c r="F9895">
        <f>HYPERLINK("https://www.reddit.com/r/GERD/comments/i5uf56/burning_sensation_in_left_part_of_throat/")</f>
        <v/>
      </c>
      <c r="G9895" t="inlineStr">
        <is>
          <t>2020-08-07 23:27:20</t>
        </is>
      </c>
      <c r="H9895" t="inlineStr"/>
    </row>
    <row r="9896">
      <c r="A9896" t="inlineStr">
        <is>
          <t>i5v9qk</t>
        </is>
      </c>
      <c r="B9896" t="inlineStr">
        <is>
          <t>Are my symptoms indicative of GERD/LPR, or could it be something else?</t>
        </is>
      </c>
      <c r="C9896" t="inlineStr">
        <is>
          <t>For years (i think around 7), i have had a wet cough after eating anything. Usually, the heavier the meal, the worse the cough is. There is always mucus and its really thick and clear. Sometimes, there is an uncomfortable feeling like the mucus is just stuck in the back of my throat and wont go away. I do have bouts of indigestion every once in a while, but it's usually nothing too bad. Seems to be worse in the mornings and at nights when it flares up. TUMS usually help with this. 
I've gone to the doctor and gotten chest and sinus x-rays and they've all come back as unremarkable, so there's seemingly nothing wrong with my lugs/airways. The doctor seems convinced that it's some sort of allergies, so she prescribed antihistamines to treat the mucus. Interestingly enough, the antihistamines help quite a bit with the mucus and the coughing, but im not so convinced it's allergies, especially seeing as how the mucus and coughing kicks in whenever i eat.
As far as GERD goes, I almost never get any heartburn or acid reflux. It's incredibly rare for me to get heartburn and i dont think i've ever had acid reflux. I have woken up with sore throats before, but i attribute it more to leaving the window open and breathing through my mouth while im asleep. When the indigestion flares up, the symptoms are typically: IBS-like symptoms (urgent need, foul smelling loose stools that float with undigested food sometimes), excessive gas/belching, and most notably, the uncomfortable burning in the stomach. 
Sometimes I'll go weeks without an indigestion flareup, but other times, I'll feel pretty crap for a few days (never more than a week). I know i should definitely try and see a specialist, but it's a bit hard to do at the moment. Usually when i've told doctors about the mucus coughing and indigestion, they seem puzzled and just tell me to treat the indigestion and to avoid caffeine and spicy foods. But i want to know what you all think, because not every case is the same and I'm sure  people on here have a lot of knowledge and experience regarding this topic</t>
        </is>
      </c>
      <c r="D9896" t="n">
        <v>1</v>
      </c>
      <c r="E9896" t="n">
        <v>1</v>
      </c>
      <c r="F9896">
        <f>HYPERLINK("https://www.reddit.com/r/GERD/comments/i5v9qk/are_my_symptoms_indicative_of_gerdlpr_or_could_it/")</f>
        <v/>
      </c>
      <c r="G9896" t="inlineStr">
        <is>
          <t>2020-08-08 00:42:01</t>
        </is>
      </c>
      <c r="H9896" t="inlineStr"/>
    </row>
    <row r="9897">
      <c r="A9897" t="inlineStr">
        <is>
          <t>i5vfh5</t>
        </is>
      </c>
      <c r="B9897" t="inlineStr">
        <is>
          <t>Need advice. Nothing alleviates pain. Chronic GERD with extreme flare up, past 3 weeks. Chest and back pain.</t>
        </is>
      </c>
      <c r="C9897" t="inlineStr">
        <is>
          <t>I am 30 years old with gerd for the past 2 years. I have 8 month good periods, relapses and then again the symptoms subside. I take PPIs for a long period, quit, it comes back and on and on we go. I had an endoscopy 12 months ago and it was okay, other than a low LES tone.  
I am used to it coming and going.
This relapse however, is different. For the first time I have extreme chest pain and tenderness that will NOT go away.   
I have been taking sulfate and PPI (pantoprazole) two weeks now. I sleep inclined on an almost empty stomach and eat only a snack every day. I do not drink or smoke these days. However the pain is there and getting worse this past week. My voice is hoarse (also getting worse each morning) for the first time. I have completely lost my appetite (and I do not know if it is stress related, too scared to think of anything else).
The chest pain is on the chest bone and it radiates to the back. I am feeling awful both physically and mentally. I have never experienced it this bad before and I am very scared. As most of you can tell, I am scared this could be something bad and I do not want it to be.
Do you think this could be serious? Have you had such extreme flare ups that persist for this long (weeks)? 
Any advice would be appreciated. Thank you.</t>
        </is>
      </c>
      <c r="D9897" t="n">
        <v>1</v>
      </c>
      <c r="E9897" t="n">
        <v>21</v>
      </c>
      <c r="F9897">
        <f>HYPERLINK("https://www.reddit.com/r/GERD/comments/i5vfh5/need_advice_nothing_alleviates_pain_chronic_gerd/")</f>
        <v/>
      </c>
      <c r="G9897" t="inlineStr">
        <is>
          <t>2020-08-08 00:57:19</t>
        </is>
      </c>
      <c r="H9897" t="inlineStr"/>
    </row>
    <row r="9898">
      <c r="A9898" t="inlineStr">
        <is>
          <t>i5vjsd</t>
        </is>
      </c>
      <c r="B9898" t="inlineStr">
        <is>
          <t>Weight loss..success?</t>
        </is>
      </c>
      <c r="C9898" t="inlineStr">
        <is>
          <t>Hi guys, so I've lost almost a stone now after vowing to lose weight for my help. But one thing I have noticed is my reflux has calmed down, quite a bit to the point where I am noticing the change. Now I stopped taking my PPI'S cold turkey as they gave me horrific diarrhoea (tmi lol). A lot of the weight has lifted off the top half of my torso. Is this coincidental or is there any medical explanation? I don't wanna jinx anything btw! Thanks x</t>
        </is>
      </c>
      <c r="D9898" t="n">
        <v>1</v>
      </c>
      <c r="E9898" t="n">
        <v>1</v>
      </c>
      <c r="F9898">
        <f>HYPERLINK("https://www.reddit.com/r/GERD/comments/i5vjsd/weight_losssuccess/")</f>
        <v/>
      </c>
      <c r="G9898" t="inlineStr">
        <is>
          <t>2020-08-08 01:08:31</t>
        </is>
      </c>
      <c r="H9898" t="inlineStr"/>
    </row>
    <row r="9899">
      <c r="A9899" t="inlineStr">
        <is>
          <t>i5w3vz</t>
        </is>
      </c>
      <c r="B9899" t="inlineStr">
        <is>
          <t>Esophagitis advice needed</t>
        </is>
      </c>
      <c r="C9899" t="inlineStr">
        <is>
          <t>Anyone whose actually healed esophagitis properly, how did you do it ? I’ve tried taking Nexium for about 1 year ever since I got my endoscopy which showed non erosive grade a esophagitis (I went because I was having dysphagia) . And although it’s lessened it’s still 30% there. My doctor finally gave me a prescription and I’m starting it next week, but I have low hopes for it to actually fully heal me. I also had a barium swallow a month ago that showed esophagitis still there in the lower esophagus which was causing the difficulty swallowing. Is the ppi just not strong enough for it to fully stop the acid ? And my diet is impeccable as far as gerd friendly goes</t>
        </is>
      </c>
      <c r="D9899" t="n">
        <v>1</v>
      </c>
      <c r="E9899" t="n">
        <v>4</v>
      </c>
      <c r="F9899">
        <f>HYPERLINK("https://www.reddit.com/r/GERD/comments/i5w3vz/esophagitis_advice_needed/")</f>
        <v/>
      </c>
      <c r="G9899" t="inlineStr">
        <is>
          <t>2020-08-08 02:02:53</t>
        </is>
      </c>
      <c r="H9899" t="inlineStr"/>
    </row>
    <row r="9900">
      <c r="A9900" t="inlineStr">
        <is>
          <t>i5xt9k</t>
        </is>
      </c>
      <c r="B9900" t="inlineStr">
        <is>
          <t>Can GERD cause primarily nausea over heartburn?</t>
        </is>
      </c>
      <c r="C9900" t="inlineStr">
        <is>
          <t>I’m nauseous a lot and have been for a while. 
GERD has crossed my mind before but I didn’t think too much of it. I’ve been assuming my nausea is just anxiety but lately my anxiety being better controlled hasn’t seemed to help enough.
The other day I looked up why naps tended to give me heartburn and once again GERD came up...
I take antacids way too much for the nausea and apparently this might be making it worse. I also never throw up.
My brother also has GERD I think, idk if there’s a genetic component?
Just wondering if I should ask my doctor about it!</t>
        </is>
      </c>
      <c r="D9900" t="n">
        <v>1</v>
      </c>
      <c r="E9900" t="n">
        <v>5</v>
      </c>
      <c r="F9900">
        <f>HYPERLINK("https://www.reddit.com/r/GERD/comments/i5xt9k/can_gerd_cause_primarily_nausea_over_heartburn/")</f>
        <v/>
      </c>
      <c r="G9900" t="inlineStr">
        <is>
          <t>2020-08-08 04:47:54</t>
        </is>
      </c>
      <c r="H9900" t="inlineStr"/>
    </row>
    <row r="9901">
      <c r="A9901" t="inlineStr">
        <is>
          <t>i60fk0</t>
        </is>
      </c>
      <c r="B9901" t="inlineStr">
        <is>
          <t>Smoking cannabis with Acid Reflux?</t>
        </is>
      </c>
      <c r="C9901" t="inlineStr">
        <is>
          <t>I know tabbaco is heavily advised against but I can find little info on the matter when it comes to weed. Now the main issue I find is that my throat is always irritated and so smoking irritates it further, but does anyone have any idea if smoking cannabis will make the acid reflux/gastritis I have worse? My docs have next to no info on this matter so any anecdotal experience is appreciated.</t>
        </is>
      </c>
      <c r="D9901" t="n">
        <v>1</v>
      </c>
      <c r="E9901" t="n">
        <v>11</v>
      </c>
      <c r="F9901">
        <f>HYPERLINK("https://www.reddit.com/r/GERD/comments/i60fk0/smoking_cannabis_with_acid_reflux/")</f>
        <v/>
      </c>
      <c r="G9901" t="inlineStr">
        <is>
          <t>2020-08-08 07:55:36</t>
        </is>
      </c>
      <c r="H9901" t="inlineStr"/>
    </row>
    <row r="9902">
      <c r="A9902" t="inlineStr">
        <is>
          <t>i61uzv</t>
        </is>
      </c>
      <c r="B9902" t="inlineStr">
        <is>
          <t>Food suggestions - possible GERD and OAS</t>
        </is>
      </c>
      <c r="C9902" t="inlineStr">
        <is>
          <t>I'm looking for some suggestions here as I'm at my wits end. I've recently been diagnosed with probable GERD (or LPR specifically). Prior to my diagnosis I have been living with a sore throat and congestion for years, so it's become chronic at this point, along with an irritating dry cough. In a desperate attempt to prove this diagnosis and get some releif I immediately switched to a bland diet or oats, rice, chicken, salmon, almonds, walnuts, flax seed, cooked potatoes, black beans, raw celery, raw cucumber, raw spinach and lettuce. That's it, no salts or oils or anything else, and I am avoiding wheat and dairy as I've read these can also be triggers (and as I have IBS I can't rule them out.)
However, eating so few foods has made me a lot more in tune with how my body is reacting when I eat, and I have come to realise that raw vegetables and nuts seem to trigger weird feelings in my mouth, and it's looking like I may have Oral Allergy Syndrome.
After this revelation it's unclear if I even have GERD, it could just have been OAS all along that's causing my symptoms, but for the purpose of allowing my symptoms to settle I am going to proceed as if I have both for now. So, for the last 2 days all I have eaten are oats, rice, black beans, chicken, potatoes and salmon. I've managed this for two days but now I am feeling exhausted with the lack of calories and nutrition.
So if you've managed to peservere to this point, please, if anybody has any suggestions for foods that are GERD safe, OAS safe, and free of wheat and dairy (ie, generally safe for the majority of elimiation diets) I would be most grateful.</t>
        </is>
      </c>
      <c r="D9902" t="n">
        <v>1</v>
      </c>
      <c r="E9902" t="n">
        <v>4</v>
      </c>
      <c r="F9902">
        <f>HYPERLINK("https://www.reddit.com/r/GERD/comments/i61uzv/food_suggestions_possible_gerd_and_oas/")</f>
        <v/>
      </c>
      <c r="G9902" t="inlineStr">
        <is>
          <t>2020-08-08 09:21:56</t>
        </is>
      </c>
      <c r="H9902" t="inlineStr"/>
    </row>
    <row r="9903">
      <c r="A9903" t="inlineStr">
        <is>
          <t>i62o46</t>
        </is>
      </c>
      <c r="B9903" t="inlineStr">
        <is>
          <t>Trying to figure out if morning chest pains are due to gerd...probably are but i'm just grumpy about it</t>
        </is>
      </c>
      <c r="C9903" t="inlineStr">
        <is>
          <t>This is a little bit of a question but like 90% just me being a baby about having to change anything in my lifestyle. Cause I'm a wuss.
had issues with indigestion/acid before, each time the same (gnawing burning feeling in stomach, burning traveling up my chest, bad taste in mouth) so I know that's already something I'm prone to. It's mainly tied to acidic foods, but doesn't happen every time (or even most). I just take some gaviscon, lay on my left side, and try not to stress about it (it's heavily tied to my anxiety, to the point that in the moment it'll spike if I'm thinking about something stressful and disappear if I'm calm/distracted). I can nip it in the bud pretty easy now. 
But now I've started feeling something new, a more crushing, squeezing type discomfort in my chest, sometimes accompanied by a feeing of breathing heavy or not being able to take a full breath, sometimes accompanied by a hard (but not fast) heartbeat. Only occurs in the morning or after sleep (my sleep schedule is super weird). I don't think it's anxiety, since I usually feel pretty calm and it only started after I went on anxiety medication. That's actually what I thought it might be from at first, since I figured gerd would be a burning pain like it's been before, and the new med gives me other side effects (dizziness) that are worse when sitting/lying down. But, a little searching, and yeah its probably just gerd. Great.
Honestly, you'd think I'd be happy, but reading this sub makes gerd sound like a huge pain in the neck joy-sucking lifestyle-altering Thing to deal with. You gotta be super careful about what you eat, when you eat, how much, when you lay down, your stress levels, take meds that often don't work, and maybe if you're really good about it you'll be able to have "cheat meals" without feeling like hell. And it doesn't go away. 
I know I'm being whiny, but I just...don't want to deal with this. At all. Goddamnit. Being alive just sucks the joy out of life, doesn't it?</t>
        </is>
      </c>
      <c r="D9903" t="n">
        <v>1</v>
      </c>
      <c r="E9903" t="n">
        <v>2</v>
      </c>
      <c r="F9903">
        <f>HYPERLINK("https://www.reddit.com/r/GERD/comments/i62o46/trying_to_figure_out_if_morning_chest_pains_are/")</f>
        <v/>
      </c>
      <c r="G9903" t="inlineStr">
        <is>
          <t>2020-08-08 10:08:31</t>
        </is>
      </c>
      <c r="H9903" t="inlineStr"/>
    </row>
    <row r="9904">
      <c r="A9904" t="inlineStr">
        <is>
          <t>i62ulk</t>
        </is>
      </c>
      <c r="B9904" t="inlineStr">
        <is>
          <t>Does anyone want to join a server related to GERD?</t>
        </is>
      </c>
      <c r="C9904" t="inlineStr">
        <is>
          <t>The server could provide people with acid reflux a community of understanding that could supplement the community here on Reddit.
If this isn't allow please let me know.</t>
        </is>
      </c>
      <c r="D9904" t="n">
        <v>1</v>
      </c>
      <c r="E9904" t="n">
        <v>7</v>
      </c>
      <c r="F9904">
        <f>HYPERLINK("https://www.reddit.com/r/GERD/comments/i62ulk/does_anyone_want_to_join_a_server_related_to_gerd/")</f>
        <v/>
      </c>
      <c r="G9904" t="inlineStr">
        <is>
          <t>2020-08-08 10:19:06</t>
        </is>
      </c>
      <c r="H9904" t="inlineStr"/>
    </row>
    <row r="9905">
      <c r="A9905" t="inlineStr">
        <is>
          <t>i63p15</t>
        </is>
      </c>
      <c r="B9905" t="inlineStr">
        <is>
          <t>Bad breath due to Gerd?</t>
        </is>
      </c>
      <c r="C9905" t="inlineStr">
        <is>
          <t>It’s unreal! Anyone found a way to manage it ?</t>
        </is>
      </c>
      <c r="D9905" t="n">
        <v>1</v>
      </c>
      <c r="E9905" t="n">
        <v>5</v>
      </c>
      <c r="F9905">
        <f>HYPERLINK("https://www.reddit.com/r/GERD/comments/i63p15/bad_breath_due_to_gerd/")</f>
        <v/>
      </c>
      <c r="G9905" t="inlineStr">
        <is>
          <t>2020-08-08 11:06:00</t>
        </is>
      </c>
      <c r="H9905" t="inlineStr"/>
    </row>
    <row r="9906">
      <c r="A9906" t="inlineStr">
        <is>
          <t>i64zm2</t>
        </is>
      </c>
      <c r="B9906" t="inlineStr">
        <is>
          <t>ok guys, I just sneezed and like 100% of globus sensation went away briefly. Has this happened to anyone else?</t>
        </is>
      </c>
      <c r="C9906" t="inlineStr">
        <is>
          <t>I cannot figure out what this is.  I thought globus sensation was coming from my throat being tight.  I thought maybe it was from refluxing hurting the esophagus.  But I sneezed, and it was GONE.  Is it a muscle tightness thing and sneezing told it relax?</t>
        </is>
      </c>
      <c r="D9906" t="n">
        <v>1</v>
      </c>
      <c r="E9906" t="n">
        <v>0</v>
      </c>
      <c r="F9906">
        <f>HYPERLINK("https://www.reddit.com/r/GERD/comments/i64zm2/ok_guys_i_just_sneezed_and_like_100_of_globus/")</f>
        <v/>
      </c>
      <c r="G9906" t="inlineStr">
        <is>
          <t>2020-08-08 12:18:19</t>
        </is>
      </c>
      <c r="H9906" t="inlineStr"/>
    </row>
    <row r="9907">
      <c r="A9907" t="inlineStr">
        <is>
          <t>i651p6</t>
        </is>
      </c>
      <c r="B9907" t="inlineStr">
        <is>
          <t>have PPIs helped you?</t>
        </is>
      </c>
      <c r="C9907" t="inlineStr">
        <is>
          <t>or H2 blockers?  Most of what I read suggests they have rotten long term usage concerns.  But they seem to be what everyone's doctor tells them to take.</t>
        </is>
      </c>
      <c r="D9907" t="n">
        <v>1</v>
      </c>
      <c r="E9907" t="n">
        <v>1</v>
      </c>
      <c r="F9907">
        <f>HYPERLINK("https://www.reddit.com/r/GERD/comments/i651p6/have_ppis_helped_you/")</f>
        <v/>
      </c>
      <c r="G9907" t="inlineStr">
        <is>
          <t>2020-08-08 12:21:39</t>
        </is>
      </c>
      <c r="H9907" t="inlineStr"/>
    </row>
    <row r="9908">
      <c r="A9908" t="inlineStr">
        <is>
          <t>i665gu</t>
        </is>
      </c>
      <c r="B9908" t="inlineStr">
        <is>
          <t>Gaviscon advance questions</t>
        </is>
      </c>
      <c r="C9908" t="inlineStr">
        <is>
          <t>Hi I'm trying out gaviscon advance and I have questions about it that I was hoping someone could answer:
1. How much do you take at a time? Do you follow the 5-10 mL dosing?
2. How many times a day do you take it and when? 
3. How long after you take it does it start to work? How long does it last for?
4. Has this worked for anyone with mostly throat pain (not chest)?
5. How do you stay hydrated if you can't drink because that'd ruin the barrier?
6. Have you had any side effects from it?</t>
        </is>
      </c>
      <c r="D9908" t="n">
        <v>1</v>
      </c>
      <c r="E9908" t="n">
        <v>10</v>
      </c>
      <c r="F9908">
        <f>HYPERLINK("https://www.reddit.com/r/GERD/comments/i665gu/gaviscon_advance_questions/")</f>
        <v/>
      </c>
      <c r="G9908" t="inlineStr">
        <is>
          <t>2020-08-08 13:26:29</t>
        </is>
      </c>
      <c r="H9908" t="inlineStr"/>
    </row>
    <row r="9909">
      <c r="A9909" t="inlineStr">
        <is>
          <t>i66jzf</t>
        </is>
      </c>
      <c r="B9909" t="inlineStr">
        <is>
          <t>Anyone know?</t>
        </is>
      </c>
      <c r="C9909" t="inlineStr">
        <is>
          <t>Can GERD cause excessive flatulence and excessive burping? Even from something like drinking water?</t>
        </is>
      </c>
      <c r="D9909" t="n">
        <v>1</v>
      </c>
      <c r="E9909" t="n">
        <v>2</v>
      </c>
      <c r="F9909">
        <f>HYPERLINK("https://www.reddit.com/r/GERD/comments/i66jzf/anyone_know/")</f>
        <v/>
      </c>
      <c r="G9909" t="inlineStr">
        <is>
          <t>2020-08-08 13:50:38</t>
        </is>
      </c>
      <c r="H9909" t="inlineStr"/>
    </row>
    <row r="9910">
      <c r="A9910" t="inlineStr">
        <is>
          <t>i66wzq</t>
        </is>
      </c>
      <c r="B9910" t="inlineStr">
        <is>
          <t>"Natural" GERD remedies on Amazon</t>
        </is>
      </c>
      <c r="C9910" t="inlineStr">
        <is>
          <t>Has anyone tried herbal GERD remedies on Amazon like [this one](https://www.amazon.com/Gaia-Herbs-Reflux-Relief-Tablets/dp/B0055TIC1K/)?
The reviews are all glowing and positive but it seems kinda sketchy.</t>
        </is>
      </c>
      <c r="D9910" t="n">
        <v>1</v>
      </c>
      <c r="E9910" t="n">
        <v>5</v>
      </c>
      <c r="F9910">
        <f>HYPERLINK("https://www.reddit.com/r/GERD/comments/i66wzq/natural_gerd_remedies_on_amazon/")</f>
        <v/>
      </c>
      <c r="G9910" t="inlineStr">
        <is>
          <t>2020-08-08 14:11:44</t>
        </is>
      </c>
      <c r="H9910" t="inlineStr"/>
    </row>
    <row r="9911">
      <c r="A9911" t="inlineStr">
        <is>
          <t>i6957r</t>
        </is>
      </c>
      <c r="B9911" t="inlineStr">
        <is>
          <t>Scared of a Hernia/Questions about reflux in general</t>
        </is>
      </c>
      <c r="C9911" t="inlineStr">
        <is>
          <t>Hi guys, I know I’ve been posting a lot here lately but I’ve just been pretty scared. So the other day my doctor diagnosed me with acid reflux made worse by anxiety (she said my stomach acid has just been sitting in my stomach and eating away at me) because I’ve been having constant nausea (no vomiting) that made it hard to eat (it’s still hard to eat because I’m scared of throwing it back up, even if it’s safe food). She prescribed me for 14 says on Prilosec but I wasn’t too keen on the side effects etc. so I switched to Pepcid which I’ve been taking for 2 days now. I wanna believe that it’s working because I do feel a little better, but recently I’ve been getting mild pain (chest and stomach) that I can’t tell if it’s from anxiety, gas, or if it’s a sign of a hiatal hernia. I’m just terrified that I’m only going to get worse. I’ve been changing my diet and trying to manage stress as well, so I really hope that works. 
Also, since my stomach acid has just been sitting stagnant, is it a good sign that I’m getting gas/burping?</t>
        </is>
      </c>
      <c r="D9911" t="n">
        <v>1</v>
      </c>
      <c r="E9911" t="n">
        <v>2</v>
      </c>
      <c r="F9911">
        <f>HYPERLINK("https://www.reddit.com/r/GERD/comments/i6957r/scared_of_a_herniaquestions_about_reflux_in/")</f>
        <v/>
      </c>
      <c r="G9911" t="inlineStr">
        <is>
          <t>2020-08-08 16:28:33</t>
        </is>
      </c>
      <c r="H9911" t="inlineStr"/>
    </row>
    <row r="9912">
      <c r="A9912" t="inlineStr">
        <is>
          <t>i69wi8</t>
        </is>
      </c>
      <c r="B9912" t="inlineStr">
        <is>
          <t>Mint tea, yes or no?</t>
        </is>
      </c>
      <c r="C9912" t="inlineStr">
        <is>
          <t>Hi! I’m new to this sub and I’m really glad to have found it. I’ve stopped drinking teas that have mint under the impression that it exacerbates the symptoms. But I don’t really see any differences with how I feel prior to and after taking it out of my diet. My mom who used to have acid issues never had any problems with them.
A quick google told me that it usually makes them worse but that it depends from person to person. I just wanted to ask what your experiences with it are. Thank you!</t>
        </is>
      </c>
      <c r="D9912" t="n">
        <v>1</v>
      </c>
      <c r="E9912" t="n">
        <v>5</v>
      </c>
      <c r="F9912">
        <f>HYPERLINK("https://www.reddit.com/r/GERD/comments/i69wi8/mint_tea_yes_or_no/")</f>
        <v/>
      </c>
      <c r="G9912" t="inlineStr">
        <is>
          <t>2020-08-08 17:17:39</t>
        </is>
      </c>
      <c r="H9912" t="inlineStr"/>
    </row>
    <row r="9913">
      <c r="A9913" t="inlineStr">
        <is>
          <t>i6bb1f</t>
        </is>
      </c>
      <c r="B9913" t="inlineStr">
        <is>
          <t>Having pain in chest on the left side for 24 hours</t>
        </is>
      </c>
      <c r="C9913" t="inlineStr">
        <is>
          <t>Hey I’m 20 years old and never have had heart burn my girlfriend says my breath stinks and it feels like a stabbing cramping feeling right where my heart would be on the left side. When I take a deep breathe it hurts worse which I heard cardiac pain won’t change. Is this gerd? I have gastritis but never have had this feeling. I’m also burping excessively, is this gerd thanks.</t>
        </is>
      </c>
      <c r="D9913" t="n">
        <v>1</v>
      </c>
      <c r="E9913" t="n">
        <v>12</v>
      </c>
      <c r="F9913">
        <f>HYPERLINK("https://www.reddit.com/r/GERD/comments/i6bb1f/having_pain_in_chest_on_the_left_side_for_24_hours/")</f>
        <v/>
      </c>
      <c r="G9913" t="inlineStr">
        <is>
          <t>2020-08-08 18:54:59</t>
        </is>
      </c>
      <c r="H9913" t="inlineStr"/>
    </row>
    <row r="9914">
      <c r="A9914" t="inlineStr">
        <is>
          <t>i6bq9h</t>
        </is>
      </c>
      <c r="B9914" t="inlineStr">
        <is>
          <t>So sauces...</t>
        </is>
      </c>
      <c r="C9914" t="inlineStr">
        <is>
          <t>After a trip to the emergency room, we found out my husband has GERD.  I’ve made a list of everything he can (probably) still eat, and there is still a lot, but the real cooking challenge is how to make sauces and dressing without oil, flour, lemon or other citrus juice, vinegar, tomatoes, peanut butter or garlic.  The only thing I can think of that comes close is baba ganoush.  Does anyone have any suggestions?</t>
        </is>
      </c>
      <c r="D9914" t="n">
        <v>1</v>
      </c>
      <c r="E9914" t="n">
        <v>14</v>
      </c>
      <c r="F9914">
        <f>HYPERLINK("https://www.reddit.com/r/GERD/comments/i6bq9h/so_sauces/")</f>
        <v/>
      </c>
      <c r="G9914" t="inlineStr">
        <is>
          <t>2020-08-08 19:24:59</t>
        </is>
      </c>
      <c r="H9914" t="inlineStr"/>
    </row>
    <row r="9915">
      <c r="A9915" t="inlineStr">
        <is>
          <t>i6btfd</t>
        </is>
      </c>
      <c r="B9915" t="inlineStr">
        <is>
          <t>Chest pain. Normal ?</t>
        </is>
      </c>
      <c r="C9915" t="inlineStr">
        <is>
          <t>Chest pain
I’ve always heard all these reflux issues can feel like a heart attack. Does anyone , maybe after hours of heartburn, have random left upper chest pain and sometimes even left upper arm ?  I have had heart tests done and all good other than high bp. I’ve seen this could be reflux/gastritis but wanted to see if anyone has personally had this. Almost like the heart attack signs but just GERD related?  Anyone?</t>
        </is>
      </c>
      <c r="D9915" t="n">
        <v>1</v>
      </c>
      <c r="E9915" t="n">
        <v>3</v>
      </c>
      <c r="F9915">
        <f>HYPERLINK("https://www.reddit.com/r/GERD/comments/i6btfd/chest_pain_normal/")</f>
        <v/>
      </c>
      <c r="G9915" t="inlineStr">
        <is>
          <t>2020-08-08 19:31:25</t>
        </is>
      </c>
      <c r="H9915" t="inlineStr"/>
    </row>
    <row r="9916">
      <c r="A9916" t="inlineStr">
        <is>
          <t>i6d08m</t>
        </is>
      </c>
      <c r="B9916" t="inlineStr">
        <is>
          <t>Hope this is allowed...functional dyspepsia?</t>
        </is>
      </c>
      <c r="C9916" t="inlineStr">
        <is>
          <t>Hi guys, new to this sub and am looking for functional dyspepsia help! Not 100% GERD related I know. 
Been suffering from functional dyspepsia for YEARS...painful bloating (worst just below my sternum), lack of appetite, gassiness, nausea (so bad I have to induce vomiting). I’ve tried eliminating “triggers” with no relief. I get it no matter what, or how much, I eat. I even get it if I don’t eat. 
Just wondering what has worked for you guys?! My GI doctor recommended PPIs that have to be taken well before meals, which isn’t realistic for me (I’m a nurse with erratic and unplanned meal times when I’m working)
Open to natural supplements as well! Really desperate for relief</t>
        </is>
      </c>
      <c r="D9916" t="n">
        <v>1</v>
      </c>
      <c r="E9916" t="n">
        <v>3</v>
      </c>
      <c r="F9916">
        <f>HYPERLINK("https://www.reddit.com/r/GERD/comments/i6d08m/hope_this_is_allowedfunctional_dyspepsia/")</f>
        <v/>
      </c>
      <c r="G9916" t="inlineStr">
        <is>
          <t>2020-08-08 21:00:24</t>
        </is>
      </c>
      <c r="H9916" t="inlineStr"/>
    </row>
    <row r="9917">
      <c r="A9917" t="inlineStr">
        <is>
          <t>i6dsxr</t>
        </is>
      </c>
      <c r="B9917" t="inlineStr">
        <is>
          <t>Gerd attack and sleeping</t>
        </is>
      </c>
      <c r="C9917" t="inlineStr">
        <is>
          <t>Has anybody had an attack so sudden and frightening, projectile vomited while half asleep, that when you ended up trying to go back to sleep, my attacks wake me up, you keep waking up unable to breathe, I have been feeling the effects for two days now and I am not looking forward to going to bed.</t>
        </is>
      </c>
      <c r="D9917" t="n">
        <v>1</v>
      </c>
      <c r="E9917" t="n">
        <v>3</v>
      </c>
      <c r="F9917">
        <f>HYPERLINK("https://www.reddit.com/r/GERD/comments/i6dsxr/gerd_attack_and_sleeping/")</f>
        <v/>
      </c>
      <c r="G9917" t="inlineStr">
        <is>
          <t>2020-08-08 22:03:36</t>
        </is>
      </c>
      <c r="H9917" t="inlineStr"/>
    </row>
    <row r="9918">
      <c r="A9918" t="inlineStr">
        <is>
          <t>i6i2to</t>
        </is>
      </c>
      <c r="B9918" t="inlineStr">
        <is>
          <t>Weaning off PPI and getting worse + AWD question</t>
        </is>
      </c>
      <c r="C9918" t="inlineStr">
        <is>
          <t>So I am weaning myself off of pantoprazol after 4 weeks. I have more LPR symptoms than Gerd. My ENT told me to go cold turkey but I took 3 pills in 2 day intervalls and the last 2 now in three day intervalls. So I'll take one tomorrow and one in 3 days.
I feel like my throat is getting more sore again and it's scary. I ordered Gaviscon Advance but it will take a few days to get here. Any advice how to keep the damage as small as possible? One day in between seemed to be fine but I am on day 2 of not taking them and I feel worse. I guess it's a lot of psychological stress as well but yeah...
Should I go back to AWD healing phase even though I was already fine with some fruit? Any other advice? How long to know if it's rebound or just still normal reflux?</t>
        </is>
      </c>
      <c r="D9918" t="n">
        <v>1</v>
      </c>
      <c r="E9918" t="n">
        <v>2</v>
      </c>
      <c r="F9918">
        <f>HYPERLINK("https://www.reddit.com/r/GERD/comments/i6i2to/weaning_off_ppi_and_getting_worse_awd_question/")</f>
        <v/>
      </c>
      <c r="G9918" t="inlineStr">
        <is>
          <t>2020-08-09 04:50:52</t>
        </is>
      </c>
      <c r="H9918" t="inlineStr"/>
    </row>
    <row r="9919">
      <c r="A9919" t="inlineStr">
        <is>
          <t>i6i4h7</t>
        </is>
      </c>
      <c r="B9919" t="inlineStr">
        <is>
          <t>My weird case / hell</t>
        </is>
      </c>
      <c r="C9919" t="inlineStr">
        <is>
          <t>Hello.
I just wanted to share the weird hellish experience of not responding to any meds and having no particular triggers. For the record, I never smoked, I rarely drink alcohol, never drink coffee or soda and I am not overweight in the slightest.
I'm only 21 and I've been suffering from reflux for the past 9 months. It has been manifesting itself in the form of heartburn and the feeling of something stuck, like a burp, in my throat, at clavicle-level.   
The symptoms would only start appearing when I had the *intention* to go to sleep, usually after brushing my teeth. I could, however, take naps during the day. Needless to say this had quite an impact on my performance as I student, but it also hit my love life quite hard, because there is an additional problem.  
I've had intense depression, selective eating disorder and OCD for probably ten years. Depression made me grind my teeth during my sleep, and no dentist or doctor ever warned me about what it could actually do to my teeth. So now, they're quite flat already. When my stomach started acting up, I started getting scared of having my teeth melt away. I because extremely anxious over this and started developing a new manifestation of my OCD : washing my mouth and gurgling until I would stop feeling any kind of salty-ish taste in my mouth. Recently, I even started doing it with bicarbonate, in hopes of it maybe relieving the pain, but turns out that drinking anything makes it ten times worse.
I've seen like 4 different doctors. All of them gave me the same stuff. Gaviscon and whatever-prazole. When I said it didn't work, they prescribed me some more. At some point I had to get an endoscopy done, because the gastroenterologist wanted to make sure I didn't have any ulcers, hernia or h. pylori infection. Turns out that my esophagus is indeed irritated, but no infection and no hernia. He just found that my diaphragm was "a bit loose", and reassuringly said that there was nothing I could do to strengthen it. He then prescribed me more of the same stuff that doesn't work. Recently it's been getting worse and I've been having heartburn throughout the day as well. It's also highly inconsistent. The last decent night I had was after eating a mound of tenders and fries and drinking like six beers.
I cannot make drastic changes to my diet due to my eating disorder, however, my diet is much more diversified and healthy than it was a few years ago.
Why can't my stomach just close????????? Even once????????? Even if it was a symptom of anxiety, what could I even do about it? I'm at my wit's end. This is all so unfair.</t>
        </is>
      </c>
      <c r="D9919" t="n">
        <v>1</v>
      </c>
      <c r="E9919" t="n">
        <v>1</v>
      </c>
      <c r="F9919">
        <f>HYPERLINK("https://www.reddit.com/r/GERD/comments/i6i4h7/my_weird_case_hell/")</f>
        <v/>
      </c>
      <c r="G9919" t="inlineStr">
        <is>
          <t>2020-08-09 04:54:57</t>
        </is>
      </c>
      <c r="H9919" t="inlineStr"/>
    </row>
    <row r="9920">
      <c r="A9920" t="inlineStr">
        <is>
          <t>i6k62o</t>
        </is>
      </c>
      <c r="B9920" t="inlineStr">
        <is>
          <t>Pain in the lung.</t>
        </is>
      </c>
      <c r="C9920" t="inlineStr">
        <is>
          <t>Hi. Just wanted know if anyone has ever experienced pain in the lower right lung after taking a deep breath. Thanks</t>
        </is>
      </c>
      <c r="D9920" t="n">
        <v>1</v>
      </c>
      <c r="E9920" t="n">
        <v>28</v>
      </c>
      <c r="F9920">
        <f>HYPERLINK("https://www.reddit.com/r/GERD/comments/i6k62o/pain_in_the_lung/")</f>
        <v/>
      </c>
      <c r="G9920" t="inlineStr">
        <is>
          <t>2020-08-09 07:24:52</t>
        </is>
      </c>
      <c r="H9920" t="inlineStr"/>
    </row>
    <row r="9921">
      <c r="A9921" t="inlineStr">
        <is>
          <t>i6m4dh</t>
        </is>
      </c>
      <c r="B9921" t="inlineStr">
        <is>
          <t>Confused About Medication and What To Do</t>
        </is>
      </c>
      <c r="C9921" t="inlineStr">
        <is>
          <t>Hello, I’ve been dealing with possible acid reflux since June 26th. No diagnosis yet because no gastro doctor wants to take me because I’m under 18, but I’m on sucralfate, have been since Monday as I visited the hospital after severe chest pains and burping. I haven’t noticed any improvement after taking the medication so I’m wondering if I should stop? I was taking omezaprole before and while I still felt things occasionally, I was able to eat normal foods at least up until Monday.</t>
        </is>
      </c>
      <c r="D9921" t="n">
        <v>1</v>
      </c>
      <c r="E9921" t="n">
        <v>2</v>
      </c>
      <c r="F9921">
        <f>HYPERLINK("https://www.reddit.com/r/GERD/comments/i6m4dh/confused_about_medication_and_what_to_do/")</f>
        <v/>
      </c>
      <c r="G9921" t="inlineStr">
        <is>
          <t>2020-08-09 09:24:23</t>
        </is>
      </c>
      <c r="H9921" t="inlineStr"/>
    </row>
    <row r="9922">
      <c r="A9922" t="inlineStr">
        <is>
          <t>i6ml3w</t>
        </is>
      </c>
      <c r="B9922" t="inlineStr">
        <is>
          <t>Feeling in stomach</t>
        </is>
      </c>
      <c r="C9922" t="inlineStr">
        <is>
          <t>i dont really get chest pains anymore but for the past week ive been feeling a uncomfortable feeling in my stomach which only stops when im not focused on it. sometimes it feels like i need to use the restroom but in reality i dont. is this normal or can someone help?</t>
        </is>
      </c>
      <c r="D9922" t="n">
        <v>1</v>
      </c>
      <c r="E9922" t="n">
        <v>0</v>
      </c>
      <c r="F9922">
        <f>HYPERLINK("https://www.reddit.com/r/GERD/comments/i6ml3w/feeling_in_stomach/")</f>
        <v/>
      </c>
      <c r="G9922" t="inlineStr">
        <is>
          <t>2020-08-09 09:51:59</t>
        </is>
      </c>
      <c r="H9922" t="inlineStr"/>
    </row>
    <row r="9923">
      <c r="A9923" t="inlineStr">
        <is>
          <t>i6mow3</t>
        </is>
      </c>
      <c r="B9923" t="inlineStr">
        <is>
          <t>Excess gas - Feeling low</t>
        </is>
      </c>
      <c r="C9923" t="inlineStr">
        <is>
          <t xml:space="preserve"> 
Hi all,
28M - UK
Here is a link to a thread with bit more detail:
[https://www.reddit.com/r/GERD/comments/hzjkgz/gerd\_symptoms\_or\_something\_else\_i\_am\_a\_little\_bit/](https://www.reddit.com/r/GERD/comments/hzjkgz/gerd_symptoms_or_something_else_i_am_a_little_bit/)
I never used to burp really, only maybe once every few days and fizzy drinks or fatty food never caused me to.
I ate something a few weeks ago that I believed got caught in my essopaghus and since then I have had a whole myriad of symptoms (I do not believe I have GERD as no acid reflux, regurgitation or heartburn) 
My main complaint is (aside from a feeling of nausea that fluctuates) belching. I belch after drinking water, eating food. I also bloat sometimes. 
I was eating well and had Mcdonalds the other day and when I was eating it I was burping like crazy.
I do not understand this suddenly onset of burping.
I have managed to get my doctor to agree to do a stool test for H pylori and he is going to put me on anxiety medication due to the stress I have been under recently. He is also going to do a routine blood test.
There is so much conflicting information online and I do not know if it is a stomach issue as I have growling and gurgling at times too or if it is psychosomatic due to stress in my life at the moment and I am perhaps swallowing differently due to nerves from when I thought I'd injured my throat.
I am feeling less stressed at the moment but the main stress are these symptoms. 
It is starting to get me down and affect my quality of life.
Is there a chance it is all psychosomatic stemming from when I ate my food and it hurt my throat?</t>
        </is>
      </c>
      <c r="D9923" t="n">
        <v>1</v>
      </c>
      <c r="E9923" t="n">
        <v>7</v>
      </c>
      <c r="F9923">
        <f>HYPERLINK("https://www.reddit.com/r/GERD/comments/i6mow3/excess_gas_feeling_low/")</f>
        <v/>
      </c>
      <c r="G9923" t="inlineStr">
        <is>
          <t>2020-08-09 09:58:10</t>
        </is>
      </c>
      <c r="H9923" t="inlineStr"/>
    </row>
    <row r="9924">
      <c r="A9924" t="inlineStr">
        <is>
          <t>i6n916</t>
        </is>
      </c>
      <c r="B9924" t="inlineStr">
        <is>
          <t>Did anyone first get acid reflux or GERD after getting a cold?</t>
        </is>
      </c>
      <c r="C9924" t="inlineStr">
        <is>
          <t>This is what happened for me</t>
        </is>
      </c>
      <c r="D9924" t="n">
        <v>1</v>
      </c>
      <c r="E9924" t="n">
        <v>14</v>
      </c>
      <c r="F9924">
        <f>HYPERLINK("https://www.reddit.com/r/GERD/comments/i6n916/did_anyone_first_get_acid_reflux_or_gerd_after/")</f>
        <v/>
      </c>
      <c r="G9924" t="inlineStr">
        <is>
          <t>2020-08-09 10:29:20</t>
        </is>
      </c>
      <c r="H9924" t="inlineStr"/>
    </row>
    <row r="9925">
      <c r="A9925" t="inlineStr">
        <is>
          <t>i6nhfg</t>
        </is>
      </c>
      <c r="B9925" t="inlineStr">
        <is>
          <t>How can I gain weight if I have GERD??</t>
        </is>
      </c>
      <c r="C9925" t="inlineStr">
        <is>
          <t>To gain weight you must eat a lot, eat lots of stuff that have gluten, eggs, dairy, wheat ...
and I can’t eat any of those. 
I lost a lot of weight lately due to diet change and I’m eager to gain them back! Because I’m underweight already!! And now I’m even skinner. 
Any advice??</t>
        </is>
      </c>
      <c r="D9925" t="n">
        <v>1</v>
      </c>
      <c r="E9925" t="n">
        <v>8</v>
      </c>
      <c r="F9925">
        <f>HYPERLINK("https://www.reddit.com/r/GERD/comments/i6nhfg/how_can_i_gain_weight_if_i_have_gerd/")</f>
        <v/>
      </c>
      <c r="G9925" t="inlineStr">
        <is>
          <t>2020-08-09 10:42:27</t>
        </is>
      </c>
      <c r="H9925" t="inlineStr"/>
    </row>
    <row r="9926">
      <c r="A9926" t="inlineStr">
        <is>
          <t>i6nr56</t>
        </is>
      </c>
      <c r="B9926" t="inlineStr">
        <is>
          <t>Pink stork?</t>
        </is>
      </c>
      <c r="C9926" t="inlineStr">
        <is>
          <t>I just got some pink stork brand candies (mango/ginger flavored) for nausea and heartburn, has anyone else tried these?</t>
        </is>
      </c>
      <c r="D9926" t="n">
        <v>1</v>
      </c>
      <c r="E9926" t="n">
        <v>0</v>
      </c>
      <c r="F9926">
        <f>HYPERLINK("https://www.reddit.com/r/GERD/comments/i6nr56/pink_stork/")</f>
        <v/>
      </c>
      <c r="G9926" t="inlineStr">
        <is>
          <t>2020-08-09 10:57:41</t>
        </is>
      </c>
      <c r="H9926" t="inlineStr"/>
    </row>
    <row r="9927">
      <c r="A9927" t="inlineStr">
        <is>
          <t>i6o9g6</t>
        </is>
      </c>
      <c r="B9927" t="inlineStr">
        <is>
          <t>Lower back pain?</t>
        </is>
      </c>
      <c r="C9927" t="inlineStr">
        <is>
          <t>Hey guys! I possible have gerd, trying to save up for my copay. I have a lot of the symptoms and my primary care doctor thinks it could be gerd. However, I've had this weird feeling in my lower back since this whole thing started 5 weeks ago. It feels weak but doesn't hurt when working out or running. Is this common?</t>
        </is>
      </c>
      <c r="D9927" t="n">
        <v>1</v>
      </c>
      <c r="E9927" t="n">
        <v>12</v>
      </c>
      <c r="F9927">
        <f>HYPERLINK("https://www.reddit.com/r/GERD/comments/i6o9g6/lower_back_pain/")</f>
        <v/>
      </c>
      <c r="G9927" t="inlineStr">
        <is>
          <t>2020-08-09 11:25:39</t>
        </is>
      </c>
      <c r="H9927" t="inlineStr"/>
    </row>
    <row r="9928">
      <c r="A9928" t="inlineStr">
        <is>
          <t>i6pbtw</t>
        </is>
      </c>
      <c r="B9928" t="inlineStr">
        <is>
          <t>Suffering from silent reflux can't decide if low or high stomach acidity</t>
        </is>
      </c>
      <c r="C9928" t="inlineStr">
        <is>
          <t>I have been suffering from reflux basically all my adult life, but this time it is hitting me real hard.
Every morning for the last 5 days I've started with pain in the middle of my back, way too much saliva, breathing difficulty, and blocked sinuses. Omeprazole has always helped me, but some of my symptoms made me wonder if I am suffering from low stomach acidity. I've done the soda bicarbonate test 2 mornings in a row, without burping within 5 minutes. So that in theory could be proving that I have low acidity. 
The catch 22 is that if I take my Omeprazole for a few days I might start to make matters worse (if I have low acidity), and this is already the worst I ever had. Not taking it might make matters worse too because the soda bicarbonate test might be inaccurate.
I've been drinking 2 teaspoons of apple cider vinegar daily, which has helped to soothe some of the irritation, but looks like it's not getting better.
What would you recommend me to do? My doctor's appointment is 3 weeks from now (that was the soonest) and I really need to get myself in better shape by then.</t>
        </is>
      </c>
      <c r="D9928" t="n">
        <v>1</v>
      </c>
      <c r="E9928" t="n">
        <v>10</v>
      </c>
      <c r="F9928">
        <f>HYPERLINK("https://www.reddit.com/r/GERD/comments/i6pbtw/suffering_from_silent_reflux_cant_decide_if_low/")</f>
        <v/>
      </c>
      <c r="G9928" t="inlineStr">
        <is>
          <t>2020-08-09 12:23:13</t>
        </is>
      </c>
      <c r="H9928" t="inlineStr"/>
    </row>
    <row r="9929">
      <c r="A9929" t="inlineStr">
        <is>
          <t>i6pjhk</t>
        </is>
      </c>
      <c r="B9929" t="inlineStr">
        <is>
          <t>Is there any truth to the not enough stomach acid theory?</t>
        </is>
      </c>
      <c r="C9929" t="inlineStr">
        <is>
          <t>This is all over the net.</t>
        </is>
      </c>
      <c r="D9929" t="n">
        <v>1</v>
      </c>
      <c r="E9929" t="n">
        <v>10</v>
      </c>
      <c r="F9929">
        <f>HYPERLINK("https://www.reddit.com/r/GERD/comments/i6pjhk/is_there_any_truth_to_the_not_enough_stomach_acid/")</f>
        <v/>
      </c>
      <c r="G9929" t="inlineStr">
        <is>
          <t>2020-08-09 12:34:57</t>
        </is>
      </c>
      <c r="H9929" t="inlineStr"/>
    </row>
    <row r="9930">
      <c r="A9930" t="inlineStr">
        <is>
          <t>i6pod2</t>
        </is>
      </c>
      <c r="B9930" t="inlineStr">
        <is>
          <t>Worried about a peptic ulcer</t>
        </is>
      </c>
      <c r="C9930" t="inlineStr">
        <is>
          <t>How would I know the difference between just acid reflux and a peptic ulcer? I’ve been on probiotic pills for a few weeks now and Pepcid for 3 days, I’ve been greatly changing my diet too, but I’m still worried. I’m unsure how common h. pylori is, I don’t believe I’ve been exposed to any contaminated food or water and my living area is pretty clean... any advice?</t>
        </is>
      </c>
      <c r="D9930" t="n">
        <v>1</v>
      </c>
      <c r="E9930" t="n">
        <v>6</v>
      </c>
      <c r="F9930">
        <f>HYPERLINK("https://www.reddit.com/r/GERD/comments/i6pod2/worried_about_a_peptic_ulcer/")</f>
        <v/>
      </c>
      <c r="G9930" t="inlineStr">
        <is>
          <t>2020-08-09 12:42:19</t>
        </is>
      </c>
      <c r="H9930" t="inlineStr"/>
    </row>
    <row r="9931">
      <c r="A9931" t="inlineStr">
        <is>
          <t>i6qs5u</t>
        </is>
      </c>
      <c r="B9931" t="inlineStr">
        <is>
          <t>Throat and tongue</t>
        </is>
      </c>
      <c r="C9931" t="inlineStr">
        <is>
          <t>Been taking my ppi for 4 days. Today my throat has been on fire all day and also only today the lump in my throat is worse and the back of my tongue is like a yellowish dark yellowish color. Is this just a crazy flare up? Or should I really be worried about something else.</t>
        </is>
      </c>
      <c r="D9931" t="n">
        <v>1</v>
      </c>
      <c r="E9931" t="n">
        <v>2</v>
      </c>
      <c r="F9931">
        <f>HYPERLINK("https://www.reddit.com/r/GERD/comments/i6qs5u/throat_and_tongue/")</f>
        <v/>
      </c>
      <c r="G9931" t="inlineStr">
        <is>
          <t>2020-08-09 13:43:37</t>
        </is>
      </c>
      <c r="H9931" t="inlineStr"/>
    </row>
    <row r="9932">
      <c r="A9932" t="inlineStr">
        <is>
          <t>i6qxu7</t>
        </is>
      </c>
      <c r="B9932" t="inlineStr">
        <is>
          <t>No safe food? Sour taste constantly!</t>
        </is>
      </c>
      <c r="C9932" t="inlineStr">
        <is>
          <t>I’ve been diagnosed with GERD by my doctor and given pantoprazole to help with it. My only symptom is a bitter taste in my mouth after I eat (or sometimes if I haven’t eaten). I’m pretty sure this is a correct diagnoses because my dentist has commented on the enamel damage on my teeth (but I know I was also a soda guzzler when I was young and that could have eroded the back of my teeth. I don’t remember having a bitter taste in my mouth back then). My main problem is the ppi doesn’t seem to work and every single food seems to cause the sour taste (almonds, tap water, carrots). Some worse than others... if I were to eat bananas I’d have the worst taste in my mouth more so than if I ate a slice of pizza or if I ate a croissant (safer) vs an apple (bitter!). How does this make any sense?
Anyway, has anyone had this problem? I’m not sure what to eat anymore. 
Bonus question for another sour taster... And when you do get a sour taste in your mouth is it instantly as soon as you swallow?</t>
        </is>
      </c>
      <c r="D9932" t="n">
        <v>1</v>
      </c>
      <c r="E9932" t="n">
        <v>0</v>
      </c>
      <c r="F9932">
        <f>HYPERLINK("https://www.reddit.com/r/GERD/comments/i6qxu7/no_safe_food_sour_taste_constantly/")</f>
        <v/>
      </c>
      <c r="G9932" t="inlineStr">
        <is>
          <t>2020-08-09 13:52:45</t>
        </is>
      </c>
      <c r="H9932" t="inlineStr"/>
    </row>
    <row r="9933">
      <c r="A9933" t="inlineStr">
        <is>
          <t>i6sjen</t>
        </is>
      </c>
      <c r="B9933" t="inlineStr">
        <is>
          <t>Ear Pain from LPR</t>
        </is>
      </c>
      <c r="C9933" t="inlineStr">
        <is>
          <t>I was recently diagnosed with LPR. It began with a cough and then a sore throat and then intense ear pain. I had an endoscopy 4 weeks ago. It showed that I have an abnormal LES. The Dr said my LES will be open but then it closes. Not sure what is causing it to relax. None of the PPIs have worked for me. I have a couple more Dr appointments this week. Anyways, my question, have others experienced ear pain and popping with LPR?</t>
        </is>
      </c>
      <c r="D9933" t="n">
        <v>1</v>
      </c>
      <c r="E9933" t="n">
        <v>7</v>
      </c>
      <c r="F9933">
        <f>HYPERLINK("https://www.reddit.com/r/GERD/comments/i6sjen/ear_pain_from_lpr/")</f>
        <v/>
      </c>
      <c r="G9933" t="inlineStr">
        <is>
          <t>2020-08-09 15:23:54</t>
        </is>
      </c>
      <c r="H9933" t="inlineStr"/>
    </row>
    <row r="9934">
      <c r="A9934" t="inlineStr">
        <is>
          <t>i6ssqj</t>
        </is>
      </c>
      <c r="B9934" t="inlineStr">
        <is>
          <t>Is LPR advanced GERD?</t>
        </is>
      </c>
      <c r="C9934" t="inlineStr">
        <is>
          <t>So I’ve been reading Dr Avivs book and he mentions “silent reflux” is due to the acid damage being so severe that you can’t feel it in your chest anymore and it all goes in your throat.
Well, I just don’t know what to think because I’ve had chronic benching, mucus in throat, burning throat, chest and back pain for months now. People talk about “flare ups” but mine seems to get better.
However, I did a scope where they look at the throat and there was nothing the ENT could see.
So I’m confused...shouldn’t they have found something? Anyone else out there not partake in any of the normal triggers (smoking, drinking, overweight) and have to deal with this day in and day out? I’ve been on this for 2 or so years and today is a day that I can’t mentally take it.
Thanks everyone and I’m sorry for those that struggle with this!</t>
        </is>
      </c>
      <c r="D9934" t="n">
        <v>1</v>
      </c>
      <c r="E9934" t="n">
        <v>16</v>
      </c>
      <c r="F9934">
        <f>HYPERLINK("https://www.reddit.com/r/GERD/comments/i6ssqj/is_lpr_advanced_gerd/")</f>
        <v/>
      </c>
      <c r="G9934" t="inlineStr">
        <is>
          <t>2020-08-09 15:39:09</t>
        </is>
      </c>
      <c r="H9934" t="inlineStr"/>
    </row>
    <row r="9935">
      <c r="A9935" t="inlineStr">
        <is>
          <t>i6t56d</t>
        </is>
      </c>
      <c r="B9935" t="inlineStr">
        <is>
          <t>How much is an H.Pylori breath test? No insurance</t>
        </is>
      </c>
      <c r="C9935" t="inlineStr">
        <is>
          <t>My telehealth doc recommended an H.Pylori breath test at LabCorp to see if that's the cause of my GERD symptoms that have flared up the past couple of weeks. I don't have health insurance and have to pay out of pocket. Is this an expensive test? I don't have a ton of money with the pandemic so I'm not sure if I can afford it, nobody gave me a cost at all. Thanks!!!!</t>
        </is>
      </c>
      <c r="D9935" t="n">
        <v>1</v>
      </c>
      <c r="E9935" t="n">
        <v>2</v>
      </c>
      <c r="F9935">
        <f>HYPERLINK("https://www.reddit.com/r/GERD/comments/i6t56d/how_much_is_an_hpylori_breath_test_no_insurance/")</f>
        <v/>
      </c>
      <c r="G9935" t="inlineStr">
        <is>
          <t>2020-08-09 15:59:52</t>
        </is>
      </c>
      <c r="H9935" t="inlineStr"/>
    </row>
    <row r="9936">
      <c r="A9936" t="inlineStr">
        <is>
          <t>i6t5fl</t>
        </is>
      </c>
      <c r="B9936" t="inlineStr">
        <is>
          <t>Difficulty Swallowing/choking with GERD</t>
        </is>
      </c>
      <c r="C9936" t="inlineStr">
        <is>
          <t>Difficulty swallowing? I feel like food gets stuck in my throat every time I eat. I had my esophagus dilated last week and was hoping that would help but still am dealing with the same problem. The doctor seemed so sure dilation would fix it so idk what to do now</t>
        </is>
      </c>
      <c r="D9936" t="n">
        <v>1</v>
      </c>
      <c r="E9936" t="n">
        <v>2</v>
      </c>
      <c r="F9936">
        <f>HYPERLINK("https://www.reddit.com/r/GERD/comments/i6t5fl/difficulty_swallowingchoking_with_gerd/")</f>
        <v/>
      </c>
      <c r="G9936" t="inlineStr">
        <is>
          <t>2020-08-09 16:00:15</t>
        </is>
      </c>
      <c r="H9936" t="inlineStr"/>
    </row>
    <row r="9937">
      <c r="A9937" t="inlineStr">
        <is>
          <t>i6to8y</t>
        </is>
      </c>
      <c r="B9937" t="inlineStr">
        <is>
          <t>Wedge pillow</t>
        </is>
      </c>
      <c r="C9937" t="inlineStr">
        <is>
          <t>Can anyone recommend a wedge pillow that works for them? 
I purchased one on amazon but it is really uncomfortable, and feels like it’s making things worse :( currently having to sit in my front room to try to get the acid feeling in my throat to subside!</t>
        </is>
      </c>
      <c r="D9937" t="n">
        <v>1</v>
      </c>
      <c r="E9937" t="n">
        <v>8</v>
      </c>
      <c r="F9937">
        <f>HYPERLINK("https://www.reddit.com/r/GERD/comments/i6to8y/wedge_pillow/")</f>
        <v/>
      </c>
      <c r="G9937" t="inlineStr">
        <is>
          <t>2020-08-09 16:31:46</t>
        </is>
      </c>
      <c r="H9937" t="inlineStr"/>
    </row>
    <row r="9938">
      <c r="A9938" t="inlineStr">
        <is>
          <t>i6u8jj</t>
        </is>
      </c>
      <c r="B9938" t="inlineStr">
        <is>
          <t>How many of you had success healing GERD by losing weight?</t>
        </is>
      </c>
      <c r="C9938" t="inlineStr">
        <is>
          <t>Just curious</t>
        </is>
      </c>
      <c r="D9938" t="n">
        <v>1</v>
      </c>
      <c r="E9938" t="n">
        <v>3</v>
      </c>
      <c r="F9938">
        <f>HYPERLINK("https://www.reddit.com/r/GERD/comments/i6u8jj/how_many_of_you_had_success_healing_gerd_by/")</f>
        <v/>
      </c>
      <c r="G9938" t="inlineStr">
        <is>
          <t>2020-08-09 17:06:32</t>
        </is>
      </c>
      <c r="H9938" t="inlineStr"/>
    </row>
    <row r="9939">
      <c r="A9939" t="inlineStr">
        <is>
          <t>i6uh4l</t>
        </is>
      </c>
      <c r="B9939" t="inlineStr">
        <is>
          <t>Chris Kresser's e-book on GERD?</t>
        </is>
      </c>
      <c r="C9939" t="inlineStr">
        <is>
          <t>Has anyone here read Chris Kresser's [e-book](https://drive.google.com/file/d/1FPYTqNgxyC8Q8UTIt1dQWDj2eDKylOKN/view?usp=sharing) on GERD?
I just found it a couple of days ago, and honestly, this makes a lot of sense to me.  
Since I started having acid and digestion problems, PPIs made digestion much worse. On PPIs I have this feeling, like there is a huge stone in my stomach that just sits there. 
I have been to 5 different gastroenterologists over the past 6-7 years, 3 endoscopies (where everything was looking OK). The main symptoms for me were: 
* Very frequent burping and bloating
* Frequent food regurgitation, basically it is enough for me to bend over at a 90 degree angle, and I can regurgitate food (this has only been present for the past 2-3 years, after I've been using PPIs on and off for a couple of years)
* I have a hard time digesting food, especially fiber (salads, etc). If I eat a serving of lettuce, 10-12 hours later, even after different meals, I can regurgitate/vomit undigested lettuce. The same pretty much goes for plain meat or eggs, I can regurgitate chunks of it 5-6 hours after  I've had a meal
* And of course the regular heartburn when I eat a trigger food (anything hot or spicy, **bananas**, citrus fruits, tomatoes, etc.) 
The only thing that PPI's have done for me is make it less-painful (even painless) to vomit/regurgitate food. Multiple hours after I've eaten I can regurgitate bland, undigested mush, and this has been happening daily (sometimes after every meal).  
I've stopped taking PPI's almost every time after a couple of weeks/days, because it just made my symptoms much worse. But when I went to the doctor, they were always blaming me for not taking the prescribed PPI. When I told one doctor that Pantoprazole is really making me feel worse, the doctor prescribed Omeprazole, so I went with it for a few months to stick it out. This has gone on for years in the form of cyclic periods where I can tolerate the illness, to periods where I can barely go to work and collapse onto my bed the moment I come home. I've tried various diet changes and approaches, quit smoking, drinking soda, etc....  
This has really decreased my quality of life greatly, and I've been dealing with anxiety and depression in the past two years because of my condition. Feels more like a free fall than a downward spiral. I have tried to look may times for a solution to my problem, reading a lot of posts on reddit and various websites. Nothing made any sense, and there are almost no success stories regarding serious digestion problems where someone who has struggled for years and found a complete cure. And each time approach doesn't work, it kickstarts the depression.
I have gotten a bit off-topic here, sorry.   
To cut a long story short, I have been reading about GERD, indigestion, etc for days when I was stumbled onto "theacidrefluxguy" who started talking about HCl supplements. This was the first time I heard about it - started reading and investigating from there and came to Chris Kresser's website and this e-book. I am still waiting for my Betaine HCl + Pepsine supplements to arrive (I live in a country where you can't buy this in a store so I had to order it from the UK Amazon and wait for the shipping).
It all just really makes sense for the first time. Everything that he has mentioned in this book.I am pretty sure that the low stomach acid is the culprit for my bad digestion, especially after PPIs made it worse. The bacterial overgrowth affecting Intra Abdominal Pressure, which affects the LES, etc... For the first time since I've had issues with this, it just makes sense.
Has anyone here read this? Has anyone had a positive experience from increasing stomach acid production? What are your thoughts?</t>
        </is>
      </c>
      <c r="D9939" t="n">
        <v>1</v>
      </c>
      <c r="E9939" t="n">
        <v>11</v>
      </c>
      <c r="F9939">
        <f>HYPERLINK("https://www.reddit.com/r/GERD/comments/i6uh4l/chris_kressers_ebook_on_gerd/")</f>
        <v/>
      </c>
      <c r="G9939" t="inlineStr">
        <is>
          <t>2020-08-09 17:21:15</t>
        </is>
      </c>
      <c r="H9939" t="inlineStr"/>
    </row>
    <row r="9940">
      <c r="A9940" t="inlineStr">
        <is>
          <t>i6up7f</t>
        </is>
      </c>
      <c r="B9940" t="inlineStr">
        <is>
          <t>Could it be something else than GERD?</t>
        </is>
      </c>
      <c r="C9940" t="inlineStr">
        <is>
          <t>I'm still waiting for an adbominal echography and some blood test results. So far my doc believes its GERD, but could it be something else?
Any time I eat a very small meal, I feel much better. I am hungry like hell later, but let's say I eat some ground steak I won't have pain later, even at night I feel better. But if I drink some water and reach a particular point, pain gets back. It's like my stomach is OK only if 1/3 full, but if it gets over 1/2, the pain starts. 
Could it be something else?
Thanks</t>
        </is>
      </c>
      <c r="D9940" t="n">
        <v>1</v>
      </c>
      <c r="E9940" t="n">
        <v>0</v>
      </c>
      <c r="F9940">
        <f>HYPERLINK("https://www.reddit.com/r/GERD/comments/i6up7f/could_it_be_something_else_than_gerd/")</f>
        <v/>
      </c>
      <c r="G9940" t="inlineStr">
        <is>
          <t>2020-08-09 17:35:20</t>
        </is>
      </c>
      <c r="H9940" t="inlineStr"/>
    </row>
    <row r="9941">
      <c r="A9941" t="inlineStr">
        <is>
          <t>i6xbt9</t>
        </is>
      </c>
      <c r="B9941" t="inlineStr">
        <is>
          <t>Is this possible to have flare ups/long periods of dormancy??</t>
        </is>
      </c>
      <c r="C9941" t="inlineStr">
        <is>
          <t>title is worded wrong but i’m not focused enough to fix it. got diagnosed with reflux 8 years ago, it was really bad for about a year, and suddenly it just stopped. now, it’s back with a vengeance. i’m full after like three bites to the point of almost throwing up, even with water. even starting from not eating for hours and being STARVING. i’ve got burning acid in my throat, ive got almost-throwing-up, it’s rough. is it even possible for it to go away for that long and then come back, or is this something different?? what???????</t>
        </is>
      </c>
      <c r="D9941" t="n">
        <v>1</v>
      </c>
      <c r="E9941" t="n">
        <v>2</v>
      </c>
      <c r="F9941">
        <f>HYPERLINK("https://www.reddit.com/r/GERD/comments/i6xbt9/is_this_possible_to_have_flare_upslong_periods_of/")</f>
        <v/>
      </c>
      <c r="G9941" t="inlineStr">
        <is>
          <t>2020-08-09 20:27:03</t>
        </is>
      </c>
      <c r="H9941" t="inlineStr"/>
    </row>
    <row r="9942">
      <c r="A9942" t="inlineStr">
        <is>
          <t>i6xpbg</t>
        </is>
      </c>
      <c r="B9942" t="inlineStr">
        <is>
          <t>Anyone experiencing the same things??!</t>
        </is>
      </c>
      <c r="C9942" t="inlineStr">
        <is>
          <t>hey guys!! i’ve had gerd for as long as i can remember, and was diagnosed with a hiatal hernia about 2 years ago. my symptoms are mostly under control (i have an endoscopy to hopefully sort everything else out this wednesday, wish me luck!) but recently i’ve had a symptom that is causing me major anxiety on top of my already severe anxiety.
so basically, i’ll be sitting still and i’ll have this feeling in my throat that’s like one really hard thump, or sometimes a vibrating sensation in this same area. i’ve mentioned it to my past two primary care doctors and they always say my heart sounds normal and healthy, but it is a very distressing symptom.
my question is, have any of you ever experienced this? i don’t think anything is wrong heart - wise, but it’s hard to feel calm about it all when it feels so uncomfortable. 
thank you all so much in advance and i hope you are all well, as i know firsthand what a distressing illness gerd and lpr can be!</t>
        </is>
      </c>
      <c r="D9942" t="n">
        <v>1</v>
      </c>
      <c r="E9942" t="n">
        <v>1</v>
      </c>
      <c r="F9942">
        <f>HYPERLINK("https://www.reddit.com/r/GERD/comments/i6xpbg/anyone_experiencing_the_same_things/")</f>
        <v/>
      </c>
      <c r="G9942" t="inlineStr">
        <is>
          <t>2020-08-09 20:53:13</t>
        </is>
      </c>
      <c r="H9942" t="inlineStr"/>
    </row>
    <row r="9943">
      <c r="A9943" t="inlineStr">
        <is>
          <t>i6yofb</t>
        </is>
      </c>
      <c r="B9943" t="inlineStr">
        <is>
          <t>Anxiety/stress induced GERD</t>
        </is>
      </c>
      <c r="C9943" t="inlineStr">
        <is>
          <t>So I’ve been dealing with GERD for about 7 yrs. I had an endoscopy done in 2017 that was normal and have another scheduled for the 20th bc of severe symptoms. I have been logging everything from food, moods, and physical activity everyday to keep track of symptoms and what may provoke them. I’ve been on PPIs this entire time and also added Pepcid at bedtime since last fall and have drastically changed my diet. 
I also have severe anxiety and depression which creates a vicious cycle with my reflux. I’m noticing more and more that my symptoms are worse when I’m stressed out. I go to weekly therapy and take Xanax every night and when I need it during the day on bad days. However, I can’t seem to get this under control. It’s nearly impossible to keep stress levels down. I’m finishing my master’s degree, trying to figure out if we’ll be sending my daughter back to school in a month or keep her home for remote learning. 
I’m reaching out to this community wanting to know if others have correlated their acid reflux with stress and anxiety and have found a treatment that worked for them. I’m a psych major so I have all the tools to help with CBT and grounding to help with anxiety. Have any of you taken antidepressants or anti-anxiety  meds that helped your GERD? I know I may learn more about my condition with the upcoming scope but I’m pretty sure my situation has more to do with anxiety than anything else. Sorry this is so long. I was on the fence about asking this, so thanks.</t>
        </is>
      </c>
      <c r="D9943" t="n">
        <v>1</v>
      </c>
      <c r="E9943" t="n">
        <v>14</v>
      </c>
      <c r="F9943">
        <f>HYPERLINK("https://www.reddit.com/r/GERD/comments/i6yofb/anxietystress_induced_gerd/")</f>
        <v/>
      </c>
      <c r="G9943" t="inlineStr">
        <is>
          <t>2020-08-09 22:03:49</t>
        </is>
      </c>
      <c r="H9943" t="inlineStr"/>
    </row>
    <row r="9944">
      <c r="A9944" t="inlineStr">
        <is>
          <t>i6z7n3</t>
        </is>
      </c>
      <c r="B9944" t="inlineStr">
        <is>
          <t>Yellow phlegm with blood? Common with GERD?</t>
        </is>
      </c>
      <c r="C9944" t="inlineStr">
        <is>
          <t>Hey guys. So I got diagnosed with chronic gastritis, reflux esophagitis, a small hiatal hernia, and GERD around 1 month ago. Starting 1-2 weeks ago, I noticed that I've been producing a lot of yellowish phlegm in my saliva, with some blood occasionally. I was wondering if you guys experience something like this and if happens with my illness. Thanks!</t>
        </is>
      </c>
      <c r="D9944" t="n">
        <v>1</v>
      </c>
      <c r="E9944" t="n">
        <v>1</v>
      </c>
      <c r="F9944">
        <f>HYPERLINK("https://www.reddit.com/r/GERD/comments/i6z7n3/yellow_phlegm_with_blood_common_with_gerd/")</f>
        <v/>
      </c>
      <c r="G9944" t="inlineStr">
        <is>
          <t>2020-08-09 22:46:43</t>
        </is>
      </c>
      <c r="H9944" t="inlineStr"/>
    </row>
    <row r="9945">
      <c r="A9945" t="inlineStr">
        <is>
          <t>i6zmdb</t>
        </is>
      </c>
      <c r="B9945" t="inlineStr">
        <is>
          <t>LPR and shrooms</t>
        </is>
      </c>
      <c r="C9945" t="inlineStr">
        <is>
          <t>Does anyone else get really bad LPR symptoms when they're on shrooms? For context, I have LPR but virtually no symptoms during the day. I also think my GERD is pretty much fixed after taking apple cider vinegar, but my esophagus is taking longer to heal (I don't take ACV very often because of this)
Basically when I take shrooms, but not when I take acid, my throat dries up, my heart rate goes up (this also happens if I take any sort of THC, including via gummies). If I have even a tiny amount of food, my throat feels like it closes up, I'll have a lot of difficulty swallowing, and will just be generally miserable
Anyone else experienced this or know what could be happening at a biological level? Again, I could be eating spicy or acidic food and have no reaction, but if I eat something extremely benign while on shrooms, it's a nightmare.</t>
        </is>
      </c>
      <c r="D9945" t="n">
        <v>1</v>
      </c>
      <c r="E9945" t="n">
        <v>1</v>
      </c>
      <c r="F9945">
        <f>HYPERLINK("https://www.reddit.com/r/GERD/comments/i6zmdb/lpr_and_shrooms/")</f>
        <v/>
      </c>
      <c r="G9945" t="inlineStr">
        <is>
          <t>2020-08-09 23:21:57</t>
        </is>
      </c>
      <c r="H9945" t="inlineStr"/>
    </row>
    <row r="9946">
      <c r="A9946" t="inlineStr">
        <is>
          <t>i6zt8j</t>
        </is>
      </c>
      <c r="B9946" t="inlineStr">
        <is>
          <t>right ribcage pressure and heat sensation</t>
        </is>
      </c>
      <c r="C9946" t="inlineStr">
        <is>
          <t>ive had constant localized pressure in lower right ribcage along with heat and tingling sensation on my right extending to back...ive had this for years..doctors are unable to diagnose or treat.recently ive been diagnosed with stronlgy positive h pylori and GERD...can anyone clear it up for me ? my syptoms seem to linger even after antibiotic treatments</t>
        </is>
      </c>
      <c r="D9946" t="n">
        <v>1</v>
      </c>
      <c r="E9946" t="n">
        <v>2</v>
      </c>
      <c r="F9946">
        <f>HYPERLINK("https://www.reddit.com/r/GERD/comments/i6zt8j/right_ribcage_pressure_and_heat_sensation/")</f>
        <v/>
      </c>
      <c r="G9946" t="inlineStr">
        <is>
          <t>2020-08-09 23:38:21</t>
        </is>
      </c>
      <c r="H9946" t="inlineStr"/>
    </row>
    <row r="9947">
      <c r="A9947" t="inlineStr">
        <is>
          <t>i70k4e</t>
        </is>
      </c>
      <c r="B9947" t="inlineStr">
        <is>
          <t>My soul has been replaced by stomach acid :)</t>
        </is>
      </c>
      <c r="C9947" t="inlineStr">
        <is>
          <t>I’m just chillin in my bed at 4:00am because I can’t lie down or else acid burns my throat. 
This has been happening for more than 2 months. I started medication for it a week ago, I still can’t lie down. Help me.</t>
        </is>
      </c>
      <c r="D9947" t="n">
        <v>1</v>
      </c>
      <c r="E9947" t="n">
        <v>65</v>
      </c>
      <c r="F9947">
        <f>HYPERLINK("https://www.reddit.com/r/GERD/comments/i70k4e/my_soul_has_been_replaced_by_stomach_acid/")</f>
        <v/>
      </c>
      <c r="G9947" t="inlineStr">
        <is>
          <t>2020-08-10 00:45:16</t>
        </is>
      </c>
      <c r="H9947" t="inlineStr"/>
    </row>
    <row r="9948">
      <c r="A9948" t="inlineStr">
        <is>
          <t>i70lqv</t>
        </is>
      </c>
      <c r="B9948" t="inlineStr">
        <is>
          <t>Endoscopy on Friday. Should I be sedated?</t>
        </is>
      </c>
      <c r="C9948" t="inlineStr">
        <is>
          <t>I have an Endoscopy planned for Friday afternoon. I still haven’t made my mind up on whether or not I should have the sedation or if I should just try and brave it with the numbing throat spray alone.
Please could I have your experiences and recommendations? 
I live in the UK and will be having the procedure done through the NHS if that makes any difference.
Thanks 😊</t>
        </is>
      </c>
      <c r="D9948" t="n">
        <v>1</v>
      </c>
      <c r="E9948" t="n">
        <v>15</v>
      </c>
      <c r="F9948">
        <f>HYPERLINK("https://www.reddit.com/r/GERD/comments/i70lqv/endoscopy_on_friday_should_i_be_sedated/")</f>
        <v/>
      </c>
      <c r="G9948" t="inlineStr">
        <is>
          <t>2020-08-10 00:49:33</t>
        </is>
      </c>
      <c r="H9948" t="inlineStr"/>
    </row>
    <row r="9949">
      <c r="A9949" t="inlineStr">
        <is>
          <t>i723fk</t>
        </is>
      </c>
      <c r="B9949" t="inlineStr">
        <is>
          <t>Looking for suggestions on diet for GERD.</t>
        </is>
      </c>
      <c r="C9949" t="inlineStr">
        <is>
          <t>Not sure if this is the right way to do this, or the right sub and if not maybe you could point me in the right direction.
Just looking for suggestions on good dieting to help deal with gerd. Have done some gut damage with my alcoholism (in recovery now), caffeine, poor eating habits. 
I've recently started eating yogurt which feels really good for my gut. Trying to cut down on bread, but still love it and beef.</t>
        </is>
      </c>
      <c r="D9949" t="n">
        <v>1</v>
      </c>
      <c r="E9949" t="n">
        <v>3</v>
      </c>
      <c r="F9949">
        <f>HYPERLINK("https://www.reddit.com/r/GERD/comments/i723fk/looking_for_suggestions_on_diet_for_gerd/")</f>
        <v/>
      </c>
      <c r="G9949" t="inlineStr">
        <is>
          <t>2020-08-10 03:06:22</t>
        </is>
      </c>
      <c r="H9949" t="inlineStr"/>
    </row>
    <row r="9950">
      <c r="A9950" t="inlineStr">
        <is>
          <t>i73elu</t>
        </is>
      </c>
      <c r="B9950" t="inlineStr">
        <is>
          <t>Has anyone had their LINX removed?</t>
        </is>
      </c>
      <c r="C9950" t="inlineStr">
        <is>
          <t>My LINX implant is giving me too much difficulty properly swallowing food. It doesn’t prevent acid reflux either. My doctor suggests removing the LINX and then doing Nissen Fundoication. Has anyone had a similar experience?</t>
        </is>
      </c>
      <c r="D9950" t="n">
        <v>1</v>
      </c>
      <c r="E9950" t="n">
        <v>3</v>
      </c>
      <c r="F9950">
        <f>HYPERLINK("https://www.reddit.com/r/GERD/comments/i73elu/has_anyone_had_their_linx_removed/")</f>
        <v/>
      </c>
      <c r="G9950" t="inlineStr">
        <is>
          <t>2020-08-10 04:53:22</t>
        </is>
      </c>
      <c r="H9950" t="inlineStr"/>
    </row>
    <row r="9951">
      <c r="A9951" t="inlineStr">
        <is>
          <t>i73pc1</t>
        </is>
      </c>
      <c r="B9951" t="inlineStr">
        <is>
          <t>lower right pressure and heat sensation</t>
        </is>
      </c>
      <c r="C9951" t="inlineStr">
        <is>
          <t xml:space="preserve"> ive had constant localized pressure in lower right ribcage along with heat and tingling sensation on my right extending to back...ive had this for years..doctors are unable to diagnose or treat.recently ive been diagnosed with stronlgy positive h pylori and GERD...can anyone clear it up for me ? my syptoms seem to linger even after antibiotic treatments</t>
        </is>
      </c>
      <c r="D9951" t="n">
        <v>1</v>
      </c>
      <c r="E9951" t="n">
        <v>0</v>
      </c>
      <c r="F9951">
        <f>HYPERLINK("https://www.reddit.com/r/GERD/comments/i73pc1/lower_right_pressure_and_heat_sensation/")</f>
        <v/>
      </c>
      <c r="G9951" t="inlineStr">
        <is>
          <t>2020-08-10 05:14:08</t>
        </is>
      </c>
      <c r="H9951" t="inlineStr"/>
    </row>
    <row r="9952">
      <c r="A9952" t="inlineStr">
        <is>
          <t>i75gi8</t>
        </is>
      </c>
      <c r="B9952" t="inlineStr">
        <is>
          <t>Is chlorophyll good for GERD?</t>
        </is>
      </c>
      <c r="C9952" t="inlineStr">
        <is>
          <t>Has anyone tried it, does it worsen the symptoms or aid?</t>
        </is>
      </c>
      <c r="D9952" t="n">
        <v>1</v>
      </c>
      <c r="E9952" t="n">
        <v>0</v>
      </c>
      <c r="F9952">
        <f>HYPERLINK("https://www.reddit.com/r/GERD/comments/i75gi8/is_chlorophyll_good_for_gerd/")</f>
        <v/>
      </c>
      <c r="G9952" t="inlineStr">
        <is>
          <t>2020-08-10 07:07:29</t>
        </is>
      </c>
      <c r="H9952" t="inlineStr"/>
    </row>
    <row r="9953">
      <c r="A9953" t="inlineStr">
        <is>
          <t>i76598</t>
        </is>
      </c>
      <c r="B9953" t="inlineStr">
        <is>
          <t>Tachycardia</t>
        </is>
      </c>
      <c r="C9953" t="inlineStr">
        <is>
          <t>Can Gerd or H Pylori cause heart palpitations and/or high heart rate/blood pressure when upright?
I honestly feel like my heart is going to pop our if my chest, and I’m so weak especially upright</t>
        </is>
      </c>
      <c r="D9953" t="n">
        <v>1</v>
      </c>
      <c r="E9953" t="n">
        <v>9</v>
      </c>
      <c r="F9953">
        <f>HYPERLINK("https://www.reddit.com/r/GERD/comments/i76598/tachycardia/")</f>
        <v/>
      </c>
      <c r="G9953" t="inlineStr">
        <is>
          <t>2020-08-10 07:46:27</t>
        </is>
      </c>
      <c r="H9953" t="inlineStr"/>
    </row>
    <row r="9954">
      <c r="A9954" t="inlineStr">
        <is>
          <t>i76dhs</t>
        </is>
      </c>
      <c r="B9954" t="inlineStr">
        <is>
          <t>Throat sore on sided?</t>
        </is>
      </c>
      <c r="C9954" t="inlineStr">
        <is>
          <t>Does anyone ever get one sided sore throat with GERD? Ive had about a week and its better some days than others.</t>
        </is>
      </c>
      <c r="D9954" t="n">
        <v>1</v>
      </c>
      <c r="E9954" t="n">
        <v>19</v>
      </c>
      <c r="F9954">
        <f>HYPERLINK("https://www.reddit.com/r/GERD/comments/i76dhs/throat_sore_on_sided/")</f>
        <v/>
      </c>
      <c r="G9954" t="inlineStr">
        <is>
          <t>2020-08-10 07:59:03</t>
        </is>
      </c>
      <c r="H9954" t="inlineStr"/>
    </row>
    <row r="9955">
      <c r="A9955" t="inlineStr">
        <is>
          <t>i779g9</t>
        </is>
      </c>
      <c r="B9955" t="inlineStr">
        <is>
          <t>Got my endoscopy results</t>
        </is>
      </c>
      <c r="C9955" t="inlineStr">
        <is>
          <t>I got an endoscopy on the 31st, and finally got the results back. Moderate chronic gastritis. I guess it’s good that I finally have an answer because I didn’t know if I was just being over dramatic or if my pain really was as bad as I thought it was, and now I know it DEFINITELY is probably the worst pain I’ve experienced. I have chronic migraine and I would rather get a migraine every day for the rest of my life instead of THIS. I get such bad shortness of breath and I don’t know what parts of my chest pain are from the gastritis and which parts are my costochondritis but man there are days where I really feel like I could drop dead. It has made my depression and anxiety like a million times worse, and I can’t even take Aspirin anymore which really sucks because acetaminophen doesn’t do anything for my pain (I’ve gotten tested for Multiple Sclerosis but my neurologist is thinking Fibro and my body hurts everyydaayyy). Weed used to help me a lot but with my chest pain getting high gives me panic attacks sometimes, so I’ve stopped with that, and lately I’ve been drinking more often because the pain is so bad and sleeping is so hard and alcohol seems to be the only thing that numbs it. I know it’s not good but I’ve been on Omeprazole for over a year now and it hasn’t helped that much so I feel very much at a loss and my depression always overrides the fact that I know I should stop drinking but life’s hard. My dad died about two months ago after suffering a series of mini strokes and then suffering cardiac arrest, and then was in a coma and when he woke up he was brain dead. let me just tell you guys, also, fuck those pushy ass organ donation people who only give a shit about getting those organs, and made us keep him alive for a few days longer to get the organs (and then he didn’t even die in time for them to GET the organs). also then proceeded to take his cornea even though that was the one thing we didn’t want taken. Used to support organ donation wholeheartedly but at this point I don’t think I want to because those stupid people don’t care one bit about the grieving family and would barely give us any alone time with my dad and I just wanted to punch that stupid Lisa in the face. Then exactly a week after my dad died, my cat got hit by a car and his eyeball was literally hanging outside of his head, and we took him to the emergency vet but had to put him down. That’s when I started drinking again but it was only every once in a while, but these past few weeks it’s become more of a weekly thing but my depression seems to overpower my common sense most of the time. Life just really feels miserable, and I know it could be a lot worse but both my mental health and physical health have never been this bad and it’s killing me. I just want to feel better. Anyway sorry for this rant and going very off topic, I guess I need a therapist hahaha</t>
        </is>
      </c>
      <c r="D9955" t="n">
        <v>1</v>
      </c>
      <c r="E9955" t="n">
        <v>6</v>
      </c>
      <c r="F9955">
        <f>HYPERLINK("https://www.reddit.com/r/GERD/comments/i779g9/got_my_endoscopy_results/")</f>
        <v/>
      </c>
      <c r="G9955" t="inlineStr">
        <is>
          <t>2020-08-10 08:45:21</t>
        </is>
      </c>
      <c r="H9955" t="inlineStr"/>
    </row>
    <row r="9956">
      <c r="A9956" t="inlineStr">
        <is>
          <t>i77c3d</t>
        </is>
      </c>
      <c r="B9956" t="inlineStr">
        <is>
          <t>Horrific asthma-related breathing difficulties for 6 years, no combination of inhalers has ever helped. Doctors are stumped and keep upping my steroid dosage. Could this be GERD?</t>
        </is>
      </c>
      <c r="C9956" t="inlineStr">
        <is>
          <t>Hi all, 
I come to this sub at the lowest point in my life. Morose way to start a post, but it's the truth.
My health / breathing issues started age 21. Previous to that I'd never had adverse health. I was playing football with a friend and suddenly felt breathless in a way I never had before. Started happening more, even when I wasn't exercising. Went to the docs and got diagnosed with asthma. Was put on a steroid preventative inhaler and a blue inhaler, and was told my symptoms would get better soon.
Over the next four years, my symptoms got worse to the point where now every day is a battle of not being able to breathe properly, and I can't exercise for more than 30 seconds. Eventually after they got bored of upping my dosage, they ran some specialist tests. Tests confirmed that my complaints about the rescue inhaler not working were true; Ventolin has no effect on my lungs, which they casually said suggested I don't have asthma. 
**My symptoms:** 
**- Complete loss of ability to do exercise. Feel like my lungs are closing up. Much worse when I'm outside.** 
**- A constant build up of mucus in the back of my throat that won't clear - when I say constant, I mean it's been there nonstop for the past three years**
**- Feel sick often after eating most foods and always feel sick after a few beers**
**- Sharp pains in chest, stomach and sometimes collarbones every day. This is sometimes influenced by how I'm sitting or laying**
**- Shallow breathing - possibly anxiety related, but I think mainly because my throat feels small**
Every single breathing function test I've ever done - Peak Flow, Spirometry, etc., has apparently shown that my breathing is fine. I've been into the emergency room multiple times because I've felt like I was about to pass out and they've said my blood oxygen is perfect. It's been confirmed that I am allergic to grass, trees, dog dander, but no allergy treatment has ever worked, either.
For the last year or so I've been trying to come to terms with a COPD diagnosis because I couldn't think of anything else it could be, and my doctors seem stumped. Then in the past few days, I've heard mention of GERD Induced asthma, and so much of it ticks. Thing is, there's so much I don't know, and I need help figuring out if this is likely GERD related. Has anyone else got experience with this?</t>
        </is>
      </c>
      <c r="D9956" t="n">
        <v>1</v>
      </c>
      <c r="E9956" t="n">
        <v>18</v>
      </c>
      <c r="F9956">
        <f>HYPERLINK("https://www.reddit.com/r/GERD/comments/i77c3d/horrific_asthmarelated_breathing_difficulties_for/")</f>
        <v/>
      </c>
      <c r="G9956" t="inlineStr">
        <is>
          <t>2020-08-10 08:49:17</t>
        </is>
      </c>
      <c r="H9956" t="inlineStr"/>
    </row>
    <row r="9957">
      <c r="A9957" t="inlineStr">
        <is>
          <t>i78fet</t>
        </is>
      </c>
      <c r="B9957" t="inlineStr">
        <is>
          <t>Is jamie koufmans book more vegan friendly than acid watcher diet? (First book)</t>
        </is>
      </c>
      <c r="C9957" t="inlineStr">
        <is>
          <t>I know the 2nd book has vegan recipes but I didn't find anything about the first book</t>
        </is>
      </c>
      <c r="D9957" t="n">
        <v>1</v>
      </c>
      <c r="E9957" t="n">
        <v>3</v>
      </c>
      <c r="F9957">
        <f>HYPERLINK("https://www.reddit.com/r/GERD/comments/i78fet/is_jamie_koufmans_book_more_vegan_friendly_than/")</f>
        <v/>
      </c>
      <c r="G9957" t="inlineStr">
        <is>
          <t>2020-08-10 09:46:20</t>
        </is>
      </c>
      <c r="H9957" t="inlineStr"/>
    </row>
    <row r="9958">
      <c r="A9958" t="inlineStr">
        <is>
          <t>i79imv</t>
        </is>
      </c>
      <c r="B9958" t="inlineStr">
        <is>
          <t>Anyone get heart issues?</t>
        </is>
      </c>
      <c r="C9958" t="inlineStr">
        <is>
          <t>Not real bad diagnosable things, but I seem to be getting constant palpitations lately and my heart rate will spike randomly sometimes (usually close to exercise). I haven’t been eating well lately (vacation) so that could be it. Wondering if anyone else has experienced this?</t>
        </is>
      </c>
      <c r="D9958" t="n">
        <v>1</v>
      </c>
      <c r="E9958" t="n">
        <v>6</v>
      </c>
      <c r="F9958">
        <f>HYPERLINK("https://www.reddit.com/r/GERD/comments/i79imv/anyone_get_heart_issues/")</f>
        <v/>
      </c>
      <c r="G9958" t="inlineStr">
        <is>
          <t>2020-08-10 10:41:01</t>
        </is>
      </c>
      <c r="H9958" t="inlineStr"/>
    </row>
    <row r="9959">
      <c r="A9959" t="inlineStr">
        <is>
          <t>i7apav</t>
        </is>
      </c>
      <c r="B9959" t="inlineStr">
        <is>
          <t>GERD, gastritis, or...? Anyone else have these symptoms?</t>
        </is>
      </c>
      <c r="C9959" t="inlineStr">
        <is>
          <t>Hi, 32-yr-old female here who has been experiencing these symptoms for the last month or so:
Dull ache under my left ribs (from the bottom left side up to my sternum), sometimes it's a sharp/burning pain, but no matter the intensity the dull ache is ALWAYS there. As if something is out of place under my ribs. But it's hard to pinpoint the exact spot.
Unintended weight loss
General indigestion
My doctor suspected gastritis at first, and I took omeprazole for a week but it only made me feel worse (which I've read and heard this is common for a lot of people). Since there was no improvement in my symptoms, my doctor told me to stop taking it. I've done bloodwork which came back normal, a chest x-ray which also came back normal, and am waiting to have an abdominal CT scan tomorrow.
I don't have any of the other common symptoms I've read about — heartburn (or least not heartburn as I know it — I had it when I was pregnant a few years ago and it was literally a burning feeling in my upper chest/food coming up my throat), difficulty  swallowing, etc.
Sometimes the aching feeling gets better after I eat. 
Anyone else with GERD have similar symptoms to mine? I've spent way too much time on Google looking up these symptoms and have sent myself into a panic thinking it could be something more sinister. Thanks in advance for any insight you can share.</t>
        </is>
      </c>
      <c r="D9959" t="n">
        <v>1</v>
      </c>
      <c r="E9959" t="n">
        <v>5</v>
      </c>
      <c r="F9959">
        <f>HYPERLINK("https://www.reddit.com/r/GERD/comments/i7apav/gerd_gastritis_or_anyone_else_have_these_symptoms/")</f>
        <v/>
      </c>
      <c r="G9959" t="inlineStr">
        <is>
          <t>2020-08-10 11:39:44</t>
        </is>
      </c>
      <c r="H9959" t="inlineStr"/>
    </row>
    <row r="9960">
      <c r="A9960" t="inlineStr">
        <is>
          <t>i7b0ae</t>
        </is>
      </c>
      <c r="B9960" t="inlineStr">
        <is>
          <t>Involuntary tingling</t>
        </is>
      </c>
      <c r="C9960" t="inlineStr">
        <is>
          <t>Hi. Does anyone experiences involuntary movements all over the body?</t>
        </is>
      </c>
      <c r="D9960" t="n">
        <v>1</v>
      </c>
      <c r="E9960" t="n">
        <v>3</v>
      </c>
      <c r="F9960">
        <f>HYPERLINK("https://www.reddit.com/r/GERD/comments/i7b0ae/involuntary_tingling/")</f>
        <v/>
      </c>
      <c r="G9960" t="inlineStr">
        <is>
          <t>2020-08-10 11:55:03</t>
        </is>
      </c>
      <c r="H9960" t="inlineStr"/>
    </row>
    <row r="9961">
      <c r="A9961" t="inlineStr">
        <is>
          <t>i7bjqj</t>
        </is>
      </c>
      <c r="B9961" t="inlineStr">
        <is>
          <t>Alcohol is really giving me trouble</t>
        </is>
      </c>
      <c r="C9961" t="inlineStr">
        <is>
          <t>I don't exactly how it works but it's like alcohol wants me to feel bad when I'm trying to be social but when I drink alone it allows me to feel good.
I found a long time ago that beer is a big no-no. Big stomach/chest pain even after one beer. So I started drinking hard liquor. I don't mind that because I hated beer anyway. 
But usually in social situations it's more acceptable to drink mixed drinks, like rum with coke. So I drink that. But for some reason these mixed drinks sometimes give me the chest pain too.
But it seems so random. Two weeks ago I was at a small gathering with friends and I had a few mixed drinks on an empty stomach and had no issues. Last weekend I went to a big party where I had one mixed drink on a full stomach and I had chest paint the whole night.
The fuck is going on? Also, when I drink at home (straight liquor) I never get chest or stomach pain...</t>
        </is>
      </c>
      <c r="D9961" t="n">
        <v>1</v>
      </c>
      <c r="E9961" t="n">
        <v>9</v>
      </c>
      <c r="F9961">
        <f>HYPERLINK("https://www.reddit.com/r/GERD/comments/i7bjqj/alcohol_is_really_giving_me_trouble/")</f>
        <v/>
      </c>
      <c r="G9961" t="inlineStr">
        <is>
          <t>2020-08-10 12:21:38</t>
        </is>
      </c>
      <c r="H9961" t="inlineStr"/>
    </row>
    <row r="9962">
      <c r="A9962" t="inlineStr">
        <is>
          <t>i7c3oy</t>
        </is>
      </c>
      <c r="B9962" t="inlineStr">
        <is>
          <t>GE Appointment Advice?</t>
        </is>
      </c>
      <c r="C9962" t="inlineStr">
        <is>
          <t>Newbie here (25f)- wondering what questions to ask GE at appointment this week. Quick facts: 
• A month ago I was frequently feeling short of breath/pressure in chest so I made an appointment with my primary. An Iron panel showed a borderline low ferritin level.  I was prescribed a once per day iron supplement (325 FE) that I now take every night before bed. 
• Since starting the FE I have noticed increased difficulty in breathing, pain in chest, some mucus production, and overall fatigue. 
• I started taking Zegerid yesterday and have been burping WAY more but otherwise no change in symptoms.
•I’m beginning to think that I never was experiencing low iron symptoms and instead have a minor form of LPR. 
I made a video appointment with a GE for Wednesday. Any advice on what questions to ask/tests to ask for? I get nervous speaking with doctors and shortness of breath has recently exacerbated my anxiety. Any advice is welcome!</t>
        </is>
      </c>
      <c r="D9962" t="n">
        <v>1</v>
      </c>
      <c r="E9962" t="n">
        <v>4</v>
      </c>
      <c r="F9962">
        <f>HYPERLINK("https://www.reddit.com/r/GERD/comments/i7c3oy/ge_appointment_advice/")</f>
        <v/>
      </c>
      <c r="G9962" t="inlineStr">
        <is>
          <t>2020-08-10 12:49:24</t>
        </is>
      </c>
      <c r="H9962" t="inlineStr"/>
    </row>
    <row r="9963">
      <c r="A9963" t="inlineStr">
        <is>
          <t>i7ckq3</t>
        </is>
      </c>
      <c r="B9963" t="inlineStr">
        <is>
          <t>Has anyone tried Dexilant? Do side effects get better?</t>
        </is>
      </c>
      <c r="C9963" t="inlineStr">
        <is>
          <t>I’ve recently been put on 60mg of Dexilant f or acid reflux. I’ve only been on it a couple days but I’ve hated it so far because it’ll make me bloated cause stomach pain (and thus slight laboured breathing). 
Does anyone know if it gets better after a couple days? 
I’ll ask my doctor when I next get a chance to speak with her but that’s in a while</t>
        </is>
      </c>
      <c r="D9963" t="n">
        <v>1</v>
      </c>
      <c r="E9963" t="n">
        <v>4</v>
      </c>
      <c r="F9963">
        <f>HYPERLINK("https://www.reddit.com/r/GERD/comments/i7ckq3/has_anyone_tried_dexilant_do_side_effects_get/")</f>
        <v/>
      </c>
      <c r="G9963" t="inlineStr">
        <is>
          <t>2020-08-10 13:13:07</t>
        </is>
      </c>
      <c r="H9963" t="inlineStr"/>
    </row>
    <row r="9964">
      <c r="A9964" t="inlineStr">
        <is>
          <t>i7e393</t>
        </is>
      </c>
      <c r="B9964" t="inlineStr">
        <is>
          <t>What does a case of severe LPR look like?</t>
        </is>
      </c>
      <c r="C9964" t="inlineStr">
        <is>
          <t>For the past 7 years or so, I've had a chronic cough that is always productive after eating, mucus in the back of my throat all of the time which makes me want to clear my throat all day and on rare occasions, a strange feeling in my chest when i breathe in that can best be described as feeling like some phlegm is stuck there and wont go away. After doing some research, i've come to the conclusion that this has to be LPR. I have yet to have it officially diagnosed.
Anyways, in my research, i read that untreated severe LPR increases the risk of cancer, and naturally i have scared myself half-to-death after reading this since i've been dealing with this for so long. So my question is, what does a severe case of LPR look like? While my symptoms are annoying and some days are worse than others, I dont think they're severe at all. I'll occasionally get a sore throat from trying to clear it excessively, but it's usually very minor. I have noticed, however, that my voice tends to get strained pretty easy from talking at a normal volume for an extended amount of time, but I'm not sure if this is due to my lack of not drinking enough water.  I don't have coughing fits in the middle of the night, throat tightness, globus sensation, any chronic throat burning or any breathing problems.
Any insight is appreciated!</t>
        </is>
      </c>
      <c r="D9964" t="n">
        <v>1</v>
      </c>
      <c r="E9964" t="n">
        <v>13</v>
      </c>
      <c r="F9964">
        <f>HYPERLINK("https://www.reddit.com/r/GERD/comments/i7e393/what_does_a_case_of_severe_lpr_look_like/")</f>
        <v/>
      </c>
      <c r="G9964" t="inlineStr">
        <is>
          <t>2020-08-10 14:29:20</t>
        </is>
      </c>
      <c r="H9964" t="inlineStr"/>
    </row>
    <row r="9965">
      <c r="A9965" t="inlineStr">
        <is>
          <t>i7eso5</t>
        </is>
      </c>
      <c r="B9965" t="inlineStr">
        <is>
          <t>Heartburn or side effects from meds???</t>
        </is>
      </c>
      <c r="C9965" t="inlineStr">
        <is>
          <t>I’ve been on Omeprazole and famotidine for 5 weeks now to treat acid reflux and what we think is a mild case of gastritis. Im supposed to do 8 weeks like this. I’m also on a very bland diet. Some days I feel better than others and I can tell there’s been progress for sure. But sometimes, I feel “weird”. And I’ll get the tight throat feeling and mild asthma like symptoms. I can’t tell anymore if that’s still my acid reflux or if it is side effects from the meds. Is that even possible? I’m puzzled because even with keeping a food journal, when the symptoms show up, it makes no sense. It just happens sometimes regardless of what I ate. Which is why I’m wondering if it could be side effects of meds too. What do you guys think?</t>
        </is>
      </c>
      <c r="D9965" t="n">
        <v>1</v>
      </c>
      <c r="E9965" t="n">
        <v>17</v>
      </c>
      <c r="F9965">
        <f>HYPERLINK("https://www.reddit.com/r/GERD/comments/i7eso5/heartburn_or_side_effects_from_meds/")</f>
        <v/>
      </c>
      <c r="G9965" t="inlineStr">
        <is>
          <t>2020-08-10 15:05:22</t>
        </is>
      </c>
      <c r="H9965" t="inlineStr"/>
    </row>
    <row r="9966">
      <c r="A9966" t="inlineStr">
        <is>
          <t>i7fsv2</t>
        </is>
      </c>
      <c r="B9966" t="inlineStr">
        <is>
          <t>On and off sore throat with swollen lingual tonsils?</t>
        </is>
      </c>
      <c r="C9966" t="inlineStr">
        <is>
          <t>Okay so I have not yet officially been diagnosed with GERD or LPR but I have and endoscopy tomorrow and multiple docs have stated that they think my throat problems are due to reflux. I get crazy health anxiety though and wanted to know if anyone else shares my symptoms. 
It all started with pretty bad head and earaches that have finally mostly subsided with consistent pepcid (40mg/day) use. The lingering and super annoying symptoms include on again off again sore throat (sometimes one-sided) and the feeling of a bump on one side of the very back of my tongue. I'm pretty sure this is a swollen lingual tonsil-- I think they're both swollen but one is more swollen than the other and it causes discomfort, not pain.  Sometimes I feel like parts of my mouth are swelling but that could be the anxiety taking over (also I think I've been clenching my jaw a lot lately due to stress).
If this helps, I'm 23f and have been smoking marijuana (with tobacco mixed in) for about 5 years everyday-- strictly vaping my bud now though.</t>
        </is>
      </c>
      <c r="D9966" t="n">
        <v>1</v>
      </c>
      <c r="E9966" t="n">
        <v>4</v>
      </c>
      <c r="F9966">
        <f>HYPERLINK("https://www.reddit.com/r/GERD/comments/i7fsv2/on_and_off_sore_throat_with_swollen_lingual/")</f>
        <v/>
      </c>
      <c r="G9966" t="inlineStr">
        <is>
          <t>2020-08-10 15:59:02</t>
        </is>
      </c>
      <c r="H9966" t="inlineStr"/>
    </row>
    <row r="9967">
      <c r="A9967" t="inlineStr">
        <is>
          <t>i7gecs</t>
        </is>
      </c>
      <c r="B9967" t="inlineStr">
        <is>
          <t>First Endoscopy</t>
        </is>
      </c>
      <c r="C9967" t="inlineStr">
        <is>
          <t>Getting an endoscopy tomorrow morning and I'm incredibly nervous.  I have anxiety so going under anesthesia freaks me out and also nervous about what they may find.  Please share your positive experiences, not that anyone really constitutes getting a tube down their throat the time of their life, but.</t>
        </is>
      </c>
      <c r="D9967" t="n">
        <v>1</v>
      </c>
      <c r="E9967" t="n">
        <v>26</v>
      </c>
      <c r="F9967">
        <f>HYPERLINK("https://www.reddit.com/r/GERD/comments/i7gecs/first_endoscopy/")</f>
        <v/>
      </c>
      <c r="G9967" t="inlineStr">
        <is>
          <t>2020-08-10 16:32:51</t>
        </is>
      </c>
      <c r="H9967" t="inlineStr"/>
    </row>
    <row r="9968">
      <c r="A9968" t="inlineStr">
        <is>
          <t>i7h6m9</t>
        </is>
      </c>
      <c r="B9968" t="inlineStr">
        <is>
          <t>Trouble swallowing?</t>
        </is>
      </c>
      <c r="C9968" t="inlineStr">
        <is>
          <t>Anyone with a history of trouble swallowing? Tell your story. I've been dealing with it since high school. Have had endoscopies but no real diagnosis. I choke on simple bites, every bite has to get washed down with a beverage 😭</t>
        </is>
      </c>
      <c r="D9968" t="n">
        <v>1</v>
      </c>
      <c r="E9968" t="n">
        <v>10</v>
      </c>
      <c r="F9968">
        <f>HYPERLINK("https://www.reddit.com/r/GERD/comments/i7h6m9/trouble_swallowing/")</f>
        <v/>
      </c>
      <c r="G9968" t="inlineStr">
        <is>
          <t>2020-08-10 17:18:02</t>
        </is>
      </c>
      <c r="H9968" t="inlineStr"/>
    </row>
    <row r="9969">
      <c r="A9969" t="inlineStr">
        <is>
          <t>i7h795</t>
        </is>
      </c>
      <c r="B9969" t="inlineStr">
        <is>
          <t>feelings of confusion</t>
        </is>
      </c>
      <c r="C9969" t="inlineStr">
        <is>
          <t>i’m about a week into 25mg of zoloft and 40mg of omeprazole. it makes me feel really out of touch throughout the day, like i’m not fully there. later in the day and at night i also start feeling really confused for no reason, lots of dry mouth too. is this normal side effects or any advice?</t>
        </is>
      </c>
      <c r="D9969" t="n">
        <v>1</v>
      </c>
      <c r="E9969" t="n">
        <v>12</v>
      </c>
      <c r="F9969">
        <f>HYPERLINK("https://www.reddit.com/r/GERD/comments/i7h795/feelings_of_confusion/")</f>
        <v/>
      </c>
      <c r="G9969" t="inlineStr">
        <is>
          <t>2020-08-10 17:19:07</t>
        </is>
      </c>
      <c r="H9969" t="inlineStr"/>
    </row>
    <row r="9970">
      <c r="A9970" t="inlineStr">
        <is>
          <t>i7i5iz</t>
        </is>
      </c>
      <c r="B9970" t="inlineStr">
        <is>
          <t>Diarrhea after two weeks of pantoprazole.</t>
        </is>
      </c>
      <c r="C9970" t="inlineStr">
        <is>
          <t>So ive been on this medication for two weeks. Ive gotten hemorrhoids from it. My stool is sticky and bloody. Im getting off the meds. I stopped today. I have a apt Wednesday morning. Wish me luck.</t>
        </is>
      </c>
      <c r="D9970" t="n">
        <v>1</v>
      </c>
      <c r="E9970" t="n">
        <v>2</v>
      </c>
      <c r="F9970">
        <f>HYPERLINK("https://www.reddit.com/r/GERD/comments/i7i5iz/diarrhea_after_two_weeks_of_pantoprazole/")</f>
        <v/>
      </c>
      <c r="G9970" t="inlineStr">
        <is>
          <t>2020-08-10 18:16:18</t>
        </is>
      </c>
      <c r="H9970" t="inlineStr"/>
    </row>
    <row r="9971">
      <c r="A9971" t="inlineStr">
        <is>
          <t>i7ibnf</t>
        </is>
      </c>
      <c r="B9971" t="inlineStr">
        <is>
          <t>Help me with an anti inflammatory diet please!!</t>
        </is>
      </c>
      <c r="C9971" t="inlineStr">
        <is>
          <t>Hey all I have pretty severe GERD and Pepcid just doesn’t help anymore. I’ve tried omeprazole before and it didn’t help much. Had to go to the er today because I’m pretty sure I have gastritis for the second time. I have an appointment with my doctor in 2 weeks to get a referral to see a GI and get an endoscopy done. Ugh my insurance makes everything so annoying.
Anyway! I’m eating very small meals and taking carafate 4x daily. Just wondering if anyone could offer some anti inflammatory diet tips because I think I it could be really beneficial. Thank you!</t>
        </is>
      </c>
      <c r="D9971" t="n">
        <v>1</v>
      </c>
      <c r="E9971" t="n">
        <v>6</v>
      </c>
      <c r="F9971">
        <f>HYPERLINK("https://www.reddit.com/r/GERD/comments/i7ibnf/help_me_with_an_anti_inflammatory_diet_please/")</f>
        <v/>
      </c>
      <c r="G9971" t="inlineStr">
        <is>
          <t>2020-08-10 18:26:56</t>
        </is>
      </c>
      <c r="H9971" t="inlineStr"/>
    </row>
    <row r="9972">
      <c r="A9972" t="inlineStr">
        <is>
          <t>i7ig6u</t>
        </is>
      </c>
      <c r="B9972" t="inlineStr">
        <is>
          <t>Anyone stand really straight and reach hands into sky to get relief from the reflux</t>
        </is>
      </c>
      <c r="C9972" t="inlineStr">
        <is>
          <t>It still happens but it’s a lot less severe when I’m stretching into the sky idk</t>
        </is>
      </c>
      <c r="D9972" t="n">
        <v>1</v>
      </c>
      <c r="E9972" t="n">
        <v>2</v>
      </c>
      <c r="F9972">
        <f>HYPERLINK("https://www.reddit.com/r/GERD/comments/i7ig6u/anyone_stand_really_straight_and_reach_hands_into/")</f>
        <v/>
      </c>
      <c r="G9972" t="inlineStr">
        <is>
          <t>2020-08-10 18:34:54</t>
        </is>
      </c>
      <c r="H9972" t="inlineStr"/>
    </row>
    <row r="9973">
      <c r="A9973" t="inlineStr">
        <is>
          <t>i7ixb3</t>
        </is>
      </c>
      <c r="B9973" t="inlineStr">
        <is>
          <t>What does internal bleeding from a petit ulcer feel like?</t>
        </is>
      </c>
      <c r="C9973" t="inlineStr">
        <is>
          <t>Just need some reassurance, the doctor isn’t even sure if I have an ulcer but I’m still kind of dreaming out haha.</t>
        </is>
      </c>
      <c r="D9973" t="n">
        <v>1</v>
      </c>
      <c r="E9973" t="n">
        <v>1</v>
      </c>
      <c r="F9973">
        <f>HYPERLINK("https://www.reddit.com/r/GERD/comments/i7ixb3/what_does_internal_bleeding_from_a_petit_ulcer/")</f>
        <v/>
      </c>
      <c r="G9973" t="inlineStr">
        <is>
          <t>2020-08-10 19:03:59</t>
        </is>
      </c>
      <c r="H9973" t="inlineStr"/>
    </row>
    <row r="9974">
      <c r="A9974" t="inlineStr">
        <is>
          <t>i7j8v5</t>
        </is>
      </c>
      <c r="B9974" t="inlineStr">
        <is>
          <t>What to do when Pepcid stops working?</t>
        </is>
      </c>
      <c r="C9974" t="inlineStr">
        <is>
          <t>I've had GERD for the longest time and finally decided to figure out what to do with it. I started Pepcid about 2-3 weeks ago and it's been life changing. I've been avoiding trigger foods as well(although I get heartburn almost always), but starting yesterday my acid reflux is back and my thought is it's lost efficiency. From everything I've read I really don't want to try a PPI. Is there anything else I can do for maybe a week or 2 before I start Pepcid again after it's out of my system maybe?</t>
        </is>
      </c>
      <c r="D9974" t="n">
        <v>1</v>
      </c>
      <c r="E9974" t="n">
        <v>7</v>
      </c>
      <c r="F9974">
        <f>HYPERLINK("https://www.reddit.com/r/GERD/comments/i7j8v5/what_to_do_when_pepcid_stops_working/")</f>
        <v/>
      </c>
      <c r="G9974" t="inlineStr">
        <is>
          <t>2020-08-10 19:23:39</t>
        </is>
      </c>
      <c r="H9974" t="inlineStr"/>
    </row>
    <row r="9975">
      <c r="A9975" t="inlineStr">
        <is>
          <t>i7jac1</t>
        </is>
      </c>
      <c r="B9975" t="inlineStr">
        <is>
          <t>Hunger feeling even after eating</t>
        </is>
      </c>
      <c r="C9975" t="inlineStr">
        <is>
          <t>So about 1 month ago I quit ppi meds for LPR, after taking it for 1 year + . My  symptoms aren’t bad at all, minus sometimes the feeling of hunger even though I just ate. It’s not nausea, but yeah. I’ve already gotten endoscopy &amp;amp; biopsies stomach &amp;amp; 3 parts of my esophagus, and everything is clean other than there was gastritis present but they never prescribed me any meds I was just taking OTC Nexium. 
Anyone else have this symptom ? I also have chronic migraines recently diagnosed &amp;amp; a clean MRI of my brain so not sure if this is a headache thing or a GERD thing.</t>
        </is>
      </c>
      <c r="D9975" t="n">
        <v>1</v>
      </c>
      <c r="E9975" t="n">
        <v>0</v>
      </c>
      <c r="F9975">
        <f>HYPERLINK("https://www.reddit.com/r/GERD/comments/i7jac1/hunger_feeling_even_after_eating/")</f>
        <v/>
      </c>
      <c r="G9975" t="inlineStr">
        <is>
          <t>2020-08-10 19:26:12</t>
        </is>
      </c>
      <c r="H9975" t="inlineStr"/>
    </row>
    <row r="9976">
      <c r="A9976" t="inlineStr">
        <is>
          <t>i7jpry</t>
        </is>
      </c>
      <c r="B9976" t="inlineStr">
        <is>
          <t>New Symptoms...GERD or LPR?</t>
        </is>
      </c>
      <c r="C9976" t="inlineStr">
        <is>
          <t>Hi All  - I have been having troubles sleeping at night as I wake up to my throat feeling super spicy. In addition to that, I have been having consistent heartburn before and after every meal for the last 2 weeks. After doing some google, I stumbled onto this subreddit and thankful for it. I'm kinda nervous that what I am experiencing is GERD or LPR. I was diagnosed with H Pylori infection last summer but those pains have gone away with the use of Mastic Gum, Manuka honey and adjusted diet. I was hoping that I would not see the symptoms but now this time it seems certain that it has developed into GERD/LPR.
In order to be diagnosed, can anyone share their experiences or advice as to the steps that are needed to be taken? Also, any home remedies to ease my tight throat symptoms as it's been bothering me for awhile now. Any suggestions would be greatly appreciated!</t>
        </is>
      </c>
      <c r="D9976" t="n">
        <v>1</v>
      </c>
      <c r="E9976" t="n">
        <v>0</v>
      </c>
      <c r="F9976">
        <f>HYPERLINK("https://www.reddit.com/r/GERD/comments/i7jpry/new_symptomsgerd_or_lpr/")</f>
        <v/>
      </c>
      <c r="G9976" t="inlineStr">
        <is>
          <t>2020-08-10 19:53:43</t>
        </is>
      </c>
      <c r="H9976" t="inlineStr"/>
    </row>
    <row r="9977">
      <c r="A9977" t="inlineStr">
        <is>
          <t>i7jr0x</t>
        </is>
      </c>
      <c r="B9977" t="inlineStr">
        <is>
          <t>Synthroid and PPI</t>
        </is>
      </c>
      <c r="C9977" t="inlineStr">
        <is>
          <t>I’ve been weaning off Pantoprazole for about 8 weeks now. It’s a very slow weaning down process. But I wanted to get on here and ask if anyone is on synthroid and taking a ppi. I found out today from my pcp that  my TSH levels were low and now have an appointment with my endo on Wednesday to discuss my issue. I was on 80mg of Pantoprazole and I’ve worked my way down to 60mg and currently working my way down to 40mg. I think that the PPI is messing with the absorption of the synthroid. I take my synthroid first in the morning and then an hour later I take my first dose of ppi. Before I was placed on ppi I did have have some adjustments to my synthroid dosage... So not sure if it’s still the case. If anyone has any experience with the two, please let me know</t>
        </is>
      </c>
      <c r="D9977" t="n">
        <v>1</v>
      </c>
      <c r="E9977" t="n">
        <v>0</v>
      </c>
      <c r="F9977">
        <f>HYPERLINK("https://www.reddit.com/r/GERD/comments/i7jr0x/synthroid_and_ppi/")</f>
        <v/>
      </c>
      <c r="G9977" t="inlineStr">
        <is>
          <t>2020-08-10 19:55:56</t>
        </is>
      </c>
      <c r="H9977" t="inlineStr"/>
    </row>
    <row r="9978">
      <c r="A9978" t="inlineStr">
        <is>
          <t>i7jth9</t>
        </is>
      </c>
      <c r="B9978" t="inlineStr">
        <is>
          <t>My GERD is out of control</t>
        </is>
      </c>
      <c r="C9978" t="inlineStr">
        <is>
          <t>Hi guys, I’m 23 and I have asthma + GERD 
In terms of asthma, about two weeks ago I was taking some steroid pills that help with airway inflammation (prescribed by pulmonologist) and a nebulizer 4 times a day, 6 hours apart. I started to notice improvement almost immediately compared to Arnuity which literally did nothing and was the reason I changed doctors.  And since last Thursday, I finished my pills and went on to start my daily Symbicort dosis with Singulair at night. My nebulizer therapy would now be use only as rescue. 
In terms of GERD, I’ve been to the hospital twice in the last two months (mostly because of asthma attacks) and the second time they prescribed me with Pepcid en 20 mg Omeprazole because I was diagnosed with GERD also. I’m very familiar with the comorbidity between them and I can safely say that my GERD is far less controlled than my Asthma condition, which only makes it worse.
Yesterday, after advancing to the next step and been taking Symbicort since Thursday, I had an asthma attack. I narrowed the trigger to a lemon cookie that I was offered and ate without thinking. Rushed to nebulizer and it didn’t improve much, waited for the night dosis of Symbicort and still didn’t improve that much. And now today I drank some black coffee (which I later read it worsens reflux), took my morning dosis of Symbicort and my nebulizer and I only feel slightly better... is this normal??? I feel that I haven’t let my reflux calm down and as of now it’s been a whole day and a half, still feeling tightness in my chest and shortness of breath even when I take albuterol so its obviously Reflux. 
Thanks in advance, any opinions or advice would be very much welcomed.</t>
        </is>
      </c>
      <c r="D9978" t="n">
        <v>1</v>
      </c>
      <c r="E9978" t="n">
        <v>0</v>
      </c>
      <c r="F9978">
        <f>HYPERLINK("https://www.reddit.com/r/GERD/comments/i7jth9/my_gerd_is_out_of_control/")</f>
        <v/>
      </c>
      <c r="G9978" t="inlineStr">
        <is>
          <t>2020-08-10 20:00:22</t>
        </is>
      </c>
      <c r="H9978" t="inlineStr"/>
    </row>
    <row r="9979">
      <c r="A9979" t="inlineStr">
        <is>
          <t>i7lkej</t>
        </is>
      </c>
      <c r="B9979" t="inlineStr">
        <is>
          <t>Can hear/feel stomach rumbling and shortly after I feel gas in my throat</t>
        </is>
      </c>
      <c r="C9979" t="inlineStr">
        <is>
          <t>This happens usually after eating but a lot of the time when Im sitting down. Just rumbling in my stomach and then i feel gas travel from my stomach up to my throat and then I burp. Sometimes I deal with globus sensation , feeling air in my throat and its almost as if whenever I think about it i can create an air bubble in my throat. I have bad anxiety. Also Im almost always gassy. Am I going to die? This stuff is pretty scary and I just went through a surgical procedure for a lung so Im scared Im going to have another surgery. This has been going on for a while. Im 18 by the way</t>
        </is>
      </c>
      <c r="D9979" t="n">
        <v>1</v>
      </c>
      <c r="E9979" t="n">
        <v>2</v>
      </c>
      <c r="F9979">
        <f>HYPERLINK("https://www.reddit.com/r/GERD/comments/i7lkej/can_hearfeel_stomach_rumbling_and_shortly_after_i/")</f>
        <v/>
      </c>
      <c r="G9979" t="inlineStr">
        <is>
          <t>2020-08-10 22:01:34</t>
        </is>
      </c>
      <c r="H9979" t="inlineStr"/>
    </row>
    <row r="9980">
      <c r="A9980" t="inlineStr">
        <is>
          <t>i7n9gp</t>
        </is>
      </c>
      <c r="B9980" t="inlineStr">
        <is>
          <t>What do you guys do when you get shortness of breath attacks?</t>
        </is>
      </c>
      <c r="C9980" t="inlineStr">
        <is>
          <t>I get shortness of breath frequently and it's disrupting my sleep. How do you guys deal with it?</t>
        </is>
      </c>
      <c r="D9980" t="n">
        <v>1</v>
      </c>
      <c r="E9980" t="n">
        <v>17</v>
      </c>
      <c r="F9980">
        <f>HYPERLINK("https://www.reddit.com/r/GERD/comments/i7n9gp/what_do_you_guys_do_when_you_get_shortness_of/")</f>
        <v/>
      </c>
      <c r="G9980" t="inlineStr">
        <is>
          <t>2020-08-11 00:18:43</t>
        </is>
      </c>
      <c r="H9980" t="inlineStr"/>
    </row>
    <row r="9981">
      <c r="A9981" t="inlineStr">
        <is>
          <t>i7npoc</t>
        </is>
      </c>
      <c r="B9981" t="inlineStr">
        <is>
          <t>Bad heart burn and knot in my throat</t>
        </is>
      </c>
      <c r="C9981" t="inlineStr">
        <is>
          <t>If it helps I'm taking 100mg of Zoloft once a day. Twice now this week I've gotten really bad heartburn when I got to lay down for sleep. I'm wondering if it's something that I'm eating even though my diet hasn't changed at all. Any over the counter meds yall know of or other ways of treating it?</t>
        </is>
      </c>
      <c r="D9981" t="n">
        <v>1</v>
      </c>
      <c r="E9981" t="n">
        <v>5</v>
      </c>
      <c r="F9981">
        <f>HYPERLINK("https://www.reddit.com/r/GERD/comments/i7npoc/bad_heart_burn_and_knot_in_my_throat/")</f>
        <v/>
      </c>
      <c r="G9981" t="inlineStr">
        <is>
          <t>2020-08-11 01:00:03</t>
        </is>
      </c>
      <c r="H9981" t="inlineStr"/>
    </row>
    <row r="9982">
      <c r="A9982" t="inlineStr">
        <is>
          <t>i7oysk</t>
        </is>
      </c>
      <c r="B9982" t="inlineStr">
        <is>
          <t>Isnt there anything against LPR PAIN?!</t>
        </is>
      </c>
      <c r="C9982" t="inlineStr">
        <is>
          <t>Why isnt there something against the pain and imflammation?
What about gaviscon? Does it help?</t>
        </is>
      </c>
      <c r="D9982" t="n">
        <v>1</v>
      </c>
      <c r="E9982" t="n">
        <v>4</v>
      </c>
      <c r="F9982">
        <f>HYPERLINK("https://www.reddit.com/r/GERD/comments/i7oysk/isnt_there_anything_against_lpr_pain/")</f>
        <v/>
      </c>
      <c r="G9982" t="inlineStr">
        <is>
          <t>2020-08-11 02:54:33</t>
        </is>
      </c>
      <c r="H9982" t="inlineStr"/>
    </row>
    <row r="9983">
      <c r="A9983" t="inlineStr">
        <is>
          <t>i7pj2f</t>
        </is>
      </c>
      <c r="B9983" t="inlineStr">
        <is>
          <t>Australians - another H2 blocker?</t>
        </is>
      </c>
      <c r="C9983" t="inlineStr">
        <is>
          <t>I want to wean off omeprazole using a H2 blocker. Unfortunately rantitide is obviously off the market. 
I asked my GP about famotidine and she said that it isn’t available either... is this true? It’s on the chemist warehouse website. She is normally a very good doctor so I’m feeling confused and disheartened.</t>
        </is>
      </c>
      <c r="D9983" t="n">
        <v>1</v>
      </c>
      <c r="E9983" t="n">
        <v>4</v>
      </c>
      <c r="F9983">
        <f>HYPERLINK("https://www.reddit.com/r/GERD/comments/i7pj2f/australians_another_h2_blocker/")</f>
        <v/>
      </c>
      <c r="G9983" t="inlineStr">
        <is>
          <t>2020-08-11 03:42:55</t>
        </is>
      </c>
      <c r="H9983" t="inlineStr"/>
    </row>
    <row r="9984">
      <c r="A9984" t="inlineStr">
        <is>
          <t>i7qa3u</t>
        </is>
      </c>
      <c r="B9984" t="inlineStr">
        <is>
          <t>Never heard of GERD but sounds right up my street! :)</t>
        </is>
      </c>
      <c r="C9984" t="inlineStr">
        <is>
          <t>I have IBD... Ulceratus Collitus to be precise. I've had mild reflux in tbe past but a week ago had a really bad flare up and have had some horrible things happening to my body since. Gonna list them, appreciate if people can say whether they relate:
Burning throat
Gagging for no reason.
Trouble swallowing
Huge lump in my throat / chest that makes me gag and vomit?!?
Tonsils look like they've been shredded
Weird pustules / ulcers at the back of my tongue.
Any of that sound familiar? If so I guess I'm part of the club... Joy for me.</t>
        </is>
      </c>
      <c r="D9984" t="n">
        <v>1</v>
      </c>
      <c r="E9984" t="n">
        <v>0</v>
      </c>
      <c r="F9984">
        <f>HYPERLINK("https://www.reddit.com/r/GERD/comments/i7qa3u/never_heard_of_gerd_but_sounds_right_up_my_street/")</f>
        <v/>
      </c>
      <c r="G9984" t="inlineStr">
        <is>
          <t>2020-08-11 04:42:29</t>
        </is>
      </c>
      <c r="H9984" t="inlineStr"/>
    </row>
    <row r="9985">
      <c r="A9985" t="inlineStr">
        <is>
          <t>i7raws</t>
        </is>
      </c>
      <c r="B9985" t="inlineStr">
        <is>
          <t>A 60 mg dose of Omeprazole?</t>
        </is>
      </c>
      <c r="C9985" t="inlineStr">
        <is>
          <t>Hey guys, I’ve been taking Omeprazole for the past 16 days due to reflux that is worsening my asthma. 40mg seemed to do nothing so doctor gave me Pepcid 20mg to take at night. I felt some relief but 2 days ago my reflux came bake with revenge and not even albuterol, Symbicort nor Omeprazole could stop it. Narrowed my triggers to lemon cookie and black coffee but holy shit, it feels eternal. My next appointment is on the 31st but I wanted to know if it’s safe to take another Omeprazole 20mg at night making it 60 mg in one day? 
Thanks in advance.</t>
        </is>
      </c>
      <c r="D9985" t="n">
        <v>1</v>
      </c>
      <c r="E9985" t="n">
        <v>6</v>
      </c>
      <c r="F9985">
        <f>HYPERLINK("https://www.reddit.com/r/GERD/comments/i7raws/a_60_mg_dose_of_omeprazole/")</f>
        <v/>
      </c>
      <c r="G9985" t="inlineStr">
        <is>
          <t>2020-08-11 05:55:51</t>
        </is>
      </c>
      <c r="H9985" t="inlineStr"/>
    </row>
    <row r="9986">
      <c r="A9986" t="inlineStr">
        <is>
          <t>i7rjo4</t>
        </is>
      </c>
      <c r="B9986" t="inlineStr">
        <is>
          <t>Silent reflux, can I still drink alcohol?</t>
        </is>
      </c>
      <c r="C9986" t="inlineStr">
        <is>
          <t>Doctor suspects I have Silent Reflux or Post Nasal Drip. She has put me on Omperazole for a week then to be reviewed. I'm really worried about taking this medication long term and wonder if anyone with silent reflux avoids medication or what medication you take and how often? 
Do you still drink alcohol and eat foods ie dairy, chocolate, spicy foods or do you avoid? Do you suffer if you have these? I'd like to know if I can still drink alcohol and have the food I love! 
Any advice on dealing with this condition would be great!</t>
        </is>
      </c>
      <c r="D9986" t="n">
        <v>1</v>
      </c>
      <c r="E9986" t="n">
        <v>14</v>
      </c>
      <c r="F9986">
        <f>HYPERLINK("https://www.reddit.com/r/GERD/comments/i7rjo4/silent_reflux_can_i_still_drink_alcohol/")</f>
        <v/>
      </c>
      <c r="G9986" t="inlineStr">
        <is>
          <t>2020-08-11 06:11:28</t>
        </is>
      </c>
      <c r="H9986" t="inlineStr"/>
    </row>
    <row r="9987">
      <c r="A9987" t="inlineStr">
        <is>
          <t>i7rs0a</t>
        </is>
      </c>
      <c r="B9987" t="inlineStr">
        <is>
          <t>Throat tickle/breathing pain/spams?</t>
        </is>
      </c>
      <c r="C9987" t="inlineStr">
        <is>
          <t>I've been having a constant tickle in my throat when breathing for 6 months. If I breathe deeply it can get worse and develop into something that feels like spasms that terrified me so much I thought I was having a heart attack the first time I had them 6 months ago.
It gets better when I eat something, I'm assuming this is because my oesophagus gets coated and I can thus breathe normally.
I've definitely been having signs of GERD and LPR during this period. I'm just wondering if anyone else can relate or has had similar issues?</t>
        </is>
      </c>
      <c r="D9987" t="n">
        <v>1</v>
      </c>
      <c r="E9987" t="n">
        <v>1</v>
      </c>
      <c r="F9987">
        <f>HYPERLINK("https://www.reddit.com/r/GERD/comments/i7rs0a/throat_ticklebreathing_painspams/")</f>
        <v/>
      </c>
      <c r="G9987" t="inlineStr">
        <is>
          <t>2020-08-11 06:26:06</t>
        </is>
      </c>
      <c r="H9987" t="inlineStr"/>
    </row>
    <row r="9988">
      <c r="A9988" t="inlineStr">
        <is>
          <t>i7shb7</t>
        </is>
      </c>
      <c r="B9988" t="inlineStr">
        <is>
          <t>Trachycardia</t>
        </is>
      </c>
      <c r="C9988" t="inlineStr">
        <is>
          <t>I had a holter monitor done and I have a follow up today with my doctor but I have trachycardia really bad, near syncopes often.
Has anyone experienced this with GERD and/or proton pump inhibitors? Maybe it’s completely unrelated but it really feels gastric related</t>
        </is>
      </c>
      <c r="D9988" t="n">
        <v>1</v>
      </c>
      <c r="E9988" t="n">
        <v>5</v>
      </c>
      <c r="F9988">
        <f>HYPERLINK("https://www.reddit.com/r/GERD/comments/i7shb7/trachycardia/")</f>
        <v/>
      </c>
      <c r="G9988" t="inlineStr">
        <is>
          <t>2020-08-11 07:09:06</t>
        </is>
      </c>
      <c r="H9988" t="inlineStr"/>
    </row>
    <row r="9989">
      <c r="A9989" t="inlineStr">
        <is>
          <t>i7thmu</t>
        </is>
      </c>
      <c r="B9989" t="inlineStr">
        <is>
          <t>GERD &amp;amp; NES (not the fun old school NES)</t>
        </is>
      </c>
      <c r="C9989" t="inlineStr">
        <is>
          <t>I was diagnosed with GERD in May 2020.  In reading about how and what changes I can make I'm struggling with one aspect.  Not eating at night or within 3 hours of bed.  It's pulling me down so hard.  
NES (night eating syndrom) is my downfall.  Can spend the day eating right (no ph foods under 5 as I'm recently trying the Kaufman diet and doing the strict 2 week reset), est 5 small.meals and healthy snacks, only drinking alkaline water, cup of chamomile before bed.  Then I'll wake up at 12:30 snack some oreo, 2:30 some of my kids ice cream, 4:00 some other unhealthy crap.  It's instinctual at best.  I am fully away that I will sleep like and feel like shit the next day and erase all of the good progress but can't seem to shake it.  This has been a pattern since I was a teen, now 36m.
Anyone else hit this roadblock when trying to change diet?  Weird one, for sure but I think if I can manage to get this night time eating I can make some true progress.</t>
        </is>
      </c>
      <c r="D9989" t="n">
        <v>1</v>
      </c>
      <c r="E9989" t="n">
        <v>2</v>
      </c>
      <c r="F9989">
        <f>HYPERLINK("https://www.reddit.com/r/GERD/comments/i7thmu/gerd_nes_not_the_fun_old_school_nes/")</f>
        <v/>
      </c>
      <c r="G9989" t="inlineStr">
        <is>
          <t>2020-08-11 08:11:37</t>
        </is>
      </c>
      <c r="H9989" t="inlineStr"/>
    </row>
    <row r="9990">
      <c r="A9990" t="inlineStr">
        <is>
          <t>i7toc1</t>
        </is>
      </c>
      <c r="B9990" t="inlineStr">
        <is>
          <t>Excessive belching and Baclofen?</t>
        </is>
      </c>
      <c r="C9990" t="inlineStr">
        <is>
          <t>Has anyone tried Baclofen for excessive belching / GERD? That's the next step for me since I've already tried PPI, Antiobiotics, Famotidine, Creon, and simethicone. My GI doc is perplexed and is leaning towards functional belching as the issue. 
I've had CT scan/motility study done but it came back normal. Simethicone seems to help better than the rest. That's all I'm taking currently. I'm also careful to avoid trigger food and drinks. Thanks!</t>
        </is>
      </c>
      <c r="D9990" t="n">
        <v>1</v>
      </c>
      <c r="E9990" t="n">
        <v>1</v>
      </c>
      <c r="F9990">
        <f>HYPERLINK("https://www.reddit.com/r/GERD/comments/i7toc1/excessive_belching_and_baclofen/")</f>
        <v/>
      </c>
      <c r="G9990" t="inlineStr">
        <is>
          <t>2020-08-11 08:22:48</t>
        </is>
      </c>
      <c r="H9990" t="inlineStr"/>
    </row>
    <row r="9991">
      <c r="A9991" t="inlineStr">
        <is>
          <t>i7u45v</t>
        </is>
      </c>
      <c r="B9991" t="inlineStr">
        <is>
          <t>Has anyone gotten stomach pain and diarrhea after getting off PPI?</t>
        </is>
      </c>
      <c r="C9991" t="inlineStr">
        <is>
          <t>I just finished a course of nexium and have been having stomach and bowel issues since stopping. Anyone else?</t>
        </is>
      </c>
      <c r="D9991" t="n">
        <v>1</v>
      </c>
      <c r="E9991" t="n">
        <v>7</v>
      </c>
      <c r="F9991">
        <f>HYPERLINK("https://www.reddit.com/r/GERD/comments/i7u45v/has_anyone_gotten_stomach_pain_and_diarrhea_after/")</f>
        <v/>
      </c>
      <c r="G9991" t="inlineStr">
        <is>
          <t>2020-08-11 08:48:33</t>
        </is>
      </c>
      <c r="H9991" t="inlineStr"/>
    </row>
    <row r="9992">
      <c r="A9992" t="inlineStr">
        <is>
          <t>i7u68j</t>
        </is>
      </c>
      <c r="B9992" t="inlineStr">
        <is>
          <t>Which specialist should I see for suspected LPR?</t>
        </is>
      </c>
      <c r="C9992" t="inlineStr">
        <is>
          <t>I have some additional details in my [previous post ](https://www.reddit.com/r/GERD/comments/i6977y/unconfirmed_lpr_trying_to_adjust_and_find_what/).
I don’t actually have heartburn, and my primary symptoms are chronic cough, constant throat clearing, and the feeling of something stuck in my throat. My doctor instructed me to make an appointment with the GI department, but I found LPR listed under the ENT department (specifically under “voice disorders”). Which specialists do people usually see for LPR?</t>
        </is>
      </c>
      <c r="D9992" t="n">
        <v>1</v>
      </c>
      <c r="E9992" t="n">
        <v>4</v>
      </c>
      <c r="F9992">
        <f>HYPERLINK("https://www.reddit.com/r/GERD/comments/i7u68j/which_specialist_should_i_see_for_suspected_lpr/")</f>
        <v/>
      </c>
      <c r="G9992" t="inlineStr">
        <is>
          <t>2020-08-11 08:51:42</t>
        </is>
      </c>
      <c r="H9992" t="inlineStr"/>
    </row>
    <row r="9993">
      <c r="A9993" t="inlineStr">
        <is>
          <t>i7vt9b</t>
        </is>
      </c>
      <c r="B9993" t="inlineStr">
        <is>
          <t>Blurred Vision</t>
        </is>
      </c>
      <c r="C9993" t="inlineStr">
        <is>
          <t>Hey guys,
Just wanted to ask, is blurred vision a symptom of GERD? I feel like my vision has been changing. Like I still can see, but it feels like my eyes is always dry. Can it also be a side effect of Nexium? Sometimes I want to give up, like this is the most I have to suffer. From the feeling of fullness, to chest pains, to anxiety/panic attacks and the blurred vision/sinus headaches it’s slowly trying to destroy my life. Will be seeing a cardiologist the end of August for a stress test and then a GI for an endoscopy. I’m starting to doubt that they can find anything wrong with me and there is no cure. I still am holding on to faith and just need someone to vent to.</t>
        </is>
      </c>
      <c r="D9993" t="n">
        <v>1</v>
      </c>
      <c r="E9993" t="n">
        <v>18</v>
      </c>
      <c r="F9993">
        <f>HYPERLINK("https://www.reddit.com/r/GERD/comments/i7vt9b/blurred_vision/")</f>
        <v/>
      </c>
      <c r="G9993" t="inlineStr">
        <is>
          <t>2020-08-11 10:18:29</t>
        </is>
      </c>
      <c r="H9993" t="inlineStr"/>
    </row>
    <row r="9994">
      <c r="A9994" t="inlineStr">
        <is>
          <t>i7wbte</t>
        </is>
      </c>
      <c r="B9994" t="inlineStr">
        <is>
          <t>how to treat gerd ?</t>
        </is>
      </c>
      <c r="C9994" t="inlineStr">
        <is>
          <t>i am a singer and 2 months i can’t sing cause of it.
i have been taking aids for 1 months and it hurts as usual.
do you have any tips what to do to get rid of GERD and finally start singing 😭
* sorry for my english i’m doing my best</t>
        </is>
      </c>
      <c r="D9994" t="n">
        <v>1</v>
      </c>
      <c r="E9994" t="n">
        <v>15</v>
      </c>
      <c r="F9994">
        <f>HYPERLINK("https://www.reddit.com/r/GERD/comments/i7wbte/how_to_treat_gerd/")</f>
        <v/>
      </c>
      <c r="G9994" t="inlineStr">
        <is>
          <t>2020-08-11 10:45:44</t>
        </is>
      </c>
      <c r="H9994" t="inlineStr"/>
    </row>
    <row r="9995">
      <c r="A9995" t="inlineStr">
        <is>
          <t>i7xl41</t>
        </is>
      </c>
      <c r="B9995" t="inlineStr">
        <is>
          <t>What works better? LINX, Nissen Fundoplication, Stretta or anything else?</t>
        </is>
      </c>
      <c r="C9995" t="inlineStr">
        <is>
          <t>So! I am thinking of going for one of the GERD procedures. I am having an endoscopy Thursday (wish me luck!) and depending on the results, some methods may be more suitable than others.  
So far, I am mostly interested in LINX, even though I just saw that in the U.S. the cost is about 13.000 (and I'm like, WTF?!). But in my country, medical care is free and I am hoping that even procedures like these, that you have to pay for, will not be as expensive.
I understand that the selection of the method depends on the severity of the condition (be it GERD, Barett's or anything else) . However, Fundoplication and LINX are considered suitable for most cases.
My question is.   
Based on your experience, friends' family experience, knowledge,  
which of the GERD procedures would you say is the most efficient and why?</t>
        </is>
      </c>
      <c r="D9995" t="n">
        <v>1</v>
      </c>
      <c r="E9995" t="n">
        <v>15</v>
      </c>
      <c r="F9995">
        <f>HYPERLINK("https://www.reddit.com/r/GERD/comments/i7xl41/what_works_better_linx_nissen_fundoplication/")</f>
        <v/>
      </c>
      <c r="G9995" t="inlineStr">
        <is>
          <t>2020-08-11 11:51:07</t>
        </is>
      </c>
      <c r="H9995" t="inlineStr"/>
    </row>
    <row r="9996">
      <c r="A9996" t="inlineStr">
        <is>
          <t>i7yiba</t>
        </is>
      </c>
      <c r="B9996" t="inlineStr">
        <is>
          <t>Gaviscon Advance peppermint flavor?</t>
        </is>
      </c>
      <c r="C9996" t="inlineStr">
        <is>
          <t>I just got my Gaviscon Advance. My husband ordered it for me. Its peppermint flavor tho. Would it still be ok to take. I haven't had much luck with the meds that are perscried for GERD. I have never had to deal with heartburn  before so I am really new to this and am trying to find anyway to help myself. 
Thank you.</t>
        </is>
      </c>
      <c r="D9996" t="n">
        <v>1</v>
      </c>
      <c r="E9996" t="n">
        <v>3</v>
      </c>
      <c r="F9996">
        <f>HYPERLINK("https://www.reddit.com/r/GERD/comments/i7yiba/gaviscon_advance_peppermint_flavor/")</f>
        <v/>
      </c>
      <c r="G9996" t="inlineStr">
        <is>
          <t>2020-08-11 12:39:29</t>
        </is>
      </c>
      <c r="H9996" t="inlineStr"/>
    </row>
    <row r="9997">
      <c r="A9997" t="inlineStr">
        <is>
          <t>i7yrf1</t>
        </is>
      </c>
      <c r="B9997" t="inlineStr">
        <is>
          <t>Anxiety attacks</t>
        </is>
      </c>
      <c r="C9997" t="inlineStr">
        <is>
          <t>So for those of you who haven't seen my previous and infrequent posts, I suddenly developed "functional dyspepsia" a few days after having gotten over an upper respiratory infection. This was on March 20, 2019. Current symptoms: red throat, left sided throat pain/aching, heartburn which goes away when taking H2s (until they quit working a few weeks later, so I switch), constipation which is made far worse by the antacids. Anyone had this happen to them from an infection that has long since passed and basically you're stuck with it forever?
I've also dealt with mental breakdowns and anxiety attacks as I'm terrified of living another 45 years with this bullshit and basically want to die.</t>
        </is>
      </c>
      <c r="D9997" t="n">
        <v>1</v>
      </c>
      <c r="E9997" t="n">
        <v>9</v>
      </c>
      <c r="F9997">
        <f>HYPERLINK("https://www.reddit.com/r/GERD/comments/i7yrf1/anxiety_attacks/")</f>
        <v/>
      </c>
      <c r="G9997" t="inlineStr">
        <is>
          <t>2020-08-11 12:52:47</t>
        </is>
      </c>
      <c r="H9997" t="inlineStr"/>
    </row>
    <row r="9998">
      <c r="A9998" t="inlineStr">
        <is>
          <t>i7z1eh</t>
        </is>
      </c>
      <c r="B9998" t="inlineStr">
        <is>
          <t>Does GERD run in families?</t>
        </is>
      </c>
      <c r="C9998" t="inlineStr">
        <is>
          <t>My dad has shown GERD symptoms for about 4 years - mainly heartburn after alcohol and spicy food.
I haven't been diagnosed yet but I am on PPIs right now and making diet/lifestyle changes. 
Was wondering if anyone else have had cases of GERD in families.</t>
        </is>
      </c>
      <c r="D9998" t="n">
        <v>1</v>
      </c>
      <c r="E9998" t="n">
        <v>7</v>
      </c>
      <c r="F9998">
        <f>HYPERLINK("https://www.reddit.com/r/GERD/comments/i7z1eh/does_gerd_run_in_families/")</f>
        <v/>
      </c>
      <c r="G9998" t="inlineStr">
        <is>
          <t>2020-08-11 13:07:35</t>
        </is>
      </c>
      <c r="H9998" t="inlineStr"/>
    </row>
    <row r="9999">
      <c r="A9999" t="inlineStr">
        <is>
          <t>i7zri5</t>
        </is>
      </c>
      <c r="B9999" t="inlineStr">
        <is>
          <t>Please help... giving up on life</t>
        </is>
      </c>
      <c r="C9999" t="inlineStr">
        <is>
          <t>Hey, I’m 18years old. I have bad reflux that has gotten significantly worse in the past 6 months. I have a hietal hernia and EE’s. But the problem is whenever I take PPIs now, I get severe stomach isssues. I get bloated, nauseas, and cramping non stop and feel horrible. It’s most likely due to the low acidity. So I’m at a loss here because I can’t take PPIs or I feel like trash, and I can’t go without them because I get reflux. Please give me some advice</t>
        </is>
      </c>
      <c r="D9999" t="n">
        <v>1</v>
      </c>
      <c r="E9999" t="n">
        <v>30</v>
      </c>
      <c r="F9999">
        <f>HYPERLINK("https://www.reddit.com/r/GERD/comments/i7zri5/please_help_giving_up_on_life/")</f>
        <v/>
      </c>
      <c r="G9999" t="inlineStr">
        <is>
          <t>2020-08-11 13:46:37</t>
        </is>
      </c>
      <c r="H9999" t="inlineStr"/>
    </row>
    <row r="10000">
      <c r="A10000" t="inlineStr">
        <is>
          <t>i80o6h</t>
        </is>
      </c>
      <c r="B10000" t="inlineStr">
        <is>
          <t>Little Debbie's oatmeal cream pies?</t>
        </is>
      </c>
      <c r="C10000" t="inlineStr">
        <is>
          <t>Is this managable I ask because it's a oatmeal cookie with marshmallow cream and from what I read on Google they say marshmallow can help acid reflux but I don't know if they mean marshmallow root. And oatmeal of course works so?</t>
        </is>
      </c>
      <c r="D10000" t="n">
        <v>1</v>
      </c>
      <c r="E10000" t="n">
        <v>4</v>
      </c>
      <c r="F10000">
        <f>HYPERLINK("https://www.reddit.com/r/GERD/comments/i80o6h/little_debbies_oatmeal_cream_pies/")</f>
        <v/>
      </c>
      <c r="G10000" t="inlineStr">
        <is>
          <t>2020-08-11 14:35:43</t>
        </is>
      </c>
      <c r="H10000" t="inlineStr"/>
    </row>
    <row r="10001">
      <c r="A10001" t="inlineStr">
        <is>
          <t>i81imu</t>
        </is>
      </c>
      <c r="B10001" t="inlineStr">
        <is>
          <t>PPIs and muscle/nervous system issues</t>
        </is>
      </c>
      <c r="C10001" t="inlineStr">
        <is>
          <t>Hi, has anyone experienced muscle or nervous system issues, possibly associated with long-term PPI use? I have been on a PPI (pantoprazole) for over 2 years, and for the last 6 months had been experiencing weird spasms in my feet when walking. They occurred randomly in both feet and felt like my foot was slipping when it wasn't. About 3 weeks ago, I switched to Pepcid, and my digestive tract is still adjusting to the switch, but I've also noticed that the slipping feeling has stopped, and my feet seem to be connecting with the ground better. Anything you could share to help me feel less paranoid would be greatly appreciated, thanks!</t>
        </is>
      </c>
      <c r="D10001" t="n">
        <v>1</v>
      </c>
      <c r="E10001" t="n">
        <v>3</v>
      </c>
      <c r="F10001">
        <f>HYPERLINK("https://www.reddit.com/r/GERD/comments/i81imu/ppis_and_musclenervous_system_issues/")</f>
        <v/>
      </c>
      <c r="G10001" t="inlineStr">
        <is>
          <t>2020-08-11 15:20:37</t>
        </is>
      </c>
      <c r="H10001" t="inlineStr"/>
    </row>
    <row r="10002">
      <c r="A10002" t="inlineStr">
        <is>
          <t>i81jdj</t>
        </is>
      </c>
      <c r="B10002" t="inlineStr">
        <is>
          <t>Any luck with Sucralfate for GERD symptoms but no ulcers?</t>
        </is>
      </c>
      <c r="C10002" t="inlineStr">
        <is>
          <t>My mother has been prescribed Sucralfate 1g twice per day for two weeks. Her main symptoms are constant uncontrollable heartburn, sore throat, discomfort at the LES. 
 A recent endoscopy game back clean, no ulcers, but the doctor let her try this medication since nothing else has helped. From reading online, this medication latches onto ulcers and provides a protective barrier that allows them to heal. 
Has anyone had any luck with Sucralfate for Heartburn /other GERD symptoms despite not having an ulcer?</t>
        </is>
      </c>
      <c r="D10002" t="n">
        <v>1</v>
      </c>
      <c r="E10002" t="n">
        <v>2</v>
      </c>
      <c r="F10002">
        <f>HYPERLINK("https://www.reddit.com/r/GERD/comments/i81jdj/any_luck_with_sucralfate_for_gerd_symptoms_but_no/")</f>
        <v/>
      </c>
      <c r="G10002" t="inlineStr">
        <is>
          <t>2020-08-11 15:21:45</t>
        </is>
      </c>
      <c r="H10002" t="inlineStr"/>
    </row>
    <row r="10003">
      <c r="A10003" t="inlineStr">
        <is>
          <t>i82d8m</t>
        </is>
      </c>
      <c r="B10003" t="inlineStr">
        <is>
          <t>Is very dry throat and mouth at night and in the morning connected to my GERD?</t>
        </is>
      </c>
      <c r="C10003" t="inlineStr">
        <is>
          <t>It used to be just once in a while but lately, I’ve been waking up in the middle of the night almost every night to a very dry throat and mouth. It’s too dry that I can’t open my mouth or swallow, but it immediately gets better when I drink water. Lately, I have no other symptoms at night—no burning feeling, no coughing, no clogged nose, just intense dryness of throat and mouth. I was wondering if this is due to GERD or if it’s a symptom of something else.
I use a wedge pillow when I sleep and elevate it even more with two more pillows, but if the dry throat and mouth is due to GERD, then that means the wedge pillow is not working (?) or maybe there’s something else I’m doing wrong.</t>
        </is>
      </c>
      <c r="D10003" t="n">
        <v>1</v>
      </c>
      <c r="E10003" t="n">
        <v>9</v>
      </c>
      <c r="F10003">
        <f>HYPERLINK("https://www.reddit.com/r/GERD/comments/i82d8m/is_very_dry_throat_and_mouth_at_night_and_in_the/")</f>
        <v/>
      </c>
      <c r="G10003" t="inlineStr">
        <is>
          <t>2020-08-11 16:09:23</t>
        </is>
      </c>
      <c r="H10003" t="inlineStr"/>
    </row>
    <row r="10004">
      <c r="A10004" t="inlineStr">
        <is>
          <t>i83leb</t>
        </is>
      </c>
      <c r="B10004" t="inlineStr">
        <is>
          <t>Trying to quit Protonix</t>
        </is>
      </c>
      <c r="C10004" t="inlineStr">
        <is>
          <t>Has anyone else ever tried to cut down the PPI to every other day and every time you try (4 times over the year I’ve been taking it) it doesn’t go well. So I feel either I have legit gerd as a condition and need to take it forever or it’s purely rebound acid and I would have to ease off while taking H2 in the skipped days.</t>
        </is>
      </c>
      <c r="D10004" t="n">
        <v>1</v>
      </c>
      <c r="E10004" t="n">
        <v>1</v>
      </c>
      <c r="F10004">
        <f>HYPERLINK("https://www.reddit.com/r/GERD/comments/i83leb/trying_to_quit_protonix/")</f>
        <v/>
      </c>
      <c r="G10004" t="inlineStr">
        <is>
          <t>2020-08-11 17:24:31</t>
        </is>
      </c>
      <c r="H10004" t="inlineStr"/>
    </row>
    <row r="10005">
      <c r="A10005" t="inlineStr">
        <is>
          <t>i83s1w</t>
        </is>
      </c>
      <c r="B10005" t="inlineStr">
        <is>
          <t>sore throat treatments?</t>
        </is>
      </c>
      <c r="C10005" t="inlineStr">
        <is>
          <t>i have what i assume to be lpr as a nagging cough aggravated by stress more than anything but the other day i has a flare up as soon as i woke up that had some of the nasal drip kind of congestion and a worse cough than usual. yesterday and today both i’ve had strep level throat pain. 
i was worried it was an infection but i feel more or less 100% otherwise besides the little bit of sniffles and some regurgitation, burping, etc. i have no mucus, especially not of the color indicative of an infection, no fever, aches, etc. no white in my throat that would suggest strep either. 
i talked to a gastro this morning and she prescribed me prilosec which i started today and i’m hopeful that it’ll help alleviate the acidity but my throat is still on fire!
does anyone have any recommendations of what i can do to help heal it besides taking the medication? i’ve been drinking honey ginger tea but seriously anything helps! i want to feel better so soon. 😭</t>
        </is>
      </c>
      <c r="D10005" t="n">
        <v>1</v>
      </c>
      <c r="E10005" t="n">
        <v>1</v>
      </c>
      <c r="F10005">
        <f>HYPERLINK("https://www.reddit.com/r/GERD/comments/i83s1w/sore_throat_treatments/")</f>
        <v/>
      </c>
      <c r="G10005" t="inlineStr">
        <is>
          <t>2020-08-11 17:36:17</t>
        </is>
      </c>
      <c r="H10005" t="inlineStr"/>
    </row>
    <row r="10006">
      <c r="A10006" t="inlineStr">
        <is>
          <t>i83sv6</t>
        </is>
      </c>
      <c r="B10006" t="inlineStr">
        <is>
          <t>Weaning of PPIs and Acid rebound</t>
        </is>
      </c>
      <c r="C10006" t="inlineStr">
        <is>
          <t>I have been taking PPIs for my acid reflux for more than a month. I am about to finish my dose within the next 10 days. I've heard that once you stop taking PPIs you are most likely to experience an acid rebound, where your symptoms come back, maybe even worse? Did anyone experience this? and if yes, how were you able to handle it and what strategies did you use?? Help would be appreciated :)</t>
        </is>
      </c>
      <c r="D10006" t="n">
        <v>1</v>
      </c>
      <c r="E10006" t="n">
        <v>6</v>
      </c>
      <c r="F10006">
        <f>HYPERLINK("https://www.reddit.com/r/GERD/comments/i83sv6/weaning_of_ppis_and_acid_rebound/")</f>
        <v/>
      </c>
      <c r="G10006" t="inlineStr">
        <is>
          <t>2020-08-11 17:37:45</t>
        </is>
      </c>
      <c r="H10006" t="inlineStr"/>
    </row>
    <row r="10007">
      <c r="A10007" t="inlineStr">
        <is>
          <t>i8461n</t>
        </is>
      </c>
      <c r="B10007" t="inlineStr">
        <is>
          <t>Anti-anxiety medications are the only thing that offer me relief...</t>
        </is>
      </c>
      <c r="C10007" t="inlineStr">
        <is>
          <t>But I became physically dependent on prescribed benzodiazepines, now I have more GERD getting off of them because of the increased anxiety. 
But now I have been given Gabapentin and it has significantly improved me with just one pill. 
What is up with my dang GABA receptors.
I feel like I legitimately can’t breathe without anxiety meds and once they are working my GERD reduces DRASTICALLY.</t>
        </is>
      </c>
      <c r="D10007" t="n">
        <v>1</v>
      </c>
      <c r="E10007" t="n">
        <v>14</v>
      </c>
      <c r="F10007">
        <f>HYPERLINK("https://www.reddit.com/r/GERD/comments/i8461n/antianxiety_medications_are_the_only_thing_that/")</f>
        <v/>
      </c>
      <c r="G10007" t="inlineStr">
        <is>
          <t>2020-08-11 18:01:22</t>
        </is>
      </c>
      <c r="H10007" t="inlineStr"/>
    </row>
    <row r="10008">
      <c r="A10008" t="inlineStr">
        <is>
          <t>i84lf9</t>
        </is>
      </c>
      <c r="B10008" t="inlineStr">
        <is>
          <t>Constantly feel heart beating</t>
        </is>
      </c>
      <c r="C10008" t="inlineStr">
        <is>
          <t>I've had a full heart work up and everything seems fine.
I also have esophagitis. Is it possible for your inflamed esophagus to touch your heart and you can feel it beat? Or maybe the inflammation pushes your heart against the chest wall?
Changing positions usually helps but I was just curious because hard heart beats and faster heart rates happen with reflux attacks. 
But is something like this even possible?</t>
        </is>
      </c>
      <c r="D10008" t="n">
        <v>1</v>
      </c>
      <c r="E10008" t="n">
        <v>1</v>
      </c>
      <c r="F10008">
        <f>HYPERLINK("https://www.reddit.com/r/GERD/comments/i84lf9/constantly_feel_heart_beating/")</f>
        <v/>
      </c>
      <c r="G10008" t="inlineStr">
        <is>
          <t>2020-08-11 18:29:07</t>
        </is>
      </c>
      <c r="H10008" t="inlineStr"/>
    </row>
    <row r="10009">
      <c r="A10009" t="inlineStr">
        <is>
          <t>i84nby</t>
        </is>
      </c>
      <c r="B10009" t="inlineStr">
        <is>
          <t>Pepcid causing burping/heartburn?</t>
        </is>
      </c>
      <c r="C10009" t="inlineStr">
        <is>
          <t>About a month ago I choked on some food, irritating my esophagus. At the time, I only had a globus sensation and difficulty swallowing. Soon after I started taking antacids (Tums, then Pepcid), I started to also burp up acid and have a constant sore throat and heartburn, no matter what I eat. Going up to 20mg of Pepcid per day stopped this problem temporarily, but it returned as soon as I went back to 10mg/day.
I never had problems with heartburn before this that I know of, so I was just wondering if anyone else has experienced low doses of Pepcid actually causing heartburn? My pet theory is that a low dose of Pepcid might lower my stomach acid enough that my LES doesn't get the signal to close, but not enough that acid reflux doesn't burn my throat. I'm thinking of stopping the Pepcid completely to test this (in communication with my GI), but am worried that I'll get worse heartburn if I'm wrong.</t>
        </is>
      </c>
      <c r="D10009" t="n">
        <v>1</v>
      </c>
      <c r="E10009" t="n">
        <v>1</v>
      </c>
      <c r="F10009">
        <f>HYPERLINK("https://www.reddit.com/r/GERD/comments/i84nby/pepcid_causing_burpingheartburn/")</f>
        <v/>
      </c>
      <c r="G10009" t="inlineStr">
        <is>
          <t>2020-08-11 18:32:27</t>
        </is>
      </c>
      <c r="H10009" t="inlineStr"/>
    </row>
    <row r="10010">
      <c r="A10010" t="inlineStr">
        <is>
          <t>i84rc8</t>
        </is>
      </c>
      <c r="B10010" t="inlineStr">
        <is>
          <t>Regurgitate food / GERD and hernia</t>
        </is>
      </c>
      <c r="C10010" t="inlineStr">
        <is>
          <t>I have a 5cm hiatal hernia and GERD. I’m on pantoprazole. It’s stopped the heartburn and acid reflux I was getting. The last few days though, I’ve been regurgitating small bits of undigested food. It feels like I’m choking and then I cough it up. Anyone experienced that? I might ask my doctor if there’s a stronger medication I can go on.</t>
        </is>
      </c>
      <c r="D10010" t="n">
        <v>1</v>
      </c>
      <c r="E10010" t="n">
        <v>3</v>
      </c>
      <c r="F10010">
        <f>HYPERLINK("https://www.reddit.com/r/GERD/comments/i84rc8/regurgitate_food_gerd_and_hernia/")</f>
        <v/>
      </c>
      <c r="G10010" t="inlineStr">
        <is>
          <t>2020-08-11 18:39:29</t>
        </is>
      </c>
      <c r="H10010" t="inlineStr"/>
    </row>
    <row r="10011">
      <c r="A10011" t="inlineStr">
        <is>
          <t>i84zh5</t>
        </is>
      </c>
      <c r="B10011" t="inlineStr">
        <is>
          <t>are there any probiotics that are beneficial for GERD?</t>
        </is>
      </c>
      <c r="C10011" t="inlineStr">
        <is>
          <t>There are so many, i don't know what kind is beneficial.</t>
        </is>
      </c>
      <c r="D10011" t="n">
        <v>1</v>
      </c>
      <c r="E10011" t="n">
        <v>4</v>
      </c>
      <c r="F10011">
        <f>HYPERLINK("https://www.reddit.com/r/GERD/comments/i84zh5/are_there_any_probiotics_that_are_beneficial_for/")</f>
        <v/>
      </c>
      <c r="G10011" t="inlineStr">
        <is>
          <t>2020-08-11 18:53:51</t>
        </is>
      </c>
      <c r="H10011" t="inlineStr"/>
    </row>
    <row r="10012">
      <c r="A10012" t="inlineStr">
        <is>
          <t>i85lc4</t>
        </is>
      </c>
      <c r="B10012" t="inlineStr">
        <is>
          <t>Constipation increasing GERD??</t>
        </is>
      </c>
      <c r="C10012" t="inlineStr">
        <is>
          <t>I'm trying to find correlations between what causes my GERD.. has anyone noticed constipation making GERD symptoms worse??</t>
        </is>
      </c>
      <c r="D10012" t="n">
        <v>1</v>
      </c>
      <c r="E10012" t="n">
        <v>3</v>
      </c>
      <c r="F10012">
        <f>HYPERLINK("https://www.reddit.com/r/GERD/comments/i85lc4/constipation_increasing_gerd/")</f>
        <v/>
      </c>
      <c r="G10012" t="inlineStr">
        <is>
          <t>2020-08-11 19:33:17</t>
        </is>
      </c>
      <c r="H10012" t="inlineStr"/>
    </row>
    <row r="10013">
      <c r="A10013" t="inlineStr">
        <is>
          <t>i85n2d</t>
        </is>
      </c>
      <c r="B10013" t="inlineStr">
        <is>
          <t>Collected gerd frinedly recipes</t>
        </is>
      </c>
      <c r="C10013" t="inlineStr">
        <is>
          <t>Hello
I have collected all the recipes I could find for gerd if there is any of the ingredients thats a trigger exclude it 
It will be 2 or 3 posts because I can’t share all of it in just one 
Sautee red peppers or fennel, add broken up turkey sausage, then serve over delallo whole wheat pasta (not spaghetti, maybe cassaresce) or regular pasta.
 baked pears with chopped cashews or raw pears dipped in cashew nut butter!
brown rice noodles that I toss with sautéed chicken and avocado oil
gluten free white bread with chicken breast and extra virgin olive oil as spread. Also add some lettuce cucumber to the sandwich
 rice with liquid aminos ,parsley and grilled chicken with steamed veggies. I use a lot of salt Sometimes I add ginger powder and tumeric to spice it up, helps sooth the stomach.
Oven Roasted Zucchini
Slice zucchini
Toss in olive oil
Cover with breadcrumbs
Bake on Oven pan
Shrimp wrap - shrimp medium size -avocado - tortilla wrap - any spices that doesn’t cause any symptoms I usually use basil ,salt , Cilantro or parsley -spinach lettuce or kale
First cook the shrimp in the air fryer or a pan I don’t add anything with it but you can add some basil and salt . Then I make the avocado sauce just mash some avocado with parsley and cilantro if mayonise doesn’t bother you add a teaspoon or two Then put the shrimp and sauce on the tortilla you can add spinach lettuce any veggies
Burrito bowl -black or red beans -rice -spinach -lettuce - sweet or regular potato Cook whatever need to be cooked add it all to a bowl and thats it</t>
        </is>
      </c>
      <c r="D10013" t="n">
        <v>1</v>
      </c>
      <c r="E10013" t="n">
        <v>0</v>
      </c>
      <c r="F10013">
        <f>HYPERLINK("https://www.reddit.com/r/GERD/comments/i85n2d/collected_gerd_frinedly_recipes/")</f>
        <v/>
      </c>
      <c r="G10013" t="inlineStr">
        <is>
          <t>2020-08-11 19:36:31</t>
        </is>
      </c>
      <c r="H10013" t="inlineStr"/>
    </row>
    <row r="10014">
      <c r="A10014" t="inlineStr">
        <is>
          <t>i85o7h</t>
        </is>
      </c>
      <c r="B10014" t="inlineStr">
        <is>
          <t>Collected gerd friendly recipes</t>
        </is>
      </c>
      <c r="C10014" t="inlineStr">
        <is>
          <t>Oatmeal I think everyone knows how to make it but I will write how I make mine 3 tablespoon of oats Boil water and I will add almost 1/4 cup And sometimes I add peanut butter and banana but bananas for some reason sometimes causes me to have heartburn or I will add peanut butter and honey , nuts and raisins
spinach smoothie -1/2 scoop of MRM whey protein vanilla with probiotic this brand didn’t cause any symptoms they say its all natural and with added probiotics -1 cup spinach -1/2 cup almond milk and in a blender If I’m feeling good I will add half or 1 banana
Chicken and vegetables Bring oven safe pan put any veggies I would suggest cutting them in circles like potato pumpkin carrot Then add green beans and 1 chicken breast then add just little bit of olive oil mix it and add spices off course it is the usual ones that I can tolerate basil salt dried parsley and cilantro I use fresh and cut them small Put it in the oven in 350 f for 20 minutes 
chicken breast marinated in Italian dressing, mix of steamed veggies and rice.
Fish in parchment is a personal favorite. Make sure you fold it well so that it steams well. Whatever veggies you prefer on the bottom, fish on top. white meat fish takes about 20 minutes, salmon and similar about 25. I season lightly with Prudhomme salmon seasoning, which contains garlic and onion powder. Obviously whatever seasoning you're comfortable with can be subbed.</t>
        </is>
      </c>
      <c r="D10014" t="n">
        <v>1</v>
      </c>
      <c r="E10014" t="n">
        <v>0</v>
      </c>
      <c r="F10014">
        <f>HYPERLINK("https://www.reddit.com/r/GERD/comments/i85o7h/collected_gerd_friendly_recipes/")</f>
        <v/>
      </c>
      <c r="G10014" t="inlineStr">
        <is>
          <t>2020-08-11 19:38:35</t>
        </is>
      </c>
      <c r="H10014" t="inlineStr"/>
    </row>
    <row r="10015">
      <c r="A10015" t="inlineStr">
        <is>
          <t>i85p5o</t>
        </is>
      </c>
      <c r="B10015" t="inlineStr">
        <is>
          <t>Collected gerd friendly recipes</t>
        </is>
      </c>
      <c r="C10015" t="inlineStr">
        <is>
          <t>Hello
I have collected all the recipes I could find for gerd if there is any of the ingredients thats a trigger exclude it</t>
        </is>
      </c>
      <c r="D10015" t="n">
        <v>1</v>
      </c>
      <c r="E10015" t="n">
        <v>11</v>
      </c>
      <c r="F10015">
        <f>HYPERLINK("https://www.reddit.com/r/GERD/comments/i85p5o/collected_gerd_friendly_recipes/")</f>
        <v/>
      </c>
      <c r="G10015" t="inlineStr">
        <is>
          <t>2020-08-11 19:40:25</t>
        </is>
      </c>
      <c r="H10015" t="inlineStr"/>
    </row>
    <row r="10016">
      <c r="A10016" t="inlineStr">
        <is>
          <t>i85sxc</t>
        </is>
      </c>
      <c r="B10016" t="inlineStr">
        <is>
          <t>birth control &amp;amp; omeprazole combined</t>
        </is>
      </c>
      <c r="C10016" t="inlineStr">
        <is>
          <t>sorry if this is tmi but anyone here take birth control and omeprazole. Has anyone been advised that birth control could fail while taking omeprazole?</t>
        </is>
      </c>
      <c r="D10016" t="n">
        <v>1</v>
      </c>
      <c r="E10016" t="n">
        <v>4</v>
      </c>
      <c r="F10016">
        <f>HYPERLINK("https://www.reddit.com/r/GERD/comments/i85sxc/birth_control_omeprazole_combined/")</f>
        <v/>
      </c>
      <c r="G10016" t="inlineStr">
        <is>
          <t>2020-08-11 19:47:41</t>
        </is>
      </c>
      <c r="H10016" t="inlineStr"/>
    </row>
    <row r="10017">
      <c r="A10017" t="inlineStr">
        <is>
          <t>i86x2a</t>
        </is>
      </c>
      <c r="B10017" t="inlineStr">
        <is>
          <t>GERD, among other things</t>
        </is>
      </c>
      <c r="C10017" t="inlineStr">
        <is>
          <t>I'm currently having issues with what I'm pretty certain is GERD. First, though, I'll start from the beginning. No clue how long this will be.
I remember it being 3rd grade when I had the first stomach aches, and from then on they never went away. It was every day, multiple times a day and sometimes severe. I didn't know what was wrong at the time and did try to tell some people, but when it seemed like they didn't care or thought it was just something I ate, I kinda accepted that my stomach would always hurt. 
I found out in 11th grade (I think) about Celiac's Disease from randomly getting a video about it recommended to me on Youtube (the one time it did something right.) Before this I had guessed it may have been Lactose Intolerance and tried removing dairy, which only helped for a few months, as a lot of the stuff with dairy also had wheat, and I slowly added back more wheat. When I saw this video I immediately started cutting out wheat. I didn't really tell anyone why, I just did it and a few months later I was virtually pain free and enjoying my time. 
I started having to scrutinize every ingredient label and always felt a little embarrassed by having to do so, because at this point I was the only one who knew about my stomach issues and it had been so long I felt like people would think I was stupid for not saying anything. I researched a lot to find all the little things that still gave me issues (like Malt flavoring, or certain vinegars), and it got to the point where I was cutting out foods left and right. I ended up with only a few things in my diet and just stuck with it. In the meantime I also developed Lactose Intolerance and GERD.
One thing I should mention now is that I have Emetophobia, which is the fear of Vomiting. Pretty much I'm terrified of doing it myself, seeing someone else do it/be near them, and hearing it. This phobia plays a strong role as well as the other stuff in my struggle to eat.
Currently I'm back to having occasional stomach problems from some of the stuff I eat, in particular I think it's the stuff with sugar. Until recently the acid reflux wasn't super bad, but it has been getting worse slowly. Now it's gotten to where some foods are just causing me issues everytime I eat them. I'm going to list out my diet and try my best to describe what I think gives issues.
I'm thinking about changing it quite a bit, but I've been with this diet for multiple years just changing small things and trying to eat more, since I don't really enjoy eating as much and I'm also underweight. It seems like there's almost nothing I feel safe eating and I'm almost considering a vegetarian diet, but I'm not super into eating all vegetables.
My diet:
(I'll specify how often I eat things)
Breakfast: 
1. eggs with some salt and pepper (I used to eat 4, but now I'm finding it hard to manage 3 even with using less S/P. I eat these every morning)
2. Yogurt (Dannon Light &amp;amp; fit, either blueberry or cherry. I eat one 150g cup everyday, but I don't always finish it)
Lunch:
1. Salad (lettuce and shredded carrots with John Soules Foods gluten free seasoned chicken, either oven roasted or fajita flavor. I eat this every day and it doesn't seem to give much issue, although sometimes I have stomach pains after while trying to eat the next item, and I'm not sure which causes it as it's not always consistent)
Snack:
1. Chex cereal (This one is one of the problems. I eat rice chex that I mix with either blueberry or cinnamon flavored rice chex. I mix it so I don't eat as much of the sugary pieces, but it still causes issue even if I eat only the plain rice. I used to eat corn chex as well, but not recently. I don't use milk with this, I eat it dry and I eat it multiple times throughout the day as I get hungry.) 
2. Raisins (They're the sunmaid sour raisins. I probably shouldn't eat them, but I like them. I have a packet once every couple of days, as eating too many raisins, like grapes, gives me stomach aches)
Dinner:
1. Instant Potatoes (I use Hungry Jack potatoes with just water, salt and some pepper, no milk. Recently I started using extra virgin olive oil. I mix in some sharp cheddar cheese and use Lactaid supplements. I usually eat this, and only sometimes have issue)
2. Rice (This one is another problem causer. I make my rice with salt and pepper and now Olive oil. I used to use butter. I put some sharp cheddar cheese in it as well as Trans-Ocean Seafood Snackers. Basically it's cheap imitation crab meat/surimi type stuff, but I like it. I eat this meal sometimes, and it often is tough to finish, but sometimes I can finish it with no issue at all. Sometimes I will have stomach aches after however, or the next day)
Desert:
1. Lactaid Mint Chocolate Chip Ice Cream (This used to be completely fine with me, but recently it does feel like it gives a slight but of reflux. I'm not really sure if it's bad enough to worry about. I eat this every day)
2. More chex because I always get hungry later on, and I tend to eat them in small amounts over time.
If you made it this far, thanks for reading, but I'm not done yet. 
I see where I can make changes, and I plan to soon, but I'm just not sure yet what to replace certain things with. Having Emetophobia also gives me issue with eating mentally, because I always worry if I'll get food poisoning or if the food tastes weird. It gives me a bit of anxiety that I think also sometimes triggers GERD anyway, and that may be my issue right now with it being worse than usual. Sometimes I'll start eating and then even just think that I might feel sick, get that feeling of nervousness and then actually feel sick which stops me from eating. If I get air trapped in my chest, which is happening more often with the Rice Chex and even happened with the instant potatoes today, it feels like intense nausea that builds very quickly and happens repeatedly. It's extremely overwhelming and fills me with dread and then fear as I feel it happening, but the only way to stop it is to burp, which can be difficult.
It's getting more difficult to stay motivated to even work some days. I currently do Food Delivery since I can choose when I want to work and as much as I want to, but some days I just feel drained from stomach issues and not being able to eat comfortably. I want to change that, but I'm also worried I wont be able to, that this is just how it'll be.
I'm not really asking for help with this post, more just giving my story on how it affects me. I don't know if anyone will even read this, but here it is. 
I hope others can find relief from this condition.</t>
        </is>
      </c>
      <c r="D10017" t="n">
        <v>1</v>
      </c>
      <c r="E10017" t="n">
        <v>2</v>
      </c>
      <c r="F10017">
        <f>HYPERLINK("https://www.reddit.com/r/GERD/comments/i86x2a/gerd_among_other_things/")</f>
        <v/>
      </c>
      <c r="G10017" t="inlineStr">
        <is>
          <t>2020-08-11 21:05:19</t>
        </is>
      </c>
      <c r="H10017" t="inlineStr"/>
    </row>
    <row r="10018">
      <c r="A10018" t="inlineStr">
        <is>
          <t>i87eqq</t>
        </is>
      </c>
      <c r="B10018" t="inlineStr">
        <is>
          <t>Sore throat and Coca-Cola</t>
        </is>
      </c>
      <c r="C10018" t="inlineStr">
        <is>
          <t>Not sure if it’s just a weird little me thing but carbonated beverages dosent really bother me as I can drink apple flavored ones and the like but for some reason solo (only tried one or two flavors since I got gerd so I’m not sure if it’s ALL different flavors or not) and coke get my throat sore, heck I took a break from my diet and drank less than half a cup of coke and I got sore throat and the next day woke up with a mild cold drank some medication and thank goodness t went away before r can really become anything</t>
        </is>
      </c>
      <c r="D10018" t="n">
        <v>1</v>
      </c>
      <c r="E10018" t="n">
        <v>2</v>
      </c>
      <c r="F10018">
        <f>HYPERLINK("https://www.reddit.com/r/GERD/comments/i87eqq/sore_throat_and_cocacola/")</f>
        <v/>
      </c>
      <c r="G10018" t="inlineStr">
        <is>
          <t>2020-08-11 21:41:36</t>
        </is>
      </c>
      <c r="H10018" t="inlineStr"/>
    </row>
    <row r="10019">
      <c r="A10019" t="inlineStr">
        <is>
          <t>i87hdl</t>
        </is>
      </c>
      <c r="B10019" t="inlineStr">
        <is>
          <t>Prilosec vs Nexium??</t>
        </is>
      </c>
      <c r="C10019" t="inlineStr">
        <is>
          <t>I’ve been doing my best to maintain GERD symptoms with Famitidine since Ranitidine was pulled from the shelves. Ranitidine was the only thing that ever worked. Since it’s removal my PP suggested famitidine twice a day or as needed. 
Well I take it twice a day. And even tho I stop eating 4 hours before bed, I still can’t lay down without burping acid into my throat and generally feeling like shit. It’s been like this since earlier this year. Heart burn every night with no break. I’ve also resorted to taking calcium carbonate chews as well as pepto bismol for my attempts at immediate relief before bed time.
Nothing works. My quality of life has been terrible since ranitidine was pulled from the shelves. 
I will be speaking with my primary physician tomorrow about Nexium or Prilosec. 
But I’m here to seek wisdom from those who have tried all of the options. 
Which one worked best for you? 
I will do anything to seek a proper solution. 
Please help.</t>
        </is>
      </c>
      <c r="D10019" t="n">
        <v>1</v>
      </c>
      <c r="E10019" t="n">
        <v>1</v>
      </c>
      <c r="F10019">
        <f>HYPERLINK("https://www.reddit.com/r/GERD/comments/i87hdl/prilosec_vs_nexium/")</f>
        <v/>
      </c>
      <c r="G10019" t="inlineStr">
        <is>
          <t>2020-08-11 21:47:17</t>
        </is>
      </c>
      <c r="H10019" t="inlineStr"/>
    </row>
    <row r="10020">
      <c r="A10020" t="inlineStr">
        <is>
          <t>i87o1r</t>
        </is>
      </c>
      <c r="B10020" t="inlineStr">
        <is>
          <t>PPI - Does it get worse before it gets better?</t>
        </is>
      </c>
      <c r="C10020" t="inlineStr">
        <is>
          <t>Diagnosed with GERD, hiatal hernia, and slow gastric emptying (LES valve is also damaged). Finishing my second week on PPI and my silent reflux is no longer silent. I have actual heart burn now, back aches, and a lot of burping. I've been eating small meals, but even waiting two hours between causes things to backup. I'm underweight and struggling to eat. Things were not this severe before. Has anyone experienced this?</t>
        </is>
      </c>
      <c r="D10020" t="n">
        <v>1</v>
      </c>
      <c r="E10020" t="n">
        <v>3</v>
      </c>
      <c r="F10020">
        <f>HYPERLINK("https://www.reddit.com/r/GERD/comments/i87o1r/ppi_does_it_get_worse_before_it_gets_better/")</f>
        <v/>
      </c>
      <c r="G10020" t="inlineStr">
        <is>
          <t>2020-08-11 22:01:55</t>
        </is>
      </c>
      <c r="H10020" t="inlineStr"/>
    </row>
    <row r="10021">
      <c r="A10021" t="inlineStr">
        <is>
          <t>i89ghj</t>
        </is>
      </c>
      <c r="B10021" t="inlineStr">
        <is>
          <t>PH and Manometry Score Is Normal????????</t>
        </is>
      </c>
      <c r="C10021" t="inlineStr">
        <is>
          <t>Hey everyone ! 
So I finally got my Ph and my manometry testing and everything came out normal. I'm honestly so confused as to how the results came out fine when I was tasting bile all day and I kept regurgitating... I'm at a loss and I don't know what the next step will be . I told you all before that medicine hasn't helped and I've been suffering with regurgitation and chest burning pain for almost three years. Has anyone else had these testing done while you have horrible symptoms and the results came out fine ?</t>
        </is>
      </c>
      <c r="D10021" t="n">
        <v>1</v>
      </c>
      <c r="E10021" t="n">
        <v>7</v>
      </c>
      <c r="F10021">
        <f>HYPERLINK("https://www.reddit.com/r/GERD/comments/i89ghj/ph_and_manometry_score_is_normal/")</f>
        <v/>
      </c>
      <c r="G10021" t="inlineStr">
        <is>
          <t>2020-08-12 00:32:34</t>
        </is>
      </c>
      <c r="H10021" t="inlineStr"/>
    </row>
    <row r="10022">
      <c r="A10022" t="inlineStr">
        <is>
          <t>i89qt1</t>
        </is>
      </c>
      <c r="B10022" t="inlineStr">
        <is>
          <t>Going in for an endoscopy in a couple of hours and I'm TERRIFIED</t>
        </is>
      </c>
      <c r="C10022" t="inlineStr">
        <is>
          <t>Since 4 months back I've been having dozens of medical procedures to figure out whats wrong with me, all from heart cath to spinal fluid tap but there's no procedure I've been so terrified of as a gastroscopy. 
I'm about to have mine in a couple of hours and I havent slept anything the previous night due to excessive anxiety and worrying. As I understand it, a gastroscopy is highly uncomfortable and triggers your gagreflexes constantly. One of the worst things I know is gagging, it's just highly anxiety inducing for me and I can't stand it.
There will be no sedation from what I understand, just local anasthesia of the throat. I don't think I can go through with this awake. Should I just cancel and move on with life?</t>
        </is>
      </c>
      <c r="D10022" t="n">
        <v>1</v>
      </c>
      <c r="E10022" t="n">
        <v>11</v>
      </c>
      <c r="F10022">
        <f>HYPERLINK("https://www.reddit.com/r/GERD/comments/i89qt1/going_in_for_an_endoscopy_in_a_couple_of_hours/")</f>
        <v/>
      </c>
      <c r="G10022" t="inlineStr">
        <is>
          <t>2020-08-12 00:59:58</t>
        </is>
      </c>
      <c r="H10022" t="inlineStr"/>
    </row>
    <row r="10023">
      <c r="A10023" t="inlineStr">
        <is>
          <t>i89rs3</t>
        </is>
      </c>
      <c r="B10023" t="inlineStr">
        <is>
          <t>Gerd or Functional Dyspepsia?</t>
        </is>
      </c>
      <c r="C10023" t="inlineStr">
        <is>
          <t>Was diagnosed years ago with chronic gastritis and GERD(10+ years) until recently my new GI says i have Functional Dyspepsia, i notice this disease is not well known by scientist and Drs so i dedice to begin a facebook group to talk and share about this, my GI doctor says that people suffering from chronic Gastritis/GERD they are really suffering for FD.
So if you are struggling with chronic gastritis/GERD and have no answers after a lot of results take a look for the group, im not selling anything, im just want to connect with other people suffering from this horrible disease.
[https://www.facebook.com/groups/336454410843254/](https://www.facebook.com/groups/336454410843254/)</t>
        </is>
      </c>
      <c r="D10023" t="n">
        <v>1</v>
      </c>
      <c r="E10023" t="n">
        <v>0</v>
      </c>
      <c r="F10023">
        <f>HYPERLINK("https://www.reddit.com/r/GERD/comments/i89rs3/gerd_or_functional_dyspepsia/")</f>
        <v/>
      </c>
      <c r="G10023" t="inlineStr">
        <is>
          <t>2020-08-12 01:02:16</t>
        </is>
      </c>
      <c r="H10023" t="inlineStr"/>
    </row>
    <row r="10024">
      <c r="A10024" t="inlineStr">
        <is>
          <t>i89v0b</t>
        </is>
      </c>
      <c r="B10024" t="inlineStr">
        <is>
          <t>is it normal ?</t>
        </is>
      </c>
      <c r="C10024" t="inlineStr">
        <is>
          <t>it seems i found the reason why i have GERD it’s cause of overeating and now i have some troubles.
till today i was eating every 2 hours (7-8 times per day)
and now i feel i should eat more often (more smaller portions 11-14 per day)
is it okay? kind of 11-14 times, holy moly</t>
        </is>
      </c>
      <c r="D10024" t="n">
        <v>1</v>
      </c>
      <c r="E10024" t="n">
        <v>0</v>
      </c>
      <c r="F10024">
        <f>HYPERLINK("https://www.reddit.com/r/GERD/comments/i89v0b/is_it_normal/")</f>
        <v/>
      </c>
      <c r="G10024" t="inlineStr">
        <is>
          <t>2020-08-12 01:10:16</t>
        </is>
      </c>
      <c r="H10024" t="inlineStr"/>
    </row>
    <row r="10025">
      <c r="A10025" t="inlineStr">
        <is>
          <t>i8aj02</t>
        </is>
      </c>
      <c r="B10025" t="inlineStr">
        <is>
          <t>Idk. Please help</t>
        </is>
      </c>
      <c r="C10025" t="inlineStr">
        <is>
          <t>Hi guys so ive been having this issue for 3 months. Stomach pain, nausea and what i detest the most.. CONTINUOUS burping. I get this pressure up the throat feeling every 5 to 10 mins and theres a need to burp it out.. Idk if it makes sense to you guys? If u do how did u get rid of it?</t>
        </is>
      </c>
      <c r="D10025" t="n">
        <v>1</v>
      </c>
      <c r="E10025" t="n">
        <v>9</v>
      </c>
      <c r="F10025">
        <f>HYPERLINK("https://www.reddit.com/r/GERD/comments/i8aj02/idk_please_help/")</f>
        <v/>
      </c>
      <c r="G10025" t="inlineStr">
        <is>
          <t>2020-08-12 02:14:26</t>
        </is>
      </c>
      <c r="H10025" t="inlineStr"/>
    </row>
    <row r="10026">
      <c r="A10026" t="inlineStr">
        <is>
          <t>i8bxr6</t>
        </is>
      </c>
      <c r="B10026" t="inlineStr">
        <is>
          <t>How exactly is GERD cured? And why is sputum white with bubbles?</t>
        </is>
      </c>
      <c r="C10026" t="inlineStr">
        <is>
          <t>I tried finding some information about this but I just keep getting vauge one or two liners. All the sites just say stuff like anti-acids and Proton Pump Inhibitors, or "lifestyle changes".
But from what information i can find, these dont actually cure GERD. They just help with the symptoms.
The main issue is that the valve to your esophagus is loose which is allowing reflux to come up right? So taking anti-acids or whatever should reduce reflux, but I dont see how this is going to solve the underlying issue.
Also about persistent coughing and white mucus with bubbles. I cannot find any information about this. My understanding is that the reflux is causing the coughing. So why is the mucus white with bubbles? What causes it? Is the sputum stomach acid or something else?</t>
        </is>
      </c>
      <c r="D10026" t="n">
        <v>1</v>
      </c>
      <c r="E10026" t="n">
        <v>6</v>
      </c>
      <c r="F10026">
        <f>HYPERLINK("https://www.reddit.com/r/GERD/comments/i8bxr6/how_exactly_is_gerd_cured_and_why_is_sputum_white/")</f>
        <v/>
      </c>
      <c r="G10026" t="inlineStr">
        <is>
          <t>2020-08-12 04:21:11</t>
        </is>
      </c>
      <c r="H10026" t="inlineStr"/>
    </row>
    <row r="10027">
      <c r="A10027" t="inlineStr">
        <is>
          <t>i8c7pn</t>
        </is>
      </c>
      <c r="B10027" t="inlineStr">
        <is>
          <t>bananas and gerd</t>
        </is>
      </c>
      <c r="C10027" t="inlineStr">
        <is>
          <t>do you have heartburn after banana ?</t>
        </is>
      </c>
      <c r="D10027" t="n">
        <v>1</v>
      </c>
      <c r="E10027" t="n">
        <v>8</v>
      </c>
      <c r="F10027">
        <f>HYPERLINK("https://www.reddit.com/r/GERD/comments/i8c7pn/bananas_and_gerd/")</f>
        <v/>
      </c>
      <c r="G10027" t="inlineStr">
        <is>
          <t>2020-08-12 04:43:04</t>
        </is>
      </c>
      <c r="H10027" t="inlineStr"/>
    </row>
    <row r="10028">
      <c r="A10028" t="inlineStr">
        <is>
          <t>i8cb46</t>
        </is>
      </c>
      <c r="B10028" t="inlineStr">
        <is>
          <t>Safflower oil?</t>
        </is>
      </c>
      <c r="C10028" t="inlineStr">
        <is>
          <t>I noticed that a couple of the products (besides the obvious ones) that irritate my heartburn have safflower oil in them, is it likely that I’m allergic to safflower oil and this is causing me some indigestion? Anyone else? I’m getting tested for food allergies soon so I’ll add this to the test list</t>
        </is>
      </c>
      <c r="D10028" t="n">
        <v>1</v>
      </c>
      <c r="E10028" t="n">
        <v>0</v>
      </c>
      <c r="F10028">
        <f>HYPERLINK("https://www.reddit.com/r/GERD/comments/i8cb46/safflower_oil/")</f>
        <v/>
      </c>
      <c r="G10028" t="inlineStr">
        <is>
          <t>2020-08-12 04:50:40</t>
        </is>
      </c>
      <c r="H10028" t="inlineStr"/>
    </row>
    <row r="10029">
      <c r="A10029" t="inlineStr">
        <is>
          <t>i8df4r</t>
        </is>
      </c>
      <c r="B10029" t="inlineStr">
        <is>
          <t>Remedies and complications</t>
        </is>
      </c>
      <c r="C10029" t="inlineStr">
        <is>
          <t>Any remedies for gerd and what are the complications</t>
        </is>
      </c>
      <c r="D10029" t="n">
        <v>1</v>
      </c>
      <c r="E10029" t="n">
        <v>2</v>
      </c>
      <c r="F10029">
        <f>HYPERLINK("https://www.reddit.com/r/GERD/comments/i8df4r/remedies_and_complications/")</f>
        <v/>
      </c>
      <c r="G10029" t="inlineStr">
        <is>
          <t>2020-08-12 06:07:58</t>
        </is>
      </c>
      <c r="H10029" t="inlineStr"/>
    </row>
    <row r="10030">
      <c r="A10030" t="inlineStr">
        <is>
          <t>i8dz14</t>
        </is>
      </c>
      <c r="B10030" t="inlineStr">
        <is>
          <t>Gerd</t>
        </is>
      </c>
      <c r="C10030" t="inlineStr">
        <is>
          <t>Does anyone ever wake up and spit out super thick mucus? It’s dark yellow/brown color and seems like it’s coming more from my sinuses not lungs.</t>
        </is>
      </c>
      <c r="D10030" t="n">
        <v>1</v>
      </c>
      <c r="E10030" t="n">
        <v>2</v>
      </c>
      <c r="F10030">
        <f>HYPERLINK("https://www.reddit.com/r/GERD/comments/i8dz14/gerd/")</f>
        <v/>
      </c>
      <c r="G10030" t="inlineStr">
        <is>
          <t>2020-08-12 06:43:23</t>
        </is>
      </c>
      <c r="H10030" t="inlineStr"/>
    </row>
    <row r="10031">
      <c r="A10031" t="inlineStr">
        <is>
          <t>i8ec8v</t>
        </is>
      </c>
      <c r="B10031" t="inlineStr">
        <is>
          <t>Constantly Swollen Abdomen</t>
        </is>
      </c>
      <c r="C10031" t="inlineStr">
        <is>
          <t xml:space="preserve"> I  am middle-aged and my difficulties began after the birth of my last  child. The pregnancy was difficult, and I had high blood pressure for  the first time which led to a c-section birth. I had suffered previous  miscarriages due to low progesterone. A year or so after giving birth, I  had my gallbladder removed, and was put on blood pressure medication  again shortly after the surgery. Then, after persistent digestive issues  post-surgery, I was diagnosed with gastroesophageal reflux disease. At  the time of diagnosis, my GI doctor noted bile pooling in my stomach  along with a small sliding hernia, but a second endoscopy did not show  any bile or hernia growth.
Since  that time, I have been prescribed h2 blockers and proton pump  inhibitors. I have just finished taking iron pills for iron deficiency  anemia. I have been tested for low thyroid and low b12, and neither were  issues. I am currently only on Labetalol and Pantoprazole. I have  problems with edema and soreness in my lower left leg, which my doctor  thought could be venous reflux or inflammation. I have undergone a  cardiac stress test successfully.
While  I am overweight, my stomach is constantly bloated, making me look as  though I am still pregnant. I've tried cutting out meat and dairy in the  past for months at a time, going fully plant-based, but this did not  help with inflammation, reflux, or bloating. I cannot eat onions,  tomatoes, high fat foods, garlic, or citrus, and some raw fruits and  vegetables give me immediate heartburn and stomach pain, even if they  are on the safe list for reflux, like bananas or oatmeal. I notice  reflux issues after some forms of exercise, like running, as well.
I  sleep upright due to the reflux and often have a dry, flaky, red rash  around my mouth and chin when I wake up. I also have an overall dry,  flaky scalp and face, no matter how often I moisturize or exfoliate.  Sometimes, after eating, I will feel congested, develop a cough, and  reflux soon follows. I've tried tracking my food intake, but cannot find  a pattern. There never seems to be any rhyme or reason to it. Sometimes  I'll have diarrhea after eating and, other times, I will be constipated  for several days. Sometimes, after eating, it feels like I have  breathing issues or a lump in my throat. I do have exercise-induced  asthma, and was on allergy shots several years ago, but I feel like  those issues are under control.
All of this is to say, I wish that I could find a treatment or some course of action that would relieve the symptoms that have plagued me for nearly thirteen years. Has anyone else experienced gerd post-childbirth or post-gallbladder removal?</t>
        </is>
      </c>
      <c r="D10031" t="n">
        <v>1</v>
      </c>
      <c r="E10031" t="n">
        <v>6</v>
      </c>
      <c r="F10031">
        <f>HYPERLINK("https://www.reddit.com/r/GERD/comments/i8ec8v/constantly_swollen_abdomen/")</f>
        <v/>
      </c>
      <c r="G10031" t="inlineStr">
        <is>
          <t>2020-08-12 07:06:01</t>
        </is>
      </c>
      <c r="H10031" t="inlineStr"/>
    </row>
    <row r="10032">
      <c r="A10032" t="inlineStr">
        <is>
          <t>i8edne</t>
        </is>
      </c>
      <c r="B10032" t="inlineStr">
        <is>
          <t>PPI side effects?</t>
        </is>
      </c>
      <c r="C10032" t="inlineStr">
        <is>
          <t>Doctor prescribed omeprazole for a few weeks to treat a new flareup of GERD probably caused by my diet and stress. It’s more of a nuisance than debilitating for me but it’s definitely a change. I’ve made dietary changes almost overnight and am taking H2 blockers that seem to help. However, I’m reading many things about PPIs that make me kinda scared to take them, even for just a couple of weeks. I hate being sick so that doesn’t help matters. Does anyone have an experience with PPIs enough to give some advice? I’d imagine it’s a popular drug for this sub. Thanks in advance!!!!</t>
        </is>
      </c>
      <c r="D10032" t="n">
        <v>1</v>
      </c>
      <c r="E10032" t="n">
        <v>8</v>
      </c>
      <c r="F10032">
        <f>HYPERLINK("https://www.reddit.com/r/GERD/comments/i8edne/ppi_side_effects/")</f>
        <v/>
      </c>
      <c r="G10032" t="inlineStr">
        <is>
          <t>2020-08-12 07:08:17</t>
        </is>
      </c>
      <c r="H10032" t="inlineStr"/>
    </row>
    <row r="10033">
      <c r="A10033" t="inlineStr">
        <is>
          <t>i8f5uc</t>
        </is>
      </c>
      <c r="B10033" t="inlineStr">
        <is>
          <t>Does anyone with LPR/reflux get a weird tightness/pulling/pain sensation in the tissue above your collar bone?</t>
        </is>
      </c>
      <c r="C10033" t="inlineStr">
        <is>
          <t>I've been getting a pulling sensation all down the left side of my neck and into the tissue around my collarbone whenever my reflux is bad. Does anyone else get this? I can't really find anything online about it as I'm not sure what to search</t>
        </is>
      </c>
      <c r="D10033" t="n">
        <v>1</v>
      </c>
      <c r="E10033" t="n">
        <v>7</v>
      </c>
      <c r="F10033">
        <f>HYPERLINK("https://www.reddit.com/r/GERD/comments/i8f5uc/does_anyone_with_lprreflux_get_a_weird/")</f>
        <v/>
      </c>
      <c r="G10033" t="inlineStr">
        <is>
          <t>2020-08-12 07:54:32</t>
        </is>
      </c>
      <c r="H10033" t="inlineStr"/>
    </row>
    <row r="10034">
      <c r="A10034" t="inlineStr">
        <is>
          <t>i8fh0l</t>
        </is>
      </c>
      <c r="B10034" t="inlineStr">
        <is>
          <t>Being hungry in middle of night any recommendations ?</t>
        </is>
      </c>
      <c r="C10034" t="inlineStr">
        <is>
          <t>Hi new to this group. Was diagnosed with mild gastritis and now GERD .  Just trying to make it through. I am on the bland diet. (6months now) and following the recommendations of sleeping with incline and not eating three hours before bed. My issue is I seem to wake up around three in the morning. My stomach needs something in it big time as I have nausea  So I have oatmeal in the middle of the night and it feels better. The problem is I wake up with reflux miserable in the morning . I can’t sit awake for three hours after the oatmeal. Any recommendations would be great. I feel like I am in a catch 22. Thanks.</t>
        </is>
      </c>
      <c r="D10034" t="n">
        <v>1</v>
      </c>
      <c r="E10034" t="n">
        <v>32</v>
      </c>
      <c r="F10034">
        <f>HYPERLINK("https://www.reddit.com/r/GERD/comments/i8fh0l/being_hungry_in_middle_of_night_any/")</f>
        <v/>
      </c>
      <c r="G10034" t="inlineStr">
        <is>
          <t>2020-08-12 08:12:00</t>
        </is>
      </c>
      <c r="H10034" t="inlineStr"/>
    </row>
    <row r="10035">
      <c r="A10035" t="inlineStr">
        <is>
          <t>i8gnu2</t>
        </is>
      </c>
      <c r="B10035" t="inlineStr">
        <is>
          <t>Right shoulder blade tightness and right shoulder aches? Anyone relate?</t>
        </is>
      </c>
      <c r="C10035" t="inlineStr">
        <is>
          <t>Constant tightness in my right shoulder blade that sometimes burns my right shoulder.
Occasional tightness in my upper right abdomen or it’ll ache if I turn my body to the right. 
Anyone relate? What could it be or what helped?
Last month I had globus sensation and throat tightening. That’s gone now!</t>
        </is>
      </c>
      <c r="D10035" t="n">
        <v>1</v>
      </c>
      <c r="E10035" t="n">
        <v>18</v>
      </c>
      <c r="F10035">
        <f>HYPERLINK("https://www.reddit.com/r/GERD/comments/i8gnu2/right_shoulder_blade_tightness_and_right_shoulder/")</f>
        <v/>
      </c>
      <c r="G10035" t="inlineStr">
        <is>
          <t>2020-08-12 09:16:47</t>
        </is>
      </c>
      <c r="H10035" t="inlineStr"/>
    </row>
    <row r="10036">
      <c r="A10036" t="inlineStr">
        <is>
          <t>i8h8pz</t>
        </is>
      </c>
      <c r="B10036" t="inlineStr">
        <is>
          <t>Arm pains and muscle soreness</t>
        </is>
      </c>
      <c r="C10036" t="inlineStr">
        <is>
          <t>Ive been on Omep about a week now and my limbs will start to feel sore for no reason, ill get small muscle spasms throughout the day as well. Sometimes my arms,neck or shoulder will start hurting for seemingly no reason, any ideas?</t>
        </is>
      </c>
      <c r="D10036" t="n">
        <v>1</v>
      </c>
      <c r="E10036" t="n">
        <v>7</v>
      </c>
      <c r="F10036">
        <f>HYPERLINK("https://www.reddit.com/r/GERD/comments/i8h8pz/arm_pains_and_muscle_soreness/")</f>
        <v/>
      </c>
      <c r="G10036" t="inlineStr">
        <is>
          <t>2020-08-12 09:47:35</t>
        </is>
      </c>
      <c r="H10036" t="inlineStr"/>
    </row>
    <row r="10037">
      <c r="A10037" t="inlineStr">
        <is>
          <t>i8iips</t>
        </is>
      </c>
      <c r="B10037" t="inlineStr">
        <is>
          <t>Tapering off PPI</t>
        </is>
      </c>
      <c r="C10037" t="inlineStr">
        <is>
          <t>I took omeprazole 40mg/day for 3 weeks. Do i need to taper after this short duration?</t>
        </is>
      </c>
      <c r="D10037" t="n">
        <v>1</v>
      </c>
      <c r="E10037" t="n">
        <v>1</v>
      </c>
      <c r="F10037">
        <f>HYPERLINK("https://www.reddit.com/r/GERD/comments/i8iips/tapering_off_ppi/")</f>
        <v/>
      </c>
      <c r="G10037" t="inlineStr">
        <is>
          <t>2020-08-12 10:53:39</t>
        </is>
      </c>
      <c r="H10037" t="inlineStr"/>
    </row>
    <row r="10038">
      <c r="A10038" t="inlineStr">
        <is>
          <t>i8inrt</t>
        </is>
      </c>
      <c r="B10038" t="inlineStr">
        <is>
          <t>Not Feeling "Full" From Eating Anymore?</t>
        </is>
      </c>
      <c r="C10038" t="inlineStr">
        <is>
          <t>One symptom I've noticed since developing GERD last year is that I never feel full anymore from food. Before GERD, I used to get a distinct full feeling in my chest when I couldn't eat anymore. But now that feeling is completely gone, and I think it's even led to me eating more than I need to and triggering reflux because my body isn't sending me a signal to stop.
Has anyone else felt this way? I've tried to limit myself to smaller portions, but it's hard to know how much is too much sometimes.</t>
        </is>
      </c>
      <c r="D10038" t="n">
        <v>1</v>
      </c>
      <c r="E10038" t="n">
        <v>4</v>
      </c>
      <c r="F10038">
        <f>HYPERLINK("https://www.reddit.com/r/GERD/comments/i8inrt/not_feeling_full_from_eating_anymore/")</f>
        <v/>
      </c>
      <c r="G10038" t="inlineStr">
        <is>
          <t>2020-08-12 11:01:09</t>
        </is>
      </c>
      <c r="H10038" t="inlineStr"/>
    </row>
    <row r="10039">
      <c r="A10039" t="inlineStr">
        <is>
          <t>i8khep</t>
        </is>
      </c>
      <c r="B10039" t="inlineStr">
        <is>
          <t>24 hr ph monitoring test</t>
        </is>
      </c>
      <c r="C10039" t="inlineStr">
        <is>
          <t>For this test I have to stop my meds 7 days before hand and I'm petrified to do so. I feel terrible with 40mg of omeprazole twice a day and zofran every 8 hours. 
How did you do during this time? What did you do to help acid reflux and nausea?</t>
        </is>
      </c>
      <c r="D10039" t="n">
        <v>1</v>
      </c>
      <c r="E10039" t="n">
        <v>3</v>
      </c>
      <c r="F10039">
        <f>HYPERLINK("https://www.reddit.com/r/GERD/comments/i8khep/24_hr_ph_monitoring_test/")</f>
        <v/>
      </c>
      <c r="G10039" t="inlineStr">
        <is>
          <t>2020-08-12 12:34:54</t>
        </is>
      </c>
      <c r="H10039" t="inlineStr"/>
    </row>
    <row r="10040">
      <c r="A10040" t="inlineStr">
        <is>
          <t>i8lg6i</t>
        </is>
      </c>
      <c r="B10040" t="inlineStr">
        <is>
          <t>is Acid Reflux and GERD the same thing? how do i differentiate the two?</t>
        </is>
      </c>
      <c r="C10040" t="inlineStr">
        <is>
          <t>19 Male fairly healthy 136 Lbs 5’8. so for a couple months now i’ve been having this feeling in my throat and i didn’t think anything of it and, like a month and a half ago i went to the doctor because i got tired of the feeling and they tested me for strep i came back positive somehow even though i had no symptoms of it, took my antibiotics and didn’t really help but now i had a video call appointment with an ent doctor and i showed her what was wrong and she said it’s most likely acid reflux considering where i pointed the right side of my throat and i’ve looked up the symptoms and i’ve had mild heartburn recently and not sure what to do, can anyone help? i eat fried chicken alot and alot of things that would trigger it but it hasn’t affected me that much, how do i know for certain if it’s mild acid reflux or GERD?</t>
        </is>
      </c>
      <c r="D10040" t="n">
        <v>1</v>
      </c>
      <c r="E10040" t="n">
        <v>9</v>
      </c>
      <c r="F10040">
        <f>HYPERLINK("https://www.reddit.com/r/GERD/comments/i8lg6i/is_acid_reflux_and_gerd_the_same_thing_how_do_i/")</f>
        <v/>
      </c>
      <c r="G10040" t="inlineStr">
        <is>
          <t>2020-08-12 13:25:00</t>
        </is>
      </c>
      <c r="H10040" t="inlineStr"/>
    </row>
    <row r="10041">
      <c r="A10041" t="inlineStr">
        <is>
          <t>i8mndg</t>
        </is>
      </c>
      <c r="B10041" t="inlineStr">
        <is>
          <t>Do healthy fats cause flareups</t>
        </is>
      </c>
      <c r="C10041" t="inlineStr">
        <is>
          <t>So i heard that fatty foods can make your stomach acid worse, like pizza and fast food and such. I never eat this stuff anyway but I was wondering if healthy fats from nuts or eggs also make your stomach acid worse?</t>
        </is>
      </c>
      <c r="D10041" t="n">
        <v>1</v>
      </c>
      <c r="E10041" t="n">
        <v>6</v>
      </c>
      <c r="F10041">
        <f>HYPERLINK("https://www.reddit.com/r/GERD/comments/i8mndg/do_healthy_fats_cause_flareups/")</f>
        <v/>
      </c>
      <c r="G10041" t="inlineStr">
        <is>
          <t>2020-08-12 14:27:16</t>
        </is>
      </c>
      <c r="H10041" t="inlineStr"/>
    </row>
    <row r="10042">
      <c r="A10042" t="inlineStr">
        <is>
          <t>i8nsme</t>
        </is>
      </c>
      <c r="B10042" t="inlineStr">
        <is>
          <t>Dry pit feeling in chest!</t>
        </is>
      </c>
      <c r="C10042" t="inlineStr">
        <is>
          <t>Last night I drank and then I smoked and then I hooked up with someone. Basically a recipe for dry insides. I woke up this morning with a pit feeling in my chest kind of like a fist feeling in the center and then my throat has been feeling like there’s something stuck in it, even though there isn’t. I assume this is just from the recipe of last night. Any tips to get rid of it? I’ve tried gas chewables and tums but they haven’t done anything.</t>
        </is>
      </c>
      <c r="D10042" t="n">
        <v>1</v>
      </c>
      <c r="E10042" t="n">
        <v>0</v>
      </c>
      <c r="F10042">
        <f>HYPERLINK("https://www.reddit.com/r/GERD/comments/i8nsme/dry_pit_feeling_in_chest/")</f>
        <v/>
      </c>
      <c r="G10042" t="inlineStr">
        <is>
          <t>2020-08-12 15:30:25</t>
        </is>
      </c>
      <c r="H10042" t="inlineStr"/>
    </row>
    <row r="10043">
      <c r="A10043" t="inlineStr">
        <is>
          <t>i8ojn1</t>
        </is>
      </c>
      <c r="B10043" t="inlineStr">
        <is>
          <t>Having problems still after about 7 months of hell with Acid Reflux/GERD</t>
        </is>
      </c>
      <c r="C10043" t="inlineStr">
        <is>
          <t>Ever since the pandemic started my general and health anxieties were shot through the roof casing my current problems.  
I was literally burning up for 3 months straight even had to go to the  ER twice with the pain. The pain was so bad a couple of those times and I was burning in my chest so bad I thought it was a heart attack.  It would radiate from my abdomen up into my pectoral area.. But now it has somewhat kind of simmered down some, I have some days with some burning but ever since the simmering down has started at first I had a taste in the back of my throat that was like rotten and bitter,  a few weeks after that I started to get really sour tastes in the back of my mouth.  
And of course through all of this I had some coughing too and sometimes when I cough now I get that rotten taste to come up from what feels like somewhere in my esophagus.  I was tried on PPIs (Again)  both omeprazole and pantoprazole plus some other medicine I have never heard before but it didn't help much Sucralfate.
I did get to see a GI doctor despite not having any insurance, he has not charged me for copays yet but have given me the prazoles to try.   I have even told him about the constant sore throat feeling but it comes from right under the back of my jaw like a ring to the front of my neck feel like a line of pain there.  A little more story too I got a endoscopy done as well back in the end of June and he found nothing wrong in my esophagus or stomach like no damage at all and biopsies he took also came back clear.
So I can't quite understand what is still going on wrong with me.  Also I apologize for a jumbled up story my mind has been literally out of wack but not crazy or anything for months because everything I have been through.  Anyway someday it still feels like my entire esophagus is damaged and ravaged but again the GI doctor saw no damage.  I'm also having some severe dry mouth from it as well and the meds I take for anxiety and depression surely do not help with saliva production neither.  
The GI doctor said that if what he is having me do now which is take one omeprazole in the morning and another at night does not clear this up.  I may have to have surgery on my stomach...
Basically is there anyone who can tell me if they have also gone through this with what I am going through for any help to lift some weights off my mind so I don't keep thinking this isn't some serious illness that is killing me slowly.</t>
        </is>
      </c>
      <c r="D10043" t="n">
        <v>1</v>
      </c>
      <c r="E10043" t="n">
        <v>9</v>
      </c>
      <c r="F10043">
        <f>HYPERLINK("https://www.reddit.com/r/GERD/comments/i8ojn1/having_problems_still_after_about_7_months_of/")</f>
        <v/>
      </c>
      <c r="G10043" t="inlineStr">
        <is>
          <t>2020-08-12 16:13:34</t>
        </is>
      </c>
      <c r="H10043" t="inlineStr"/>
    </row>
    <row r="10044">
      <c r="A10044" t="inlineStr">
        <is>
          <t>i8op29</t>
        </is>
      </c>
      <c r="B10044" t="inlineStr">
        <is>
          <t>Recipes that aren't boring?</t>
        </is>
      </c>
      <c r="C10044" t="inlineStr">
        <is>
          <t>I'm really struggling with sticking to gerd-friendly foods. I love to cook and try new flavors, so to say sticking to this ultra-bland regime is a struggle for me is an understatement. When I search online for gerd-friendly recipes they are not gerd-friendly AT ALL or really boring meals that I'm already struggling to force myself to eat (aka baked chicken and roasted vegetables). If anyone knows of an online source or cookbook with lots of recipes I'd love to hear about it! I'm not looking to do anything super strict like the acid watcher's diet, I just need a little bit of variety.</t>
        </is>
      </c>
      <c r="D10044" t="n">
        <v>1</v>
      </c>
      <c r="E10044" t="n">
        <v>3</v>
      </c>
      <c r="F10044">
        <f>HYPERLINK("https://www.reddit.com/r/GERD/comments/i8op29/recipes_that_arent_boring/")</f>
        <v/>
      </c>
      <c r="G10044" t="inlineStr">
        <is>
          <t>2020-08-12 16:22:27</t>
        </is>
      </c>
      <c r="H10044" t="inlineStr"/>
    </row>
    <row r="10045">
      <c r="A10045" t="inlineStr">
        <is>
          <t>i8p1r5</t>
        </is>
      </c>
      <c r="B10045" t="inlineStr">
        <is>
          <t>How long does ppi rebound usually last?</t>
        </is>
      </c>
      <c r="C10045" t="inlineStr">
        <is>
          <t>I have an endoscopy with Bravo pH on Monday and for the bravo, I needed to stop ppi's for seven days before.  I stopped last Friday and just curious about the rebound effect.  I have Lpr and am trying to figure out if what I am feeling past few days (sore throat and chest tightness is worse than normal) is still just rebound or actually not having the ppi's to reduce the stomach acid. I am taking famotidine in its place until Friday when I have to stop those too.  The weekend should be fun....</t>
        </is>
      </c>
      <c r="D10045" t="n">
        <v>1</v>
      </c>
      <c r="E10045" t="n">
        <v>3</v>
      </c>
      <c r="F10045">
        <f>HYPERLINK("https://www.reddit.com/r/GERD/comments/i8p1r5/how_long_does_ppi_rebound_usually_last/")</f>
        <v/>
      </c>
      <c r="G10045" t="inlineStr">
        <is>
          <t>2020-08-12 16:43:21</t>
        </is>
      </c>
      <c r="H10045" t="inlineStr"/>
    </row>
    <row r="10046">
      <c r="A10046" t="inlineStr">
        <is>
          <t>i8pbl9</t>
        </is>
      </c>
      <c r="B10046" t="inlineStr">
        <is>
          <t>diagnosed with helicobacter pylori at 15</t>
        </is>
      </c>
      <c r="C10046" t="inlineStr">
        <is>
          <t>i’ve been diagnosed since one week and so far i’m not nervous at all since i’ll go to the doctor to treat myself on friday. then curiosity killed me and i started googling this virus. i’m really scared because i’m only 15 and i’ve read that if untreated it can cause stomach ulcers and stomach chancer and i’ve had the simptoms for like two months but i’ve never actually done a test because my parents didn’t believe me. i’ve also read stories of people who don’t recover and have to live with it. i’m super worried and i can’t stop thinking about it and it’s making me feel worse. sorry if it doesn’t fit the sub i just wanted to let things out</t>
        </is>
      </c>
      <c r="D10046" t="n">
        <v>1</v>
      </c>
      <c r="E10046" t="n">
        <v>5</v>
      </c>
      <c r="F10046">
        <f>HYPERLINK("https://www.reddit.com/r/GERD/comments/i8pbl9/diagnosed_with_helicobacter_pylori_at_15/")</f>
        <v/>
      </c>
      <c r="G10046" t="inlineStr">
        <is>
          <t>2020-08-12 17:00:07</t>
        </is>
      </c>
      <c r="H10046" t="inlineStr"/>
    </row>
    <row r="10047">
      <c r="A10047" t="inlineStr">
        <is>
          <t>i8pep7</t>
        </is>
      </c>
      <c r="B10047" t="inlineStr">
        <is>
          <t>Right chest about an hour after eating. Goes away after drinking apple cider....</t>
        </is>
      </c>
      <c r="C10047" t="inlineStr">
        <is>
          <t>How does your heartburn feel like. I always read that it feels like a acidic or heart burn feeling in your chest. Mine doesn’t feel like that . I feel chest tightness and pressure and sometimes stabbing pain after eating or before bed. I’ve had this symptom before a few weeks ago and anything heart related was ruled out.</t>
        </is>
      </c>
      <c r="D10047" t="n">
        <v>1</v>
      </c>
      <c r="E10047" t="n">
        <v>0</v>
      </c>
      <c r="F10047">
        <f>HYPERLINK("https://www.reddit.com/r/GERD/comments/i8pep7/right_chest_about_an_hour_after_eating_goes_away/")</f>
        <v/>
      </c>
      <c r="G10047" t="inlineStr">
        <is>
          <t>2020-08-12 17:04:59</t>
        </is>
      </c>
      <c r="H10047" t="inlineStr"/>
    </row>
    <row r="10048">
      <c r="A10048" t="inlineStr">
        <is>
          <t>i8pn2y</t>
        </is>
      </c>
      <c r="B10048" t="inlineStr">
        <is>
          <t>GERD</t>
        </is>
      </c>
      <c r="C10048" t="inlineStr">
        <is>
          <t>Can GERD cause inflammation in the breast ?</t>
        </is>
      </c>
      <c r="D10048" t="n">
        <v>1</v>
      </c>
      <c r="E10048" t="n">
        <v>3</v>
      </c>
      <c r="F10048">
        <f>HYPERLINK("https://www.reddit.com/r/GERD/comments/i8pn2y/gerd/")</f>
        <v/>
      </c>
      <c r="G10048" t="inlineStr">
        <is>
          <t>2020-08-12 17:19:32</t>
        </is>
      </c>
      <c r="H10048" t="inlineStr"/>
    </row>
    <row r="10049">
      <c r="A10049" t="inlineStr">
        <is>
          <t>i8pozn</t>
        </is>
      </c>
      <c r="B10049" t="inlineStr">
        <is>
          <t>can't go poo any suggestions?</t>
        </is>
      </c>
      <c r="C10049" t="inlineStr">
        <is>
          <t>I've been having this problem off and on and its driving me crazy and trying solve this without going to my G.I. doctor that cost money .Does anybody have anybody have anything I do that would help me ?</t>
        </is>
      </c>
      <c r="D10049" t="n">
        <v>1</v>
      </c>
      <c r="E10049" t="n">
        <v>3</v>
      </c>
      <c r="F10049">
        <f>HYPERLINK("https://www.reddit.com/r/GERD/comments/i8pozn/cant_go_poo_any_suggestions/")</f>
        <v/>
      </c>
      <c r="G10049" t="inlineStr">
        <is>
          <t>2020-08-12 17:22:48</t>
        </is>
      </c>
      <c r="H10049" t="inlineStr"/>
    </row>
    <row r="10050">
      <c r="A10050" t="inlineStr">
        <is>
          <t>i8prtd</t>
        </is>
      </c>
      <c r="B10050" t="inlineStr">
        <is>
          <t>Nasal Congestion and GERD</t>
        </is>
      </c>
      <c r="C10050" t="inlineStr">
        <is>
          <t>I don't know whether it's the placebo effect but I'm convinced my chronic nasal congestion is worse when my GERD is bad. Does anybody else here get chronic nasal congestion too?
Mine has been diagnosed as non allergic rhinitis but I feel like that's a catch all diagnosis for nasal symptoms they can't explain.</t>
        </is>
      </c>
      <c r="D10050" t="n">
        <v>1</v>
      </c>
      <c r="E10050" t="n">
        <v>6</v>
      </c>
      <c r="F10050">
        <f>HYPERLINK("https://www.reddit.com/r/GERD/comments/i8prtd/nasal_congestion_and_gerd/")</f>
        <v/>
      </c>
      <c r="G10050" t="inlineStr">
        <is>
          <t>2020-08-12 17:27:50</t>
        </is>
      </c>
      <c r="H10050" t="inlineStr"/>
    </row>
    <row r="10051">
      <c r="A10051" t="inlineStr">
        <is>
          <t>i8q67p</t>
        </is>
      </c>
      <c r="B10051" t="inlineStr">
        <is>
          <t>SWE/data scientists/tech ppl w gerd or lpr</t>
        </is>
      </c>
      <c r="C10051" t="inlineStr">
        <is>
          <t>Hello long time sufferer first time poster, Ive had gerd for the past four years and recently its turned into lpr. Had to give up med school, and wanted to switch to software engineering but as I'm doing leetcode problems and reading about lifestyle it seems like this is a highly stressful field as well. I wanted to know if there are any current software engineers here or data scientists, and if so how do yall manage what reflux issues. Also what kinds of job r you in (like government or big-N) &amp;amp;&amp;amp; do you have plans of switching.
&amp;amp;#x200B;
Thanks, Im really stressed out trying to figure out if this is the right path for me since I've spent the last few months teaching myself to code but my symptoms have been flaring up trying to solve data structure Q's.</t>
        </is>
      </c>
      <c r="D10051" t="n">
        <v>1</v>
      </c>
      <c r="E10051" t="n">
        <v>0</v>
      </c>
      <c r="F10051">
        <f>HYPERLINK("https://www.reddit.com/r/GERD/comments/i8q67p/swedata_scientiststech_ppl_w_gerd_or_lpr/")</f>
        <v/>
      </c>
      <c r="G10051" t="inlineStr">
        <is>
          <t>2020-08-12 17:52:50</t>
        </is>
      </c>
      <c r="H10051" t="inlineStr"/>
    </row>
    <row r="10052">
      <c r="A10052" t="inlineStr">
        <is>
          <t>i8qboy</t>
        </is>
      </c>
      <c r="B10052" t="inlineStr">
        <is>
          <t>Why exactly does GERD make you short of breath?</t>
        </is>
      </c>
      <c r="C10052" t="inlineStr">
        <is>
          <t>So many of us here suffer reflux shortness of breath. I wonder what the actual mechanic is that makes reflux cause shortness of breath. Acid in the lungs? Thats a long was to travel from the stomach, up the esophagus and back down the trachea</t>
        </is>
      </c>
      <c r="D10052" t="n">
        <v>1</v>
      </c>
      <c r="E10052" t="n">
        <v>20</v>
      </c>
      <c r="F10052">
        <f>HYPERLINK("https://www.reddit.com/r/GERD/comments/i8qboy/why_exactly_does_gerd_make_you_short_of_breath/")</f>
        <v/>
      </c>
      <c r="G10052" t="inlineStr">
        <is>
          <t>2020-08-12 18:02:25</t>
        </is>
      </c>
      <c r="H10052" t="inlineStr"/>
    </row>
    <row r="10053">
      <c r="A10053" t="inlineStr">
        <is>
          <t>i8qd2w</t>
        </is>
      </c>
      <c r="B10053" t="inlineStr">
        <is>
          <t>Hard stomach</t>
        </is>
      </c>
      <c r="C10053" t="inlineStr">
        <is>
          <t>Hi I just found this sub! I didn’t know gerd was so common. 
A while ago, I think 2 weeks but I can’t be sure because time is warped in quarantine, my stomach started feeling unnaturally tight. My upper abdomen was especially bulgy and I noticed that my body didn’t “use up” the food as quickly as before. This I know because of weighing myself. 
I figured it was gastritis from the symptoms that was probably caused by acid reflux. I took antacids and it got better. However I’m still not able to lower back to my normal weight (I did start eating less) and my stomach is occasionally hard and tight again. 
Has anyone else experienced this? I really want to know how to fix this.</t>
        </is>
      </c>
      <c r="D10053" t="n">
        <v>1</v>
      </c>
      <c r="E10053" t="n">
        <v>3</v>
      </c>
      <c r="F10053">
        <f>HYPERLINK("https://www.reddit.com/r/GERD/comments/i8qd2w/hard_stomach/")</f>
        <v/>
      </c>
      <c r="G10053" t="inlineStr">
        <is>
          <t>2020-08-12 18:04:50</t>
        </is>
      </c>
      <c r="H10053" t="inlineStr"/>
    </row>
    <row r="10054">
      <c r="A10054" t="inlineStr">
        <is>
          <t>i8rk0h</t>
        </is>
      </c>
      <c r="B10054" t="inlineStr">
        <is>
          <t>Will shortness of breath caused by severe acid reflux eventually go away?</t>
        </is>
      </c>
      <c r="C10054" t="inlineStr">
        <is>
          <t>I can't take PPIs because I'm in protracted benzo withdrawal.
I have to avoid anything that can affect my gaba receptors for years, even at 14 months I'm still slowly healing.
I woke up one night with a SEVERE case of acid reflux, I woke up puking bile and my throating burning. I was mostly ok a few hours later.
A few days after I started feeling short of breath, I thought it might be C-ovid but it could have been this too. 
I don't eat anything for 6+ hours before bed now, I haven't had heart burn since really.</t>
        </is>
      </c>
      <c r="D10054" t="n">
        <v>1</v>
      </c>
      <c r="E10054" t="n">
        <v>2</v>
      </c>
      <c r="F10054">
        <f>HYPERLINK("https://www.reddit.com/r/GERD/comments/i8rk0h/will_shortness_of_breath_caused_by_severe_acid/")</f>
        <v/>
      </c>
      <c r="G10054" t="inlineStr">
        <is>
          <t>2020-08-12 19:22:33</t>
        </is>
      </c>
      <c r="H10054" t="inlineStr"/>
    </row>
    <row r="10055">
      <c r="A10055" t="inlineStr">
        <is>
          <t>i8rmda</t>
        </is>
      </c>
      <c r="B10055" t="inlineStr">
        <is>
          <t>Anyone constantly swallowing or clearing their throat thinking phlegm something is stuck in their throat? Could this be a symptom of GERD?</t>
        </is>
      </c>
      <c r="C10055" t="inlineStr">
        <is>
          <t>It’s not a sore throat because I’ve been having this for like 4 days or so now and if it was I would of woke up with a sore throat from it already. But it’s like spit is in my throat and it won’t go up or down so it causes me to keep swallowing or clear my throat. Sometimes I get actual heart burn where my throat burns or in my chest but lately since this has been happening I haven’t had any actual common heart burn symptoms. Could it be like a silent form of GERD? Or would this be more like mucus and non GERD related?</t>
        </is>
      </c>
      <c r="D10055" t="n">
        <v>1</v>
      </c>
      <c r="E10055" t="n">
        <v>6</v>
      </c>
      <c r="F10055">
        <f>HYPERLINK("https://www.reddit.com/r/GERD/comments/i8rmda/anyone_constantly_swallowing_or_clearing_their/")</f>
        <v/>
      </c>
      <c r="G10055" t="inlineStr">
        <is>
          <t>2020-08-12 19:27:00</t>
        </is>
      </c>
      <c r="H10055" t="inlineStr"/>
    </row>
    <row r="10056">
      <c r="A10056" t="inlineStr">
        <is>
          <t>i8rp18</t>
        </is>
      </c>
      <c r="B10056" t="inlineStr">
        <is>
          <t>GERD, Likely caused by Antibiotics</t>
        </is>
      </c>
      <c r="C10056" t="inlineStr">
        <is>
          <t>About a month and a half ago, I noticed a sore throat. To treat the sore throat I was prescribed several rounds of different antibiotics. Specifically Amoxicillin (Twice a day for 10 days), then a Z-Pack (Azitromax, 6 pills over 5 days). Then I was prescribed Methlyprednisone for six days, but I stopped after the first day cause of a rapid heart beat.
Shortly after that the sore throat subsided but then I experienced very bad acid reflux. Throwing up nearly everything I ate, pretty bad chest pains, and brain fog. Recently the chest pain has improved and the brain fog is gone, but the reflux is still there.
My best guess is that taking so many anti-biotics killed the good bacteria in my gut and caused digestive problems.
I am now taking probiotic supplements and drinking a good amount of Kombucha in addition to eating greek yogurt to supply my body with probiotics. The Kombucha feels like it helps, and the yogurt is one of the only foods my body seems to tolerate. I can't say for sure if the supplements are helping. I tried saurkraut and kimchi but my stomach rejected them.
I am also on my 4th day of taking a Proton Pump Inhibitor called Omeprozale (basically Prilosec). It hasn't slowed down the reflux, but it has made it less acidic, which has been easier on my esophagus. These have also caused constipation. I assume the lack of stomach acid is interfering with digestion. Also give me night sweats. My plan is to take it for 14 days to give my esophagus time to heal, then hopefully my stomach will improve by then. I really don't want to be on PPIs long term, honestly I'm worried about what 10 more days will do.
I'm 30 years old, live a healthy lifestyle, exercise regularly, eat a mostly vegetarian diet with lots of fruits and vegetables. I find that if I stick to my normal diet my symptoms are minimized, if I don't eat clean or eat anything out of my normal routine, I throw it up immediately.
If anyone has gone through anything similar (specifically damage caused by antibiotics) could you please tell me how long it took to repair the stomach and what worked for you? Also curious to know about people's experience with PPIs. Since pills got me into this mess, I'm worried about taking more pills. 
Thank You!</t>
        </is>
      </c>
      <c r="D10056" t="n">
        <v>1</v>
      </c>
      <c r="E10056" t="n">
        <v>14</v>
      </c>
      <c r="F10056">
        <f>HYPERLINK("https://www.reddit.com/r/GERD/comments/i8rp18/gerd_likely_caused_by_antibiotics/")</f>
        <v/>
      </c>
      <c r="G10056" t="inlineStr">
        <is>
          <t>2020-08-12 19:32:09</t>
        </is>
      </c>
      <c r="H10056" t="inlineStr"/>
    </row>
    <row r="10057">
      <c r="A10057" t="inlineStr">
        <is>
          <t>i8smsa</t>
        </is>
      </c>
      <c r="B10057" t="inlineStr">
        <is>
          <t>Does anyone else suddenly get an excess production of saliva?</t>
        </is>
      </c>
      <c r="C10057" t="inlineStr">
        <is>
          <t>For the past week or so, my mouth just produce an excess amount of saliva out of no where, and it's always at night. It'll last for a few hours and I constantly have to spit it out. It would fill up my mouth in minutes and I just spit it out. Also, I've been burping a lot and my mom told me it was stomach acid and had me take Tums and pepsid. Even with it, there's still so much saliva.</t>
        </is>
      </c>
      <c r="D10057" t="n">
        <v>1</v>
      </c>
      <c r="E10057" t="n">
        <v>13</v>
      </c>
      <c r="F10057">
        <f>HYPERLINK("https://www.reddit.com/r/GERD/comments/i8smsa/does_anyone_else_suddenly_get_an_excess/")</f>
        <v/>
      </c>
      <c r="G10057" t="inlineStr">
        <is>
          <t>2020-08-12 20:34:26</t>
        </is>
      </c>
      <c r="H10057" t="inlineStr"/>
    </row>
    <row r="10058">
      <c r="A10058" t="inlineStr">
        <is>
          <t>i8wwy0</t>
        </is>
      </c>
      <c r="B10058" t="inlineStr">
        <is>
          <t>Excess Burping and D - Limonene</t>
        </is>
      </c>
      <c r="C10058" t="inlineStr">
        <is>
          <t>Hi guys, after reading the success stories attributed to D-limonene, I decided to place an order for it and it has arrived today.
1. I've read that some people take one every other day and some take one each day, which strategy is better?
2. At what point should I stop taking the D-limonene? I heard 3 weeks is a good cycle, can someone confirm this?
3. I've also read that the healing effects wear off after a couple of months, is this true? Is there anyone who managed to achieve LONG TERM relief from LPR using D-limonene?
4. For those of you who experienced LPR symptoms again after initial relief, did a second round of D-limonene work for you again?
My GI doctor diagnosed me with LPR after a laryngoscopy, despite my only symptoms being vocal related - my voice was trailing off and hoarser than usual. I do not have any symptoms of cough, sore throat and the other more common LPR symptoms. My GI said this is most likely due to excessive burping. Does anyone have specific tips on how to reduce burping after meals aside from diet control (which I am already doing)?
Unrelated, but also would like to hear about any d-limonene specific success stories, as well as any success stories from people who had similar symptoms to mine! I really need the encouragement :( Would be awesome if any of these success stories were long term!
Thanks so much in advance, and my utmost respect to y'all who go through this mysterious disease everyday!!</t>
        </is>
      </c>
      <c r="D10058" t="n">
        <v>1</v>
      </c>
      <c r="E10058" t="n">
        <v>0</v>
      </c>
      <c r="F10058">
        <f>HYPERLINK("https://www.reddit.com/r/GERD/comments/i8wwy0/excess_burping_and_d_limonene/")</f>
        <v/>
      </c>
      <c r="G10058" t="inlineStr">
        <is>
          <t>2020-08-13 02:38:24</t>
        </is>
      </c>
      <c r="H10058" t="inlineStr"/>
    </row>
    <row r="10059">
      <c r="A10059" t="inlineStr">
        <is>
          <t>i8yebw</t>
        </is>
      </c>
      <c r="B10059" t="inlineStr">
        <is>
          <t>Lpr sufferers</t>
        </is>
      </c>
      <c r="C10059" t="inlineStr">
        <is>
          <t>How long did your throat take to heal? I've been on a horribly bland diet for a week almost and my throats still killin me and this lump seems to never go away.. after your drastic changes how long till you could forget about the sore throat ?</t>
        </is>
      </c>
      <c r="D10059" t="n">
        <v>1</v>
      </c>
      <c r="E10059" t="n">
        <v>15</v>
      </c>
      <c r="F10059">
        <f>HYPERLINK("https://www.reddit.com/r/GERD/comments/i8yebw/lpr_sufferers/")</f>
        <v/>
      </c>
      <c r="G10059" t="inlineStr">
        <is>
          <t>2020-08-13 04:43:41</t>
        </is>
      </c>
      <c r="H10059" t="inlineStr"/>
    </row>
    <row r="10060">
      <c r="A10060" t="inlineStr">
        <is>
          <t>i8ygq3</t>
        </is>
      </c>
      <c r="B10060" t="inlineStr">
        <is>
          <t>Narrowed esophagus</t>
        </is>
      </c>
      <c r="C10060" t="inlineStr">
        <is>
          <t>What are the treatments for narrowed esophagus other than using a stent</t>
        </is>
      </c>
      <c r="D10060" t="n">
        <v>1</v>
      </c>
      <c r="E10060" t="n">
        <v>5</v>
      </c>
      <c r="F10060">
        <f>HYPERLINK("https://www.reddit.com/r/GERD/comments/i8ygq3/narrowed_esophagus/")</f>
        <v/>
      </c>
      <c r="G10060" t="inlineStr">
        <is>
          <t>2020-08-13 04:49:09</t>
        </is>
      </c>
      <c r="H10060" t="inlineStr"/>
    </row>
    <row r="10061">
      <c r="A10061" t="inlineStr">
        <is>
          <t>i909p6</t>
        </is>
      </c>
      <c r="B10061" t="inlineStr">
        <is>
          <t>Healing from acid injury to throat?</t>
        </is>
      </c>
      <c r="C10061" t="inlineStr">
        <is>
          <t>Just found this sub and I will try do a search - but sort of freaking out. Have had LPR for a few years, but never had any sort of major reflux / acid incident until 8 days ago. Out of the blue - totally shocking and unlike anything I have had before. Was in the middle of nowhere with nothing with me - not even water - and got hit with the worse burning painful throat reflux. Was like I had drank a bottle of Drain-O. Lasted for at least 45 mins to 1 hour. Thought that was the end of it, but my throat has hurt for over a week now and am wondering what sort of damage I have  and how long - if ever - it will take to heal. Is there something I can do to help it feel better or actually get better? No insurance, no doctors, no Medicaid, so it is all me by myself. Thanks.</t>
        </is>
      </c>
      <c r="D10061" t="n">
        <v>1</v>
      </c>
      <c r="E10061" t="n">
        <v>3</v>
      </c>
      <c r="F10061">
        <f>HYPERLINK("https://www.reddit.com/r/GERD/comments/i909p6/healing_from_acid_injury_to_throat/")</f>
        <v/>
      </c>
      <c r="G10061" t="inlineStr">
        <is>
          <t>2020-08-13 06:51:21</t>
        </is>
      </c>
      <c r="H10061" t="inlineStr"/>
    </row>
    <row r="10062">
      <c r="A10062" t="inlineStr">
        <is>
          <t>i90i9s</t>
        </is>
      </c>
      <c r="B10062" t="inlineStr">
        <is>
          <t>What am I experiencing: GERD, LPR, gastritis?</t>
        </is>
      </c>
      <c r="C10062" t="inlineStr">
        <is>
          <t>I have had some flare-ups in the past, where I'd get an acidic feeling in my stomach, but things started getting worse a month ago.
I'm belching constantly (I can't even determine my triggers, because it's constant), I've had heart palpitations, and I often get a tingly feeling on both sides of my neck along with pain in both ears, plus sinus pressure at my temples.
About a month ago, I ate extremely spicy food and orange juice, which I think is the hair that broke the camel's back. That same time, because of family issues, I was also experiencing extreme depression and anxiety. I tried taking Omeprazole, but that only made things worse, and made me feel like I had even more gas in my lungs? Only difference was that the "feeling" wasn't acidic.</t>
        </is>
      </c>
      <c r="D10062" t="n">
        <v>1</v>
      </c>
      <c r="E10062" t="n">
        <v>4</v>
      </c>
      <c r="F10062">
        <f>HYPERLINK("https://www.reddit.com/r/GERD/comments/i90i9s/what_am_i_experiencing_gerd_lpr_gastritis/")</f>
        <v/>
      </c>
      <c r="G10062" t="inlineStr">
        <is>
          <t>2020-08-13 07:05:45</t>
        </is>
      </c>
      <c r="H10062" t="inlineStr"/>
    </row>
    <row r="10063">
      <c r="A10063" t="inlineStr">
        <is>
          <t>i90lig</t>
        </is>
      </c>
      <c r="B10063" t="inlineStr">
        <is>
          <t>Chest is feeling terrible after being a total dummy</t>
        </is>
      </c>
      <c r="C10063" t="inlineStr">
        <is>
          <t>I was doing fine a few days ago with bouts of constipation and all. Mom let me try a detox routine lately and I don't know if it helped.
 Two days ago, I accidentally over-ate eggs ( i ate 4 i one day since i forgot i ate it earlier). The night came and i felt that dreaded sense of heaviness on my abdomen. 
I woke up very early the next norning with a heavy stomach, chest pain, and body aches. Some parts of the day I have a runny nose, and some i could taste mucus. I feel groggy all day and it hinders me to do work 
Do you guys think it because of the cholesterol? Or is the detox juice bad for me? What do you do with these flareups? I don't take ppis anymore because it makes me feel worse :(</t>
        </is>
      </c>
      <c r="D10063" t="n">
        <v>1</v>
      </c>
      <c r="E10063" t="n">
        <v>5</v>
      </c>
      <c r="F10063">
        <f>HYPERLINK("https://www.reddit.com/r/GERD/comments/i90lig/chest_is_feeling_terrible_after_being_a_total/")</f>
        <v/>
      </c>
      <c r="G10063" t="inlineStr">
        <is>
          <t>2020-08-13 07:10:58</t>
        </is>
      </c>
      <c r="H10063" t="inlineStr"/>
    </row>
    <row r="10064">
      <c r="A10064" t="inlineStr">
        <is>
          <t>i91igb</t>
        </is>
      </c>
      <c r="B10064" t="inlineStr">
        <is>
          <t>Question about Acid Rebound</t>
        </is>
      </c>
      <c r="C10064" t="inlineStr">
        <is>
          <t>I am on 20 mg Prilosec. I am having a difficult time. One doctor told me to take 40 mg, and another told me to take 20 mg twice a day.
However, I’m not sure I want to be on 40 mg long term if it’s not much better than 20 mg.
If I try 40 mg for 3 days to a week, will I get acid rebound returning to my normal dose?</t>
        </is>
      </c>
      <c r="D10064" t="n">
        <v>1</v>
      </c>
      <c r="E10064" t="n">
        <v>7</v>
      </c>
      <c r="F10064">
        <f>HYPERLINK("https://www.reddit.com/r/GERD/comments/i91igb/question_about_acid_rebound/")</f>
        <v/>
      </c>
      <c r="G10064" t="inlineStr">
        <is>
          <t>2020-08-13 08:05:03</t>
        </is>
      </c>
      <c r="H10064" t="inlineStr"/>
    </row>
    <row r="10065">
      <c r="A10065" t="inlineStr">
        <is>
          <t>i91nuk</t>
        </is>
      </c>
      <c r="B10065" t="inlineStr">
        <is>
          <t>Any recommendations for lpr doctors</t>
        </is>
      </c>
      <c r="C10065" t="inlineStr">
        <is>
          <t>Does anyone have good recommendations for doctors treating LPR/Gerd in the DMV area?</t>
        </is>
      </c>
      <c r="D10065" t="n">
        <v>1</v>
      </c>
      <c r="E10065" t="n">
        <v>3</v>
      </c>
      <c r="F10065">
        <f>HYPERLINK("https://www.reddit.com/r/GERD/comments/i91nuk/any_recommendations_for_lpr_doctors/")</f>
        <v/>
      </c>
      <c r="G10065" t="inlineStr">
        <is>
          <t>2020-08-13 08:13:03</t>
        </is>
      </c>
      <c r="H10065" t="inlineStr"/>
    </row>
    <row r="10066">
      <c r="A10066" t="inlineStr">
        <is>
          <t>i9299p</t>
        </is>
      </c>
      <c r="B10066" t="inlineStr">
        <is>
          <t>Pepcid dose</t>
        </is>
      </c>
      <c r="C10066" t="inlineStr">
        <is>
          <t>Hey, how do you guys dose Pepcid. Right now I’m at 40mg after dinner but I need relief during the day also... (PPIs give me bad side effects)</t>
        </is>
      </c>
      <c r="D10066" t="n">
        <v>1</v>
      </c>
      <c r="E10066" t="n">
        <v>5</v>
      </c>
      <c r="F10066">
        <f>HYPERLINK("https://www.reddit.com/r/GERD/comments/i9299p/pepcid_dose/")</f>
        <v/>
      </c>
      <c r="G10066" t="inlineStr">
        <is>
          <t>2020-08-13 08:45:01</t>
        </is>
      </c>
      <c r="H10066" t="inlineStr"/>
    </row>
    <row r="10067">
      <c r="A10067" t="inlineStr">
        <is>
          <t>i92vk0</t>
        </is>
      </c>
      <c r="B10067" t="inlineStr">
        <is>
          <t>Does water give anyone else heartburn?</t>
        </is>
      </c>
      <c r="C10067" t="inlineStr">
        <is>
          <t>Often, though not always, I'll get short-lived heartburn from drinking water. Does anyone else experience this?
I get upper abdominal pain that lasts 8+ hours every few months, which I've made previous posts about. I'm scheduled for an endoscopy after my gallbladder ultrasound showed nothing and after antibiotic treatment for H Pylori failed. So the water thing might be related? I should say when I get the stomach pain I don't have heartburn with it, it is a dull persistent pain not burning.</t>
        </is>
      </c>
      <c r="D10067" t="n">
        <v>1</v>
      </c>
      <c r="E10067" t="n">
        <v>1</v>
      </c>
      <c r="F10067">
        <f>HYPERLINK("https://www.reddit.com/r/GERD/comments/i92vk0/does_water_give_anyone_else_heartburn/")</f>
        <v/>
      </c>
      <c r="G10067" t="inlineStr">
        <is>
          <t>2020-08-13 09:17:25</t>
        </is>
      </c>
      <c r="H10067" t="inlineStr"/>
    </row>
    <row r="10068">
      <c r="A10068" t="inlineStr">
        <is>
          <t>i94g44</t>
        </is>
      </c>
      <c r="B10068" t="inlineStr">
        <is>
          <t>Are there any spices that are actually helpful for GERD? Ginger, turmeric?</t>
        </is>
      </c>
      <c r="C10068" t="inlineStr">
        <is>
          <t>I was looking at the recipe for a turmeric coconut milk stew and wondering if that type of spices would be helpful or harmful for the GERD. It has ginger coriander and turmeric which I had heard are anti inflammatory</t>
        </is>
      </c>
      <c r="D10068" t="n">
        <v>1</v>
      </c>
      <c r="E10068" t="n">
        <v>9</v>
      </c>
      <c r="F10068">
        <f>HYPERLINK("https://www.reddit.com/r/GERD/comments/i94g44/are_there_any_spices_that_are_actually_helpful/")</f>
        <v/>
      </c>
      <c r="G10068" t="inlineStr">
        <is>
          <t>2020-08-13 10:40:51</t>
        </is>
      </c>
      <c r="H10068" t="inlineStr"/>
    </row>
    <row r="10069">
      <c r="A10069" t="inlineStr">
        <is>
          <t>i94ki0</t>
        </is>
      </c>
      <c r="B10069" t="inlineStr">
        <is>
          <t>Diet change for acid reflux</t>
        </is>
      </c>
      <c r="C10069" t="inlineStr">
        <is>
          <t>How long did you notice positive results after changing your diet?</t>
        </is>
      </c>
      <c r="D10069" t="n">
        <v>1</v>
      </c>
      <c r="E10069" t="n">
        <v>15</v>
      </c>
      <c r="F10069">
        <f>HYPERLINK("https://www.reddit.com/r/GERD/comments/i94ki0/diet_change_for_acid_reflux/")</f>
        <v/>
      </c>
      <c r="G10069" t="inlineStr">
        <is>
          <t>2020-08-13 10:47:15</t>
        </is>
      </c>
      <c r="H10069" t="inlineStr"/>
    </row>
    <row r="10070">
      <c r="A10070" t="inlineStr">
        <is>
          <t>i94oub</t>
        </is>
      </c>
      <c r="B10070" t="inlineStr">
        <is>
          <t>Having a GERD attack any tips ?</t>
        </is>
      </c>
      <c r="C10070" t="inlineStr">
        <is>
          <t xml:space="preserve"> I have had my GERD under control pretty well over the last year but last night I made the mistake of enjoying a nice steak dinner and shared a bottle of wine with my partner. I happily / accidentally fell asleep flat (not with my raised pillow) and woke up out of a dead sleep to burping / vomiting / nausea / pressure and the buildup won’t stop. I can’t keep water down or really any form of food without my stomach acid building up and making me feel sick again. It will settle for maybe 20 mins then comes back and I’m at the point where I am just sitting in the bathroom aggressively burp/gagging into the toilet. Can anyone give me a hint or tip on what kind of food may help and actually stay down? I’ve tried high fibre low sugar foods but it doesn’t really do much and every time I drink a glass of water it wont stay down long. I have a headache but I can’t take anything to relieve it cause my stomach can’t take it. So disheartening that I can’t enjoy a nice dinner without pain 😞</t>
        </is>
      </c>
      <c r="D10070" t="n">
        <v>1</v>
      </c>
      <c r="E10070" t="n">
        <v>10</v>
      </c>
      <c r="F10070">
        <f>HYPERLINK("https://www.reddit.com/r/GERD/comments/i94oub/having_a_gerd_attack_any_tips/")</f>
        <v/>
      </c>
      <c r="G10070" t="inlineStr">
        <is>
          <t>2020-08-13 10:53:46</t>
        </is>
      </c>
      <c r="H10070" t="inlineStr"/>
    </row>
    <row r="10071">
      <c r="A10071" t="inlineStr">
        <is>
          <t>i95naj</t>
        </is>
      </c>
      <c r="B10071" t="inlineStr">
        <is>
          <t>Alternatives to Dairy?</t>
        </is>
      </c>
      <c r="C10071" t="inlineStr">
        <is>
          <t>I’ve found that one of my trigger foods is milk/dairy. Could I replace my skimmed milk with oat? Or would that not work? 
Currently suffering from having cereal for the first time in a week and my throat’s been burning like fire all day. 
I am trying elimination to figure out what causes my GERD. I don’t want to take omeprazole at the moment as it affects folic acid absorption and I am trying to conceive. 
I’m off to buy some ginger tea and feel sorry for myself!</t>
        </is>
      </c>
      <c r="D10071" t="n">
        <v>1</v>
      </c>
      <c r="E10071" t="n">
        <v>58</v>
      </c>
      <c r="F10071">
        <f>HYPERLINK("https://www.reddit.com/r/GERD/comments/i95naj/alternatives_to_dairy/")</f>
        <v/>
      </c>
      <c r="G10071" t="inlineStr">
        <is>
          <t>2020-08-13 11:44:12</t>
        </is>
      </c>
      <c r="H10071" t="inlineStr"/>
    </row>
    <row r="10072">
      <c r="A10072" t="inlineStr">
        <is>
          <t>i96ucs</t>
        </is>
      </c>
      <c r="B10072" t="inlineStr">
        <is>
          <t>Guys, you can cure your GERD if it's mild (and not the result of a hiatal hernia)</t>
        </is>
      </c>
      <c r="C10072" t="inlineStr">
        <is>
          <t>I made a post on this 6 days into having no GERD symptoms, but it's now been 2 weeks of no GERD and I'm confident of the reason. 
It's Apple cider vinegar. The acetic acid triggered my sphincter to close and has kept it closed - I've only needed to have 1-2 sips every 2-3 days. Super easy and now I think the problem is solved for good. 
Why does this work? Your stomach sphincter closes in the presence of acid above a certain threshold. When you take antacids, alkaline food, PPIs, your stomach loses acidity and you just have the same issue over and over again. I had GERD for 3 months every single day before trying ACV. I also had LPR but it's extremely mild now and I can even do things like drink coffee, smoke cigarettes and weed (not recommending this but I would previously have an almost allergic reaction to these substances) because my throat has healed after a lack of constant acid exposure. I did an upper endoscopy and it was clean
Some people have had success with ACV after 15 years of GERD. I think it's harder to be effective after such a long time, but it's happened. Please use it carefully and don't jump straight from PPIs every day to ACV, it needs to be done gradually and you need to do more research than reading this post. 
But Jesus Christ, I'm cured. Literally cured and it's completely thanks to apple cider vinegar. It wasn't changing my diet, it wasn't my wedge pillow, Gaviscon advance, eating early. It was triggering my sphincter response via ACV
No more pain, no more avoiding naps or needing to stay up late, I eat spicy and fried foods -- all in moderation because I still want my throat to completely heal, but none of it triggers a response.</t>
        </is>
      </c>
      <c r="D10072" t="n">
        <v>1</v>
      </c>
      <c r="E10072" t="n">
        <v>18</v>
      </c>
      <c r="F10072">
        <f>HYPERLINK("https://www.reddit.com/r/GERD/comments/i96ucs/guys_you_can_cure_your_gerd_if_its_mild_and_not/")</f>
        <v/>
      </c>
      <c r="G10072" t="inlineStr">
        <is>
          <t>2020-08-13 12:47:34</t>
        </is>
      </c>
      <c r="H10072" t="inlineStr"/>
    </row>
    <row r="10073">
      <c r="A10073" t="inlineStr">
        <is>
          <t>i97pmo</t>
        </is>
      </c>
      <c r="B10073" t="inlineStr">
        <is>
          <t>Quick question</t>
        </is>
      </c>
      <c r="C10073" t="inlineStr">
        <is>
          <t>Does GERD cause a burning sensation in your stomach? Just curious because it’s freaking me out and I keep thinking it’s something else</t>
        </is>
      </c>
      <c r="D10073" t="n">
        <v>1</v>
      </c>
      <c r="E10073" t="n">
        <v>17</v>
      </c>
      <c r="F10073">
        <f>HYPERLINK("https://www.reddit.com/r/GERD/comments/i97pmo/quick_question/")</f>
        <v/>
      </c>
      <c r="G10073" t="inlineStr">
        <is>
          <t>2020-08-13 13:34:08</t>
        </is>
      </c>
      <c r="H10073" t="inlineStr"/>
    </row>
    <row r="10074">
      <c r="A10074" t="inlineStr">
        <is>
          <t>i98nhj</t>
        </is>
      </c>
      <c r="B10074" t="inlineStr">
        <is>
          <t>Does anyone else get worse reflux while exercising?</t>
        </is>
      </c>
      <c r="C10074" t="inlineStr">
        <is>
          <t>I always seem to get really bad acid reflux when I work out. I haven’t really found a way to make it better. Anyone else experience this as well?</t>
        </is>
      </c>
      <c r="D10074" t="n">
        <v>1</v>
      </c>
      <c r="E10074" t="n">
        <v>24</v>
      </c>
      <c r="F10074">
        <f>HYPERLINK("https://www.reddit.com/r/GERD/comments/i98nhj/does_anyone_else_get_worse_reflux_while_exercising/")</f>
        <v/>
      </c>
      <c r="G10074" t="inlineStr">
        <is>
          <t>2020-08-13 14:24:50</t>
        </is>
      </c>
      <c r="H10074" t="inlineStr"/>
    </row>
    <row r="10075">
      <c r="A10075" t="inlineStr">
        <is>
          <t>i9a0vr</t>
        </is>
      </c>
      <c r="B10075" t="inlineStr">
        <is>
          <t>Magnesium carbonate vs calcium carbonate ?</t>
        </is>
      </c>
      <c r="C10075" t="inlineStr">
        <is>
          <t>I’ve had kidney stones before and I don’t want to risk getting them again (very painful) 
How effective is magnesium carbonate for mach acid, does it work as well as calcium?</t>
        </is>
      </c>
      <c r="D10075" t="n">
        <v>1</v>
      </c>
      <c r="E10075" t="n">
        <v>1</v>
      </c>
      <c r="F10075">
        <f>HYPERLINK("https://www.reddit.com/r/GERD/comments/i9a0vr/magnesium_carbonate_vs_calcium_carbonate/")</f>
        <v/>
      </c>
      <c r="G10075" t="inlineStr">
        <is>
          <t>2020-08-13 15:40:50</t>
        </is>
      </c>
      <c r="H10075" t="inlineStr"/>
    </row>
    <row r="10076">
      <c r="A10076" t="inlineStr">
        <is>
          <t>i9ag0b</t>
        </is>
      </c>
      <c r="B10076" t="inlineStr">
        <is>
          <t>Should I try Protonix or continue to look for alternatives</t>
        </is>
      </c>
      <c r="C10076" t="inlineStr">
        <is>
          <t>I'm getting my endoscopy later in September and I've gotten my gerd under control for the most part. However, I've been prescribed Protonix pills to take for a month. I'm scared to take them because of the side-effects and the fact that it could possibly increase my reflux symptoms. Should I take the leap of faith or continue to do what I was previously doing for the past month or two. What was your experience on Protnoix or PPI's in general?</t>
        </is>
      </c>
      <c r="D10076" t="n">
        <v>1</v>
      </c>
      <c r="E10076" t="n">
        <v>6</v>
      </c>
      <c r="F10076">
        <f>HYPERLINK("https://www.reddit.com/r/GERD/comments/i9ag0b/should_i_try_protonix_or_continue_to_look_for/")</f>
        <v/>
      </c>
      <c r="G10076" t="inlineStr">
        <is>
          <t>2020-08-13 16:05:05</t>
        </is>
      </c>
      <c r="H10076" t="inlineStr"/>
    </row>
    <row r="10077">
      <c r="A10077" t="inlineStr">
        <is>
          <t>i9ami4</t>
        </is>
      </c>
      <c r="B10077" t="inlineStr">
        <is>
          <t>Anyone get pain/reflux from stuff like carbs but not alcohol?</t>
        </is>
      </c>
      <c r="C10077" t="inlineStr">
        <is>
          <t>I've had reflux for over a year now to where my voice is pretty rekt. I'm wondering if I've developed a gluten intolerance, cause I can down 2 or 3 beers (I do not drink often) and have a single pain or sense of discomfort, but I eat cereal, tortilla chips or wheat thins, bread in general, and I instantly have a more gravelly voice, and need to chew gum or eat some honey to coat my throat. Has anyone experienced this? I've noticed it every time I have Cheerios for breakfast or eat blue corn chips. Very strange, since alcohol is supposed to be a matinee trigger as it's a stomach irritant</t>
        </is>
      </c>
      <c r="D10077" t="n">
        <v>1</v>
      </c>
      <c r="E10077" t="n">
        <v>0</v>
      </c>
      <c r="F10077">
        <f>HYPERLINK("https://www.reddit.com/r/GERD/comments/i9ami4/anyone_get_painreflux_from_stuff_like_carbs_but/")</f>
        <v/>
      </c>
      <c r="G10077" t="inlineStr">
        <is>
          <t>2020-08-13 16:15:41</t>
        </is>
      </c>
      <c r="H10077" t="inlineStr"/>
    </row>
    <row r="10078">
      <c r="A10078" t="inlineStr">
        <is>
          <t>i9amo7</t>
        </is>
      </c>
      <c r="B10078" t="inlineStr">
        <is>
          <t>Anyone get pain/reflux from stuff like carbs but not alcohol?</t>
        </is>
      </c>
      <c r="C10078" t="inlineStr">
        <is>
          <t>I've had reflux for over a year now to where my voice is pretty rekt. I'm wondering if I've developed a gluten intolerance, cause I can down 2 or 3 beers (I do not drink often) and have a single pain or sense of discomfort, but I eat cereal, tortilla chips or wheat thins, bread in general, and I instantly have a more gravelly voice, and need to chew gum or eat some honey to coat my throat. Has anyone experienced this? I've noticed it every time I have Cheerios for breakfast or eat blue corn chips. Very strange, since alcohol is supposed to be a matinee trigger as it's a stomach irritant</t>
        </is>
      </c>
      <c r="D10078" t="n">
        <v>1</v>
      </c>
      <c r="E10078" t="n">
        <v>5</v>
      </c>
      <c r="F10078">
        <f>HYPERLINK("https://www.reddit.com/r/GERD/comments/i9amo7/anyone_get_painreflux_from_stuff_like_carbs_but/")</f>
        <v/>
      </c>
      <c r="G10078" t="inlineStr">
        <is>
          <t>2020-08-13 16:15:57</t>
        </is>
      </c>
      <c r="H10078" t="inlineStr"/>
    </row>
    <row r="10079">
      <c r="A10079" t="inlineStr">
        <is>
          <t>i9aqrw</t>
        </is>
      </c>
      <c r="B10079" t="inlineStr">
        <is>
          <t>Cashew allergy?</t>
        </is>
      </c>
      <c r="C10079" t="inlineStr">
        <is>
          <t>Has anyone had any weird reactions with cashews that lead to reflux or stomach cramps? Trying elimination of things and found if I avoid cashews my GERD and IBS symptoms are much less. Wasn’t sure if anyone else experienced this before</t>
        </is>
      </c>
      <c r="D10079" t="n">
        <v>1</v>
      </c>
      <c r="E10079" t="n">
        <v>6</v>
      </c>
      <c r="F10079">
        <f>HYPERLINK("https://www.reddit.com/r/GERD/comments/i9aqrw/cashew_allergy/")</f>
        <v/>
      </c>
      <c r="G10079" t="inlineStr">
        <is>
          <t>2020-08-13 16:22:47</t>
        </is>
      </c>
      <c r="H10079" t="inlineStr"/>
    </row>
    <row r="10080">
      <c r="A10080" t="inlineStr">
        <is>
          <t>i9b6im</t>
        </is>
      </c>
      <c r="B10080" t="inlineStr">
        <is>
          <t>Vinegar to stop GERD?</t>
        </is>
      </c>
      <c r="C10080" t="inlineStr">
        <is>
          <t>Just a random questions to everyone out there. Does anyone else get relief from symptoms after eating food with vinegar in it? I noticed early on, but I really verified it today. Had all my triggers, garlic, onion, fat spice, and I had NO reaction because of the high vinegar content of the dish. I notice that it really doesn’t matter what type of vinegar not just ACV. Am I just a weirdo?</t>
        </is>
      </c>
      <c r="D10080" t="n">
        <v>1</v>
      </c>
      <c r="E10080" t="n">
        <v>1</v>
      </c>
      <c r="F10080">
        <f>HYPERLINK("https://www.reddit.com/r/GERD/comments/i9b6im/vinegar_to_stop_gerd/")</f>
        <v/>
      </c>
      <c r="G10080" t="inlineStr">
        <is>
          <t>2020-08-13 16:50:03</t>
        </is>
      </c>
      <c r="H10080" t="inlineStr"/>
    </row>
    <row r="10081">
      <c r="A10081" t="inlineStr">
        <is>
          <t>i9b996</t>
        </is>
      </c>
      <c r="B10081" t="inlineStr">
        <is>
          <t>Any victories over PPI rebound ?</t>
        </is>
      </c>
      <c r="C10081" t="inlineStr">
        <is>
          <t>Struggling to manage PPI rebound ( did those for 4 months before stopping them abruptly 1 day, on my GIs advise).  It’s been over a month since I did my last PPI dose.
Had anybody experienced PPI rebound ? How did you manage it ? For how long you had to suffer from it ?
Thanks in advance for sharing your story.</t>
        </is>
      </c>
      <c r="D10081" t="n">
        <v>1</v>
      </c>
      <c r="E10081" t="n">
        <v>8</v>
      </c>
      <c r="F10081">
        <f>HYPERLINK("https://www.reddit.com/r/GERD/comments/i9b996/any_victories_over_ppi_rebound/")</f>
        <v/>
      </c>
      <c r="G10081" t="inlineStr">
        <is>
          <t>2020-08-13 16:54:44</t>
        </is>
      </c>
      <c r="H10081" t="inlineStr"/>
    </row>
    <row r="10082">
      <c r="A10082" t="inlineStr">
        <is>
          <t>i9bltd</t>
        </is>
      </c>
      <c r="B10082" t="inlineStr">
        <is>
          <t>Ways to strengthen/restore function the LES?</t>
        </is>
      </c>
      <c r="C10082" t="inlineStr">
        <is>
          <t>Most lifestyle changes prevent the symptoms by utilising gravity and dietary changes. Anyone know any exercise or tips to strengthen/restore function to the les and overcome the root cause of reflux?</t>
        </is>
      </c>
      <c r="D10082" t="n">
        <v>1</v>
      </c>
      <c r="E10082" t="n">
        <v>15</v>
      </c>
      <c r="F10082">
        <f>HYPERLINK("https://www.reddit.com/r/GERD/comments/i9bltd/ways_to_strengthenrestore_function_the_les/")</f>
        <v/>
      </c>
      <c r="G10082" t="inlineStr">
        <is>
          <t>2020-08-13 17:15:37</t>
        </is>
      </c>
      <c r="H10082" t="inlineStr"/>
    </row>
    <row r="10083">
      <c r="A10083" t="inlineStr">
        <is>
          <t>i9c7sx</t>
        </is>
      </c>
      <c r="B10083" t="inlineStr">
        <is>
          <t>Had oats with almond milk + coconut milk combo. Had some breathing issues.</t>
        </is>
      </c>
      <c r="C10083" t="inlineStr">
        <is>
          <t>I had oats with almond milk and coconut milk combo since it's supposed to be good for LPR. But it caused some shortness of breath. I had an apple after an hour, and it all went away. Sometimes I think, this is all in my head and it's all coz of my anxiety disorder and not lpr at all. I've noticed that cooked onions and tomatoes do nothing to me but jaggery+coconut desert and oats with almond milk + coconut milk combo are causing reflux. I'm on a huge thinking loop now, is this lpr or is this just anxiety.</t>
        </is>
      </c>
      <c r="D10083" t="n">
        <v>1</v>
      </c>
      <c r="E10083" t="n">
        <v>3</v>
      </c>
      <c r="F10083">
        <f>HYPERLINK("https://www.reddit.com/r/GERD/comments/i9c7sx/had_oats_with_almond_milk_coconut_milk_combo_had/")</f>
        <v/>
      </c>
      <c r="G10083" t="inlineStr">
        <is>
          <t>2020-08-13 17:54:30</t>
        </is>
      </c>
      <c r="H10083" t="inlineStr"/>
    </row>
    <row r="10084">
      <c r="A10084" t="inlineStr">
        <is>
          <t>i9ce76</t>
        </is>
      </c>
      <c r="B10084" t="inlineStr">
        <is>
          <t>Pepcid or Prilosec?</t>
        </is>
      </c>
      <c r="C10084" t="inlineStr">
        <is>
          <t>Has anyone else experienced extreme nausea and hedaches from prilosec? Started a course again today and I feel flat on my butt. Thinking pepcid may be the better route</t>
        </is>
      </c>
      <c r="D10084" t="n">
        <v>1</v>
      </c>
      <c r="E10084" t="n">
        <v>2</v>
      </c>
      <c r="F10084">
        <f>HYPERLINK("https://www.reddit.com/r/GERD/comments/i9ce76/pepcid_or_prilosec/")</f>
        <v/>
      </c>
      <c r="G10084" t="inlineStr">
        <is>
          <t>2020-08-13 18:05:28</t>
        </is>
      </c>
      <c r="H10084" t="inlineStr"/>
    </row>
    <row r="10085">
      <c r="A10085" t="inlineStr">
        <is>
          <t>i9chw9</t>
        </is>
      </c>
      <c r="B10085" t="inlineStr">
        <is>
          <t>Has anyone found Bravo test helpful ?</t>
        </is>
      </c>
      <c r="C10085" t="inlineStr">
        <is>
          <t>I am scheduled for a bravo test in another 4 weeks and wondering if it’s gonna help me at all ? 
Have already gone through an endoscopy in the last few months and everything looks pretty good. But I do have throat and ear aches ( signals LPR) after coming off of PPIs for 4 months ( possibly rebound has caused it ).</t>
        </is>
      </c>
      <c r="D10085" t="n">
        <v>1</v>
      </c>
      <c r="E10085" t="n">
        <v>10</v>
      </c>
      <c r="F10085">
        <f>HYPERLINK("https://www.reddit.com/r/GERD/comments/i9chw9/has_anyone_found_bravo_test_helpful/")</f>
        <v/>
      </c>
      <c r="G10085" t="inlineStr">
        <is>
          <t>2020-08-13 18:12:09</t>
        </is>
      </c>
      <c r="H10085" t="inlineStr"/>
    </row>
    <row r="10086">
      <c r="A10086" t="inlineStr">
        <is>
          <t>i9cu8l</t>
        </is>
      </c>
      <c r="B10086" t="inlineStr">
        <is>
          <t>Minimizing the side effects of Proton Pump Inhibitors</t>
        </is>
      </c>
      <c r="C10086" t="inlineStr">
        <is>
          <t>I was recently diagnosed with silent reflux and put on Protonix for the next couple of months to start. Is there anything I can do to minimize the negative side effects in case I get stuck on this long term? I was also wondering if anyone here has had brain fog, head pressure and dizziness as a result of GERD?</t>
        </is>
      </c>
      <c r="D10086" t="n">
        <v>1</v>
      </c>
      <c r="E10086" t="n">
        <v>6</v>
      </c>
      <c r="F10086">
        <f>HYPERLINK("https://www.reddit.com/r/GERD/comments/i9cu8l/minimizing_the_side_effects_of_proton_pump/")</f>
        <v/>
      </c>
      <c r="G10086" t="inlineStr">
        <is>
          <t>2020-08-13 18:34:47</t>
        </is>
      </c>
      <c r="H10086" t="inlineStr"/>
    </row>
    <row r="10087">
      <c r="A10087" t="inlineStr">
        <is>
          <t>i9e58s</t>
        </is>
      </c>
      <c r="B10087" t="inlineStr">
        <is>
          <t>What do I do to help this</t>
        </is>
      </c>
      <c r="C10087" t="inlineStr">
        <is>
          <t>Tonight I had a salad with some dressing and not even 30 mins later my throat started getting scratchy and I felt “stuff” coming up my throat. I then took an acid reducer and it helped for a bit and then just now it came back. What else can I do!! I have no chest or stomach burning it’s I’m assuming silent reflux.</t>
        </is>
      </c>
      <c r="D10087" t="n">
        <v>1</v>
      </c>
      <c r="E10087" t="n">
        <v>1</v>
      </c>
      <c r="F10087">
        <f>HYPERLINK("https://www.reddit.com/r/GERD/comments/i9e58s/what_do_i_do_to_help_this/")</f>
        <v/>
      </c>
      <c r="G10087" t="inlineStr">
        <is>
          <t>2020-08-13 20:01:27</t>
        </is>
      </c>
      <c r="H10087" t="inlineStr"/>
    </row>
    <row r="10088">
      <c r="A10088" t="inlineStr">
        <is>
          <t>i9ftrc</t>
        </is>
      </c>
      <c r="B10088" t="inlineStr">
        <is>
          <t>For those will LPR, did something suddenly trigger your symptoms?</t>
        </is>
      </c>
      <c r="C10088" t="inlineStr">
        <is>
          <t>I was diagnosed with LPR after 5 frustrating months of trying to figure out what was wrong with me. For years I have noticed a slight burning sensation in my throat, but I never thought anything of it. Back in March, I had moved to a new area, and about 3 weeks later I had congestion in my throat that wouldn’t go away, and a whistling noise when I would breath. I had gotten a new dog, so I thought that  I must have developed a sudden dog allergy and what I was experiencing must have been asthma. So I took allergy medicine and an inhaler, but it had zero effect on me. I did not get better, so I took my dog to Iive at my in laws and moved to a new place, thinking I needed to start over fresh without dander. After I moved, my symptoms were still there. Just constantly there even though I wasn’t around my dog anymore. I got so frustrated and stressed, that I finally went to an ENT a couple weeks ago, where he diagnosed me with LPR and said I also had swollen nose turbinates. I didn’t understand why I would suddenly have it bad right after moving if it wasn’t related to my dog, and my doctor explained stress, like a big move, can trigger LPR. 
So I guess my main question is, have you guys with LPR found this to be the case? Did yours just come on suddenly after a stressful event?Have you guys found any environmental factors that might have triggered your LPR, like allergies? I’m a little hesitant to take my dog back if he maybe contributed to my LPR, though I’m still having LPR with no dog around. This is all new and confusing to me. 
Any thoughts appreciated.</t>
        </is>
      </c>
      <c r="D10088" t="n">
        <v>1</v>
      </c>
      <c r="E10088" t="n">
        <v>6</v>
      </c>
      <c r="F10088">
        <f>HYPERLINK("https://www.reddit.com/r/GERD/comments/i9ftrc/for_those_will_lpr_did_something_suddenly_trigger/")</f>
        <v/>
      </c>
      <c r="G10088" t="inlineStr">
        <is>
          <t>2020-08-13 22:00:23</t>
        </is>
      </c>
      <c r="H10088" t="inlineStr"/>
    </row>
    <row r="10089">
      <c r="A10089" t="inlineStr">
        <is>
          <t>i9ggvw</t>
        </is>
      </c>
      <c r="B10089" t="inlineStr">
        <is>
          <t>May have just pinpointed one of my underlying causes.</t>
        </is>
      </c>
      <c r="C10089" t="inlineStr">
        <is>
          <t>Just for some background, I've had GERD for about 4 years now, and I've been spending a lot of time trying to find the root cause of it (as opposed to "treating" it with minimally effective PPIs for the rest of my life). 
I was thinking about my trigger foods and I realized that a lot of them are very high in sulfur, so I did some looking into it, and, turns out there's a type of small intestine bacterial overgrowth that is fairly new to science. Hydrogen sulfide producing bacterial overgrowth, which consumes sulfur compounds and produces the aforementioned H2S. The two more commonly known groups of SIBO bacteria, and the ones the majority of SIBO breath test check for are the hydrogen (plain hydrogen) and methane producing bacteria (may be multiple sp.). Additionally, it seems there may be a genetic component to the likelihood of developing a hydrogen sulfide producing bacterial overgrowth, possibly due to less efficient metabolism and absorption of dietary sulfur. Factors such as chronic stress may also reduce stomach acid production which both reduces the amount of sulfur compounds digested and absorbed by the body (giving more food to the bacteria), but also provides an environmental pH more suitable for hydrogen sulfide producing bacteria.
About a year ago I gave up on the idea that my reflux was bacteria related after I went on a fairly harsh course of antibiotics in a desperate attempt to kill a supposed h. pylori infection, which was the only known cause of acid reflux according to my GI doctor. I didn't notice any improvement, but now I realize that I may have to take a different type of antibiotic, as well as take acid supplements and reduce dietary sulfur. Additionally, it seems I may have to take multiple courses of antibiotics.
Let me know if you've noticed bad reactions to high-sulfur foods. Who knows, maybe I'm finally on to something with this whole thing.</t>
        </is>
      </c>
      <c r="D10089" t="n">
        <v>1</v>
      </c>
      <c r="E10089" t="n">
        <v>5</v>
      </c>
      <c r="F10089">
        <f>HYPERLINK("https://www.reddit.com/r/GERD/comments/i9ggvw/may_have_just_pinpointed_one_of_my_underlying/")</f>
        <v/>
      </c>
      <c r="G10089" t="inlineStr">
        <is>
          <t>2020-08-13 22:51:10</t>
        </is>
      </c>
      <c r="H10089" t="inlineStr"/>
    </row>
    <row r="10090">
      <c r="A10090" t="inlineStr">
        <is>
          <t>i9hdkw</t>
        </is>
      </c>
      <c r="B10090" t="inlineStr">
        <is>
          <t>heartburn</t>
        </is>
      </c>
      <c r="C10090" t="inlineStr">
        <is>
          <t>hello there
what to do if i feel heartburn only after sleeping ? 
* i raised the edge of my bed by 15-20 cm (6-8 inch)</t>
        </is>
      </c>
      <c r="D10090" t="n">
        <v>1</v>
      </c>
      <c r="E10090" t="n">
        <v>5</v>
      </c>
      <c r="F10090">
        <f>HYPERLINK("https://www.reddit.com/r/GERD/comments/i9hdkw/heartburn/")</f>
        <v/>
      </c>
      <c r="G10090" t="inlineStr">
        <is>
          <t>2020-08-14 00:09:36</t>
        </is>
      </c>
      <c r="H10090" t="inlineStr"/>
    </row>
    <row r="10091">
      <c r="A10091" t="inlineStr">
        <is>
          <t>i9hifw</t>
        </is>
      </c>
      <c r="B10091" t="inlineStr">
        <is>
          <t>Anyone else experience a pounding heart sensation after sex?</t>
        </is>
      </c>
      <c r="C10091" t="inlineStr">
        <is>
          <t>By heart rate was pretty low considering I just had sex at around 110-115bpm but it felt like it was pounding</t>
        </is>
      </c>
      <c r="D10091" t="n">
        <v>1</v>
      </c>
      <c r="E10091" t="n">
        <v>6</v>
      </c>
      <c r="F10091">
        <f>HYPERLINK("https://www.reddit.com/r/GERD/comments/i9hifw/anyone_else_experience_a_pounding_heart_sensation/")</f>
        <v/>
      </c>
      <c r="G10091" t="inlineStr">
        <is>
          <t>2020-08-14 00:22:05</t>
        </is>
      </c>
      <c r="H10091" t="inlineStr"/>
    </row>
    <row r="10092">
      <c r="A10092" t="inlineStr">
        <is>
          <t>i9hkji</t>
        </is>
      </c>
      <c r="B10092" t="inlineStr">
        <is>
          <t>Help - Esomeprazole messed my GI ?</t>
        </is>
      </c>
      <c r="C10092" t="inlineStr">
        <is>
          <t>22 M 147lbs
Since 20 days I've been taking Esomeprazole 40mg and my GERD has improved greatly
But since 1 week I'm having the following symptoms
* Burning Poop
* Soft paste-like sticky Poop
* Smelly farts
Is this caused by Esomeprazole?</t>
        </is>
      </c>
      <c r="D10092" t="n">
        <v>1</v>
      </c>
      <c r="E10092" t="n">
        <v>6</v>
      </c>
      <c r="F10092">
        <f>HYPERLINK("https://www.reddit.com/r/GERD/comments/i9hkji/help_esomeprazole_messed_my_gi/")</f>
        <v/>
      </c>
      <c r="G10092" t="inlineStr">
        <is>
          <t>2020-08-14 00:27:24</t>
        </is>
      </c>
      <c r="H10092" t="inlineStr"/>
    </row>
    <row r="10093">
      <c r="A10093" t="inlineStr">
        <is>
          <t>i9ifu8</t>
        </is>
      </c>
      <c r="B10093" t="inlineStr">
        <is>
          <t>Acid reflux, now I feel like I have brochitis</t>
        </is>
      </c>
      <c r="C10093" t="inlineStr">
        <is>
          <t>About an hour or so ago, I had a bad acid reflux episode, and I've been coughing a lot since then. I feel a rumbling in my chest and am coughing up clear mucus. It feels like bronchitis. I took some liquid Mylanta (twice), and gargled to get some of the burning sensation off my throat. I also have a lot of nasal mucus. 
The burning sensation has subsided a bit, but the coughing fits are a bit worrying. Is there anything else I should do, or just wait it out? I'm drinking water, slowly. It's gonna be a long night.</t>
        </is>
      </c>
      <c r="D10093" t="n">
        <v>1</v>
      </c>
      <c r="E10093" t="n">
        <v>13</v>
      </c>
      <c r="F10093">
        <f>HYPERLINK("https://www.reddit.com/r/GERD/comments/i9ifu8/acid_reflux_now_i_feel_like_i_have_brochitis/")</f>
        <v/>
      </c>
      <c r="G10093" t="inlineStr">
        <is>
          <t>2020-08-14 01:48:41</t>
        </is>
      </c>
      <c r="H10093" t="inlineStr"/>
    </row>
    <row r="10094">
      <c r="A10094" t="inlineStr">
        <is>
          <t>i9irvo</t>
        </is>
      </c>
      <c r="B10094" t="inlineStr">
        <is>
          <t>Is hpylori contagious?</t>
        </is>
      </c>
      <c r="C10094" t="inlineStr">
        <is>
          <t>I think someone I kissed passed it to me</t>
        </is>
      </c>
      <c r="D10094" t="n">
        <v>1</v>
      </c>
      <c r="E10094" t="n">
        <v>3</v>
      </c>
      <c r="F10094">
        <f>HYPERLINK("https://www.reddit.com/r/GERD/comments/i9irvo/is_hpylori_contagious/")</f>
        <v/>
      </c>
      <c r="G10094" t="inlineStr">
        <is>
          <t>2020-08-14 02:20:12</t>
        </is>
      </c>
      <c r="H10094" t="inlineStr"/>
    </row>
    <row r="10095">
      <c r="A10095" t="inlineStr">
        <is>
          <t>i9j1rz</t>
        </is>
      </c>
      <c r="B10095" t="inlineStr">
        <is>
          <t>Vegetable smoothies burning throat?</t>
        </is>
      </c>
      <c r="C10095" t="inlineStr">
        <is>
          <t>I’ve been making LPR friendly smoothies but I notice that when I put raw broccoli in my throat burns. My husband says he notices this heat in his mouth too but he doesn’t have LPR. Does anybody know why this might be happening?</t>
        </is>
      </c>
      <c r="D10095" t="n">
        <v>1</v>
      </c>
      <c r="E10095" t="n">
        <v>3</v>
      </c>
      <c r="F10095">
        <f>HYPERLINK("https://www.reddit.com/r/GERD/comments/i9j1rz/vegetable_smoothies_burning_throat/")</f>
        <v/>
      </c>
      <c r="G10095" t="inlineStr">
        <is>
          <t>2020-08-14 02:45:19</t>
        </is>
      </c>
      <c r="H10095" t="inlineStr"/>
    </row>
    <row r="10096">
      <c r="A10096" t="inlineStr">
        <is>
          <t>i9k2if</t>
        </is>
      </c>
      <c r="B10096" t="inlineStr">
        <is>
          <t>Second time over three weeks vomiting with blood out of nowhere, and the doctor insists I should just take pantoprazole (20F)</t>
        </is>
      </c>
      <c r="C10096" t="inlineStr">
        <is>
          <t>My  GP told me it's because of stress and anxiety. This came as a second  opinion, since last year when it first happened my friend took me to the  hospital and the GP there gave me pantoprazole. It helped, but once I  stop taking it's a matter of days before everything hurts again. My  doctor said over the phone yesterday that she doesn't think further  investigation will tell us anything else... They definitely don't consider my  case worthy of expensive medical interventions, in the Netherlands :( Is there anything I  can do myself to calm my stomach down a bit more? I avoid tomatoes and  that helps, and take Rennie when there's too much burping, but other  than that I really have no idea what to do.</t>
        </is>
      </c>
      <c r="D10096" t="n">
        <v>1</v>
      </c>
      <c r="E10096" t="n">
        <v>25</v>
      </c>
      <c r="F10096">
        <f>HYPERLINK("https://www.reddit.com/r/GERD/comments/i9k2if/second_time_over_three_weeks_vomiting_with_blood/")</f>
        <v/>
      </c>
      <c r="G10096" t="inlineStr">
        <is>
          <t>2020-08-14 04:14:41</t>
        </is>
      </c>
      <c r="H10096" t="inlineStr"/>
    </row>
    <row r="10097">
      <c r="A10097" t="inlineStr">
        <is>
          <t>i9k2lr</t>
        </is>
      </c>
      <c r="B10097" t="inlineStr">
        <is>
          <t>Need help from LPR friends</t>
        </is>
      </c>
      <c r="C10097" t="inlineStr">
        <is>
          <t>Hey people, just got my results of my pH Test and they were negative. For the past year and a half I’ve been just about all across the country being sent everywhere by doctors to figure out what I have. My only 3 symptoms are just 
1) Difficulty Swallowing (I have cobblestone throat caused from constant inflammation) Swallowing is difficult passing food from mouth into throat, goes down esophagus fine
2) Constant post nasal drip
3) Shortness of breath at night and waking up gasping. Sometimes shortness of breath in the day. (I think is due to Post Nasal Drip, I don’t think its anything to do with sleep apnea)
I tried PPI’s and they didn’t work too well, I had a horrible rebound for about 2 months where my throat inflammation was so bad I could barely swallow liquids. Changed my diet up for a bit to avoid all trigger foods and that didn’t help. Endoscopy showed I have esophagitis, and pH test came back negative. Does anyone else with these symptoms also have negative pH tests for reflux? Has anyone tried anxiety medicine to see if that helps relieve some symptoms? I’m lost at this point and not sure what next step should be.</t>
        </is>
      </c>
      <c r="D10097" t="n">
        <v>1</v>
      </c>
      <c r="E10097" t="n">
        <v>6</v>
      </c>
      <c r="F10097">
        <f>HYPERLINK("https://www.reddit.com/r/GERD/comments/i9k2lr/need_help_from_lpr_friends/")</f>
        <v/>
      </c>
      <c r="G10097" t="inlineStr">
        <is>
          <t>2020-08-14 04:14:56</t>
        </is>
      </c>
      <c r="H10097" t="inlineStr"/>
    </row>
    <row r="10098">
      <c r="A10098" t="inlineStr">
        <is>
          <t>i9kq7g</t>
        </is>
      </c>
      <c r="B10098" t="inlineStr">
        <is>
          <t>Lots of gas from everywhere</t>
        </is>
      </c>
      <c r="C10098" t="inlineStr">
        <is>
          <t>I get gas coming out both ways especially in the morning before I even eat anything...burps and farts. Anyone have this linked to a specific issue like SIBO or dairy intolerence for example?</t>
        </is>
      </c>
      <c r="D10098" t="n">
        <v>1</v>
      </c>
      <c r="E10098" t="n">
        <v>0</v>
      </c>
      <c r="F10098">
        <f>HYPERLINK("https://www.reddit.com/r/GERD/comments/i9kq7g/lots_of_gas_from_everywhere/")</f>
        <v/>
      </c>
      <c r="G10098" t="inlineStr">
        <is>
          <t>2020-08-14 05:06:38</t>
        </is>
      </c>
      <c r="H10098" t="inlineStr"/>
    </row>
    <row r="10099">
      <c r="A10099" t="inlineStr">
        <is>
          <t>i9l09a</t>
        </is>
      </c>
      <c r="B10099" t="inlineStr">
        <is>
          <t>do you eat mango ?</t>
        </is>
      </c>
      <c r="C10099" t="inlineStr">
        <is>
          <t>as i see internet says it can help reduce reflux is it true ?</t>
        </is>
      </c>
      <c r="D10099" t="n">
        <v>1</v>
      </c>
      <c r="E10099" t="n">
        <v>2</v>
      </c>
      <c r="F10099">
        <f>HYPERLINK("https://www.reddit.com/r/GERD/comments/i9l09a/do_you_eat_mango/")</f>
        <v/>
      </c>
      <c r="G10099" t="inlineStr">
        <is>
          <t>2020-08-14 05:26:49</t>
        </is>
      </c>
      <c r="H10099" t="inlineStr"/>
    </row>
    <row r="10100">
      <c r="A10100" t="inlineStr">
        <is>
          <t>i9m4n7</t>
        </is>
      </c>
      <c r="B10100" t="inlineStr">
        <is>
          <t>Acid reflux happening after taking medication, when will it go away?</t>
        </is>
      </c>
      <c r="C10100" t="inlineStr">
        <is>
          <t>A few weeks ago I was prescribed methylprednisolone for my allergies, but after taking it for a couple days I started getting chest pains and my asthma would flare up after eating certain foods and certain drinks. I’ve never had that happen before in my life. My doctor said the medication can sometimes cause acid reflux and then gave me famotidine to take for two weeks to help with my stomach acid, which has helped a little bit, but it’s still lingering.
Probably a weird question but did the medication give me GERD? Or does it just take a while to subside?</t>
        </is>
      </c>
      <c r="D10100" t="n">
        <v>1</v>
      </c>
      <c r="E10100" t="n">
        <v>2</v>
      </c>
      <c r="F10100">
        <f>HYPERLINK("https://www.reddit.com/r/GERD/comments/i9m4n7/acid_reflux_happening_after_taking_medication/")</f>
        <v/>
      </c>
      <c r="G10100" t="inlineStr">
        <is>
          <t>2020-08-14 06:39:15</t>
        </is>
      </c>
      <c r="H10100" t="inlineStr"/>
    </row>
    <row r="10101">
      <c r="A10101" t="inlineStr">
        <is>
          <t>i9mswo</t>
        </is>
      </c>
      <c r="B10101" t="inlineStr">
        <is>
          <t>What does gastritis pain feel like?</t>
        </is>
      </c>
      <c r="C10101" t="inlineStr">
        <is>
          <t>I was diagnosed with acid reflux (my most noticeable symptoms being constant nausea and that warm stomach feeling) and although I don’t have any pain, I’m still worried that the warm feeling is gastritis... what does gastritis feel like?</t>
        </is>
      </c>
      <c r="D10101" t="n">
        <v>1</v>
      </c>
      <c r="E10101" t="n">
        <v>1</v>
      </c>
      <c r="F10101">
        <f>HYPERLINK("https://www.reddit.com/r/GERD/comments/i9mswo/what_does_gastritis_pain_feel_like/")</f>
        <v/>
      </c>
      <c r="G10101" t="inlineStr">
        <is>
          <t>2020-08-14 07:19:35</t>
        </is>
      </c>
      <c r="H10101" t="inlineStr"/>
    </row>
    <row r="10102">
      <c r="A10102" t="inlineStr">
        <is>
          <t>i9nan8</t>
        </is>
      </c>
      <c r="B10102" t="inlineStr">
        <is>
          <t>how do you guys do with olive oil?</t>
        </is>
      </c>
      <c r="C10102" t="inlineStr">
        <is>
          <t>Can you have it?</t>
        </is>
      </c>
      <c r="D10102" t="n">
        <v>1</v>
      </c>
      <c r="E10102" t="n">
        <v>20</v>
      </c>
      <c r="F10102">
        <f>HYPERLINK("https://www.reddit.com/r/GERD/comments/i9nan8/how_do_you_guys_do_with_olive_oil/")</f>
        <v/>
      </c>
      <c r="G10102" t="inlineStr">
        <is>
          <t>2020-08-14 07:48:05</t>
        </is>
      </c>
      <c r="H10102" t="inlineStr"/>
    </row>
    <row r="10103">
      <c r="A10103" t="inlineStr">
        <is>
          <t>i9okap</t>
        </is>
      </c>
      <c r="B10103" t="inlineStr">
        <is>
          <t>Acid found to be minimal, prescribed a neuromodulator. Anyone else?</t>
        </is>
      </c>
      <c r="C10103" t="inlineStr">
        <is>
          <t>Hi everyone. I've posted here dozens of times. Long story short:
I was diagnosed with esophagitis almost a year ago though I hadn't felt much symptoms from it (some throat irritation and losing my voice a little.) After being put on pantoprazole my symptoms exploded into full on burning mouth and throat, disgusting taste in my mouth, losing my voice completely, etc. (went off the panto after a few days.)
In the past year I've tried everything, medications, supplements, extreme diet, lifestyle, etc. I am still up and down every day. Some days I almost feel normal while others I am wheezing and can barely talk.
ANYWAY: I had the BRAVO pH test done and the results came back today that I had almost no acid reflux. Extremely minimal and within normal range. This really threw me. I still have esophagitis and I have a 2cm hiatal hernia so I am not sure how any of this makes sense.
A voice doctor diagnosed me with hypersensitive larynx, meaning even a little or normal amount of acid will hurt me more than a normal person. So my GI upon getting the BRAVO results prescribed me a neuromodulator. 
My post is has anyone taken this approach? What happened with the neuromodulator? I am worried about this kind of medication because I seem to always get horrible side effects from everything. He said it makes you drowsy which for me would mean I won't be able to get out of bed. But I'm also running out of options.
So, anyone else know about this path?</t>
        </is>
      </c>
      <c r="D10103" t="n">
        <v>1</v>
      </c>
      <c r="E10103" t="n">
        <v>10</v>
      </c>
      <c r="F10103">
        <f>HYPERLINK("https://www.reddit.com/r/GERD/comments/i9okap/acid_found_to_be_minimal_prescribed_a/")</f>
        <v/>
      </c>
      <c r="G10103" t="inlineStr">
        <is>
          <t>2020-08-14 08:58:15</t>
        </is>
      </c>
      <c r="H10103" t="inlineStr"/>
    </row>
    <row r="10104">
      <c r="A10104" t="inlineStr">
        <is>
          <t>i9p6ql</t>
        </is>
      </c>
      <c r="B10104" t="inlineStr">
        <is>
          <t>can i eat corn ?</t>
        </is>
      </c>
      <c r="C10104" t="inlineStr">
        <is>
          <t>websites say i never should eat corn, but i started reading a book about gerd and there a doctor wrote corn is a good for people with acid reflux
what do you think ?</t>
        </is>
      </c>
      <c r="D10104" t="n">
        <v>1</v>
      </c>
      <c r="E10104" t="n">
        <v>1</v>
      </c>
      <c r="F10104">
        <f>HYPERLINK("https://www.reddit.com/r/GERD/comments/i9p6ql/can_i_eat_corn/")</f>
        <v/>
      </c>
      <c r="G10104" t="inlineStr">
        <is>
          <t>2020-08-14 09:30:52</t>
        </is>
      </c>
      <c r="H10104" t="inlineStr"/>
    </row>
    <row r="10105">
      <c r="A10105" t="inlineStr">
        <is>
          <t>i9pqbz</t>
        </is>
      </c>
      <c r="B10105" t="inlineStr">
        <is>
          <t>Have you beaten GERD? what do you buy at the supermarket on average?</t>
        </is>
      </c>
      <c r="C10105" t="inlineStr">
        <is>
          <t>So I had a thought yesterday to post on here asking a question to people who have beaten GERD: what's your typical grocery list look like? Ive had shortness of breath since 2012 thanks to GERD.  I'm sure all of you know how much it completely sucks, Ive been taking acid reducer for so long, it can't be good for me, Feeling motivated enough to try and change my diet to actually lick this thing. I know the only way to really beat it is through diet and exercise, pills and surgery just gonna make more problems</t>
        </is>
      </c>
      <c r="D10105" t="n">
        <v>1</v>
      </c>
      <c r="E10105" t="n">
        <v>6</v>
      </c>
      <c r="F10105">
        <f>HYPERLINK("https://www.reddit.com/r/GERD/comments/i9pqbz/have_you_beaten_gerd_what_do_you_buy_at_the/")</f>
        <v/>
      </c>
      <c r="G10105" t="inlineStr">
        <is>
          <t>2020-08-14 10:00:10</t>
        </is>
      </c>
      <c r="H10105" t="inlineStr"/>
    </row>
    <row r="10106">
      <c r="A10106" t="inlineStr">
        <is>
          <t>i9q93c</t>
        </is>
      </c>
      <c r="B10106" t="inlineStr">
        <is>
          <t>Working out with GERD</t>
        </is>
      </c>
      <c r="C10106" t="inlineStr">
        <is>
          <t>I was diagnosed with GERD a couple weeks ago and haven’t been to the gym since. I enjoy working out but with GERD apparently fats can be a trigger. I was wondering if theres any lifters here with GERD and if you still get gains while avoiding fats. If you work out you probably know that it’s important to eat enough of each macro, appreciate any help.</t>
        </is>
      </c>
      <c r="D10106" t="n">
        <v>1</v>
      </c>
      <c r="E10106" t="n">
        <v>2</v>
      </c>
      <c r="F10106">
        <f>HYPERLINK("https://www.reddit.com/r/GERD/comments/i9q93c/working_out_with_gerd/")</f>
        <v/>
      </c>
      <c r="G10106" t="inlineStr">
        <is>
          <t>2020-08-14 10:27:01</t>
        </is>
      </c>
      <c r="H10106" t="inlineStr"/>
    </row>
    <row r="10107">
      <c r="A10107" t="inlineStr">
        <is>
          <t>i9qj8e</t>
        </is>
      </c>
      <c r="B10107" t="inlineStr">
        <is>
          <t>Anyone else unable to drink fizzy drinks?</t>
        </is>
      </c>
      <c r="C10107" t="inlineStr">
        <is>
          <t>Haven’t had them since early June. I haven’t had heartburn for a good while now after my 2 weeks round of nexium. 
I decided to be an idiot and just try a little bit of Diet Coke. And boom. Gas and horrible feeling all over again...guess that’s me done with fizzy drinks forever 🙁</t>
        </is>
      </c>
      <c r="D10107" t="n">
        <v>1</v>
      </c>
      <c r="E10107" t="n">
        <v>32</v>
      </c>
      <c r="F10107">
        <f>HYPERLINK("https://www.reddit.com/r/GERD/comments/i9qj8e/anyone_else_unable_to_drink_fizzy_drinks/")</f>
        <v/>
      </c>
      <c r="G10107" t="inlineStr">
        <is>
          <t>2020-08-14 10:41:48</t>
        </is>
      </c>
      <c r="H10107" t="inlineStr"/>
    </row>
    <row r="10108">
      <c r="A10108" t="inlineStr">
        <is>
          <t>i9qrgv</t>
        </is>
      </c>
      <c r="B10108" t="inlineStr">
        <is>
          <t>Tips for throat tickle?</t>
        </is>
      </c>
      <c r="C10108" t="inlineStr">
        <is>
          <t>I have managed in just a few short days to alleviate most of my symptoms. The burning is gone which is huge. However, I notice I still have that tickle/lump feeling my throat. Any tips? Also below are the things i am doing so far to alleviate symptoms 
Pepcid Maximum strength 
Strict diet primarily oatmeal, lean meat, food fruits and veggies 
Apple cider vinegar two table spoons in the morning 
Chewing a lot when I eat 
Timing myself and eating my meal in about 20-30 minutes 
Chewing gum after I eat for 30 minutes 
Laying elevated or on my left side when i sleep 
More exercise 
Chamomile tea with honey 
Really feeling good about my chances for recovery here just can’t stand this constant throat tickle/ lump feeling</t>
        </is>
      </c>
      <c r="D10108" t="n">
        <v>1</v>
      </c>
      <c r="E10108" t="n">
        <v>10</v>
      </c>
      <c r="F10108">
        <f>HYPERLINK("https://www.reddit.com/r/GERD/comments/i9qrgv/tips_for_throat_tickle/")</f>
        <v/>
      </c>
      <c r="G10108" t="inlineStr">
        <is>
          <t>2020-08-14 10:54:03</t>
        </is>
      </c>
      <c r="H10108" t="inlineStr"/>
    </row>
    <row r="10109">
      <c r="A10109" t="inlineStr">
        <is>
          <t>i9r0bu</t>
        </is>
      </c>
      <c r="B10109" t="inlineStr">
        <is>
          <t>Alright... give me your best recipes!</t>
        </is>
      </c>
      <c r="C10109" t="inlineStr">
        <is>
          <t>As everything I normally cook involves onions, garlic, or tomatoes in some form, I need ideas (bonus points if I can batch cook it!). 
Everything I eat gives me heartburn and I can’t figure out what to make that doesn’t have a trigger food. I’m dairy-free at the moment. 
I have breakfasts and lunches sorted but I’m really struggling for my main meals.</t>
        </is>
      </c>
      <c r="D10109" t="n">
        <v>1</v>
      </c>
      <c r="E10109" t="n">
        <v>3</v>
      </c>
      <c r="F10109">
        <f>HYPERLINK("https://www.reddit.com/r/GERD/comments/i9r0bu/alright_give_me_your_best_recipes/")</f>
        <v/>
      </c>
      <c r="G10109" t="inlineStr">
        <is>
          <t>2020-08-14 11:07:14</t>
        </is>
      </c>
      <c r="H10109" t="inlineStr"/>
    </row>
    <row r="10110">
      <c r="A10110" t="inlineStr">
        <is>
          <t>i9rbdi</t>
        </is>
      </c>
      <c r="B10110" t="inlineStr">
        <is>
          <t>Update!</t>
        </is>
      </c>
      <c r="C10110" t="inlineStr">
        <is>
          <t>So my doctor ordered me an abdominal cat scan as well as will do a breath test and the next few weeks. So far I’ve done chest x rays and blood tests, but didn’t find anything. I also will be doing a stress test the end of August for my chest pains. He also referred me to a GI doctor for an endoscopy, but says it will take a little while. I’m so tired, but hopefully they will find something soon! Wish me luck!</t>
        </is>
      </c>
      <c r="D10110" t="n">
        <v>1</v>
      </c>
      <c r="E10110" t="n">
        <v>5</v>
      </c>
      <c r="F10110">
        <f>HYPERLINK("https://www.reddit.com/r/GERD/comments/i9rbdi/update/")</f>
        <v/>
      </c>
      <c r="G10110" t="inlineStr">
        <is>
          <t>2020-08-14 11:23:21</t>
        </is>
      </c>
      <c r="H10110" t="inlineStr"/>
    </row>
    <row r="10111">
      <c r="A10111" t="inlineStr">
        <is>
          <t>i9ren1</t>
        </is>
      </c>
      <c r="B10111" t="inlineStr">
        <is>
          <t>Bending neck / bending over</t>
        </is>
      </c>
      <c r="C10111" t="inlineStr">
        <is>
          <t>I notice that if I bend my neck forward and swallow the lump in throat feeling feels particularly pronounced. I also get like a muscle pain feeling under my ribs when I bend. What has bending got to do with all of this? Does this sound familiar to anyone else?</t>
        </is>
      </c>
      <c r="D10111" t="n">
        <v>1</v>
      </c>
      <c r="E10111" t="n">
        <v>1</v>
      </c>
      <c r="F10111">
        <f>HYPERLINK("https://www.reddit.com/r/GERD/comments/i9ren1/bending_neck_bending_over/")</f>
        <v/>
      </c>
      <c r="G10111" t="inlineStr">
        <is>
          <t>2020-08-14 11:28:15</t>
        </is>
      </c>
      <c r="H10111" t="inlineStr"/>
    </row>
    <row r="10112">
      <c r="A10112" t="inlineStr">
        <is>
          <t>i9rwnc</t>
        </is>
      </c>
      <c r="B10112" t="inlineStr">
        <is>
          <t>I have a few questions about Omeprazole</t>
        </is>
      </c>
      <c r="C10112" t="inlineStr">
        <is>
          <t>I've never been officially diagnosed with anything, but my stomach is super sensitive to a lot of foods. Between heartburn, acid reflux, and tight chest feelings, It came to the point that I was constantly uncomfortable. 24/7. 
My friend suggested me Omeprazole, so i went to wal-mart and got some generic brand Omeprazole. 
And it worked miracles. I was never uncomfortable, slept better than i have, and generally felt better than I have in years. 
The box had 14 capsules, and the box said it was intended for a 2-week treatment. So i took it everyday for 2 weeks. And felt amazing the whole time. Then I felt good for about a week after... then it came back. 
Once it came back in full force, I bought another box and did another 2-week treatment. 
Same thing. felt amazing, then about a week later, it came back. 
So my questions are:
1.) Should I take it for a longer period of time?
2.) If i do take it for a longer period of time, what are the risks? 
3.) are the risks common? Or are the risks generally for people who take it over the span of a year or so?</t>
        </is>
      </c>
      <c r="D10112" t="n">
        <v>1</v>
      </c>
      <c r="E10112" t="n">
        <v>5</v>
      </c>
      <c r="F10112">
        <f>HYPERLINK("https://www.reddit.com/r/GERD/comments/i9rwnc/i_have_a_few_questions_about_omeprazole/")</f>
        <v/>
      </c>
      <c r="G10112" t="inlineStr">
        <is>
          <t>2020-08-14 11:55:01</t>
        </is>
      </c>
      <c r="H10112" t="inlineStr"/>
    </row>
    <row r="10113">
      <c r="A10113" t="inlineStr">
        <is>
          <t>i9sptt</t>
        </is>
      </c>
      <c r="B10113" t="inlineStr">
        <is>
          <t>Food in my throat since yesterday</t>
        </is>
      </c>
      <c r="C10113" t="inlineStr">
        <is>
          <t xml:space="preserve">
Any help ? I was told I have gerd today by my doctor but since yesterday I’ve had food in my throat and it won’t go down no matter how many times I drink water</t>
        </is>
      </c>
      <c r="D10113" t="n">
        <v>1</v>
      </c>
      <c r="E10113" t="n">
        <v>12</v>
      </c>
      <c r="F10113">
        <f>HYPERLINK("https://www.reddit.com/r/GERD/comments/i9sptt/food_in_my_throat_since_yesterday/")</f>
        <v/>
      </c>
      <c r="G10113" t="inlineStr">
        <is>
          <t>2020-08-14 12:38:50</t>
        </is>
      </c>
      <c r="H10113" t="inlineStr"/>
    </row>
    <row r="10114">
      <c r="A10114" t="inlineStr">
        <is>
          <t>i9uw99</t>
        </is>
      </c>
      <c r="B10114" t="inlineStr">
        <is>
          <t>Has anyone had a nasolaryngscopy?</t>
        </is>
      </c>
      <c r="C10114" t="inlineStr">
        <is>
          <t>I had one done last week due to extreme throat tightness and the feeling like I am being choked. This sensation is mainly on the front and sides of my throat (jaw line and under ear). 
I’ve had symptoms on and off since April 2020...doc immediately said that she thought it was GERD and prescribed 2 weeks of Prilosec. Symptoms went away and then came back with a vengeance in the middle of the night within the month and I was really close to going to the ER. I was referred to an ENT, who thought it was GERD and prescribed me a double dose of Prilosec for 1 month. Symptoms continued, despite changing to a GERD friendly diet. I finally got an in-person appointment last week with the ENT and he did a nasolaryngscopy. Everything looked normal! No irritation or redness to my throat or vocal chords. But, the next day, I woke up and had the sour taste in my throat for the first time ever. I can barely eat anything and have lost weight. I’m a pretty healthy 30-year old who had no previous problems with eating or drinking anything. 
Has anyone had anything similar? Any ideas on what’s going on? I requested a referral to a gastroenterologist, so I should be meeting with someone soon, I hope.</t>
        </is>
      </c>
      <c r="D10114" t="n">
        <v>1</v>
      </c>
      <c r="E10114" t="n">
        <v>16</v>
      </c>
      <c r="F10114">
        <f>HYPERLINK("https://www.reddit.com/r/GERD/comments/i9uw99/has_anyone_had_a_nasolaryngscopy/")</f>
        <v/>
      </c>
      <c r="G10114" t="inlineStr">
        <is>
          <t>2020-08-14 14:37:14</t>
        </is>
      </c>
      <c r="H10114" t="inlineStr"/>
    </row>
    <row r="10115">
      <c r="A10115" t="inlineStr">
        <is>
          <t>i9v8k6</t>
        </is>
      </c>
      <c r="B10115" t="inlineStr">
        <is>
          <t>Ice cold acid reflux feeling?</t>
        </is>
      </c>
      <c r="C10115" t="inlineStr">
        <is>
          <t>I’ve been diagnosed with LPR for 6 months now, tried everything you can name and still have issues - mostly with breathing, heart palpitations and incredibly badly stuffed sinuses. 
I rarely get the feeling of actual acid coming up my throat - I used to but not so much the past few months, but I’ve noticed that when I do get the feeling of acid coming up my throat it “burn” like it used to - it instead feels like an ice cold feeling in my mid-lower throat. It usually goes away pretty fast are taking some Gaviscon Advance but does anyone else get that feeling of it being ice cold as opposed to burning? I’m 99% sure it is acid, just a very different feeling than I used to get.</t>
        </is>
      </c>
      <c r="D10115" t="n">
        <v>1</v>
      </c>
      <c r="E10115" t="n">
        <v>2</v>
      </c>
      <c r="F10115">
        <f>HYPERLINK("https://www.reddit.com/r/GERD/comments/i9v8k6/ice_cold_acid_reflux_feeling/")</f>
        <v/>
      </c>
      <c r="G10115" t="inlineStr">
        <is>
          <t>2020-08-14 14:56:27</t>
        </is>
      </c>
      <c r="H10115" t="inlineStr"/>
    </row>
    <row r="10116">
      <c r="A10116" t="inlineStr">
        <is>
          <t>i9v9ed</t>
        </is>
      </c>
      <c r="B10116" t="inlineStr">
        <is>
          <t>What can replace healthy fats in your diet if fats trigger your symptoms? (almonds, peanuts, avocados, salmon, etc.)</t>
        </is>
      </c>
      <c r="C10116" t="inlineStr">
        <is>
          <t>So I have noticed that high fat foods trigger my LPR  symptoms. After eating salmon or almonds I start burping a lot and these burps kind of burn my throat for the rest of the day. I have been eating a lot of foods high in healthy fats for the past couple of years trying to gain weight (Im underweight). Most of these foods are nuts, salmon and avocado. The avocado is usually fine every other day (not often), but salmon and nuts (like almonds) trigger me no matter what. My doctor also advised to stop eating wheat until my symptoms get better. At this point I am only eating fruits, veggies and lean proteins, but I am a bit clueless what to eat for snack time. I am also still trying to gain weight so is there an option with high calories? Does anyone have suggestions?</t>
        </is>
      </c>
      <c r="D10116" t="n">
        <v>1</v>
      </c>
      <c r="E10116" t="n">
        <v>0</v>
      </c>
      <c r="F10116">
        <f>HYPERLINK("https://www.reddit.com/r/GERD/comments/i9v9ed/what_can_replace_healthy_fats_in_your_diet_if/")</f>
        <v/>
      </c>
      <c r="G10116" t="inlineStr">
        <is>
          <t>2020-08-14 14:57:41</t>
        </is>
      </c>
      <c r="H10116" t="inlineStr"/>
    </row>
    <row r="10117">
      <c r="A10117" t="inlineStr">
        <is>
          <t>i9w94t</t>
        </is>
      </c>
      <c r="B10117" t="inlineStr">
        <is>
          <t>Experience with Pantoprazole</t>
        </is>
      </c>
      <c r="C10117" t="inlineStr">
        <is>
          <t>Hello Gerd world! I have just been prescribed Pantoprazole after my endoscopy (omg I felt like I got “Men-in-Blacked” lol I don’t remember a single thing) what is y’all’s experience with that medicine? Omeprazole fucked my life up so she’s recommending this. Give me the good and the bad! Y’all are great and thanks to those who took the time to write anything</t>
        </is>
      </c>
      <c r="D10117" t="n">
        <v>1</v>
      </c>
      <c r="E10117" t="n">
        <v>12</v>
      </c>
      <c r="F10117">
        <f>HYPERLINK("https://www.reddit.com/r/GERD/comments/i9w94t/experience_with_pantoprazole/")</f>
        <v/>
      </c>
      <c r="G10117" t="inlineStr">
        <is>
          <t>2020-08-14 15:54:54</t>
        </is>
      </c>
      <c r="H10117" t="inlineStr"/>
    </row>
    <row r="10118">
      <c r="A10118" t="inlineStr">
        <is>
          <t>i9wzx7</t>
        </is>
      </c>
      <c r="B10118" t="inlineStr">
        <is>
          <t>Looking for information weighing the risk of gastric cancer with long term PPI use vs. risk of esophogeal cancer from electing NOT to take the PPIs.</t>
        </is>
      </c>
      <c r="C10118" t="inlineStr">
        <is>
          <t>Hello,
  GERD sufferer here with mass in left side of neck above clavicle, need to go for an ultrasound to check the mass and I have an order in for an endoscopy. I currently take 20mg famotidine every night before going to bed. I suppose this controls my symptoms well enough but I still deal with them all day including burping up acid into my mouth regularly. I would love to take the PPIs every day as my gastro has instructed, but have not yet started because I would probably have to be on them for 40 years or for however much longer I live (currently 31 y.o.). The increased risk of gastric cancer with chronic PPI use it pretty well established and the risk increases with increasing time taking the drug (especially if taken daily). My question is, has anyone been able to find information weighing the risk of esophogeal cancer from NOT taking the PPIs vs. the relative risk of getting gastric cancer while taking them. This is confusing to me, are there any hard numbers which can show for example, don't take the PPI and your total lifetime risk of esophogeal cancer is X, take the PPI daily and your total lifetime risk of gastric cancer is Y (with each having the same unit, say, out of 100,000). Thank you.</t>
        </is>
      </c>
      <c r="D10118" t="n">
        <v>1</v>
      </c>
      <c r="E10118" t="n">
        <v>3</v>
      </c>
      <c r="F10118">
        <f>HYPERLINK("https://www.reddit.com/r/GERD/comments/i9wzx7/looking_for_information_weighing_the_risk_of/")</f>
        <v/>
      </c>
      <c r="G10118" t="inlineStr">
        <is>
          <t>2020-08-14 16:39:33</t>
        </is>
      </c>
      <c r="H10118" t="inlineStr"/>
    </row>
    <row r="10119">
      <c r="A10119" t="inlineStr">
        <is>
          <t>i9zpga</t>
        </is>
      </c>
      <c r="B10119" t="inlineStr">
        <is>
          <t>First aid for hoarseness</t>
        </is>
      </c>
      <c r="C10119" t="inlineStr">
        <is>
          <t>I’m a teacher, which involves a lot of talking. I always get hoarse the first week of school with the much greater volume of talking that comes with it. Problem is that this year my reflux is off the charts like never before, it’s only been one day and I’m hogares and turn up</t>
        </is>
      </c>
      <c r="D10119" t="n">
        <v>1</v>
      </c>
      <c r="E10119" t="n">
        <v>2</v>
      </c>
      <c r="F10119">
        <f>HYPERLINK("https://www.reddit.com/r/GERD/comments/i9zpga/first_aid_for_hoarseness/")</f>
        <v/>
      </c>
      <c r="G10119" t="inlineStr">
        <is>
          <t>2020-08-14 19:39:57</t>
        </is>
      </c>
      <c r="H10119" t="inlineStr"/>
    </row>
    <row r="10120">
      <c r="A10120" t="inlineStr">
        <is>
          <t>i9zvq3</t>
        </is>
      </c>
      <c r="B10120" t="inlineStr">
        <is>
          <t>Gas</t>
        </is>
      </c>
      <c r="C10120" t="inlineStr">
        <is>
          <t>I have gas in my chest and it’s very uncomfortable can somebody help me get rid of it I took gas x</t>
        </is>
      </c>
      <c r="D10120" t="n">
        <v>1</v>
      </c>
      <c r="E10120" t="n">
        <v>2</v>
      </c>
      <c r="F10120">
        <f>HYPERLINK("https://www.reddit.com/r/GERD/comments/i9zvq3/gas/")</f>
        <v/>
      </c>
      <c r="G10120" t="inlineStr">
        <is>
          <t>2020-08-14 19:52:29</t>
        </is>
      </c>
      <c r="H10120" t="inlineStr"/>
    </row>
    <row r="10121">
      <c r="A10121" t="inlineStr">
        <is>
          <t>ia00rf</t>
        </is>
      </c>
      <c r="B10121" t="inlineStr">
        <is>
          <t>H2 blocker with PPI</t>
        </is>
      </c>
      <c r="C10121" t="inlineStr">
        <is>
          <t>Hey I’m at a loss here. I get severe side effects when I dose somewhat high on PPIs. So I switched to 40mg Pepcid 2x a day. But this dose doesn’t fully help my reflux at all. So I was thinking to add a low dose PPI (20mg nexium) in with this. Is this possible/healthy? 
(I have a hietal hernia and I’ve been trying a bunch of stuff to try to get rid of reflux without PPIs as I can’t have a surgery anytime soon due to college.)</t>
        </is>
      </c>
      <c r="D10121" t="n">
        <v>1</v>
      </c>
      <c r="E10121" t="n">
        <v>2</v>
      </c>
      <c r="F10121">
        <f>HYPERLINK("https://www.reddit.com/r/GERD/comments/ia00rf/h2_blocker_with_ppi/")</f>
        <v/>
      </c>
      <c r="G10121" t="inlineStr">
        <is>
          <t>2020-08-14 20:02:30</t>
        </is>
      </c>
      <c r="H10121" t="inlineStr"/>
    </row>
    <row r="10122">
      <c r="A10122" t="inlineStr">
        <is>
          <t>ia0ci3</t>
        </is>
      </c>
      <c r="B10122" t="inlineStr">
        <is>
          <t>ENT or Gastrointestinal doctor for GERD maybe silent reflux?</t>
        </is>
      </c>
      <c r="C10122" t="inlineStr">
        <is>
          <t>So I’ve been told I probably have gerd before but once I lost weight it went away. Now I’m getting this weird feeling in my throat where I constantly feel like I have to cough and clear my throat a lot but when I spit whatever I think is in my throat nothing comes up except clear regular saliva. I’ve never been known to have allergies either so I’m not sure if this is silent reflux or I could just now be developing allergies I don’t know. It only started a week ago. 
Which doctor would be best to see for this problem?</t>
        </is>
      </c>
      <c r="D10122" t="n">
        <v>1</v>
      </c>
      <c r="E10122" t="n">
        <v>10</v>
      </c>
      <c r="F10122">
        <f>HYPERLINK("https://www.reddit.com/r/GERD/comments/ia0ci3/ent_or_gastrointestinal_doctor_for_gerd_maybe/")</f>
        <v/>
      </c>
      <c r="G10122" t="inlineStr">
        <is>
          <t>2020-08-14 20:26:14</t>
        </is>
      </c>
      <c r="H10122" t="inlineStr"/>
    </row>
    <row r="10123">
      <c r="A10123" t="inlineStr">
        <is>
          <t>ia15tw</t>
        </is>
      </c>
      <c r="B10123" t="inlineStr">
        <is>
          <t>Can GERD come on overnight? and never before?</t>
        </is>
      </c>
      <c r="C10123" t="inlineStr">
        <is>
          <t>So;
I had the flu (about a month before cov id existed; and been tested, so rule that out), and was cleaning the house while I was sick.
I live in a LOT of mould (old, seaside house, there's just no beating it).
As I got better from the flu, I developed a cough,  difficulty breathing, and cold sweats; however my oxygen levels, even when exercising lightly (long walks) was still at 98~100%.
Doctor diagnosed me with GERD; and he's not entirely wrong, there is a **MAJOR** link between eating and breathing.
Biggest trigger so far, is water.
Even a sip of water has me racing for the asthma puffer (I don't usually take any medication).
I've been on 80mg Esomeprazole (40mg twice a day) for a month, and now 20mg twice a day for the last 2 months.
I'm slowly improving in my breathing; but it's been almost 8 months in total.
But I'm still coughing up huge amounts of phlegm; it's 100% clear, no blood, no discoloration, just very frothy.
Originally I assumed I had a fungal infection (cleaning mould, while sick); but there shouldn't be a link between drinking water, and breathing, if that were the case.
My doctor informs me fungal lung infections are not just near impossible in a healthy adult, but they have some very obvious symptoms (like coughing up blood or discolored mucus)
I'm starting to suspect a Hiatal hernia or some such?
What do we all think? 
Is it common for someone who's *never* suffered heartburn in their life; basically (previously) lived on a diet of onions, garlic, chilli, and tomatoes; to just wake up one day with GERD?
7+ months of social isolation is really getting to me at this point; 
I'm both scared, and considerate enough to not venture into the world when I have: Chills, laryngitis, breathing difficulties, cough, and stomach upset.
While Dr.Google tells me, all the above do certainly point to GERD; It's just amazing to me that it can develop overnight.
Common?</t>
        </is>
      </c>
      <c r="D10123" t="n">
        <v>1</v>
      </c>
      <c r="E10123" t="n">
        <v>21</v>
      </c>
      <c r="F10123">
        <f>HYPERLINK("https://www.reddit.com/r/GERD/comments/ia15tw/can_gerd_come_on_overnight_and_never_before/")</f>
        <v/>
      </c>
      <c r="G10123" t="inlineStr">
        <is>
          <t>2020-08-14 21:28:15</t>
        </is>
      </c>
      <c r="H10123" t="inlineStr"/>
    </row>
    <row r="10124">
      <c r="A10124" t="inlineStr">
        <is>
          <t>ia19gl</t>
        </is>
      </c>
      <c r="B10124" t="inlineStr">
        <is>
          <t>LPR - throat and ear ache ?</t>
        </is>
      </c>
      <c r="C10124" t="inlineStr">
        <is>
          <t>Has anyone experienced throat and ear ache(flares up occasionally and then stays for a few days) from LPR ?</t>
        </is>
      </c>
      <c r="D10124" t="n">
        <v>1</v>
      </c>
      <c r="E10124" t="n">
        <v>18</v>
      </c>
      <c r="F10124">
        <f>HYPERLINK("https://www.reddit.com/r/GERD/comments/ia19gl/lpr_throat_and_ear_ache/")</f>
        <v/>
      </c>
      <c r="G10124" t="inlineStr">
        <is>
          <t>2020-08-14 21:36:27</t>
        </is>
      </c>
      <c r="H10124" t="inlineStr"/>
    </row>
    <row r="10125">
      <c r="A10125" t="inlineStr">
        <is>
          <t>ia2d2c</t>
        </is>
      </c>
      <c r="B10125" t="inlineStr">
        <is>
          <t>Reflux band...how do you buy it?</t>
        </is>
      </c>
      <c r="C10125" t="inlineStr">
        <is>
          <t>I saw an article that mentioned a Reflux/Reza Band for nighttime acid. The company’s website doesn’t have a way to buy it and I can’t seem to buy it anywhere online. I haven’t seen any bad media over it (it was new technology in 2018 I think) so I’m wondering if it is just not available anymore for some reason? Or if you have to buy it from certain doctors or something? Let me know if you know what happened! I really wanted to try it out.</t>
        </is>
      </c>
      <c r="D10125" t="n">
        <v>1</v>
      </c>
      <c r="E10125" t="n">
        <v>1</v>
      </c>
      <c r="F10125">
        <f>HYPERLINK("https://www.reddit.com/r/GERD/comments/ia2d2c/reflux_bandhow_do_you_buy_it/")</f>
        <v/>
      </c>
      <c r="G10125" t="inlineStr">
        <is>
          <t>2020-08-14 23:08:42</t>
        </is>
      </c>
      <c r="H10125" t="inlineStr"/>
    </row>
    <row r="10126">
      <c r="A10126" t="inlineStr">
        <is>
          <t>ia2eke</t>
        </is>
      </c>
      <c r="B10126" t="inlineStr">
        <is>
          <t>Finally Feeling Better</t>
        </is>
      </c>
      <c r="C10126" t="inlineStr">
        <is>
          <t>My GERD started in mid-late March. It started as acid reflux which I ignored for maybe a month until my esophagus started hurting. Took antacids for 2 weeks, felt slightly better, 3 days better I was in pain. I went to the doctor and he diagnosed GERD, and gave me a higher dose of omeprazole for a week and told me to take 14 days over the counter omeprazole  after. This is when I learned about diet. I had been eating "healthy" but eating eggs, tomatoes, and some cheese.
Now, antacids help but it is not magic. I took it for those 3 weeks and didn't go to the doctor anymore as I know it was all about diet and my body needed some time to heal. This is what really helped me out.
1- Ginger Tea:
This is one of the best things I have been taking. I take some before breakfast and some during the evening. It is pretty simple to make. Just boil water ( I usually do 2 Liters), wash your ginger and cut it into thin slices. It is better to put more ginger than too little as you can always dilute it. Boil the water, add your ginger. Let it simmer for 15 mins. Then set it on your counter and cover it with a lid, let it sit for 2 hours. Finally use a colander to get only liquid in a jug. Keep it in the fridge. I personally drink it hot, as it helps with digestion. Mixing cold drinks with food slows digestion.  This help me a lot with the healing.
2- Cuachalalate Tea:
I didn't even know this existed until a friend recommended it. I boil 2 liters and add a piece of the wood for 15 minutes and it will be ready. Apparently you can use 1 piece up to 5 times. Just like the ginger you can probably drink it hot or cold, I drink it hot.
3- Ginger/Cuachalalate Tea:
This is just my personal mixture. Instead of making separate teas I just mix them. I make each separately. I make the ginger tea, put it in a jug, and then the Cuachalalate and add it to the same jug. I keep this jug in my fridge and usually lasts for 5 days. About 4 liters (2 liters of the ginger 2 of the Cuachalalate), which I mix with a spoon before serving, pour in a cup heat it up and drink.
4- Baking soda:
In about 1 liter I add 1 teaspoon of baking soda. It makes me burp but it makes me feel better.
During the nights about 1 hour before bed I get about 4 oz of water and add 1 teaspoon of baking soda, microwave it for 30 seconds, let it cool off and drink it. It tastes pretty bad but you will burp and feel great.
5- Pillows:
This has been the hardest for me, I use to sleep on my left side with a single pillow. I had to change it 2 pillows and sleeping facing the roof. I try to get my shoulders on my pillow so it is not just my head that is elevated. I think this really helps with the healing of  your body.
6- Meditation:
Meditate for a little bit even 5 minutes help. I personally sit, close my eyes and relax. Then I ask my body to please help me healing it and say we can do it. I thank my body for another blessed day of being alive and continue with my day. If you are religious this should be very easy just pray for healing in a similar way.
7- Diet: This is what I have been eating. Also take a few deep breathed to relax before you eat.
Breakfast:
Fruits - Apples, Peaches, Bananas
Whole Wheat Toast (I buy Oroweat, if you have HEB their Essential Grains one works too) with natural peanut butter no sugar added.
Lunch: 
Toast with Roasted Oven Turkey slices
Black Beans - I use to buy canned whole beans, but I tried some that must have a lot of grease in them because I felt terrible, they were Costeña so don't eat those. 
Carrots
Dinner:
Whole Wheat Cereal and some Oatmeal with Almond milk.
I have slowly been introducing a little bit of cheese, and other things. I have cheated a little bit but nothing terrible. I still haven't tried fried foods or salsa but I don't plan to just yet.
I have been doing all these for 2 months now. I feel waaay better. Hopefully it helps somebody! TRY THE TEAS THEY WORK!</t>
        </is>
      </c>
      <c r="D10126" t="n">
        <v>1</v>
      </c>
      <c r="E10126" t="n">
        <v>7</v>
      </c>
      <c r="F10126">
        <f>HYPERLINK("https://www.reddit.com/r/GERD/comments/ia2eke/finally_feeling_better/")</f>
        <v/>
      </c>
      <c r="G10126" t="inlineStr">
        <is>
          <t>2020-08-14 23:12:20</t>
        </is>
      </c>
      <c r="H10126" t="inlineStr"/>
    </row>
    <row r="10127">
      <c r="A10127" t="inlineStr">
        <is>
          <t>ia3edv</t>
        </is>
      </c>
      <c r="B10127" t="inlineStr">
        <is>
          <t>i have a remission stadia</t>
        </is>
      </c>
      <c r="C10127" t="inlineStr">
        <is>
          <t>hello there.
i don’t wanna make a mistake and i need to know, do you eat turkey ? is it okay for people with gerd ?
* i understand everything is individually and it can be different from person to person, but nah
** finally i have a remission stadia and now i’m afraid as never was</t>
        </is>
      </c>
      <c r="D10127" t="n">
        <v>1</v>
      </c>
      <c r="E10127" t="n">
        <v>1</v>
      </c>
      <c r="F10127">
        <f>HYPERLINK("https://www.reddit.com/r/GERD/comments/ia3edv/i_have_a_remission_stadia/")</f>
        <v/>
      </c>
      <c r="G10127" t="inlineStr">
        <is>
          <t>2020-08-15 00:46:06</t>
        </is>
      </c>
      <c r="H10127" t="inlineStr"/>
    </row>
    <row r="10128">
      <c r="A10128" t="inlineStr">
        <is>
          <t>ia3tc7</t>
        </is>
      </c>
      <c r="B10128" t="inlineStr">
        <is>
          <t>Broken bones? PPI side effect?</t>
        </is>
      </c>
      <c r="C10128" t="inlineStr">
        <is>
          <t>I'm terrible with dates, but without consulting my notes, roughly speaking...
I was diagnosed with GERD about 5-10 years ago. I got the diagnosis after increasing difficulty swallowing (dysphagia). I was dilated and that resolved the dysphagia. I was also put on a single PPI daily or more frequently as required. My dose is the smallest prescribable tablet size. Several members of aunt's and uncles are also on PPIs.
After beinig on daily PPIs for about 5-10 years, withing the space of 12 months, I broke the bone in my elbow, and on another occasioin badly broke several ribs. In both cases these were just what I woukld consider minor tumbles, where I would expect to just dust myself off and continue - one was a slip on ice while walking and the other a fall while jogging in bad lighting on an off road route. I had never previously broken a bone in my life. I am and have always been active, fit and lean.
These breaks (and concerns over using PPIs for the rest of my life) led me to wean myself off the PPIs and I only use them now if I find myself having some stomach pain/burninig.
Is weakened bones a known common side effect of PPIs? Have others experienced this?</t>
        </is>
      </c>
      <c r="D10128" t="n">
        <v>1</v>
      </c>
      <c r="E10128" t="n">
        <v>8</v>
      </c>
      <c r="F10128">
        <f>HYPERLINK("https://www.reddit.com/r/GERD/comments/ia3tc7/broken_bones_ppi_side_effect/")</f>
        <v/>
      </c>
      <c r="G10128" t="inlineStr">
        <is>
          <t>2020-08-15 01:27:25</t>
        </is>
      </c>
      <c r="H10128" t="inlineStr"/>
    </row>
    <row r="10129">
      <c r="A10129" t="inlineStr">
        <is>
          <t>ia452d</t>
        </is>
      </c>
      <c r="B10129" t="inlineStr">
        <is>
          <t>How to solve dry throat and thick mucus -LPR</t>
        </is>
      </c>
      <c r="C10129" t="inlineStr">
        <is>
          <t>Anyone have any suggestions for this? Specifically at nighttime/during sleep?</t>
        </is>
      </c>
      <c r="D10129" t="n">
        <v>1</v>
      </c>
      <c r="E10129" t="n">
        <v>3</v>
      </c>
      <c r="F10129">
        <f>HYPERLINK("https://www.reddit.com/r/GERD/comments/ia452d/how_to_solve_dry_throat_and_thick_mucus_lpr/")</f>
        <v/>
      </c>
      <c r="G10129" t="inlineStr">
        <is>
          <t>2020-08-15 02:00:53</t>
        </is>
      </c>
      <c r="H10129" t="inlineStr"/>
    </row>
    <row r="10130">
      <c r="A10130" t="inlineStr">
        <is>
          <t>ia4ogm</t>
        </is>
      </c>
      <c r="B10130" t="inlineStr">
        <is>
          <t>Best over the counter treatment?</t>
        </is>
      </c>
      <c r="C10130" t="inlineStr">
        <is>
          <t>I wouldn’t say I have chronic heartburn but a week every few months I’ll have 5 days straight of what feel like I’m swallowing lava up and down from my chest to my throat, this is usually a week where I’ve been eating horribly. For context I am in Canada, what would be the best over the counter medicine I can get? My best remedy so far has been water, I’ve tried pesto bismol extra strength but it hasn’t worked at all even in high doses.</t>
        </is>
      </c>
      <c r="D10130" t="n">
        <v>1</v>
      </c>
      <c r="E10130" t="n">
        <v>13</v>
      </c>
      <c r="F10130">
        <f>HYPERLINK("https://www.reddit.com/r/GERD/comments/ia4ogm/best_over_the_counter_treatment/")</f>
        <v/>
      </c>
      <c r="G10130" t="inlineStr">
        <is>
          <t>2020-08-15 02:54:36</t>
        </is>
      </c>
      <c r="H10130" t="inlineStr"/>
    </row>
    <row r="10131">
      <c r="A10131" t="inlineStr">
        <is>
          <t>ia54ft</t>
        </is>
      </c>
      <c r="B10131" t="inlineStr">
        <is>
          <t>Shortness of breath caused by gerd ?</t>
        </is>
      </c>
      <c r="C10131" t="inlineStr">
        <is>
          <t>Hello, I have shortness of breath  for some days now, I started  PPI at  40 mg per day because my reflux are  extremly horrible  these last weeks
Can gerd cause shortness of breath  ? can gerd   cause inflammation of the mouth / tongue ? 
&amp;amp;#x200B;
I bought an oximeter and my oxygen saturation is between 98-99% most of the time  
I just feel I have difficulty to take a deep breath 
I don't have any difficulty to walk long distance  or  run, its just a weird sensation in my chest</t>
        </is>
      </c>
      <c r="D10131" t="n">
        <v>1</v>
      </c>
      <c r="E10131" t="n">
        <v>51</v>
      </c>
      <c r="F10131">
        <f>HYPERLINK("https://www.reddit.com/r/GERD/comments/ia54ft/shortness_of_breath_caused_by_gerd/")</f>
        <v/>
      </c>
      <c r="G10131" t="inlineStr">
        <is>
          <t>2020-08-15 03:35:32</t>
        </is>
      </c>
      <c r="H10131" t="inlineStr"/>
    </row>
    <row r="10132">
      <c r="A10132" t="inlineStr">
        <is>
          <t>ia56t5</t>
        </is>
      </c>
      <c r="B10132" t="inlineStr">
        <is>
          <t>Could this still be GERD/LPR?</t>
        </is>
      </c>
      <c r="C10132" t="inlineStr">
        <is>
          <t>Maybe this resonates with or sounds familiar to some of you. I've been through quite the odyssey for the past year. 
All started out with sudden shortness of breath and a dry chronic cough I couldn't shake. Initially I got prescribed with an asthma inhaler which controlled the problem until I got off of it. Getting back on it again didn't help anymore. I then went to a bunch of different doctors, got tested for allergies, lung function and the likes. Nothing came up until a gastric xray showed that substantial amounts of stomach acid came back up.
I was put on pantoprazole 40mg once a day which didn't make any difference whatsoever. My ENT suggested trying to double the dosage just to see if that did anything. Within 2-3 days my symptoms were gone. However, everyone I talked to advised strongly against taking this dosage for longer periods of time. So I underwent the Nissen fundoplication in March 2020. Long story short, I'm still coughing, although it does seem to have improved by maybe 20-30% or so and at least I don't have the shortness of breath anymore. I then tried rabeprazole 20mg (as the big pantoprazole tablets where too big to swallow for me after the Nissen) twice a day to no avail.
My main symptom basically is a constant tickle in the throat that sometimes feels like burning as well. I have this basically every day regardless of diet. Oftentimes it will be better for a day or a couple of hours but otherwise it's like a tinnitus in the throat. This has drained me mentally to a point where I frequently am on the brink of crying. It's worse after getting up in the morning and eating but seems to improve while talking or exercising.
I've recently seen a neurologist and got prescribed gabapentin as this may be a vagus nerve problem. At the moment I'm taking 1500mg a day plus pantoprazole 20mg. There's some improvement but I'm still dealing with this on a daily basis... Have any of you experienced similar symptoms and what do you think this could be caused by? Could it still be reflux or could it, in fact, be due to a damaged nerve?
tl;dr: Have any of you experienced this constant tickle in the throat with a dry chronic cough (without any other symptoms) and if so, what - if anything - has helped you with this particular problem?</t>
        </is>
      </c>
      <c r="D10132" t="n">
        <v>1</v>
      </c>
      <c r="E10132" t="n">
        <v>2</v>
      </c>
      <c r="F10132">
        <f>HYPERLINK("https://www.reddit.com/r/GERD/comments/ia56t5/could_this_still_be_gerdlpr/")</f>
        <v/>
      </c>
      <c r="G10132" t="inlineStr">
        <is>
          <t>2020-08-15 03:41:49</t>
        </is>
      </c>
      <c r="H10132" t="inlineStr"/>
    </row>
    <row r="10133">
      <c r="A10133" t="inlineStr">
        <is>
          <t>ia5wg6</t>
        </is>
      </c>
      <c r="B10133" t="inlineStr">
        <is>
          <t>Any advice is welcome :D</t>
        </is>
      </c>
      <c r="C10133" t="inlineStr">
        <is>
          <t>I've just been awake for 12 hours, staring out of the window between trips to the toilet to barf from this GERD that I've had for years now.
I just started taking Omeprazole(PPI), after the Gavisgon wasn't really working enough.
Does anyone have any tips on what to take or perhaps some home remedies? 😄 anything is welcome, if it helped you, it could help me! 🙃</t>
        </is>
      </c>
      <c r="D10133" t="n">
        <v>1</v>
      </c>
      <c r="E10133" t="n">
        <v>6</v>
      </c>
      <c r="F10133">
        <f>HYPERLINK("https://www.reddit.com/r/GERD/comments/ia5wg6/any_advice_is_welcome_d/")</f>
        <v/>
      </c>
      <c r="G10133" t="inlineStr">
        <is>
          <t>2020-08-15 04:44:15</t>
        </is>
      </c>
      <c r="H10133" t="inlineStr"/>
    </row>
    <row r="10134">
      <c r="A10134" t="inlineStr">
        <is>
          <t>ia64qc</t>
        </is>
      </c>
      <c r="B10134" t="inlineStr">
        <is>
          <t>Vegetarian GERD diet?</t>
        </is>
      </c>
      <c r="C10134" t="inlineStr">
        <is>
          <t>I’m interested in trying a GERD friendly diet but man, it seems tough to do vegetarian?
Are eggs and cheese too high fat so I should try cutting down on them?
What are some GERD friendly vegetarian meals?</t>
        </is>
      </c>
      <c r="D10134" t="n">
        <v>1</v>
      </c>
      <c r="E10134" t="n">
        <v>7</v>
      </c>
      <c r="F10134">
        <f>HYPERLINK("https://www.reddit.com/r/GERD/comments/ia64qc/vegetarian_gerd_diet/")</f>
        <v/>
      </c>
      <c r="G10134" t="inlineStr">
        <is>
          <t>2020-08-15 05:02:11</t>
        </is>
      </c>
      <c r="H10134" t="inlineStr"/>
    </row>
    <row r="10135">
      <c r="A10135" t="inlineStr">
        <is>
          <t>ia6vfu</t>
        </is>
      </c>
      <c r="B10135" t="inlineStr">
        <is>
          <t>Alternative to PPI : Fear of kidney disease ?</t>
        </is>
      </c>
      <c r="C10135" t="inlineStr">
        <is>
          <t>Hello, I have an horrible pain in my back in certain position,  Gaviscon didn't help at all, but PPI at  40 mg per day  was very very effective, the pain was reduced by 80-90% in just 2 days  
Is there any effective alternative ? this  medication is a miracle but  i'm scared of potential side effect in long term</t>
        </is>
      </c>
      <c r="D10135" t="n">
        <v>1</v>
      </c>
      <c r="E10135" t="n">
        <v>2</v>
      </c>
      <c r="F10135">
        <f>HYPERLINK("https://www.reddit.com/r/GERD/comments/ia6vfu/alternative_to_ppi_fear_of_kidney_disease/")</f>
        <v/>
      </c>
      <c r="G10135" t="inlineStr">
        <is>
          <t>2020-08-15 05:56:23</t>
        </is>
      </c>
      <c r="H10135" t="inlineStr"/>
    </row>
    <row r="10136">
      <c r="A10136" t="inlineStr">
        <is>
          <t>ia6w7d</t>
        </is>
      </c>
      <c r="B10136" t="inlineStr">
        <is>
          <t>Intense heartburn despite 60mg lansoprazole</t>
        </is>
      </c>
      <c r="C10136" t="inlineStr">
        <is>
          <t>So I took 60mg of lansoprazole 30 mins before breakfast today. Breakfast was buttered toast with a couple of fried eggs and black coffee. A tablespoon of Gaviscon Advance after that, then two tums to hours after that. Just swam for 45 minutes and took two tums after that. Stomach and throat felt like an inferno while I was swimming. Also feel like I'm choking/throat is closing up and have this horrible nauseous gagging feeling in the back of my throat.
Totally realise I shouldn't have had that breakfast, and that if I'm getting reflux then swimming has resulted in stomach acid sloshing up my throat. I guess my question is shouldn't the PPI dose and antacid meds have at least helped? What are the mechanics of what I'm feeling here?
Had an endoscopy a month back which showed non-erosive gastritis and nothing else. Aldo had an ENT appt which showed some inflammation around my voice box likely due to reflux. Been on PPIs for years (recently changed from omeprazole to lansoprazole), tried lifestyle tweaks but they rarely stick. So sick of feeling this way.</t>
        </is>
      </c>
      <c r="D10136" t="n">
        <v>1</v>
      </c>
      <c r="E10136" t="n">
        <v>6</v>
      </c>
      <c r="F10136">
        <f>HYPERLINK("https://www.reddit.com/r/GERD/comments/ia6w7d/intense_heartburn_despite_60mg_lansoprazole/")</f>
        <v/>
      </c>
      <c r="G10136" t="inlineStr">
        <is>
          <t>2020-08-15 05:58:00</t>
        </is>
      </c>
      <c r="H10136" t="inlineStr"/>
    </row>
    <row r="10137">
      <c r="A10137" t="inlineStr">
        <is>
          <t>ia6x47</t>
        </is>
      </c>
      <c r="B10137" t="inlineStr">
        <is>
          <t>Asthma-Like Symptoms</t>
        </is>
      </c>
      <c r="C10137" t="inlineStr">
        <is>
          <t>Please delete if not appropriate, I am asking the following not for medical advice, but rather to see if I can get a second opinion.
Hello! I was just told I have GERD. Was prescribed Omeprazole and an emergency inhaler (I hadn't had asthma in over a decade and nurse told me GERD most likely triggered it). I feel I can breathe if I take in a deep breath, was told my oxygen levels and lungs sound great, yet feel my trachea area, upper chest is very tight (triggering my anxiety of asthma), my voice is hoarse and I rather not speak. I also feel I have some phlegm. Has anyone been prescribed something else for the tightness and phlegm (Benadryl, Guaifenesin, etc) or is this supposed to resolve with Omeprazole? Thank you in advance!</t>
        </is>
      </c>
      <c r="D10137" t="n">
        <v>1</v>
      </c>
      <c r="E10137" t="n">
        <v>5</v>
      </c>
      <c r="F10137">
        <f>HYPERLINK("https://www.reddit.com/r/GERD/comments/ia6x47/asthmalike_symptoms/")</f>
        <v/>
      </c>
      <c r="G10137" t="inlineStr">
        <is>
          <t>2020-08-15 05:59:46</t>
        </is>
      </c>
      <c r="H10137" t="inlineStr"/>
    </row>
    <row r="10138">
      <c r="A10138" t="inlineStr">
        <is>
          <t>ia75t0</t>
        </is>
      </c>
      <c r="B10138" t="inlineStr">
        <is>
          <t>Been taking probiotics for a while and its helped but only a little bit</t>
        </is>
      </c>
      <c r="C10138" t="inlineStr">
        <is>
          <t>I take Garden of Life 50 billion probiotic and probiotic yogurt. 
I usually open the Garden of Life pill and mix it my yogurt in the morning.
Is this the wrong way to take it?
&amp;amp;#x200B;
Is it better to take it on an empty stomach?</t>
        </is>
      </c>
      <c r="D10138" t="n">
        <v>1</v>
      </c>
      <c r="E10138" t="n">
        <v>5</v>
      </c>
      <c r="F10138">
        <f>HYPERLINK("https://www.reddit.com/r/GERD/comments/ia75t0/been_taking_probiotics_for_a_while_and_its_helped/")</f>
        <v/>
      </c>
      <c r="G10138" t="inlineStr">
        <is>
          <t>2020-08-15 06:15:35</t>
        </is>
      </c>
      <c r="H10138" t="inlineStr"/>
    </row>
    <row r="10139">
      <c r="A10139" t="inlineStr">
        <is>
          <t>iaa3mk</t>
        </is>
      </c>
      <c r="B10139" t="inlineStr">
        <is>
          <t>Kinda desperate...</t>
        </is>
      </c>
      <c r="C10139" t="inlineStr">
        <is>
          <t>Long story short i 've been dealing with the Gastritis for about 3 months. It all started after taking Antibiotics for Tonsilitis. Lost about 25 Kg, almost all of my muscles, can' t reach most of the time more than 1000 Calories a day. I am extremly weak, had pains in many parts of the body and i start fearing for the worse. I am moving back to my Family next week hopping to improve something or just spent some time with them. 
I 've been given at first omeprazol 20mg 2 times a day for 3 weeks
 then changed to pantoprazol 40mg 2 times for a week and then just on pill in the morning for the last 3 weeks
I was facing some intolerances at the beginning, and none of the pills really helped. All my medical exams, blood, Gastro etc came good and waiting just for a Coloskopie. 
My Doc said it is just a mental issue, and that i could eat anything i want, even Pizza(!), and also should stop the pills. After trying to leave Pantoprazol i 've expierienced Heartburn for the first time in my Life. Never had before and probably was caused by the damn pills as a rebound effect. Not to mention my intolerances remaing of course as before. 
&amp;amp;#x200B;
If anyone out there has problem with receiving the necessary amount of Calories, or lost a lot of weight i would like to hear your experiences. I feel somehow this is not gonna end well.</t>
        </is>
      </c>
      <c r="D10139" t="n">
        <v>1</v>
      </c>
      <c r="E10139" t="n">
        <v>8</v>
      </c>
      <c r="F10139">
        <f>HYPERLINK("https://www.reddit.com/r/GERD/comments/iaa3mk/kinda_desperate/")</f>
        <v/>
      </c>
      <c r="G10139" t="inlineStr">
        <is>
          <t>2020-08-15 09:13:04</t>
        </is>
      </c>
      <c r="H10139" t="inlineStr"/>
    </row>
    <row r="10140">
      <c r="A10140" t="inlineStr">
        <is>
          <t>iabmgs</t>
        </is>
      </c>
      <c r="B10140" t="inlineStr">
        <is>
          <t>GERD and itchy throat</t>
        </is>
      </c>
      <c r="C10140" t="inlineStr">
        <is>
          <t>Does anyone else occasionally have an itchy throat due to GERD/acid reflux? In addition to feeling the usual symptoms I occasionally have bubbling feeling in my lower/mid throat that’s more notice or upon swallowing, and mild throat itching. wasn’t sure if that was uncommon.</t>
        </is>
      </c>
      <c r="D10140" t="n">
        <v>1</v>
      </c>
      <c r="E10140" t="n">
        <v>2</v>
      </c>
      <c r="F10140">
        <f>HYPERLINK("https://www.reddit.com/r/GERD/comments/iabmgs/gerd_and_itchy_throat/")</f>
        <v/>
      </c>
      <c r="G10140" t="inlineStr">
        <is>
          <t>2020-08-15 10:35:22</t>
        </is>
      </c>
      <c r="H10140" t="inlineStr"/>
    </row>
    <row r="10141">
      <c r="A10141" t="inlineStr">
        <is>
          <t>iacw96</t>
        </is>
      </c>
      <c r="B10141" t="inlineStr">
        <is>
          <t>OMG FINALLY NO FARTING</t>
        </is>
      </c>
      <c r="C10141" t="inlineStr">
        <is>
          <t>Okay so I found these premade smoothies called "goodbelly" with a strong probiotic strain in it and I was very sceptical but I swear by the fact that my bloating has gone down significantly after about a week maybe a week and a half and my darting has reduced a ton. As well as my psoriasis is clearing up!! It may not work for everyone but I highly recommend a try!! My partner and I did probably double the recommended amount twice a day because the mango smoothie is aaaamazing. You can go on their website and get coupons for buy 2 get 1 free. This will forever be a part of my breakfast</t>
        </is>
      </c>
      <c r="D10141" t="n">
        <v>1</v>
      </c>
      <c r="E10141" t="n">
        <v>15</v>
      </c>
      <c r="F10141">
        <f>HYPERLINK("https://www.reddit.com/r/GERD/comments/iacw96/omg_finally_no_farting/")</f>
        <v/>
      </c>
      <c r="G10141" t="inlineStr">
        <is>
          <t>2020-08-15 11:43:12</t>
        </is>
      </c>
      <c r="H10141" t="inlineStr"/>
    </row>
    <row r="10142">
      <c r="A10142" t="inlineStr">
        <is>
          <t>iad06b</t>
        </is>
      </c>
      <c r="B10142" t="inlineStr">
        <is>
          <t>Anyone get periods of fatigue?</t>
        </is>
      </c>
      <c r="C10142" t="inlineStr">
        <is>
          <t>Hello! For 4 years or so, I've been getting quite bad fatigue it can last up to 3-4 weeks and then usually goes for a bit, during this time my Acid Reflux is particularly bad. I've only started to make a link between these after I stopped taking PPI's it came back in a few days, whilst on PPI I didn't have it.
My thoughts is perhaps Acid Reflux is causing Sleep Apnea when I am sleeping? Lately I have remember waking up a lot more than perhaps usual.</t>
        </is>
      </c>
      <c r="D10142" t="n">
        <v>1</v>
      </c>
      <c r="E10142" t="n">
        <v>2</v>
      </c>
      <c r="F10142">
        <f>HYPERLINK("https://www.reddit.com/r/GERD/comments/iad06b/anyone_get_periods_of_fatigue/")</f>
        <v/>
      </c>
      <c r="G10142" t="inlineStr">
        <is>
          <t>2020-08-15 11:49:03</t>
        </is>
      </c>
      <c r="H10142" t="inlineStr"/>
    </row>
    <row r="10143">
      <c r="A10143" t="inlineStr">
        <is>
          <t>iadye8</t>
        </is>
      </c>
      <c r="B10143" t="inlineStr">
        <is>
          <t>Pantoprazole and constipation</t>
        </is>
      </c>
      <c r="C10143" t="inlineStr">
        <is>
          <t>I’ve been on Pantoprazole for 2 or 3 weeks now, I’ve started taking gas x because of how bloated I feel and it def helps me burp but I have not pooped in AT LEAST 3 days, I honestly haven’t been pooping at all since I’ve been on it.... I feel so bloated and so much pressure, I’m debating a stool softener but i feel like I’ve just been taking so many things I’m not sure, similar experiences and advice?</t>
        </is>
      </c>
      <c r="D10143" t="n">
        <v>1</v>
      </c>
      <c r="E10143" t="n">
        <v>2</v>
      </c>
      <c r="F10143">
        <f>HYPERLINK("https://www.reddit.com/r/GERD/comments/iadye8/pantoprazole_and_constipation/")</f>
        <v/>
      </c>
      <c r="G10143" t="inlineStr">
        <is>
          <t>2020-08-15 12:40:40</t>
        </is>
      </c>
      <c r="H10143" t="inlineStr"/>
    </row>
    <row r="10144">
      <c r="A10144" t="inlineStr">
        <is>
          <t>iaezt5</t>
        </is>
      </c>
      <c r="B10144" t="inlineStr">
        <is>
          <t>What is a GERD attack?</t>
        </is>
      </c>
      <c r="C10144" t="inlineStr">
        <is>
          <t>I had pizza with massive amounts of sauce right before I went to sleep. I woke up about an hour later increase HR and a sensation of acid coming up my throat, with an elevated HR and some sweating. 
I ended up getting checked out by the EMS, they said vitals were normal. HR was at 98bpm by the time they showed up. It was elevated 120-140bpm when I had woken up from the “heartburn”. 
Now I have a sore throat I guess from the acid. But just was wondering if anyone has experienced these symptoms. Thanks guys.</t>
        </is>
      </c>
      <c r="D10144" t="n">
        <v>1</v>
      </c>
      <c r="E10144" t="n">
        <v>16</v>
      </c>
      <c r="F10144">
        <f>HYPERLINK("https://www.reddit.com/r/GERD/comments/iaezt5/what_is_a_gerd_attack/")</f>
        <v/>
      </c>
      <c r="G10144" t="inlineStr">
        <is>
          <t>2020-08-15 13:39:23</t>
        </is>
      </c>
      <c r="H10144" t="inlineStr"/>
    </row>
    <row r="10145">
      <c r="A10145" t="inlineStr">
        <is>
          <t>iaf403</t>
        </is>
      </c>
      <c r="B10145" t="inlineStr">
        <is>
          <t>Cold brew coffee</t>
        </is>
      </c>
      <c r="C10145" t="inlineStr">
        <is>
          <t>Has anyone tried to have cold brew coffee in place of regular coffee? Regular coffee always makes me feel awful it's probably one of my worst triggers so I was just curious about your guys's experiences</t>
        </is>
      </c>
      <c r="D10145" t="n">
        <v>1</v>
      </c>
      <c r="E10145" t="n">
        <v>10</v>
      </c>
      <c r="F10145">
        <f>HYPERLINK("https://www.reddit.com/r/GERD/comments/iaf403/cold_brew_coffee/")</f>
        <v/>
      </c>
      <c r="G10145" t="inlineStr">
        <is>
          <t>2020-08-15 13:46:12</t>
        </is>
      </c>
      <c r="H10145" t="inlineStr"/>
    </row>
    <row r="10146">
      <c r="A10146" t="inlineStr">
        <is>
          <t>iagrb8</t>
        </is>
      </c>
      <c r="B10146" t="inlineStr">
        <is>
          <t>White phlegm in throat</t>
        </is>
      </c>
      <c r="C10146" t="inlineStr">
        <is>
          <t>Does anyone else have white phlegm in the back of your throat? I can bring it up by clearing my throat, sometimes it is really sticky and sometimes it seems more liquid. Does this come from stomach or my lungs or from my nose?</t>
        </is>
      </c>
      <c r="D10146" t="n">
        <v>1</v>
      </c>
      <c r="E10146" t="n">
        <v>0</v>
      </c>
      <c r="F10146">
        <f>HYPERLINK("https://www.reddit.com/r/GERD/comments/iagrb8/white_phlegm_in_throat/")</f>
        <v/>
      </c>
      <c r="G10146" t="inlineStr">
        <is>
          <t>2020-08-15 15:22:13</t>
        </is>
      </c>
      <c r="H10146" t="inlineStr"/>
    </row>
    <row r="10147">
      <c r="A10147" t="inlineStr">
        <is>
          <t>iah8vm</t>
        </is>
      </c>
      <c r="B10147" t="inlineStr">
        <is>
          <t>Why are typical GERD triggers making my GERD symptoms better and PPIs making it worse?</t>
        </is>
      </c>
      <c r="C10147" t="inlineStr">
        <is>
          <t>I am so confused, I’ve been on omeprozole since 2013. I was always on 20mg but have tapered down to 5mg and more recently 800 mg of Tagamet instead of the omeprozle. Out of nowhere I’ve noticed when I take my PPI I feel disgustingly bloated and it makes my acid reflux worse when I eat. I’m guessing it slows my digestion down, and it makes me burp an insane amount. 
Here’s what I don’t get, why does eating very spicy foods and drinking coffee and carbonated water make my acid reflux symptoms better? What the hell is going on? The only thing I can think of is this is a digestion isssue, which in turn is causing my GERD symptoms l.</t>
        </is>
      </c>
      <c r="D10147" t="n">
        <v>1</v>
      </c>
      <c r="E10147" t="n">
        <v>12</v>
      </c>
      <c r="F10147">
        <f>HYPERLINK("https://www.reddit.com/r/GERD/comments/iah8vm/why_are_typical_gerd_triggers_making_my_gerd/")</f>
        <v/>
      </c>
      <c r="G10147" t="inlineStr">
        <is>
          <t>2020-08-15 15:52:01</t>
        </is>
      </c>
      <c r="H10147" t="inlineStr"/>
    </row>
    <row r="10148">
      <c r="A10148" t="inlineStr">
        <is>
          <t>iah8xj</t>
        </is>
      </c>
      <c r="B10148" t="inlineStr">
        <is>
          <t>Need help...</t>
        </is>
      </c>
      <c r="C10148" t="inlineStr">
        <is>
          <t>I literally can’t eat anything without getting heartburn, indigestion, hiccuping, burping, and feeling dizzy and fatigued. I’ve been popping Pepcid and gas x and tums like they’re skittles.</t>
        </is>
      </c>
      <c r="D10148" t="n">
        <v>1</v>
      </c>
      <c r="E10148" t="n">
        <v>3</v>
      </c>
      <c r="F10148">
        <f>HYPERLINK("https://www.reddit.com/r/GERD/comments/iah8xj/need_help/")</f>
        <v/>
      </c>
      <c r="G10148" t="inlineStr">
        <is>
          <t>2020-08-15 15:52:07</t>
        </is>
      </c>
      <c r="H10148" t="inlineStr"/>
    </row>
    <row r="10149">
      <c r="A10149" t="inlineStr">
        <is>
          <t>iahgj7</t>
        </is>
      </c>
      <c r="B10149" t="inlineStr">
        <is>
          <t>Does anyone have weird sensations in lungs?</t>
        </is>
      </c>
      <c r="C10149" t="inlineStr">
        <is>
          <t>So when I first wake up and take a deep breath it’s almost like I feel a vibration or stretching of my lungs but honestly it’s hard to describe. 
It’s only for the first couple of inhales in the morning.</t>
        </is>
      </c>
      <c r="D10149" t="n">
        <v>1</v>
      </c>
      <c r="E10149" t="n">
        <v>3</v>
      </c>
      <c r="F10149">
        <f>HYPERLINK("https://www.reddit.com/r/GERD/comments/iahgj7/does_anyone_have_weird_sensations_in_lungs/")</f>
        <v/>
      </c>
      <c r="G10149" t="inlineStr">
        <is>
          <t>2020-08-15 16:05:06</t>
        </is>
      </c>
      <c r="H10149" t="inlineStr"/>
    </row>
    <row r="10150">
      <c r="A10150" t="inlineStr">
        <is>
          <t>iahhti</t>
        </is>
      </c>
      <c r="B10150" t="inlineStr">
        <is>
          <t>Deep breaths in the morning make me cough</t>
        </is>
      </c>
      <c r="C10150" t="inlineStr">
        <is>
          <t>Anyone else deal with that? After first waking up and taking deep breaths my breath almost feels cold and it makes me cough. Not sure if it’s due to GERD or not.</t>
        </is>
      </c>
      <c r="D10150" t="n">
        <v>1</v>
      </c>
      <c r="E10150" t="n">
        <v>2</v>
      </c>
      <c r="F10150">
        <f>HYPERLINK("https://www.reddit.com/r/GERD/comments/iahhti/deep_breaths_in_the_morning_make_me_cough/")</f>
        <v/>
      </c>
      <c r="G10150" t="inlineStr">
        <is>
          <t>2020-08-15 16:07:15</t>
        </is>
      </c>
      <c r="H10150" t="inlineStr"/>
    </row>
    <row r="10151">
      <c r="A10151" t="inlineStr">
        <is>
          <t>iai5pj</t>
        </is>
      </c>
      <c r="B10151" t="inlineStr">
        <is>
          <t>Depressing pill/lump in throat feeling</t>
        </is>
      </c>
      <c r="C10151" t="inlineStr">
        <is>
          <t>I’ve posted about this lump in throat feeling before not to sound like a broken record but I’m really trying to find some answers on why this is. I went to urgent care yesterday due to this pill stuck in my throat feeling, right above my collarbone and below my Adam’s Apple. It goes away when eating but it’s been around 2 months now and it’s seriously depressing. I’ve also had some reflux this past month to where when I burp I’ve had food come up and also some burning after eating big meals late. I got prescribed omeprazole yesterday to help with the reflux and lump but my doctor also said post nasal drip can cause this globus feeing. I do feel like I have some mucus in my throat and sinus but my sinus feels dry for the most part, not like I have a runny nose. I’m on Allegra for the allergies and omeprazole for the reflux I know I just started medications to combat this but I seriously hope one of these works for me... any personal experiences would be nice.</t>
        </is>
      </c>
      <c r="D10151" t="n">
        <v>1</v>
      </c>
      <c r="E10151" t="n">
        <v>24</v>
      </c>
      <c r="F10151">
        <f>HYPERLINK("https://www.reddit.com/r/GERD/comments/iai5pj/depressing_pilllump_in_throat_feeling/")</f>
        <v/>
      </c>
      <c r="G10151" t="inlineStr">
        <is>
          <t>2020-08-15 16:48:29</t>
        </is>
      </c>
      <c r="H10151" t="inlineStr"/>
    </row>
    <row r="10152">
      <c r="A10152" t="inlineStr">
        <is>
          <t>iaivfu</t>
        </is>
      </c>
      <c r="B10152" t="inlineStr">
        <is>
          <t>Chest pain short of breath</t>
        </is>
      </c>
      <c r="C10152" t="inlineStr">
        <is>
          <t>I’ve been into the ER and my doctor roughly 12 times since mid-July. I’ve had chest pain, pain between my shoulder blades, pain under my left rib, and left breast. I went to the ER two nights ago with horrible pain between my shoulder blades, lump in my throat, and stomach pain, I truly thought I was dying. I’ve had multiple EKG’s, xrays, and bloodwork. The last ER doctor said everything looks normal and he diagnosed me with GERD and gave me a PPI. Does GERD cause the severe issues I mentioned above?! If so, this is terrible! I’m terrified all the doctor’s have missed something and this is actually heart related. I’m hoping to find some answers and comfort here.
I’m a 30 year old female, stopped smoking 4 years ago, stopped drinking 2 years ago. My only risk factor is being overweight, which I’m working on.</t>
        </is>
      </c>
      <c r="D10152" t="n">
        <v>1</v>
      </c>
      <c r="E10152" t="n">
        <v>18</v>
      </c>
      <c r="F10152">
        <f>HYPERLINK("https://www.reddit.com/r/GERD/comments/iaivfu/chest_pain_short_of_breath/")</f>
        <v/>
      </c>
      <c r="G10152" t="inlineStr">
        <is>
          <t>2020-08-15 17:33:43</t>
        </is>
      </c>
      <c r="H10152" t="inlineStr"/>
    </row>
    <row r="10153">
      <c r="A10153" t="inlineStr">
        <is>
          <t>iak9cl</t>
        </is>
      </c>
      <c r="B10153" t="inlineStr">
        <is>
          <t>Acid Reflux Friendly Diet</t>
        </is>
      </c>
      <c r="C10153" t="inlineStr">
        <is>
          <t>It is SO hard for me to give up what aggravates my acid reflux because it’s literally everything I love to eat  but after dealing with the consequences of 2 espresso shots on an empty stomach, it’s time. I gave up dairy for the mean time because it makes it worse (sadness). What are your favourite acid reflux friendly meals?</t>
        </is>
      </c>
      <c r="D10153" t="n">
        <v>1</v>
      </c>
      <c r="E10153" t="n">
        <v>3</v>
      </c>
      <c r="F10153">
        <f>HYPERLINK("https://www.reddit.com/r/GERD/comments/iak9cl/acid_reflux_friendly_diet/")</f>
        <v/>
      </c>
      <c r="G10153" t="inlineStr">
        <is>
          <t>2020-08-15 19:05:43</t>
        </is>
      </c>
      <c r="H10153" t="inlineStr"/>
    </row>
    <row r="10154">
      <c r="A10154" t="inlineStr">
        <is>
          <t>iakv1u</t>
        </is>
      </c>
      <c r="B10154" t="inlineStr">
        <is>
          <t>Gerd confusion</t>
        </is>
      </c>
      <c r="C10154" t="inlineStr">
        <is>
          <t>so i’m fairly certain i have gerd i’m 19M 136Lbs. i’ve had this weird feeling in my throat some months back like on the right side but didn’t think anything of it. one day i got nauseous and vomited and that feeling went away for like a month. then it came back still thought nothing of it but fast forward like a month or 2 later i decided to go to the doctor for it and they gave me a strep test i was positive for it even though i had no symptoms and strep and i took antibiotics cured it and i still had the feeling went to the doctor again and they gave me a referral for an ENT doctor talked to her showed where the discomfort was and she was fairly certain it had to with acid reflux and it all started to add up she gave me a prescription for prilosec and started taking that like 3-4 days ago but for some reason i was eating fast food all i wanted no problem no heartburn nothing but now ever since she told me i got reflux or bc of the Prilosec now idk i’ve been getting worse and worse heartburn like every day since- mostly back pain near my shoulder blade and sometimes slightly bloated stomach and it’s weird right when she told me i should eat healthier i did right away but it feels like ever since then even when eating healthy foods like i ate broccoli green beans and chicken breast cut into pieces not fried- grilled but i still get heartburn sometimes so what the hell is the problem? i don’t want to these PPI’s for long bc i heard bad things about them and i felt like it’s made me worse. Can anyone guess why?</t>
        </is>
      </c>
      <c r="D10154" t="n">
        <v>1</v>
      </c>
      <c r="E10154" t="n">
        <v>4</v>
      </c>
      <c r="F10154">
        <f>HYPERLINK("https://www.reddit.com/r/GERD/comments/iakv1u/gerd_confusion/")</f>
        <v/>
      </c>
      <c r="G10154" t="inlineStr">
        <is>
          <t>2020-08-15 19:46:54</t>
        </is>
      </c>
      <c r="H10154" t="inlineStr"/>
    </row>
    <row r="10155">
      <c r="A10155" t="inlineStr">
        <is>
          <t>ial4mf</t>
        </is>
      </c>
      <c r="B10155" t="inlineStr">
        <is>
          <t>Swallowing problems &amp;amp; Brain Fog</t>
        </is>
      </c>
      <c r="C10155" t="inlineStr">
        <is>
          <t>Hi, kind of a long story but since my childhood ive always had problems with my reflux, never went to the doctor because it was hereditary in our family, and also the symptoms were managable back then, some abdominal pain, gas, burning feeling and nausea. Why i called them ‘managable’ is because for the last 2 years ive been living true hell. I didnt knew that gerd could cause these much problems for me. 2 years ago, when i went to college abroad, i had to adapt a new life so in this process ive had lots of unhealthy stuff done. Ive had my burping and burning (food coming to mouth) at its worst, but my biggest concerns were swallowing problems and  brain fog. Im still to this day having difficulties swallowing my own saliva, when im eating everything is fine. As if i have a lump in my throat but its there for 2 years. This situation made me have TMJ (jaw) problems, because i was always pushing my muscles to swallow. My bruxism got worse and worse. Im still having hard time breathing. Worse than this for me is this fucking brain fog, im partially good for a few hours in mornings, but then even if i drink literally water or ate a little portion of chicken salad, im all fogged out again, this caused me to lose my balance, im afraid to drive a car right now because i cant focus for real, my visionsight got fucked and hearing also. Ive went to every kind of doctor for this, lastly an endochrinologist said that ive had low b12 and folate levels, so it could be about my gut. Had an endoscopy done, results said everything negative other than inflammation positive, which also said ive had duodenitis and gastritis, my z line was broken and so on. Im still waiting the doctor for prescription, but im afraid he’ll only get me some ppi’s and expect me to move on. Im living non-gluten non-carb non-lactose life for 1 year now, some relief but i still have the most annoying symptoms. Do you guys think that ppi’s would help my problems with swallowing and brain fog? If not, what do you suggest? And does inflammation positive in my gut indicated anything other than my gerd problem? Is it going to ever heal, or at least eased?</t>
        </is>
      </c>
      <c r="D10155" t="n">
        <v>1</v>
      </c>
      <c r="E10155" t="n">
        <v>3</v>
      </c>
      <c r="F10155">
        <f>HYPERLINK("https://www.reddit.com/r/GERD/comments/ial4mf/swallowing_problems_brain_fog/")</f>
        <v/>
      </c>
      <c r="G10155" t="inlineStr">
        <is>
          <t>2020-08-15 20:05:36</t>
        </is>
      </c>
      <c r="H10155" t="inlineStr"/>
    </row>
    <row r="10156">
      <c r="A10156" t="inlineStr">
        <is>
          <t>iamvoz</t>
        </is>
      </c>
      <c r="B10156" t="inlineStr">
        <is>
          <t>Nasty taste in mouth</t>
        </is>
      </c>
      <c r="C10156" t="inlineStr">
        <is>
          <t>So I've been dealing with silent reflux for about 2 years. Recently, I've been getting a nasty taste in my mouth and tongue. Sometimes my tongue will be white. I notice it gets white after eating salty or sweet foods. It affects my taste buds. Does anyone else experience this? And if so, have you found anything that helps? I'd appreciate any feedback, thanks.</t>
        </is>
      </c>
      <c r="D10156" t="n">
        <v>1</v>
      </c>
      <c r="E10156" t="n">
        <v>3</v>
      </c>
      <c r="F10156">
        <f>HYPERLINK("https://www.reddit.com/r/GERD/comments/iamvoz/nasty_taste_in_mouth/")</f>
        <v/>
      </c>
      <c r="G10156" t="inlineStr">
        <is>
          <t>2020-08-15 22:19:45</t>
        </is>
      </c>
      <c r="H10156" t="inlineStr"/>
    </row>
    <row r="10157">
      <c r="A10157" t="inlineStr">
        <is>
          <t>ian608</t>
        </is>
      </c>
      <c r="B10157" t="inlineStr">
        <is>
          <t>Why is domperidone given with Pantaprazole?</t>
        </is>
      </c>
      <c r="C10157" t="inlineStr">
        <is>
          <t>A cheaper version of Pantaprazole is available without domperidone, do you think I should go for it?</t>
        </is>
      </c>
      <c r="D10157" t="n">
        <v>1</v>
      </c>
      <c r="E10157" t="n">
        <v>3</v>
      </c>
      <c r="F10157">
        <f>HYPERLINK("https://www.reddit.com/r/GERD/comments/ian608/why_is_domperidone_given_with_pantaprazole/")</f>
        <v/>
      </c>
      <c r="G10157" t="inlineStr">
        <is>
          <t>2020-08-15 22:43:41</t>
        </is>
      </c>
      <c r="H10157" t="inlineStr"/>
    </row>
    <row r="10158">
      <c r="A10158" t="inlineStr">
        <is>
          <t>iao9de</t>
        </is>
      </c>
      <c r="B10158" t="inlineStr">
        <is>
          <t>My stomach is growling and shortness of breath.</t>
        </is>
      </c>
      <c r="C10158" t="inlineStr">
        <is>
          <t>I just eat a little bit of rice and bread. 
I think flour is not that good for my health. 
But if I eat a lot(even though it’s not that much) I can’t breathe.
I feel stress whenever I feel shortness of breath. 
Sometimes I have a  stomachache.
I really afraid of these symptoms..
I don’t know what to do. Because I suffer from these symptoms since last year. It drives me crazy. 
I already take ppi for 3months, but it doesn’t work for me..
I feel depressed because I can’t do anything.. 
I want to eat something delicious.</t>
        </is>
      </c>
      <c r="D10158" t="n">
        <v>1</v>
      </c>
      <c r="E10158" t="n">
        <v>7</v>
      </c>
      <c r="F10158">
        <f>HYPERLINK("https://www.reddit.com/r/GERD/comments/iao9de/my_stomach_is_growling_and_shortness_of_breath/")</f>
        <v/>
      </c>
      <c r="G10158" t="inlineStr">
        <is>
          <t>2020-08-16 00:24:08</t>
        </is>
      </c>
      <c r="H10158" t="inlineStr"/>
    </row>
    <row r="10159">
      <c r="A10159" t="inlineStr">
        <is>
          <t>iap9e8</t>
        </is>
      </c>
      <c r="B10159" t="inlineStr">
        <is>
          <t>Is anyone else this problem? Bad breath</t>
        </is>
      </c>
      <c r="C10159" t="inlineStr">
        <is>
          <t>Loaded tongue and bad breath. I went to many medical check-ups and they told me it was gastroesophageal reflux.
I also tested for candida and it came out negative. I also went to the orl and that s not where the problem is. They found some kind of mucus in my throat and told me it wasn t normal. I took various medications for reflux but they didn t solve my problem. I occasionally have acid regurgitation and the sensation of burp. Nothing burn inside me. It started like 8 years ago, i m 22 now. I brush my teeth and tongue twice a day, with toothpaste and sodium bicarbonate, but after few minutes the smell comes back. It s a sour smell, i can smell it if i lick my wrist. I was thinking of having surgery but i m not sure what to do. [Photo](https://imgur.com/eGns9WA)</t>
        </is>
      </c>
      <c r="D10159" t="n">
        <v>1</v>
      </c>
      <c r="E10159" t="n">
        <v>3</v>
      </c>
      <c r="F10159">
        <f>HYPERLINK("https://www.reddit.com/r/GERD/comments/iap9e8/is_anyone_else_this_problem_bad_breath/")</f>
        <v/>
      </c>
      <c r="G10159" t="inlineStr">
        <is>
          <t>2020-08-16 02:05:28</t>
        </is>
      </c>
      <c r="H10159" t="inlineStr"/>
    </row>
    <row r="10160">
      <c r="A10160" t="inlineStr">
        <is>
          <t>iapbq3</t>
        </is>
      </c>
      <c r="B10160" t="inlineStr">
        <is>
          <t>Acid reflux and Costochondritis</t>
        </is>
      </c>
      <c r="C10160" t="inlineStr">
        <is>
          <t>Hi. The title says it all. I got terrible- really terrible- acid reflux that makes me fear one of the most spectacular pleasures of life: eating! Didn't have this before 🙁 To top it all, I've got really bad sternum pain that radiates throughout the chest. As my x-ray is clear and my bloodwork is fine at most and there has been no damage done to the heart (Troponin I came back normal), I suspect it it costochondritis. 
Any tips? Anyone has the same experience? Thank you!</t>
        </is>
      </c>
      <c r="D10160" t="n">
        <v>1</v>
      </c>
      <c r="E10160" t="n">
        <v>2</v>
      </c>
      <c r="F10160">
        <f>HYPERLINK("https://www.reddit.com/r/GERD/comments/iapbq3/acid_reflux_and_costochondritis/")</f>
        <v/>
      </c>
      <c r="G10160" t="inlineStr">
        <is>
          <t>2020-08-16 02:11:30</t>
        </is>
      </c>
      <c r="H10160" t="inlineStr"/>
    </row>
    <row r="10161">
      <c r="A10161" t="inlineStr">
        <is>
          <t>iapsb2</t>
        </is>
      </c>
      <c r="B10161" t="inlineStr">
        <is>
          <t>Anyone scared to get cancer ?</t>
        </is>
      </c>
      <c r="C10161" t="inlineStr">
        <is>
          <t>Or am I the only one ?</t>
        </is>
      </c>
      <c r="D10161" t="n">
        <v>1</v>
      </c>
      <c r="E10161" t="n">
        <v>57</v>
      </c>
      <c r="F10161">
        <f>HYPERLINK("https://www.reddit.com/r/GERD/comments/iapsb2/anyone_scared_to_get_cancer/")</f>
        <v/>
      </c>
      <c r="G10161" t="inlineStr">
        <is>
          <t>2020-08-16 02:55:46</t>
        </is>
      </c>
      <c r="H10161" t="inlineStr"/>
    </row>
    <row r="10162">
      <c r="A10162" t="inlineStr">
        <is>
          <t>iaqew0</t>
        </is>
      </c>
      <c r="B10162" t="inlineStr">
        <is>
          <t>Good websites for recipes and info?</t>
        </is>
      </c>
      <c r="C10162" t="inlineStr">
        <is>
          <t>I have not been able to find any good sites that are strictly devoted to herd or silent herd.</t>
        </is>
      </c>
      <c r="D10162" t="n">
        <v>1</v>
      </c>
      <c r="E10162" t="n">
        <v>1</v>
      </c>
      <c r="F10162">
        <f>HYPERLINK("https://www.reddit.com/r/GERD/comments/iaqew0/good_websites_for_recipes_and_info/")</f>
        <v/>
      </c>
      <c r="G10162" t="inlineStr">
        <is>
          <t>2020-08-16 03:55:05</t>
        </is>
      </c>
      <c r="H10162" t="inlineStr"/>
    </row>
    <row r="10163">
      <c r="A10163" t="inlineStr">
        <is>
          <t>iaqwsa</t>
        </is>
      </c>
      <c r="B10163" t="inlineStr">
        <is>
          <t>After doing the endoscopy, turns out I have mild esophagitis. What does it mean?</t>
        </is>
      </c>
      <c r="C10163" t="inlineStr">
        <is>
          <t>Hello! 
I've been having difficulty swallowing for more than a month. I took anti-acids, still am. After doing the endoscopy, the dr said my lower sphincter is perfectly fine, but I had mild esophagitis. 
I will be stopping nexium next month, the dr told me to do so.
What foods should I stop? The feeling comes and goes. And does stress affect it? 
What should I know about it? Will it go away?
And how do I know what caused it? 
Thank you!</t>
        </is>
      </c>
      <c r="D10163" t="n">
        <v>1</v>
      </c>
      <c r="E10163" t="n">
        <v>1</v>
      </c>
      <c r="F10163">
        <f>HYPERLINK("https://www.reddit.com/r/GERD/comments/iaqwsa/after_doing_the_endoscopy_turns_out_i_have_mild/")</f>
        <v/>
      </c>
      <c r="G10163" t="inlineStr">
        <is>
          <t>2020-08-16 04:39:07</t>
        </is>
      </c>
      <c r="H10163" t="inlineStr"/>
    </row>
    <row r="10164">
      <c r="A10164" t="inlineStr">
        <is>
          <t>iasm8q</t>
        </is>
      </c>
      <c r="B10164" t="inlineStr">
        <is>
          <t>Need a little hope</t>
        </is>
      </c>
      <c r="C10164" t="inlineStr">
        <is>
          <t>I will make this short and try not too ramble too much. I am a mom to three beautiful &amp;amp; amazing children. (3 months old son, 2 year old son, &amp;amp; 4 year old daughter) I was married until my husband at the time flipped out and broke my left wrist/arm/elbow and collar bone. That was 9 weeks ago. I had/have a part time job working with a cleaning agency and clean private/residential homes about 3-6 homes a week. When my husband and I split up it was a HUGE change because he paid most of the bills and I paid my phone bill and bought stuff for the house like food/napkins/toliet paper/ detergent. I paid all the bills last week for August except my phone and a few other payments that are not needed that I just couldn't afford. I've tried to pick up more houses per week now to make more because being a single mom and is hard. 
    **I am struggling y'all! My baby is out of baby formula, I have one or two diapers for my youngest &amp;amp; two year old. I need pull ups for my daughter. I have no wipes left and running low on food for my older two. I've reached out to family and friends and they are struggling too or just plain ignore me when I need help. WIC appointment is Wednesday at 2:45pm. Food stamps I applied for and they are expedited so I should have a letter by end of next week with a phone interview. I also applied for medicade with my kids because we were on my ex husbands work insurance.**
    Y'all I hate asking any one to help me. I made my kids I should be able to take care of them.but I'm out of hope and have no one else to talk to or to help me or guide me in the right direction. What or who can I contact for help? 
**Any place or thing I can do RIGHT NOW for a can of formula, cheap pack of diapers for both youngest, and a couple cheap foods or snacks for my older two??** Because I've asked and tried all day to get some help somehow. I've walked EVERY WHERE and asked EVERY ONE. Even cried and told my story. NOTHING. I keep failing. Sooo where else or what can I do for help?? I'm stupid and do not know much about help and places that offer it.</t>
        </is>
      </c>
      <c r="D10164" t="n">
        <v>1</v>
      </c>
      <c r="E10164" t="n">
        <v>0</v>
      </c>
      <c r="F10164">
        <f>HYPERLINK("https://www.reddit.com/r/GERD/comments/iasm8q/need_a_little_hope/")</f>
        <v/>
      </c>
      <c r="G10164" t="inlineStr">
        <is>
          <t>2020-08-16 06:49:23</t>
        </is>
      </c>
      <c r="H10164" t="inlineStr"/>
    </row>
    <row r="10165">
      <c r="A10165" t="inlineStr">
        <is>
          <t>iatot5</t>
        </is>
      </c>
      <c r="B10165" t="inlineStr">
        <is>
          <t>Stomach Pain</t>
        </is>
      </c>
      <c r="C10165" t="inlineStr">
        <is>
          <t>Stomach Pain has to be one of the most uncomfortable feelings in the world this sucks.</t>
        </is>
      </c>
      <c r="D10165" t="n">
        <v>1</v>
      </c>
      <c r="E10165" t="n">
        <v>1</v>
      </c>
      <c r="F10165">
        <f>HYPERLINK("https://www.reddit.com/r/GERD/comments/iatot5/stomach_pain/")</f>
        <v/>
      </c>
      <c r="G10165" t="inlineStr">
        <is>
          <t>2020-08-16 07:54:23</t>
        </is>
      </c>
      <c r="H10165" t="inlineStr"/>
    </row>
    <row r="10166">
      <c r="A10166" t="inlineStr">
        <is>
          <t>iau3q1</t>
        </is>
      </c>
      <c r="B10166" t="inlineStr">
        <is>
          <t>Losing grip on life. I need help.</t>
        </is>
      </c>
      <c r="C10166" t="inlineStr">
        <is>
          <t>For background info 17 years old, and I’m moving into college next week so it’s very hard for me to get surgery or anything drastic right now. Also my gastro is an idiot and barely answers me. I can’t get in with any for the next 3 months.
I have GERD whenever I dont take my PPI pills. However, when I take my PPI pills I have 0 reflux but a wide variety of stomach problems caused by it. These problems somewhat include constipation and severe bloating. Makes me so uncomfortable I cant even move. I also have a small hietal hernia, my whole family does. But I’ve been fine on PPIs for 2 years up until 5 months ago this started. So I was wondering if anyone can give me advice on how to stop this. I tried h2 blockers daily and low acid diet for a week and I still had some acid that was burning. And I guess that might be the only option but my throat doesn’t feel too hot. 
Does anyone have any advice on how to fix this? Maybe it’s PPI side effects? Or low acid sibo? I was thinking of trying Peppermint oil (IB guard) to increase my a id while taking a PPI.</t>
        </is>
      </c>
      <c r="D10166" t="n">
        <v>1</v>
      </c>
      <c r="E10166" t="n">
        <v>2</v>
      </c>
      <c r="F10166">
        <f>HYPERLINK("https://www.reddit.com/r/GERD/comments/iau3q1/losing_grip_on_life_i_need_help/")</f>
        <v/>
      </c>
      <c r="G10166" t="inlineStr">
        <is>
          <t>2020-08-16 08:19:38</t>
        </is>
      </c>
      <c r="H10166" t="inlineStr"/>
    </row>
    <row r="10167">
      <c r="A10167" t="inlineStr">
        <is>
          <t>iaurrs</t>
        </is>
      </c>
      <c r="B10167" t="inlineStr">
        <is>
          <t>Delta 9 THC contributing to heartburn?</t>
        </is>
      </c>
      <c r="C10167" t="inlineStr">
        <is>
          <t>Ive been experiencing bad GERD for about a year and a half now. My GI recently recommended I take a 4-6 week break from intaking THC. Apparently THC can trigger receptors that cause the lower esophageal sphincter to relax; which makes heartburn worse. To me this sounded odd, as I’ve been smoking for about 10 years and never experienced anything like this before. I also thought thc helped with digestion issues. I am on daily omeprazole but i rely on it heavily.
Has anybody else here had a similar recommendation from doctor or GI? Thanks!</t>
        </is>
      </c>
      <c r="D10167" t="n">
        <v>1</v>
      </c>
      <c r="E10167" t="n">
        <v>2</v>
      </c>
      <c r="F10167">
        <f>HYPERLINK("https://www.reddit.com/r/GERD/comments/iaurrs/delta_9_thc_contributing_to_heartburn/")</f>
        <v/>
      </c>
      <c r="G10167" t="inlineStr">
        <is>
          <t>2020-08-16 08:58:23</t>
        </is>
      </c>
      <c r="H10167" t="inlineStr"/>
    </row>
    <row r="10168">
      <c r="A10168" t="inlineStr">
        <is>
          <t>iavj0y</t>
        </is>
      </c>
      <c r="B10168" t="inlineStr">
        <is>
          <t>Lifestyle changes</t>
        </is>
      </c>
      <c r="C10168" t="inlineStr">
        <is>
          <t>Just people in this community to help me recommend general "lifestyle changes" regarding gerd, silent reflux and lpr. Thanks</t>
        </is>
      </c>
      <c r="D10168" t="n">
        <v>1</v>
      </c>
      <c r="E10168" t="n">
        <v>7</v>
      </c>
      <c r="F10168">
        <f>HYPERLINK("https://www.reddit.com/r/GERD/comments/iavj0y/lifestyle_changes/")</f>
        <v/>
      </c>
      <c r="G10168" t="inlineStr">
        <is>
          <t>2020-08-16 09:38:56</t>
        </is>
      </c>
      <c r="H10168" t="inlineStr"/>
    </row>
    <row r="10169">
      <c r="A10169" t="inlineStr">
        <is>
          <t>iavkpe</t>
        </is>
      </c>
      <c r="B10169" t="inlineStr">
        <is>
          <t>Low acid chicken seasoning or marinades</t>
        </is>
      </c>
      <c r="C10169" t="inlineStr">
        <is>
          <t>I’m struggling to find ways to make my chicken tasty. Anyone have any kind of seasonings or marinades that won’t trigger acid attacks?</t>
        </is>
      </c>
      <c r="D10169" t="n">
        <v>1</v>
      </c>
      <c r="E10169" t="n">
        <v>4</v>
      </c>
      <c r="F10169">
        <f>HYPERLINK("https://www.reddit.com/r/GERD/comments/iavkpe/low_acid_chicken_seasoning_or_marinades/")</f>
        <v/>
      </c>
      <c r="G10169" t="inlineStr">
        <is>
          <t>2020-08-16 09:41:34</t>
        </is>
      </c>
      <c r="H10169" t="inlineStr"/>
    </row>
    <row r="10170">
      <c r="A10170" t="inlineStr">
        <is>
          <t>iaw7a6</t>
        </is>
      </c>
      <c r="B10170" t="inlineStr">
        <is>
          <t>A question for those who had reflux surgery...</t>
        </is>
      </c>
      <c r="C10170" t="inlineStr">
        <is>
          <t>If you had bad nausea with your reflux, did your nissen/toupet/linx/tif/ect. Help to eliminate that?
I need 2 more tests before surgery.
Another issue....
3 weeks ago I started dexilant from omeprazole. After 2 weeks I switched back to just omeprazole and I've been feeling terrible this past week. I've been lightheaded and extremely nauseous. Zofran and dramamine barely touch it and I have to keep leaving work early.</t>
        </is>
      </c>
      <c r="D10170" t="n">
        <v>1</v>
      </c>
      <c r="E10170" t="n">
        <v>10</v>
      </c>
      <c r="F10170">
        <f>HYPERLINK("https://www.reddit.com/r/GERD/comments/iaw7a6/a_question_for_those_who_had_reflux_surgery/")</f>
        <v/>
      </c>
      <c r="G10170" t="inlineStr">
        <is>
          <t>2020-08-16 10:15:28</t>
        </is>
      </c>
      <c r="H10170" t="inlineStr"/>
    </row>
    <row r="10171">
      <c r="A10171" t="inlineStr">
        <is>
          <t>iax78f</t>
        </is>
      </c>
      <c r="B10171" t="inlineStr">
        <is>
          <t>Anybsweets that dont cause heartburn?</t>
        </is>
      </c>
      <c r="C10171" t="inlineStr">
        <is>
          <t>Sweets without gluten wheat eggs and dairy cz it causes me reflux 
Plz</t>
        </is>
      </c>
      <c r="D10171" t="n">
        <v>1</v>
      </c>
      <c r="E10171" t="n">
        <v>1</v>
      </c>
      <c r="F10171">
        <f>HYPERLINK("https://www.reddit.com/r/GERD/comments/iax78f/anybsweets_that_dont_cause_heartburn/")</f>
        <v/>
      </c>
      <c r="G10171" t="inlineStr">
        <is>
          <t>2020-08-16 11:09:11</t>
        </is>
      </c>
      <c r="H10171" t="inlineStr"/>
    </row>
    <row r="10172">
      <c r="A10172" t="inlineStr">
        <is>
          <t>iaxa1f</t>
        </is>
      </c>
      <c r="B10172" t="inlineStr">
        <is>
          <t>Anyone with H pylori induced gastritis often misdiagnosed for GERD or Axid Reflux Disease?</t>
        </is>
      </c>
      <c r="C10172" t="inlineStr">
        <is>
          <t>I have H pylori and it's giving me stomach problems again despite my 9th treatment. Maybe it's just my stomach healing itself from antibiotic use because my H pylori was controlled by omeprazole so no other damage. But when I was first being diagnosed, it was diagnosed as GERD so many times. One hospital that I had to be rushed to because of a bleeding ulcer even mentioned to me the possibility of H pylori which my pediatricion at the time did nothing about.  And just recently, I messaged my doctor's office about burning pains after my H pylori treatment. Note, I do not have GERD as my medical records show. But the nurse says to take omeprazole for four weeks for GERD symptoms. She didn't even look at what treatment I had and didn't even consider that I cannot take omeprazole during a four week period before my stool test. 
&amp;amp;#x200B;
I feel like i've got such a rarity of a disease even medical professionals don't know how to respond to it. After all, after my 4th treatment, my doctor basically gave up and just had me stay on omeprazole.</t>
        </is>
      </c>
      <c r="D10172" t="n">
        <v>1</v>
      </c>
      <c r="E10172" t="n">
        <v>0</v>
      </c>
      <c r="F10172">
        <f>HYPERLINK("https://www.reddit.com/r/GERD/comments/iaxa1f/anyone_with_h_pylori_induced_gastritis_often/")</f>
        <v/>
      </c>
      <c r="G10172" t="inlineStr">
        <is>
          <t>2020-08-16 11:13:20</t>
        </is>
      </c>
      <c r="H10172" t="inlineStr"/>
    </row>
    <row r="10173">
      <c r="A10173" t="inlineStr">
        <is>
          <t>iaxzne</t>
        </is>
      </c>
      <c r="B10173" t="inlineStr">
        <is>
          <t>Is it Gerd?</t>
        </is>
      </c>
      <c r="C10173" t="inlineStr">
        <is>
          <t>Hello fellow Redditors!
I'm 19 years old and recently have been experiencing complications with Gerd/Acid Reflux.
   I've experienced it somewhat maybe a year ago where I couldn't eat without throwing up my food but with no heartburn.
 A few weeks ago, I'd been experiencing a bit of dry throat, as If I needed copious amounts of water. So I bought some Gatorade and drank it. I had already experienced a little chest pain. I woke up not too long after and coughed up a little pink Phlegm once before it went back to yellow and ultimately disappeared. I had started experiencing some really bad chest pains after, mostly on the right side before I had a crushing pain on the right. I went to the doctors and they sent me to the ER due to a rapid heartbeat. I took an EKG, a Urine test, and chest x-ray but found nothing. 
   After that, the left side under my jaw swelled a bit and went down. I experienced some heartburn while I was asleep, even burping or burping up stomach acid. Not too long after, I began puking up my food again before I was given Omeprazole for a 14 day treatment by my nurse mother which helped alot.
I was able to eat again without throwing up and the heart burn stopped as well though it does happen from time to time. Now my throat feels raw and stings sometimes when I talk or eat and my voice is hoarse. So im also taking 1 500mg Keflex a day on a 7 day treatment. 
   Has anyone else had a similar experience? Or is thos just me?</t>
        </is>
      </c>
      <c r="D10173" t="n">
        <v>1</v>
      </c>
      <c r="E10173" t="n">
        <v>2</v>
      </c>
      <c r="F10173">
        <f>HYPERLINK("https://www.reddit.com/r/GERD/comments/iaxzne/is_it_gerd/")</f>
        <v/>
      </c>
      <c r="G10173" t="inlineStr">
        <is>
          <t>2020-08-16 11:51:27</t>
        </is>
      </c>
      <c r="H10173" t="inlineStr"/>
    </row>
    <row r="10174">
      <c r="A10174" t="inlineStr">
        <is>
          <t>iay4ya</t>
        </is>
      </c>
      <c r="B10174" t="inlineStr">
        <is>
          <t>Safe to take 120mg of Pepcid</t>
        </is>
      </c>
      <c r="C10174" t="inlineStr">
        <is>
          <t>Is it safe to take 3 40mg tablets of Pepcid daily</t>
        </is>
      </c>
      <c r="D10174" t="n">
        <v>1</v>
      </c>
      <c r="E10174" t="n">
        <v>5</v>
      </c>
      <c r="F10174">
        <f>HYPERLINK("https://www.reddit.com/r/GERD/comments/iay4ya/safe_to_take_120mg_of_pepcid/")</f>
        <v/>
      </c>
      <c r="G10174" t="inlineStr">
        <is>
          <t>2020-08-16 11:59:38</t>
        </is>
      </c>
      <c r="H10174" t="inlineStr"/>
    </row>
    <row r="10175">
      <c r="A10175" t="inlineStr">
        <is>
          <t>iayctj</t>
        </is>
      </c>
      <c r="B10175" t="inlineStr">
        <is>
          <t>Antibiotics Recovery?</t>
        </is>
      </c>
      <c r="C10175" t="inlineStr">
        <is>
          <t>My gut is messed up after taking a lot of antibiotics. Specifically 10 days of Amoxicillin (twice a day). Then a Z-Pack (5 days of Azitromax). I stopped taking antibiotics a month ago.
This has resulted in very bad acid reflux and other digestive problems.
For the past week I have been taking probiotic supplements, eating lots of probiotic rich food, and doing other things to improve digestion and restore healthy bacteria
Does anyone know long these issues typically take to recover from?</t>
        </is>
      </c>
      <c r="D10175" t="n">
        <v>1</v>
      </c>
      <c r="E10175" t="n">
        <v>6</v>
      </c>
      <c r="F10175">
        <f>HYPERLINK("https://www.reddit.com/r/GERD/comments/iayctj/antibiotics_recovery/")</f>
        <v/>
      </c>
      <c r="G10175" t="inlineStr">
        <is>
          <t>2020-08-16 12:11:39</t>
        </is>
      </c>
      <c r="H10175" t="inlineStr"/>
    </row>
    <row r="10176">
      <c r="A10176" t="inlineStr">
        <is>
          <t>ib1m1m</t>
        </is>
      </c>
      <c r="B10176" t="inlineStr">
        <is>
          <t>fruit sugar and acid reflux</t>
        </is>
      </c>
      <c r="C10176" t="inlineStr">
        <is>
          <t>does a lot of fruits increase stomach acid ?
* i’m trying to figure out some reasons why reflux is not going away and i kinda intuitively understand that it can be cause of eating tons of fruits</t>
        </is>
      </c>
      <c r="D10176" t="n">
        <v>1</v>
      </c>
      <c r="E10176" t="n">
        <v>1</v>
      </c>
      <c r="F10176">
        <f>HYPERLINK("https://www.reddit.com/r/GERD/comments/ib1m1m/fruit_sugar_and_acid_reflux/")</f>
        <v/>
      </c>
      <c r="G10176" t="inlineStr">
        <is>
          <t>2020-08-16 15:12:09</t>
        </is>
      </c>
      <c r="H10176" t="inlineStr"/>
    </row>
    <row r="10177">
      <c r="A10177" t="inlineStr">
        <is>
          <t>ib1szl</t>
        </is>
      </c>
      <c r="B10177" t="inlineStr">
        <is>
          <t>Treating early satiety?</t>
        </is>
      </c>
      <c r="C10177" t="inlineStr">
        <is>
          <t>Any tips? Meds? Etc.. I’m on a bulk diet and I can’t afford to lose cals / nutrients.</t>
        </is>
      </c>
      <c r="D10177" t="n">
        <v>1</v>
      </c>
      <c r="E10177" t="n">
        <v>1</v>
      </c>
      <c r="F10177">
        <f>HYPERLINK("https://www.reddit.com/r/GERD/comments/ib1szl/treating_early_satiety/")</f>
        <v/>
      </c>
      <c r="G10177" t="inlineStr">
        <is>
          <t>2020-08-16 15:22:57</t>
        </is>
      </c>
      <c r="H10177" t="inlineStr"/>
    </row>
    <row r="10178">
      <c r="A10178" t="inlineStr">
        <is>
          <t>ib2i0o</t>
        </is>
      </c>
      <c r="B10178" t="inlineStr">
        <is>
          <t>Hi, new here but any advice would help</t>
        </is>
      </c>
      <c r="C10178" t="inlineStr">
        <is>
          <t>Hey all. So this is somewhat of a long story so I will try to shorten it as best I can. 
Around July 27, I was ill with what doctors thought was a stomach bug. Nausea, not eating, diarrhea. Thought this was strange because it lasted from the 27th to the 6th of August. I thought that was pretty long for a stomach bug. I thought I had E. Coli, but doctors did three still tests and said there was no bacteria, parasites, or C. Diff. 
What was strange was that this “bug” also had symptoms of what doctors told me was GERD. During the beginning of being sick, I would have constant burping/heartburn (even though I barely ate, and if I did it was basically the BRAT diet), the sensation of food stuck in my throat, and on occasion slight burning in my throat. But once my symptoms of the stomach bug stopped, around August 6th, these symptoms went away also. At least I stopped noticing them. 
August 7-11 I felt “better.” I was able to eat normal meals, diarrhea improved but still had a little bit mixed with normal stools. Then August 12, I felt nauseous, didn’t eat much, and went to bed feeling a little bit of acid in my throat. Woke up August 13, this Thursday, with a horrible sour/bitter taste in my throat to the point where I could barely taste food and gave me nausea. Lasted all day. Took some 20 mg Pepcid that doctors previously recommended I try for the GERD, and didn’t help either. So I spoke to the doctor Friday morning, she said I had GERD and also ordered me to get tested for H. Pylori with a stool sample. She also prescribed 40 mg Famotidine (generic Pepcid) and told me to take it at night since the 20 mg wasn’t working. I’m not 100% sure what she said but I think she said something about taking the Famotidine for 6 weeks and to follow up. 
I’ve taken the Famotidine for two nights now which isn’t long at all, but I don’t have relief from the sour taste in my throat. I am super nauseous again which sucks because I was so happy to be relieved for those 4 days. I am only eating approved GERD foods but I can’t eat much. At this point I don’t know what to do. I guess I was hoping for some advice and some kind words because I am becoming very hopeless and want to feel normal again. Before this I was very healthy, took my vitamins, and generally ate what I wanted. I am only 20 years old, female and really considered myself to have a strong immune system. 
I guess if I had to really narrow it down, my questions would be do you think the “stomach bug” is what triggered the GERD? Or could there be a same root cause like H. Pylori? I am hoping I get the results as soon as possible. Also, does it take some time for the Famotidine to work? I’m wondering the mechanism behind it because I did some research and the effects are said to last 10-12 hours. Which if I take it at 10 pm at night, would probably wear off around that time the next morning. Could that be why I still have the daily effects of the sour/bitter taste at my throat? I notice that it is most noticeable after eating. But again, I don’t know how it works and I want to trust the doctor that 40 mg at bedtime is the right way to go about it. I hope this reaches someone who could offer some advice. Thank you for reading all of this.</t>
        </is>
      </c>
      <c r="D10178" t="n">
        <v>1</v>
      </c>
      <c r="E10178" t="n">
        <v>11</v>
      </c>
      <c r="F10178">
        <f>HYPERLINK("https://www.reddit.com/r/GERD/comments/ib2i0o/hi_new_here_but_any_advice_would_help/")</f>
        <v/>
      </c>
      <c r="G10178" t="inlineStr">
        <is>
          <t>2020-08-16 16:04:17</t>
        </is>
      </c>
      <c r="H10178" t="inlineStr"/>
    </row>
    <row r="10179">
      <c r="A10179" t="inlineStr">
        <is>
          <t>ib2u2r</t>
        </is>
      </c>
      <c r="B10179" t="inlineStr">
        <is>
          <t>Throat /Swallowing annoyance LPR?</t>
        </is>
      </c>
      <c r="C10179" t="inlineStr">
        <is>
          <t>Hello GERD friends,   
I've posted a few times in the last couple of months when i first had an extreme episode of GERD back in May. Chest tightness for a week was what raised the alarm.  I saw a doctor, and he gave me omeprazole to take for two weeks. I also started to lurk this subreddit and learned about the Acid Watchers Diet and introduced all the tips into my live around then. Everything chilled out for a while but then i only had a s'omething stuck in my throat feeling.' Then  Stopped taking Omeprazole after three weeks, since the only thing really bugging me was the throat thing. Well that eventually went away.   
I was vibing on my good diet, exercise and general health for about two weeks. Then i tried  4 oz of cold brew coffee to test the waters. That was a little weird cause i felt my throat feel funny, but the next next i felt fine. I figured if something was going to happen i would have felt it . The following day i had some homemade curry...nothing really extreme in it - coconut milk and some non spicy curry.  felt a little throat tingle but no biggie!  
That friday i had some extremely peppery tofu ( OMG so good), but i was feeling so comfortable that i figured id give it a shot. Later that day i felt my throat go a tad bit sore. But for a week after that i felt fine and out of no where i got this feeling in my throat - not like globus, but everytime i swallow i could hear my saliva go down my throat very aggressively. Suuupper annoying. Not threatening but just annoying. I've been dealing with this for three weeks now. It has gotten less aggressive ( like i dont hear huge GULPS sounds when i swallow everytime) but it is still noticeable.   I can still feel my ears make a wet slimy sound when i swallow. It feels good shortly after i eat sometimes, or when im busy i dont really notice it. .   
Anyone else going through this?   
Im still eating REALLY GREAT...no coffee no more experimenting with foods, just sticking to acid watchers stuff, I am also on my 2nd week of omeprozole but it really hasnt changed much of my symptoms. Figured id finish off the week then just give it up because i hear 2 weeks is a safe amount of time.   
My primary doc hooked me up with a GI doc - Im going to see them, but i definitely do not have the money for an endoscopy at the moment. Do ya'll think its just going to take a little bit longer to heal if i have LPR? I just got some probiotics and was gonna give those a try, along side with my bland diet for a couple of weeks/ months.   
TLDR: I have been left with this pesky loud swallowing for the last three weeks. I think it has gotten a little better this past week because my swallowing isnt as aggressive sounding, but  i can still hear it and feel it.. Anyone else been through this?</t>
        </is>
      </c>
      <c r="D10179" t="n">
        <v>1</v>
      </c>
      <c r="E10179" t="n">
        <v>7</v>
      </c>
      <c r="F10179">
        <f>HYPERLINK("https://www.reddit.com/r/GERD/comments/ib2u2r/throat_swallowing_annoyance_lpr/")</f>
        <v/>
      </c>
      <c r="G10179" t="inlineStr">
        <is>
          <t>2020-08-16 16:24:28</t>
        </is>
      </c>
      <c r="H10179" t="inlineStr"/>
    </row>
    <row r="10180">
      <c r="A10180" t="inlineStr">
        <is>
          <t>ib348h</t>
        </is>
      </c>
      <c r="B10180" t="inlineStr">
        <is>
          <t>Chest tightness and shallow breathing when coming off PPI</t>
        </is>
      </c>
      <c r="C10180" t="inlineStr">
        <is>
          <t>I'm trying to wean back on my PPI and I've started to get this tight feeling in my chest that makes me feel like I'm having heart attack. It's not really painful but it's impossible to take a deep breath.
Anyone else experience this?</t>
        </is>
      </c>
      <c r="D10180" t="n">
        <v>1</v>
      </c>
      <c r="E10180" t="n">
        <v>2</v>
      </c>
      <c r="F10180">
        <f>HYPERLINK("https://www.reddit.com/r/GERD/comments/ib348h/chest_tightness_and_shallow_breathing_when_coming/")</f>
        <v/>
      </c>
      <c r="G10180" t="inlineStr">
        <is>
          <t>2020-08-16 16:41:38</t>
        </is>
      </c>
      <c r="H10180" t="inlineStr"/>
    </row>
    <row r="10181">
      <c r="A10181" t="inlineStr">
        <is>
          <t>ib43su</t>
        </is>
      </c>
      <c r="B10181" t="inlineStr">
        <is>
          <t>Painful Sneezes due to GERD?</t>
        </is>
      </c>
      <c r="C10181" t="inlineStr">
        <is>
          <t>Hi there,
I just had an extremely painful sneeze which hurt my chest, arms and throat and the dull pain continues in the chest and shoulders.
For the record, I’ve never been officially diagnosed with GERD. I have 24/7 mucus in the throat which gives me sore throat, throat burps, headaches, stomach discomfort, etc. These things have been going on for months.
Just wanted to know if it was related since it is sending my anxiety through the roof. Do you get these with GERD?</t>
        </is>
      </c>
      <c r="D10181" t="n">
        <v>1</v>
      </c>
      <c r="E10181" t="n">
        <v>7</v>
      </c>
      <c r="F10181">
        <f>HYPERLINK("https://www.reddit.com/r/GERD/comments/ib43su/painful_sneezes_due_to_gerd/")</f>
        <v/>
      </c>
      <c r="G10181" t="inlineStr">
        <is>
          <t>2020-08-16 17:43:22</t>
        </is>
      </c>
      <c r="H10181" t="inlineStr"/>
    </row>
    <row r="10182">
      <c r="A10182" t="inlineStr">
        <is>
          <t>ib48fw</t>
        </is>
      </c>
      <c r="B10182" t="inlineStr">
        <is>
          <t>does anyone else experience a delay with gastric emptying?</t>
        </is>
      </c>
      <c r="C10182" t="inlineStr">
        <is>
          <t>i did a gastric emptying test earlier this week and the results said that my gastric emptying is slower than normal (i had 19% of the sandwich they gave me still in my stomach after 4 hours, when the normal should be around 10%). i read that omeprazole can cause the delay in gastric emptying, and i’m currently taking that to treat my gerd. i was wondering if anyone else was experiencing this?</t>
        </is>
      </c>
      <c r="D10182" t="n">
        <v>1</v>
      </c>
      <c r="E10182" t="n">
        <v>9</v>
      </c>
      <c r="F10182">
        <f>HYPERLINK("https://www.reddit.com/r/GERD/comments/ib48fw/does_anyone_else_experience_a_delay_with_gastric/")</f>
        <v/>
      </c>
      <c r="G10182" t="inlineStr">
        <is>
          <t>2020-08-16 17:51:55</t>
        </is>
      </c>
      <c r="H10182" t="inlineStr"/>
    </row>
    <row r="10183">
      <c r="A10183" t="inlineStr">
        <is>
          <t>ib4is7</t>
        </is>
      </c>
      <c r="B10183" t="inlineStr">
        <is>
          <t>GERD mainly when i study</t>
        </is>
      </c>
      <c r="C10183" t="inlineStr">
        <is>
          <t>Anyone have symptoms that occur mainly when they are working/studying. My symptoms tend to start immediately as I crack a book open or click new tab to start working. 
Then I HAVE to watch twitch streams till it subsides and i feel like crap (mentally) cuz of it.</t>
        </is>
      </c>
      <c r="D10183" t="n">
        <v>1</v>
      </c>
      <c r="E10183" t="n">
        <v>5</v>
      </c>
      <c r="F10183">
        <f>HYPERLINK("https://www.reddit.com/r/GERD/comments/ib4is7/gerd_mainly_when_i_study/")</f>
        <v/>
      </c>
      <c r="G10183" t="inlineStr">
        <is>
          <t>2020-08-16 18:10:04</t>
        </is>
      </c>
      <c r="H10183" t="inlineStr"/>
    </row>
    <row r="10184">
      <c r="A10184" t="inlineStr">
        <is>
          <t>ib4l87</t>
        </is>
      </c>
      <c r="B10184" t="inlineStr">
        <is>
          <t>Coffee and Low Acid Coffee</t>
        </is>
      </c>
      <c r="C10184" t="inlineStr">
        <is>
          <t>How bad do you think coffee is for people with GERD?  I take 20mg of Nexium per day (delayed release).  My symptoms are mild.  Some days I have no symptoms.  I make espresso daily with alkaline water and I use soy or almond milk.  Basically I'm drinking a latte.  I saw a brand that claims it is low acid coffee.  I'm considering that.</t>
        </is>
      </c>
      <c r="D10184" t="n">
        <v>1</v>
      </c>
      <c r="E10184" t="n">
        <v>10</v>
      </c>
      <c r="F10184">
        <f>HYPERLINK("https://www.reddit.com/r/GERD/comments/ib4l87/coffee_and_low_acid_coffee/")</f>
        <v/>
      </c>
      <c r="G10184" t="inlineStr">
        <is>
          <t>2020-08-16 18:14:31</t>
        </is>
      </c>
      <c r="H10184" t="inlineStr"/>
    </row>
    <row r="10185">
      <c r="A10185" t="inlineStr">
        <is>
          <t>ib4lv7</t>
        </is>
      </c>
      <c r="B10185" t="inlineStr">
        <is>
          <t>Pale or Tan Stools</t>
        </is>
      </c>
      <c r="C10185" t="inlineStr">
        <is>
          <t>Can tums cause pale or tan stools? I took like 6 runs throught out the night last night and woke up today and had a very pale yellow or tanish stool. 
I also have ulcerative colitis as well but this has never happened before.</t>
        </is>
      </c>
      <c r="D10185" t="n">
        <v>1</v>
      </c>
      <c r="E10185" t="n">
        <v>2</v>
      </c>
      <c r="F10185">
        <f>HYPERLINK("https://www.reddit.com/r/GERD/comments/ib4lv7/pale_or_tan_stools/")</f>
        <v/>
      </c>
      <c r="G10185" t="inlineStr">
        <is>
          <t>2020-08-16 18:15:39</t>
        </is>
      </c>
      <c r="H10185" t="inlineStr"/>
    </row>
    <row r="10186">
      <c r="A10186" t="inlineStr">
        <is>
          <t>ib5u0u</t>
        </is>
      </c>
      <c r="B10186" t="inlineStr">
        <is>
          <t>Avoiding weight gain?</t>
        </is>
      </c>
      <c r="C10186" t="inlineStr">
        <is>
          <t>Hello lovely people!
I'm 26, healthy weight, but definitely on the higher end of the healthy-weight range. I've been a proud member of the GERD herd for about six years, and have struggled a lot with my weight since the onset of my symptoms. I spend several hours a day in gastrointestinal discomfort, so it's incredibly difficult to find any time to exercise during the week. (8 hours of work a day + 8 hours of sleep + 2ish hours of cleaning/various paperwork/other adult tasks + 4-6 hours of sitting there holding as still as possible to try not to have reflux = ...). My stomach takes about 11 years to empty after I eat, so I can't do any form of exercise without risking sending everything shooting back up my esophagus. 
Plus, when I have a flareup the question of what my body will tolerate me ingesting is a complete crapshoot, so I pretty much have to just eat whatever random thing it is I can stomach at the time, and shove it in as quickly as possible so I don't have an empty stomach. Not very good for calorie control. 
It's a perfect storm for weight control. Has anyone else dealt with these obstacles to maintaining a healthy weight? If so, what has helped? 
\*\* Brief background info: I tried a PPI for awhile but it didn't help that much, and I really, really don't want to go back on it. I also can't figure out what particular foods trigger my flareups, if any. I have been tracking it for years and it still seems totally random. Even the dietician couldn't help me find a pattern. I already don't eat dairy and I don't take advil, aspirin, or alleve. Unfortunately I can't avoid tomatoes bcuz I'm a broke milennial and my diet is about 75% cheap pasta. :-P But that's moot anyway because it really does seem like anything can set me off. Gaviscon and tums and the like provide temporary relief, but I'm pretty sure my body immediately just starts pumping out more acid in response, so it's a vicious cycle. The only things that seem to help my discomfort are peppermint oil - enteric-coated so it never comes into contact with my stomach - which seems to help balance out whatever it is my intestines do, and activated charcoal capsules to control gas. I am on Wellbutrin because the other ssri's I've tried for my anxiety/depression either made me gain a ton of weight or didn't work. I've heard that some people complain of gastric issues while on Wellbutrin... anyone experienced this?... but anxiety isn't great for GERD either so I think that might be moot too. I'm not willing to try benzos and I don't think beta blockers are indicated, and as far as I know there aren't any other classes of drugs that are standard for anxiety/depression in today's day and age. (Oh, another random thing I'll throw in is that avoiding chamomile has helped a lot. Apparently it messes with the workings of your abdominal muscles. Who knew?) \*\*
Any help is very, very much appreciated. Thank you so much! :)</t>
        </is>
      </c>
      <c r="D10186" t="n">
        <v>1</v>
      </c>
      <c r="E10186" t="n">
        <v>4</v>
      </c>
      <c r="F10186">
        <f>HYPERLINK("https://www.reddit.com/r/GERD/comments/ib5u0u/avoiding_weight_gain/")</f>
        <v/>
      </c>
      <c r="G10186" t="inlineStr">
        <is>
          <t>2020-08-16 19:35:45</t>
        </is>
      </c>
      <c r="H10186" t="inlineStr"/>
    </row>
    <row r="10187">
      <c r="A10187" t="inlineStr">
        <is>
          <t>ib6pss</t>
        </is>
      </c>
      <c r="B10187" t="inlineStr">
        <is>
          <t>Can this be temporary?</t>
        </is>
      </c>
      <c r="C10187" t="inlineStr">
        <is>
          <t>Question about acid reflux
is it possible to develop temporary acid reflux from a poor diet/lifestyle? I went to the doctor after constant nausea and she said it was acid reflux likely brought on by stress and such. My diet after school closed was terrible (fast food, fried food, carbonated drinks all the time, etc.) and I was very stressed... can acid reflux like this be reversed or am I doomed to be nauseas forever?</t>
        </is>
      </c>
      <c r="D10187" t="n">
        <v>1</v>
      </c>
      <c r="E10187" t="n">
        <v>14</v>
      </c>
      <c r="F10187">
        <f>HYPERLINK("https://www.reddit.com/r/GERD/comments/ib6pss/can_this_be_temporary/")</f>
        <v/>
      </c>
      <c r="G10187" t="inlineStr">
        <is>
          <t>2020-08-16 20:36:25</t>
        </is>
      </c>
      <c r="H10187" t="inlineStr"/>
    </row>
    <row r="10188">
      <c r="A10188" t="inlineStr">
        <is>
          <t>ib6qnh</t>
        </is>
      </c>
      <c r="B10188" t="inlineStr">
        <is>
          <t>Would a PH Bravo detect LPR?</t>
        </is>
      </c>
      <c r="C10188" t="inlineStr">
        <is>
          <t>If anyone with LPR can tell me if a PH Bravo was helpful I would appreciate it.</t>
        </is>
      </c>
      <c r="D10188" t="n">
        <v>1</v>
      </c>
      <c r="E10188" t="n">
        <v>6</v>
      </c>
      <c r="F10188">
        <f>HYPERLINK("https://www.reddit.com/r/GERD/comments/ib6qnh/would_a_ph_bravo_detect_lpr/")</f>
        <v/>
      </c>
      <c r="G10188" t="inlineStr">
        <is>
          <t>2020-08-16 20:37:59</t>
        </is>
      </c>
      <c r="H10188" t="inlineStr"/>
    </row>
    <row r="10189">
      <c r="A10189" t="inlineStr">
        <is>
          <t>ib72t9</t>
        </is>
      </c>
      <c r="B10189" t="inlineStr">
        <is>
          <t>Trapped gas?</t>
        </is>
      </c>
      <c r="C10189" t="inlineStr">
        <is>
          <t>Hello,
Anyone ever had trapped gas in the lower right abdomen? It gives this weird slight pinch/cramp feeling... I hope it’s nothing serious. Thank you!</t>
        </is>
      </c>
      <c r="D10189" t="n">
        <v>1</v>
      </c>
      <c r="E10189" t="n">
        <v>4</v>
      </c>
      <c r="F10189">
        <f>HYPERLINK("https://www.reddit.com/r/GERD/comments/ib72t9/trapped_gas/")</f>
        <v/>
      </c>
      <c r="G10189" t="inlineStr">
        <is>
          <t>2020-08-16 21:02:29</t>
        </is>
      </c>
      <c r="H10189" t="inlineStr"/>
    </row>
    <row r="10190">
      <c r="A10190" t="inlineStr">
        <is>
          <t>ib732p</t>
        </is>
      </c>
      <c r="B10190" t="inlineStr">
        <is>
          <t>Low acidity with hietal hernia</t>
        </is>
      </c>
      <c r="C10190" t="inlineStr">
        <is>
          <t>I have a low acidity in my stomach (even water triggers reflux) but I’m forced to take some sort of PPI (H2 doesn’t work) because of my hietal hernia. I don’t have a large one at all, I forget but I believe it was very small. I have low acidity so I get sick from medications (PPIs). I heard something about HCL? Anyone know if that’s fine for when my reflux is already bad from the hietal hernia? I need to help my low acidity so I can take PPIs again.</t>
        </is>
      </c>
      <c r="D10190" t="n">
        <v>1</v>
      </c>
      <c r="E10190" t="n">
        <v>8</v>
      </c>
      <c r="F10190">
        <f>HYPERLINK("https://www.reddit.com/r/GERD/comments/ib732p/low_acidity_with_hietal_hernia/")</f>
        <v/>
      </c>
      <c r="G10190" t="inlineStr">
        <is>
          <t>2020-08-16 21:03:02</t>
        </is>
      </c>
      <c r="H10190" t="inlineStr"/>
    </row>
    <row r="10191">
      <c r="A10191" t="inlineStr">
        <is>
          <t>ib7t9k</t>
        </is>
      </c>
      <c r="B10191" t="inlineStr">
        <is>
          <t>Update and Questions</t>
        </is>
      </c>
      <c r="C10191" t="inlineStr">
        <is>
          <t>so it has been around 2-3 months with GERD for me. i have used the medications they gave me and recovering better than i expected. i honestly dont remember when my last chest pain that honestly hurt me alot happened. the ones i have now dont happen to me like last time when i would have one every 40 minutes and they would affect me. i usually have one like 1-3 times a day but i dont pay much attention to it because they dont bother. The only thing that is that affects me now is stomach issues. it feel like im bloated or if i would need to use the restroom but i reality i dont. i feel like i need to began i diet to fix my digestive stystem. Ive began to work out for almost week and i feel just soar from the workouts not hurt from stomach. Any diet recommendations or what i should do?</t>
        </is>
      </c>
      <c r="D10191" t="n">
        <v>1</v>
      </c>
      <c r="E10191" t="n">
        <v>0</v>
      </c>
      <c r="F10191">
        <f>HYPERLINK("https://www.reddit.com/r/GERD/comments/ib7t9k/update_and_questions/")</f>
        <v/>
      </c>
      <c r="G10191" t="inlineStr">
        <is>
          <t>2020-08-16 21:57:29</t>
        </is>
      </c>
      <c r="H10191" t="inlineStr"/>
    </row>
    <row r="10192">
      <c r="A10192" t="inlineStr">
        <is>
          <t>ib7yk9</t>
        </is>
      </c>
      <c r="B10192" t="inlineStr">
        <is>
          <t>Omeprazole Taper Side Affects</t>
        </is>
      </c>
      <c r="C10192" t="inlineStr">
        <is>
          <t>Hi all,
I have been on and off Omeprazole for a few (4) months now due to stomach problems which we now believe are anxiety related. I have now been on Zoloft (setraline) for a month and am feeling much better. I have been off omeprazole for about 1 1/2 weeks and noticed I have been quite dizzy the past 3-4 days. There have been alot of changed in my life recently and also dizziness can be a symptom of my anxiety/SSRI so there are lots of reasons it could be. But I am wondering if anyone here has experienced dizzyness as a side affect of prolonged omeprazole use withdrawls.</t>
        </is>
      </c>
      <c r="D10192" t="n">
        <v>1</v>
      </c>
      <c r="E10192" t="n">
        <v>7</v>
      </c>
      <c r="F10192">
        <f>HYPERLINK("https://www.reddit.com/r/GERD/comments/ib7yk9/omeprazole_taper_side_affects/")</f>
        <v/>
      </c>
      <c r="G10192" t="inlineStr">
        <is>
          <t>2020-08-16 22:08:39</t>
        </is>
      </c>
      <c r="H10192" t="inlineStr"/>
    </row>
    <row r="10193">
      <c r="A10193" t="inlineStr">
        <is>
          <t>ib84y8</t>
        </is>
      </c>
      <c r="B10193" t="inlineStr">
        <is>
          <t>Is there any relation of gerd with liver.</t>
        </is>
      </c>
      <c r="C10193" t="inlineStr">
        <is>
          <t>I am having pain mild pain at bottom right side of stomach since last two months. Its very mild and goes on and off. 
When I touch that side, I feel little enlarged liver. 
Should I visit doctor</t>
        </is>
      </c>
      <c r="D10193" t="n">
        <v>1</v>
      </c>
      <c r="E10193" t="n">
        <v>3</v>
      </c>
      <c r="F10193">
        <f>HYPERLINK("https://www.reddit.com/r/GERD/comments/ib84y8/is_there_any_relation_of_gerd_with_liver/")</f>
        <v/>
      </c>
      <c r="G10193" t="inlineStr">
        <is>
          <t>2020-08-16 22:22:25</t>
        </is>
      </c>
      <c r="H10193" t="inlineStr"/>
    </row>
    <row r="10194">
      <c r="A10194" t="inlineStr">
        <is>
          <t>ib8ldr</t>
        </is>
      </c>
      <c r="B10194" t="inlineStr">
        <is>
          <t>Help me guys!! Please</t>
        </is>
      </c>
      <c r="C10194" t="inlineStr">
        <is>
          <t>I have this burning sensation when I gulp some spicy food down my left throat. It's not going away. I have burning in abdomen on right side that goes away with antacid. Consulted a couple of ENT specialist and GI specialist. Got my endoscopy done by the GI specialist. He says it's stomach acid coming up the throat and burning the throat.  I have this constant fear of throat cancer on my left side of throat. I have some bad breath sometimes. I am on Pantaprazole and Famotidine. If anyone of you have gone through symptoms like mine please can you help me?</t>
        </is>
      </c>
      <c r="D10194" t="n">
        <v>1</v>
      </c>
      <c r="E10194" t="n">
        <v>3</v>
      </c>
      <c r="F10194">
        <f>HYPERLINK("https://www.reddit.com/r/GERD/comments/ib8ldr/help_me_guys_please/")</f>
        <v/>
      </c>
      <c r="G10194" t="inlineStr">
        <is>
          <t>2020-08-16 22:59:35</t>
        </is>
      </c>
      <c r="H10194" t="inlineStr"/>
    </row>
    <row r="10195">
      <c r="A10195" t="inlineStr">
        <is>
          <t>iba06b</t>
        </is>
      </c>
      <c r="B10195" t="inlineStr">
        <is>
          <t>GERD attack?</t>
        </is>
      </c>
      <c r="C10195" t="inlineStr">
        <is>
          <t>I’ve been eating a lot of acidic foods over the past couple of days mostly pasta with sauce, And yesterday nearing the nighttime I started to get excessive burping with a funny taste at the end of it. Then all of a sudden I got the worse stomach pains I drank some tea and the burping continues. I also get these burning sensation I feel in my Esophagus like I’m trying to breathe fire. I just woke up in the middle of the night and it’s still bothering me. I’m just drinking some water. I know my dad has GERD I was never diagnosed but I wouldn’t be surprise if I have it too.</t>
        </is>
      </c>
      <c r="D10195" t="n">
        <v>1</v>
      </c>
      <c r="E10195" t="n">
        <v>5</v>
      </c>
      <c r="F10195">
        <f>HYPERLINK("https://www.reddit.com/r/GERD/comments/iba06b/gerd_attack/")</f>
        <v/>
      </c>
      <c r="G10195" t="inlineStr">
        <is>
          <t>2020-08-17 01:04:13</t>
        </is>
      </c>
      <c r="H10195" t="inlineStr"/>
    </row>
    <row r="10196">
      <c r="A10196" t="inlineStr">
        <is>
          <t>iba0lw</t>
        </is>
      </c>
      <c r="B10196" t="inlineStr">
        <is>
          <t>GERD concerns what should i do?</t>
        </is>
      </c>
      <c r="C10196" t="inlineStr">
        <is>
          <t>19M 136 Lbs feel like i get lightheaded hard to concentrate a bit. especially late at night ever since i found i had GERD. is it the Omeprazole that i started taking 5 days ago or is it GERD? can someone help what should i do?</t>
        </is>
      </c>
      <c r="D10196" t="n">
        <v>1</v>
      </c>
      <c r="E10196" t="n">
        <v>7</v>
      </c>
      <c r="F10196">
        <f>HYPERLINK("https://www.reddit.com/r/GERD/comments/iba0lw/gerd_concerns_what_should_i_do/")</f>
        <v/>
      </c>
      <c r="G10196" t="inlineStr">
        <is>
          <t>2020-08-17 01:05:15</t>
        </is>
      </c>
      <c r="H10196" t="inlineStr"/>
    </row>
    <row r="10197">
      <c r="A10197" t="inlineStr">
        <is>
          <t>iba60a</t>
        </is>
      </c>
      <c r="B10197" t="inlineStr">
        <is>
          <t>Amitriptyline prescribed to me, advice?</t>
        </is>
      </c>
      <c r="C10197" t="inlineStr">
        <is>
          <t>Long story short, after a year of testing two different doctors concluded I have a hypersensitive esophagus (no idea what triggered it all of a sudden) and they prescribed me Amitriptyline.
To be frank, I have had absolutely horrendous experiences with drugs and I am terrified to take this. I have had extremely bad experiences with antidepressants too like a decade ago. I eventually realized I did not need them and wasn't right for them.
So I am really concerned about taking what is an antidepressant for a physical throat problem. I don't want my mood affected. I keep hearing about all of the side effects, like extreme drowsiness, which I can not tolerate. Even non-drowsy claritin and other meds make me drowsy so I am concerned this drug will basically make me unconscious.
Has this drug helped any of you with you throat pain? Any stories?</t>
        </is>
      </c>
      <c r="D10197" t="n">
        <v>1</v>
      </c>
      <c r="E10197" t="n">
        <v>34</v>
      </c>
      <c r="F10197">
        <f>HYPERLINK("https://www.reddit.com/r/GERD/comments/iba60a/amitriptyline_prescribed_to_me_advice/")</f>
        <v/>
      </c>
      <c r="G10197" t="inlineStr">
        <is>
          <t>2020-08-17 01:18:53</t>
        </is>
      </c>
      <c r="H10197" t="inlineStr"/>
    </row>
    <row r="10198">
      <c r="A10198" t="inlineStr">
        <is>
          <t>ibb1kd</t>
        </is>
      </c>
      <c r="B10198" t="inlineStr">
        <is>
          <t>Anyone else?</t>
        </is>
      </c>
      <c r="C10198" t="inlineStr">
        <is>
          <t>was diagnosed with GERD when I went to my VA clinic for an emergency visit with chest pains, a little more than a week ago. They prescribed me Omeprazole twice a day 20 mg each. I have the weirdest symptoms though that they couldn't really help me with, almost like they just chocked it up to GERD. I have this pressure, right at the bottom of my sternum. It won't go away for like 12 hours, then it starts to dissipate. The pressure keeps me from sleeping, so I'm extremely tired. No burning, no heartburn, just this pressure, and diarrhea. I went to the ER two days ago, because the pressure came back and it is starting to scare me. All my blood work comes back fine, they gave me a beerflu test which came back negative, so they just go right back to GERD. 
Fast forward to tonight and here I am, can't sleep, pressure keeping me up again. I do fast just about everyday, and it's usually one meal a day. The doctor told me to take both the Omeprazole a day, one in the morning and one at night. When I mentioned the fasting she said not to worry about just to make sure I take the second one with food. Does any of this sound right to you all? Do you maybe have the same pressure at the bottom of your sternum? Any info and guidance is most appreciated! Thank you</t>
        </is>
      </c>
      <c r="D10198" t="n">
        <v>1</v>
      </c>
      <c r="E10198" t="n">
        <v>8</v>
      </c>
      <c r="F10198">
        <f>HYPERLINK("https://www.reddit.com/r/GERD/comments/ibb1kd/anyone_else/")</f>
        <v/>
      </c>
      <c r="G10198" t="inlineStr">
        <is>
          <t>2020-08-17 02:39:09</t>
        </is>
      </c>
      <c r="H10198" t="inlineStr"/>
    </row>
    <row r="10199">
      <c r="A10199" t="inlineStr">
        <is>
          <t>ibdve1</t>
        </is>
      </c>
      <c r="B10199" t="inlineStr">
        <is>
          <t>Just threw up my ppi, can I retake it?</t>
        </is>
      </c>
      <c r="C10199" t="inlineStr">
        <is>
          <t>This will be a little gross, but i took my PPI this morning about 20 minutes ago. I ran to the bathroom a few minutes after and puked up bile (as always)- and I thought I saw some of the pill in with the bile. Should I retake it, or would that be a bad idea?</t>
        </is>
      </c>
      <c r="D10199" t="n">
        <v>1</v>
      </c>
      <c r="E10199" t="n">
        <v>4</v>
      </c>
      <c r="F10199">
        <f>HYPERLINK("https://www.reddit.com/r/GERD/comments/ibdve1/just_threw_up_my_ppi_can_i_retake_it/")</f>
        <v/>
      </c>
      <c r="G10199" t="inlineStr">
        <is>
          <t>2020-08-17 06:11:31</t>
        </is>
      </c>
      <c r="H10199" t="inlineStr"/>
    </row>
    <row r="10200">
      <c r="A10200" t="inlineStr">
        <is>
          <t>ibfddh</t>
        </is>
      </c>
      <c r="B10200" t="inlineStr">
        <is>
          <t>What foods trigger your GERD the most?</t>
        </is>
      </c>
      <c r="C10200" t="inlineStr">
        <is>
          <t>My husband is experiencing GERD symptoms, and I know it requires diet changes. What triggers yours the most? Thanks!</t>
        </is>
      </c>
      <c r="D10200" t="n">
        <v>1</v>
      </c>
      <c r="E10200" t="n">
        <v>25</v>
      </c>
      <c r="F10200">
        <f>HYPERLINK("https://www.reddit.com/r/GERD/comments/ibfddh/what_foods_trigger_your_gerd_the_most/")</f>
        <v/>
      </c>
      <c r="G10200" t="inlineStr">
        <is>
          <t>2020-08-17 07:41:02</t>
        </is>
      </c>
      <c r="H10200" t="inlineStr"/>
    </row>
    <row r="10201">
      <c r="A10201" t="inlineStr">
        <is>
          <t>ibgk9a</t>
        </is>
      </c>
      <c r="B10201" t="inlineStr">
        <is>
          <t>HOW LONG DOES IT TAKE OMEPRAZOLE TO WORK?</t>
        </is>
      </c>
      <c r="C10201" t="inlineStr">
        <is>
          <t>I’m having really bad Gerd and or Silent reflux symptoms. I’ve been on Omeprazole for a week and only seen minimal relief so far. My doctor says it will take a week for the medicine to start kicking in. When did you get relief?</t>
        </is>
      </c>
      <c r="D10201" t="n">
        <v>1</v>
      </c>
      <c r="E10201" t="n">
        <v>29</v>
      </c>
      <c r="F10201">
        <f>HYPERLINK("https://www.reddit.com/r/GERD/comments/ibgk9a/how_long_does_it_take_omeprazole_to_work/")</f>
        <v/>
      </c>
      <c r="G10201" t="inlineStr">
        <is>
          <t>2020-08-17 08:45:21</t>
        </is>
      </c>
      <c r="H10201" t="inlineStr"/>
    </row>
    <row r="10202">
      <c r="A10202" t="inlineStr">
        <is>
          <t>ibgvyz</t>
        </is>
      </c>
      <c r="B10202" t="inlineStr">
        <is>
          <t>Upper GI results</t>
        </is>
      </c>
      <c r="C10202" t="inlineStr">
        <is>
          <t>I had an upper GI over a week ago and I just heard from my doctors office today that the doctor would like to talk to me about some results but it’s not urgent at all.... so I am booked in for Wednesday. 
Do you think it’ll be GERD? What classifies as not urgent? I’ve have bloating pain, left side abdominal pain where my stomach would be. For a while my doctor thought I could have a hiatal hernia. I just don’t have heart burn though so I never thought GERD would be my diagnosis. My mother has GERD.</t>
        </is>
      </c>
      <c r="D10202" t="n">
        <v>1</v>
      </c>
      <c r="E10202" t="n">
        <v>2</v>
      </c>
      <c r="F10202">
        <f>HYPERLINK("https://www.reddit.com/r/GERD/comments/ibgvyz/upper_gi_results/")</f>
        <v/>
      </c>
      <c r="G10202" t="inlineStr">
        <is>
          <t>2020-08-17 09:02:21</t>
        </is>
      </c>
      <c r="H10202" t="inlineStr"/>
    </row>
    <row r="10203">
      <c r="A10203" t="inlineStr">
        <is>
          <t>ibhd4k</t>
        </is>
      </c>
      <c r="B10203" t="inlineStr">
        <is>
          <t>Mouthwash and GERD</t>
        </is>
      </c>
      <c r="C10203" t="inlineStr">
        <is>
          <t>I've noticed that if I use mouth wash and only spit once, my stomach comes for my life. I end up bent over the sink for a good 5 minutes drooling it out before I can sleep. Anyone else struggle with mouthwash? My dentist is going to come for my life if I don't take care of my teeth but ugh...</t>
        </is>
      </c>
      <c r="D10203" t="n">
        <v>1</v>
      </c>
      <c r="E10203" t="n">
        <v>11</v>
      </c>
      <c r="F10203">
        <f>HYPERLINK("https://www.reddit.com/r/GERD/comments/ibhd4k/mouthwash_and_gerd/")</f>
        <v/>
      </c>
      <c r="G10203" t="inlineStr">
        <is>
          <t>2020-08-17 09:27:22</t>
        </is>
      </c>
      <c r="H10203" t="inlineStr"/>
    </row>
    <row r="10204">
      <c r="A10204" t="inlineStr">
        <is>
          <t>ibiiny</t>
        </is>
      </c>
      <c r="B10204" t="inlineStr">
        <is>
          <t>My struggle with lpr</t>
        </is>
      </c>
      <c r="C10204" t="inlineStr">
        <is>
          <t>I have been struggling with silent reflux for about 5 years now with no absolute resolution, just diet control. Im writing about it here in hopes i can get answers or more ideas on how to better my state. 
My story: i started off with post nasal drip ,morning coughing, hoarseness in the morning to the point where i couldnt even speak, having to clear out mucus  from nose throughout the day (usually worse after eating trigger foods). Ive talked to my family doctor who believes i have asthma eventhough the asthma tests came back to show that i dont and he still insists i go for a deeper asthma test. Ive also spoken to two gastroenterologist about this (theyre my doctors for a autoimmune disease i have). The first one prescribed two different PPI's which i didnt take them for long(less than a week) due to the criticism and skepticism people with lpr have shared and possible worsening of symptoms which was giving me anxiety. 
Fast forward to now i have made some diet changes, and switched out milk for lactose free milk (that was a big trigger especially drinking it in the morning was the sole cause of my hoarseness). I avoided greasy foods and cut out rest of the dairy group. The symptoms i was left with were coughing that's especially worse jn the morning and after eating trigger foods, post nasal drip, having to clear out mucus, sometime hard to swallow. After doing research i decided to invest in the fast track diet app, its only been a day and i know i cant eat that little so my fp number for the day is over 50 ( because i workout and have to eat enough to maintain muscle). 
A few questions i have that if anybody could help me with would be much appreciated. 
Is acid eroding my teeth Eventhough i dont taste a sour taste in my mouth and it sometimes just salty from the constant mucus dripping in the back of my throat? A lot of lpr stuff i read online says enamel erosion happens in lpr, am i just lucky or am i unaware of the damage being done?
Has the fast track diet worked for lpr and if so what was the range of numbers you would fall into at the end of the day?
Have you stayed on ppi's for longe term (6months+) and weaned of them for treating lpr? How was your experience and did it work or is it something you have to take forever if you start given that it even works?</t>
        </is>
      </c>
      <c r="D10204" t="n">
        <v>1</v>
      </c>
      <c r="E10204" t="n">
        <v>3</v>
      </c>
      <c r="F10204">
        <f>HYPERLINK("https://www.reddit.com/r/GERD/comments/ibiiny/my_struggle_with_lpr/")</f>
        <v/>
      </c>
      <c r="G10204" t="inlineStr">
        <is>
          <t>2020-08-17 10:25:56</t>
        </is>
      </c>
      <c r="H10204" t="inlineStr"/>
    </row>
    <row r="10205">
      <c r="A10205" t="inlineStr">
        <is>
          <t>ibiuy8</t>
        </is>
      </c>
      <c r="B10205" t="inlineStr">
        <is>
          <t>Day 3 of Omeprazole. Feels like fluid is defying gravity and going straight up my throat</t>
        </is>
      </c>
      <c r="C10205" t="inlineStr">
        <is>
          <t>Context:
I was just diagnosed with Reflux and Esophageal Dismotility last week. I started 20mg of Omeprazole twice a day on Saturday.
So day 3 of omeprazole and it feels like fluid is coming straight up my throat. I'm not even sure how this is possible in a seated, upright position. It doesn't feel like heart burn, it feels like a cooling feeling but not in a good way. It feels like a minty rush of toothpaste in the throat and its leading to really bad globus sensation. In addition to the globus and bad fluid feeling, I am feeling the need to constantly swallow. Both increased saliva and also frequent swallowing. Sleeping the past few nights was brutal and all these feelings were 10x worse lying down. It felt like fluids were rushing into my mouth. Incredibly unpleasant.
Is this normal?
TLDR;
Day 3 of PPI and initial symptoms are unchanged. Only thing that is new is fluid going straight up throat and feeling the need to constantly swallow.</t>
        </is>
      </c>
      <c r="D10205" t="n">
        <v>1</v>
      </c>
      <c r="E10205" t="n">
        <v>2</v>
      </c>
      <c r="F10205">
        <f>HYPERLINK("https://www.reddit.com/r/GERD/comments/ibiuy8/day_3_of_omeprazole_feels_like_fluid_is_defying/")</f>
        <v/>
      </c>
      <c r="G10205" t="inlineStr">
        <is>
          <t>2020-08-17 10:42:22</t>
        </is>
      </c>
      <c r="H10205" t="inlineStr"/>
    </row>
    <row r="10206">
      <c r="A10206" t="inlineStr">
        <is>
          <t>ibizea</t>
        </is>
      </c>
      <c r="B10206" t="inlineStr">
        <is>
          <t>Something to help you not think you're not having a heart attack</t>
        </is>
      </c>
      <c r="C10206" t="inlineStr">
        <is>
          <t>So I was lucky enough to be in a room with black mold all last year. This lead to a ton of problems including GERD and with that GERD some anxiety. For a while it seemed like almost every other day I thought for sure I was going to die from a heart attack. Obviously this hasn't happened but I keep thinking it is going to happen whenever I get pain in my chest. I found that having someone push down or sit on your chest can give that same more intense pressure a heart attack gives. It almost sobers me up since I can compare my less intense pain to what it should actually feel like. 
&amp;amp;#x200B;
Hope the idea might help someone if even a little bit!</t>
        </is>
      </c>
      <c r="D10206" t="n">
        <v>1</v>
      </c>
      <c r="E10206" t="n">
        <v>3</v>
      </c>
      <c r="F10206">
        <f>HYPERLINK("https://www.reddit.com/r/GERD/comments/ibizea/something_to_help_you_not_think_youre_not_having/")</f>
        <v/>
      </c>
      <c r="G10206" t="inlineStr">
        <is>
          <t>2020-08-17 10:48:17</t>
        </is>
      </c>
      <c r="H10206" t="inlineStr"/>
    </row>
    <row r="10207">
      <c r="A10207" t="inlineStr">
        <is>
          <t>ibizek</t>
        </is>
      </c>
      <c r="B10207" t="inlineStr">
        <is>
          <t>Anyone switch PPI to help with LPR?</t>
        </is>
      </c>
      <c r="C10207" t="inlineStr">
        <is>
          <t>Was on Nexium for 12 weeks (40mg) with initial improvement with constant post nasal drip and mucus but the effects clearly waned over time.
Anyone have success switching with LPR? Which PPI?</t>
        </is>
      </c>
      <c r="D10207" t="n">
        <v>1</v>
      </c>
      <c r="E10207" t="n">
        <v>6</v>
      </c>
      <c r="F10207">
        <f>HYPERLINK("https://www.reddit.com/r/GERD/comments/ibizek/anyone_switch_ppi_to_help_with_lpr/")</f>
        <v/>
      </c>
      <c r="G10207" t="inlineStr">
        <is>
          <t>2020-08-17 10:48:18</t>
        </is>
      </c>
      <c r="H10207" t="inlineStr"/>
    </row>
    <row r="10208">
      <c r="A10208" t="inlineStr">
        <is>
          <t>ibjbch</t>
        </is>
      </c>
      <c r="B10208" t="inlineStr">
        <is>
          <t>Long term suffering</t>
        </is>
      </c>
      <c r="C10208" t="inlineStr">
        <is>
          <t>Never posted on here before but have seen lots of people posting with similar symptoms.
My GERD (or what I’m guessing is GERD) started after a 2 week Christmas period of over indulging. I’m 34 fairly fit and healthy, generally eat and drink well. 
Had really bad feeling of lump in my throat, chest tightness. Eventually put on lansoprazole which I’ve been on since. However lately I’ve been feeling nauseas, more frequent headaches and just general ibs symptoms. 
My symptoms seem to vary from day to day. Sometimes my throat feels tight, chest tightness how I’d imagine asthma to feel but not having it, stiff feeing in neck, occasional chest pain. Have had blood tests, echocardiogram to check chest pains, nothing has come back, so it’s just more PPI’s.
Does anyone else get these varying symptoms from day to day for long periods. Mine has been 8 months now. Up until 2 weeks ago I thought I was through it, symptoms were far better for a period then suddenly all back again! Unbelievably frustrating! 
Any advice would be amazing!</t>
        </is>
      </c>
      <c r="D10208" t="n">
        <v>1</v>
      </c>
      <c r="E10208" t="n">
        <v>2</v>
      </c>
      <c r="F10208">
        <f>HYPERLINK("https://www.reddit.com/r/GERD/comments/ibjbch/long_term_suffering/")</f>
        <v/>
      </c>
      <c r="G10208" t="inlineStr">
        <is>
          <t>2020-08-17 11:04:33</t>
        </is>
      </c>
      <c r="H10208" t="inlineStr"/>
    </row>
    <row r="10209">
      <c r="A10209" t="inlineStr">
        <is>
          <t>ibk6kr</t>
        </is>
      </c>
      <c r="B10209" t="inlineStr">
        <is>
          <t>I had gerd when I was 13 and I feel it came back.</t>
        </is>
      </c>
      <c r="C10209" t="inlineStr">
        <is>
          <t>Hi I am 20 years old and I been feeling like my disease came back. I started to feel symptoms back in may 2020 and now they are really hard to cope by. I can’t drink anything at morning or eat anything that’s cold, I have headaches and constantly having stomach aches and feeling like throwing up. I currently can’t visit a doctor so I don’t ask for any non prescribed medicines because I am just not sure it is it. I am asking if you can give me any advice what could help me cope with it. I try not to eat anything spicy or something but I am completely blue about it because it’s been long time since last time I had it. Any diet recommendations or something not diet related to help me please ?</t>
        </is>
      </c>
      <c r="D10209" t="n">
        <v>1</v>
      </c>
      <c r="E10209" t="n">
        <v>2</v>
      </c>
      <c r="F10209">
        <f>HYPERLINK("https://www.reddit.com/r/GERD/comments/ibk6kr/i_had_gerd_when_i_was_13_and_i_feel_it_came_back/")</f>
        <v/>
      </c>
      <c r="G10209" t="inlineStr">
        <is>
          <t>2020-08-17 11:46:45</t>
        </is>
      </c>
      <c r="H10209" t="inlineStr"/>
    </row>
    <row r="10210">
      <c r="A10210" t="inlineStr">
        <is>
          <t>ibkhbm</t>
        </is>
      </c>
      <c r="B10210" t="inlineStr">
        <is>
          <t>HAS GERD/LPR MADE YOUR ANXIETY WORSE?</t>
        </is>
      </c>
      <c r="C10210" t="inlineStr">
        <is>
          <t>I’ve been suffering with Gerd and or LPR symptoms for 2 weeks now and it has sent me on mental over drive. I have never had so many panic attacks in my life. Have this happened to you?
Last week I had 2-3 panic attacks daily. These panic attacks made me feel super suicidal. I have been scared to be home alone (i’m a female and live alone) so I’ve been staying with my parents for the past two weeks. 
My doctor prescribed me Xanax 3 days ago, I’ve used it twice but I don’t want to get dependent on it.
Is this normal?</t>
        </is>
      </c>
      <c r="D10210" t="n">
        <v>1</v>
      </c>
      <c r="E10210" t="n">
        <v>74</v>
      </c>
      <c r="F10210">
        <f>HYPERLINK("https://www.reddit.com/r/GERD/comments/ibkhbm/has_gerdlpr_made_your_anxiety_worse/")</f>
        <v/>
      </c>
      <c r="G10210" t="inlineStr">
        <is>
          <t>2020-08-17 12:01:29</t>
        </is>
      </c>
      <c r="H10210" t="inlineStr"/>
    </row>
    <row r="10211">
      <c r="A10211" t="inlineStr">
        <is>
          <t>iblz3q</t>
        </is>
      </c>
      <c r="B10211" t="inlineStr">
        <is>
          <t>Has anyone's shortness of breath fully gone away?</t>
        </is>
      </c>
      <c r="C10211" t="inlineStr">
        <is>
          <t>Honestly I think I'm going crazy with my SOB and just need some feedback/hope. Just found out about GERD and this sub has been an absolute godsend. 
I've had mild symptoms all my life (globus/burping/heartburn after eating lasting for &amp;gt; 1hr), but this week it has gotten so bad that I went to the ER only to come out with an asthma inhaler that doesn't work.
I've had shortness of breath all day for the last week, as well as wheezing, coughing, and constant clearing of the throat. Heartburn and globus which comes and goes at mealtimes. I've started pantoprazol 20mg x 2/day as well as Gaviscon and simeticone after every meal. Most of my symptoms have eased, but the SOB (which is the biggest PITA) still remains. Going to my GP tomorrow to get a referral for a GI (hopefully an upper endo will follow).
Has anyone's SOB gone away with PPI treatment, or any other treatment of their GERD/LPR/esophagitis? It's just so uncomfortable and anxiety inducing that I find myself unable to work or do daily tasks.</t>
        </is>
      </c>
      <c r="D10211" t="n">
        <v>1</v>
      </c>
      <c r="E10211" t="n">
        <v>11</v>
      </c>
      <c r="F10211">
        <f>HYPERLINK("https://www.reddit.com/r/GERD/comments/iblz3q/has_anyones_shortness_of_breath_fully_gone_away/")</f>
        <v/>
      </c>
      <c r="G10211" t="inlineStr">
        <is>
          <t>2020-08-17 13:17:38</t>
        </is>
      </c>
      <c r="H10211" t="inlineStr"/>
    </row>
    <row r="10212">
      <c r="A10212" t="inlineStr">
        <is>
          <t>ibo8qi</t>
        </is>
      </c>
      <c r="B10212" t="inlineStr">
        <is>
          <t>Taking ppis or not, plz help by telling your experience.</t>
        </is>
      </c>
      <c r="C10212" t="inlineStr">
        <is>
          <t>I have Barrett’s esophagus (metaplasia) diagnosed like 1.5 years ago. 
I was taking nexium 40mg once a day and then stopped after 4 months. 
Now i want to make an endoscopy in about 2 months and i know that the doctors are gonna prescribe pills (ppis) which is gonna be bad long term for my health in general (kidneys and brain and the GI tract) but at the same time if i dont rake it i have anxiety on a daily basis. But i also have hope that i can fix it naturally i did some diet changes and it helped alot but i still have reflux when i sleep. 
In your experience should i just take it or try naturally? 
Before the diagnosis of barret’s i didnt even know i have reflux ... please help me with your opinion as a patient! 🙏🏼🙏🏼🙏🏼🙏🏼</t>
        </is>
      </c>
      <c r="D10212" t="n">
        <v>1</v>
      </c>
      <c r="E10212" t="n">
        <v>12</v>
      </c>
      <c r="F10212">
        <f>HYPERLINK("https://www.reddit.com/r/GERD/comments/ibo8qi/taking_ppis_or_not_plz_help_by_telling_your/")</f>
        <v/>
      </c>
      <c r="G10212" t="inlineStr">
        <is>
          <t>2020-08-17 15:15:01</t>
        </is>
      </c>
      <c r="H10212" t="inlineStr"/>
    </row>
    <row r="10213">
      <c r="A10213" t="inlineStr">
        <is>
          <t>ibooxl</t>
        </is>
      </c>
      <c r="B10213" t="inlineStr">
        <is>
          <t>Getting worried about feeling in chest</t>
        </is>
      </c>
      <c r="C10213" t="inlineStr">
        <is>
          <t>Hey everybody, I've been dealing with GERD for about 15 years now since I was 14 years old. I've had every test done in the book by my doctor, I've had the scope down my esophagus into my stomach, I've done the barium swallow thing, and I've even done a radioactive food test, all the results came back saying it's basically just my diet. I started taking a pill called Dexilant about a year or two ago and it definitely eliminated the feeling of acid reflux, but now I'm feeling a strange feeling in my chest that had been there for awhile but it's getting worse and more noticable now. The feeling is kind of like there is a golf ball or a bunch of gas around my heart, I will also sometimes feel little bubbles around my heart, kind of like carbonated drinks make you feel. My doctor has basically said we've done all the tests we can do, but I'm starting to think the worst possibilities, anybody else have this feeling in their chest and have got rid of it? Thanks for any help in advance, I'm getting pretty scared at this point.</t>
        </is>
      </c>
      <c r="D10213" t="n">
        <v>1</v>
      </c>
      <c r="E10213" t="n">
        <v>3</v>
      </c>
      <c r="F10213">
        <f>HYPERLINK("https://www.reddit.com/r/GERD/comments/ibooxl/getting_worried_about_feeling_in_chest/")</f>
        <v/>
      </c>
      <c r="G10213" t="inlineStr">
        <is>
          <t>2020-08-17 15:38:54</t>
        </is>
      </c>
      <c r="H10213" t="inlineStr"/>
    </row>
    <row r="10214">
      <c r="A10214" t="inlineStr">
        <is>
          <t>ibooz1</t>
        </is>
      </c>
      <c r="B10214" t="inlineStr">
        <is>
          <t>LPR: Gaviscon or Melatonin?</t>
        </is>
      </c>
      <c r="C10214" t="inlineStr">
        <is>
          <t>I want PPIS to be my last resort, so Im thinking of trying gaviscon or melatonin first (only been sleeping for like 6 hours a day)
does anyone have any recommendations on which to try first or should I take them together?</t>
        </is>
      </c>
      <c r="D10214" t="n">
        <v>1</v>
      </c>
      <c r="E10214" t="n">
        <v>3</v>
      </c>
      <c r="F10214">
        <f>HYPERLINK("https://www.reddit.com/r/GERD/comments/ibooz1/lpr_gaviscon_or_melatonin/")</f>
        <v/>
      </c>
      <c r="G10214" t="inlineStr">
        <is>
          <t>2020-08-17 15:38:58</t>
        </is>
      </c>
      <c r="H10214" t="inlineStr"/>
    </row>
    <row r="10215">
      <c r="A10215" t="inlineStr">
        <is>
          <t>ibp2yf</t>
        </is>
      </c>
      <c r="B10215" t="inlineStr">
        <is>
          <t>Anyone have burping so bad you feel like you can't breathe?</t>
        </is>
      </c>
      <c r="C10215" t="inlineStr">
        <is>
          <t>This happened the other night after having Mexican (big mistake). Hours later, I felt like I was short of breath and the only thing that seemed to relieve it was burping. I was burping all night and into the next day. 
I was quick to call my doctor and he said it was acid reflux. He gave me Pepcid which I just started to take today. I feel better now that it's been a few days but I still feel like my lungs aren't getting enough air at times. It's a really scary feeling.
Anyone else experience this?</t>
        </is>
      </c>
      <c r="D10215" t="n">
        <v>1</v>
      </c>
      <c r="E10215" t="n">
        <v>5</v>
      </c>
      <c r="F10215">
        <f>HYPERLINK("https://www.reddit.com/r/GERD/comments/ibp2yf/anyone_have_burping_so_bad_you_feel_like_you_cant/")</f>
        <v/>
      </c>
      <c r="G10215" t="inlineStr">
        <is>
          <t>2020-08-17 16:01:01</t>
        </is>
      </c>
      <c r="H10215" t="inlineStr"/>
    </row>
    <row r="10216">
      <c r="A10216" t="inlineStr">
        <is>
          <t>ibpmfu</t>
        </is>
      </c>
      <c r="B10216" t="inlineStr">
        <is>
          <t>Am i gonna die from Hiatal hernia</t>
        </is>
      </c>
      <c r="C10216" t="inlineStr">
        <is>
          <t>Not recommended for surgery rn but I have a hiatal hernia and every so often my heart is skipping beats and its scaring me so much. I know the palpitations are from gerd as im literally always having them and always gassy. Had ultrasound and 24 holter 2 month ago, no abnormalities. But I dont wanna die young im 18 is this something i really have to worry about</t>
        </is>
      </c>
      <c r="D10216" t="n">
        <v>1</v>
      </c>
      <c r="E10216" t="n">
        <v>8</v>
      </c>
      <c r="F10216">
        <f>HYPERLINK("https://www.reddit.com/r/GERD/comments/ibpmfu/am_i_gonna_die_from_hiatal_hernia/")</f>
        <v/>
      </c>
      <c r="G10216" t="inlineStr">
        <is>
          <t>2020-08-17 16:33:06</t>
        </is>
      </c>
      <c r="H10216" t="inlineStr"/>
    </row>
    <row r="10217">
      <c r="A10217" t="inlineStr">
        <is>
          <t>ibprae</t>
        </is>
      </c>
      <c r="B10217" t="inlineStr">
        <is>
          <t>Does exercise trigger your symptoms?</t>
        </is>
      </c>
      <c r="C10217" t="inlineStr">
        <is>
          <t>During periods of relief, I’ll give exercise a try which mainly consists of walking around a track or walking on the treadmill and I always seem to get bloated and nauseous afterwards.
Do this happen to anyone else?</t>
        </is>
      </c>
      <c r="D10217" t="n">
        <v>1</v>
      </c>
      <c r="E10217" t="n">
        <v>5</v>
      </c>
      <c r="F10217">
        <f>HYPERLINK("https://www.reddit.com/r/GERD/comments/ibprae/does_exercise_trigger_your_symptoms/")</f>
        <v/>
      </c>
      <c r="G10217" t="inlineStr">
        <is>
          <t>2020-08-17 16:41:01</t>
        </is>
      </c>
      <c r="H10217" t="inlineStr"/>
    </row>
    <row r="10218">
      <c r="A10218" t="inlineStr">
        <is>
          <t>ibq1jp</t>
        </is>
      </c>
      <c r="B10218" t="inlineStr">
        <is>
          <t>Why is GERD so similar to heart attack symptoms?</t>
        </is>
      </c>
      <c r="C10218" t="inlineStr">
        <is>
          <t>My GERD is a bit weird, I think. I almost never have that gross burning acid feeling in my throat. I get a lot of burping, a chest discomfort, a weird feeling of something being stuck in my throat, a dull pain in my jaw, and even sometimes pain in my shoulder blades. If it gets really bad I will get symptoms that feel like a panic attack and feel so dizzy that the room is spinning (only ever got this bad once after eating sauerkraut) 
A lot of these symptoms don't really sound like GERD though, and that jaw/chest/back pain initially made me worried I was having heart problems until I went to my doctor and he told me it was GERD. How am I supposed to know if I one day get an actual heart attack? The symptoms sound so close that I'll probably just think I'm having a bad GERD flare up.</t>
        </is>
      </c>
      <c r="D10218" t="n">
        <v>1</v>
      </c>
      <c r="E10218" t="n">
        <v>11</v>
      </c>
      <c r="F10218">
        <f>HYPERLINK("https://www.reddit.com/r/GERD/comments/ibq1jp/why_is_gerd_so_similar_to_heart_attack_symptoms/")</f>
        <v/>
      </c>
      <c r="G10218" t="inlineStr">
        <is>
          <t>2020-08-17 16:57:49</t>
        </is>
      </c>
      <c r="H10218" t="inlineStr"/>
    </row>
    <row r="10219">
      <c r="A10219" t="inlineStr">
        <is>
          <t>ibsiqs</t>
        </is>
      </c>
      <c r="B10219" t="inlineStr">
        <is>
          <t>Looking for advice</t>
        </is>
      </c>
      <c r="C10219" t="inlineStr">
        <is>
          <t>First time poster here, please be gentle.
I was diagnosed over 15 years ago with Acid Reflux, which was managed very well with Nexium and then about 9 years ago I switched to Lansoprazole. (I believe we switched because at the time Nexium was in short supply, and my insurance at that time suddenly stopped covering it.
The Lansoprazole was working great as long as I took it at the same time everyday (2x 30MG).
Fast forward to this March, I started having issues, it would feel very tight, off and on it would feel like I had a golf ball in my throat, which then turned to constant pain while swallowing anything.
Eventually the golf ball feeling and the pain and stiffness subsided and now I have the burning feeling in my throat.
Now it's not constant, and I find it's not nearly as noticeable in the morning, but as the day goes on it gets worse.
I rececently had the camera through my nose and down (omg horrible!) At this point the doctor said there is no sign of infection or cancer or anything like that (I'm a little sceptical as it only took about 3 minutes with the camera from start to finish)
I have now also seen a chiropractor as the doctor said the burning could be from neck posture, so I have done 18 weeks of this.
So now (and this is what is making me question everything) when I notice the burning is starting to pick up in my throat throughout the day I put a tensor bandage and wrap it around my neck (not tight but enough that it's not easy to put a finger between the bandage and my neck) and I notice this greatly helps. 
I have also switched medications and trying esomeprazole (1 in the morning, 1 at night 30 minutes before eating) 20MG and have about 8 tums 1000MG a day. 
I was wondering if anyone still thinks this is GERD/Reflux or possibly something else, or maybe someone is in the same boat as me? To further note all this extra pain/burning happened after I was sick in March which lasted about 3 weeks (cough, sneeze, sore throat, the lump feeling, watery eyes, couldn't sleep, chest pains....the whole ordeal)
Thanks for reading, and looking forward to any replys!</t>
        </is>
      </c>
      <c r="D10219" t="n">
        <v>1</v>
      </c>
      <c r="E10219" t="n">
        <v>10</v>
      </c>
      <c r="F10219">
        <f>HYPERLINK("https://www.reddit.com/r/GERD/comments/ibsiqs/looking_for_advice/")</f>
        <v/>
      </c>
      <c r="G10219" t="inlineStr">
        <is>
          <t>2020-08-17 19:30:20</t>
        </is>
      </c>
      <c r="H10219" t="inlineStr"/>
    </row>
    <row r="10220">
      <c r="A10220" t="inlineStr">
        <is>
          <t>ibtsop</t>
        </is>
      </c>
      <c r="B10220" t="inlineStr">
        <is>
          <t>Changing birth control helped my GERD</t>
        </is>
      </c>
      <c r="C10220" t="inlineStr">
        <is>
          <t>Hi! Hopefully this might help someone! But I suffered from gastritis and terrible GERD/Acid Reflux for over a year and I always kind of thought in the back of my head it could have been from my birth control pill but I just kept pressing on. I finally decided to switch pills for another reason and my GERD symptoms have DRASTICALLY gone down. 
I’m able to see very clearly now that it was exacerbated by my old pill so I just wanted to put this out there for anyone else who maybe hadn’t considered their pill making symptoms worse!</t>
        </is>
      </c>
      <c r="D10220" t="n">
        <v>1</v>
      </c>
      <c r="E10220" t="n">
        <v>12</v>
      </c>
      <c r="F10220">
        <f>HYPERLINK("https://www.reddit.com/r/GERD/comments/ibtsop/changing_birth_control_helped_my_gerd/")</f>
        <v/>
      </c>
      <c r="G10220" t="inlineStr">
        <is>
          <t>2020-08-17 20:53:35</t>
        </is>
      </c>
      <c r="H10220" t="inlineStr"/>
    </row>
    <row r="10221">
      <c r="A10221" t="inlineStr">
        <is>
          <t>ibtw7f</t>
        </is>
      </c>
      <c r="B10221" t="inlineStr">
        <is>
          <t>I can't take this any more</t>
        </is>
      </c>
      <c r="C10221" t="inlineStr">
        <is>
          <t>It's 5am. Once again I've been woken up by the taste of acid/bile in my throat and mouth. I feel like I'm being choked. Four tums as soon as I woke up, virtually no effect. Throughout the previous day: no coffee, no alcohol, 60mg lansoprazole, no food below 5ph, no gluten, no dairy, gaviscon advance, a zantac before bed. I feel fucking dreadful and hopeless. I feel like clawing my throat out. Nothing helps.</t>
        </is>
      </c>
      <c r="D10221" t="n">
        <v>1</v>
      </c>
      <c r="E10221" t="n">
        <v>17</v>
      </c>
      <c r="F10221">
        <f>HYPERLINK("https://www.reddit.com/r/GERD/comments/ibtw7f/i_cant_take_this_any_more/")</f>
        <v/>
      </c>
      <c r="G10221" t="inlineStr">
        <is>
          <t>2020-08-17 21:00:28</t>
        </is>
      </c>
      <c r="H10221" t="inlineStr"/>
    </row>
    <row r="10222">
      <c r="A10222" t="inlineStr">
        <is>
          <t>ibusrk</t>
        </is>
      </c>
      <c r="B10222" t="inlineStr">
        <is>
          <t>Anyone tried medical marijuana</t>
        </is>
      </c>
      <c r="C10222" t="inlineStr">
        <is>
          <t>Was thinking of getting a card to get cbd or thc for reflux/sibo nausea. Anyone have experience? I’ve heard it tightens the hietal hernia.</t>
        </is>
      </c>
      <c r="D10222" t="n">
        <v>1</v>
      </c>
      <c r="E10222" t="n">
        <v>33</v>
      </c>
      <c r="F10222">
        <f>HYPERLINK("https://www.reddit.com/r/GERD/comments/ibusrk/anyone_tried_medical_marijuana/")</f>
        <v/>
      </c>
      <c r="G10222" t="inlineStr">
        <is>
          <t>2020-08-17 22:05:59</t>
        </is>
      </c>
      <c r="H10222" t="inlineStr"/>
    </row>
    <row r="10223">
      <c r="A10223" t="inlineStr">
        <is>
          <t>ibuuzs</t>
        </is>
      </c>
      <c r="B10223" t="inlineStr">
        <is>
          <t>What to take and when out of the treatments I have ( LPR )</t>
        </is>
      </c>
      <c r="C10223" t="inlineStr">
        <is>
          <t>So I have standard antacids , recently got some Pepcid AC , and my Gaviscon Advance just came in today , when should I take each during the day and for what specifically?</t>
        </is>
      </c>
      <c r="D10223" t="n">
        <v>1</v>
      </c>
      <c r="E10223" t="n">
        <v>1</v>
      </c>
      <c r="F10223">
        <f>HYPERLINK("https://www.reddit.com/r/GERD/comments/ibuuzs/what_to_take_and_when_out_of_the_treatments_i/")</f>
        <v/>
      </c>
      <c r="G10223" t="inlineStr">
        <is>
          <t>2020-08-17 22:10:47</t>
        </is>
      </c>
      <c r="H10223" t="inlineStr"/>
    </row>
    <row r="10224">
      <c r="A10224" t="inlineStr">
        <is>
          <t>ibw1tb</t>
        </is>
      </c>
      <c r="B10224" t="inlineStr">
        <is>
          <t>After surgery question</t>
        </is>
      </c>
      <c r="C10224" t="inlineStr">
        <is>
          <t>I'm m 31. Have GERD caused by a hiatal hernia. 
Been on a PPI for the last 9 years. That takes care of the reflux but my main symptom over the last 5-6 years is constant shortness of breath.
I feel I can't get in enough air to finish sentences.
It's worse when bending down, i.e putting on shoes and socks.
Starting to become debilitating. 
I was wondering if anyone has felt the same and had it resolved by the nissen fundoplication surgery?</t>
        </is>
      </c>
      <c r="D10224" t="n">
        <v>1</v>
      </c>
      <c r="E10224" t="n">
        <v>9</v>
      </c>
      <c r="F10224">
        <f>HYPERLINK("https://www.reddit.com/r/GERD/comments/ibw1tb/after_surgery_question/")</f>
        <v/>
      </c>
      <c r="G10224" t="inlineStr">
        <is>
          <t>2020-08-17 23:48:59</t>
        </is>
      </c>
      <c r="H10224" t="inlineStr"/>
    </row>
    <row r="10225">
      <c r="A10225" t="inlineStr">
        <is>
          <t>ibw7fl</t>
        </is>
      </c>
      <c r="B10225" t="inlineStr">
        <is>
          <t>Acid watchers diet?</t>
        </is>
      </c>
      <c r="C10225" t="inlineStr">
        <is>
          <t>Has anyone had any luck with this and their symptoms? Mine are sore throat and feeling of mucus in throat, I’ve been 100% strict and I am on day 14 but the symptoms haven’t gone away.</t>
        </is>
      </c>
      <c r="D10225" t="n">
        <v>1</v>
      </c>
      <c r="E10225" t="n">
        <v>15</v>
      </c>
      <c r="F10225">
        <f>HYPERLINK("https://www.reddit.com/r/GERD/comments/ibw7fl/acid_watchers_diet/")</f>
        <v/>
      </c>
      <c r="G10225" t="inlineStr">
        <is>
          <t>2020-08-18 00:02:35</t>
        </is>
      </c>
      <c r="H10225" t="inlineStr"/>
    </row>
    <row r="10226">
      <c r="A10226" t="inlineStr">
        <is>
          <t>ibwint</t>
        </is>
      </c>
      <c r="B10226" t="inlineStr">
        <is>
          <t>Back pain when breathing in deep and eating</t>
        </is>
      </c>
      <c r="C10226" t="inlineStr">
        <is>
          <t>Had this yesterday and don't even know what to do at this point.
I can't tell if it's GERD or something else.</t>
        </is>
      </c>
      <c r="D10226" t="n">
        <v>1</v>
      </c>
      <c r="E10226" t="n">
        <v>0</v>
      </c>
      <c r="F10226">
        <f>HYPERLINK("https://www.reddit.com/r/GERD/comments/ibwint/back_pain_when_breathing_in_deep_and_eating/")</f>
        <v/>
      </c>
      <c r="G10226" t="inlineStr">
        <is>
          <t>2020-08-18 00:30:41</t>
        </is>
      </c>
      <c r="H10226" t="inlineStr"/>
    </row>
    <row r="10227">
      <c r="A10227" t="inlineStr">
        <is>
          <t>ibxolf</t>
        </is>
      </c>
      <c r="B10227" t="inlineStr">
        <is>
          <t>I do not know if I have Gerd, but want to ask a question.</t>
        </is>
      </c>
      <c r="C10227" t="inlineStr">
        <is>
          <t>Is it excruciatingly painful to eat and drink anything? Even the tiniest sip of water.
I am currently experiencing this, and it is the symptom I am struggling with the most as it prevents me hydrating properly</t>
        </is>
      </c>
      <c r="D10227" t="n">
        <v>1</v>
      </c>
      <c r="E10227" t="n">
        <v>19</v>
      </c>
      <c r="F10227">
        <f>HYPERLINK("https://www.reddit.com/r/GERD/comments/ibxolf/i_do_not_know_if_i_have_gerd_but_want_to_ask_a/")</f>
        <v/>
      </c>
      <c r="G10227" t="inlineStr">
        <is>
          <t>2020-08-18 02:19:42</t>
        </is>
      </c>
      <c r="H10227" t="inlineStr"/>
    </row>
    <row r="10228">
      <c r="A10228" t="inlineStr">
        <is>
          <t>ic0six</t>
        </is>
      </c>
      <c r="B10228" t="inlineStr">
        <is>
          <t>Morning Routine for Energy???</t>
        </is>
      </c>
      <c r="C10228" t="inlineStr">
        <is>
          <t>So A common problem I have is napping during the day.
Before I got sick I used to do 8 hours of intermittent fasting with tumeric coffee.
I hate eating breakfast.
Now since I got diagnosed with this I have to eat breakfast.
&amp;amp;#x200B;
I have also have to change my entire diet to vegan and I lost even more weight. 
I was already skinny before I got GERD. 
I am trying to start a business and being sleepy during the day is really starting to get on my nerves.</t>
        </is>
      </c>
      <c r="D10228" t="n">
        <v>1</v>
      </c>
      <c r="E10228" t="n">
        <v>6</v>
      </c>
      <c r="F10228">
        <f>HYPERLINK("https://www.reddit.com/r/GERD/comments/ic0six/morning_routine_for_energy/")</f>
        <v/>
      </c>
      <c r="G10228" t="inlineStr">
        <is>
          <t>2020-08-18 06:16:32</t>
        </is>
      </c>
      <c r="H10228" t="inlineStr"/>
    </row>
    <row r="10229">
      <c r="A10229" t="inlineStr">
        <is>
          <t>ic13fc</t>
        </is>
      </c>
      <c r="B10229" t="inlineStr">
        <is>
          <t>Anyone taken sucralfate ?</t>
        </is>
      </c>
      <c r="C10229" t="inlineStr">
        <is>
          <t>My gerd/lpr has been killing me for a month now and my dr yesterday prescribed me sucralfate. Anyone taken this had any luck or relief from it?</t>
        </is>
      </c>
      <c r="D10229" t="n">
        <v>1</v>
      </c>
      <c r="E10229" t="n">
        <v>12</v>
      </c>
      <c r="F10229">
        <f>HYPERLINK("https://www.reddit.com/r/GERD/comments/ic13fc/anyone_taken_sucralfate/")</f>
        <v/>
      </c>
      <c r="G10229" t="inlineStr">
        <is>
          <t>2020-08-18 06:35:16</t>
        </is>
      </c>
      <c r="H10229" t="inlineStr"/>
    </row>
    <row r="10230">
      <c r="A10230" t="inlineStr">
        <is>
          <t>ic1tan</t>
        </is>
      </c>
      <c r="B10230" t="inlineStr">
        <is>
          <t>[Repost] Healthcare Experiences and Attitudes Survey - research opportunity for US adults</t>
        </is>
      </c>
      <c r="C10230" t="inlineStr">
        <is>
          <t>A professor at East Tennessee State University is conducting a study on life experiences and attitudes towards healthcare. We are interested in collecting information from anyone over the age of 18 who is currently living in the United States. As this survey is interested in topics such as unpleasant experiences with healthcare, discrimination, and trauma history, you may be asked sensitive questions related to these topics. If at any point you feel discomfort or are distressed by the survey questions, appropriate resources are provided below and will be made available to you at the end of the study as well. **If you are over 18** **and living in the United States, you are eligible to participate.** We are hopeful that this research will allow us to better understand how attitudes towards and experiences with healthcare can impact use of satisfaction with medical services. The survey should take less than 30 minutes to complete, but you can save your place and come back to it several times if needed. If at any time you wish to discontinue participation, you may exit and leave the survey. If you have any questions or concerns about this study, please feel free to contact the principal investigator, Julia Dodd, PhD, at [doddjc@etsu.edu](mailto:doddjc@etsu.edu). Thank you for considering participating in this research. 
Please click the following link if you wish to be taken to the survey: 
[https://etsuredcap.etsu.edu/surveys/?s=L4WMXRKX73 ](https://etsuredcap.etsu.edu/surveys/?s=L4WMXRKX73)
Resources that may be of interest:
* Crisis Hotline: 1-800-273-8255 
* Crisis Text Line: Text CONNECT to 741741 
* Gay, Lesbian, Bisexual and Transgender National Hotline: 888-843-4564 
* National Sexual Assault Hotline: 800-656-4673 
* National Alliance on Mental Illness: 800-950-6264</t>
        </is>
      </c>
      <c r="D10230" t="n">
        <v>1</v>
      </c>
      <c r="E10230" t="n">
        <v>0</v>
      </c>
      <c r="F10230">
        <f>HYPERLINK("https://www.reddit.com/r/GERD/comments/ic1tan/repost_healthcare_experiences_and_attitudes/")</f>
        <v/>
      </c>
      <c r="G10230" t="inlineStr">
        <is>
          <t>2020-08-18 07:17:17</t>
        </is>
      </c>
      <c r="H10230" t="inlineStr"/>
    </row>
    <row r="10231">
      <c r="A10231" t="inlineStr">
        <is>
          <t>ic22eg</t>
        </is>
      </c>
      <c r="B10231" t="inlineStr">
        <is>
          <t>Feeling of “heart palpitations” from acid reflux</t>
        </is>
      </c>
      <c r="C10231" t="inlineStr">
        <is>
          <t>I was wondering if anyone else gets the feeling of “heart palpitations” from IBS/excess gas? 
I have had IBS my whole life but I’ve had these symptoms for over a year now. They happen randomly and last anywhere from 1-5 hours. I got an EKG in June and he said it looks totally normal. And when I’m having my “heart palpitations” I get these weird burp/hiccups (I can’t burp, never have been able to burp so it could be a lot of gas trapped in my bod) also I wear my Fitbit and my heart rate is totally normal. I also have a history of anxiety and panic attacks. The doc said that heart palpitations don’t last 1-5 hours and that during real heart palpitations your heart rate will be normal then spike to over 100 but mine never do that so it’s not really heart palpitations. They are so uncomfortable and feels like I’m dying so it triggers my anxiety reallllly bad. 
I’m going to start Prilosec today for 14 days and cut out gluten caffeine and sugar but I was wondering if anyone else has success in getting rid of these “heart palpitations” aka acid reflux.</t>
        </is>
      </c>
      <c r="D10231" t="n">
        <v>1</v>
      </c>
      <c r="E10231" t="n">
        <v>18</v>
      </c>
      <c r="F10231">
        <f>HYPERLINK("https://www.reddit.com/r/GERD/comments/ic22eg/feeling_of_heart_palpitations_from_acid_reflux/")</f>
        <v/>
      </c>
      <c r="G10231" t="inlineStr">
        <is>
          <t>2020-08-18 07:31:39</t>
        </is>
      </c>
      <c r="H10231" t="inlineStr"/>
    </row>
    <row r="10232">
      <c r="A10232" t="inlineStr">
        <is>
          <t>ic2lic</t>
        </is>
      </c>
      <c r="B10232" t="inlineStr">
        <is>
          <t>DAE feel like everything around them makes them nauseous?</t>
        </is>
      </c>
      <c r="C10232" t="inlineStr">
        <is>
          <t>I don't know if I'm making much sense, but ever since this stupid thing, everything makes me feel nauseous. Game I previously loved? Movie I love rewatching? Just the thought gives me nausea.
It's like because I'm always nauseous, I've kinda associated everything with nausea and there's nothing I can do to relax or unwind</t>
        </is>
      </c>
      <c r="D10232" t="n">
        <v>1</v>
      </c>
      <c r="E10232" t="n">
        <v>4</v>
      </c>
      <c r="F10232">
        <f>HYPERLINK("https://www.reddit.com/r/GERD/comments/ic2lic/dae_feel_like_everything_around_them_makes_them/")</f>
        <v/>
      </c>
      <c r="G10232" t="inlineStr">
        <is>
          <t>2020-08-18 08:00:30</t>
        </is>
      </c>
      <c r="H10232" t="inlineStr"/>
    </row>
    <row r="10233">
      <c r="A10233" t="inlineStr">
        <is>
          <t>ic31o4</t>
        </is>
      </c>
      <c r="B10233" t="inlineStr">
        <is>
          <t>Eosinophils in Esophagus</t>
        </is>
      </c>
      <c r="C10233" t="inlineStr">
        <is>
          <t>Anyone have experience with EEs. I can’t take PPIs from side effects but my EEs are just getting worse and worse. My doc prescribed me an inhalant to swallow and it’s doing basically nothing.</t>
        </is>
      </c>
      <c r="D10233" t="n">
        <v>1</v>
      </c>
      <c r="E10233" t="n">
        <v>3</v>
      </c>
      <c r="F10233">
        <f>HYPERLINK("https://www.reddit.com/r/GERD/comments/ic31o4/eosinophils_in_esophagus/")</f>
        <v/>
      </c>
      <c r="G10233" t="inlineStr">
        <is>
          <t>2020-08-18 08:24:14</t>
        </is>
      </c>
      <c r="H10233" t="inlineStr"/>
    </row>
    <row r="10234">
      <c r="A10234" t="inlineStr">
        <is>
          <t>ic3ejf</t>
        </is>
      </c>
      <c r="B10234" t="inlineStr">
        <is>
          <t>XRAY SWALLOW TEST, SLOW GOING DOWN ESOPHAGUS? IS THIS NORMAL FOR GERD?</t>
        </is>
      </c>
      <c r="C10234" t="inlineStr">
        <is>
          <t>I’ve been suffering with GERD symptoms for the past two weeks. This AM I took a Xray swallow test and the tech told me foods/liquids is going down slow in my esophagus to my stomach. 
She said the xrays will be sent over to my doctor and that I will need to follow up with him. She also mentioned that he may want to do more testing.
Is this normal? What was your swallowing test results?</t>
        </is>
      </c>
      <c r="D10234" t="n">
        <v>1</v>
      </c>
      <c r="E10234" t="n">
        <v>2</v>
      </c>
      <c r="F10234">
        <f>HYPERLINK("https://www.reddit.com/r/GERD/comments/ic3ejf/xray_swallow_test_slow_going_down_esophagus_is/")</f>
        <v/>
      </c>
      <c r="G10234" t="inlineStr">
        <is>
          <t>2020-08-18 08:42:55</t>
        </is>
      </c>
      <c r="H10234" t="inlineStr"/>
    </row>
    <row r="10235">
      <c r="A10235" t="inlineStr">
        <is>
          <t>ic4dh5</t>
        </is>
      </c>
      <c r="B10235" t="inlineStr">
        <is>
          <t>Severe constipation/straining on the tolet under Protonix?</t>
        </is>
      </c>
      <c r="C10235" t="inlineStr">
        <is>
          <t>Been taking 20mg of protonix/pantoprazole,
I'm more dehydrated than usual and my poops are hard/large, resulting in me having to strain pretty hard on the toilet. I now poop only once every 4 days
Anyone else experiencing this?</t>
        </is>
      </c>
      <c r="D10235" t="n">
        <v>1</v>
      </c>
      <c r="E10235" t="n">
        <v>4</v>
      </c>
      <c r="F10235">
        <f>HYPERLINK("https://www.reddit.com/r/GERD/comments/ic4dh5/severe_constipationstraining_on_the_tolet_under/")</f>
        <v/>
      </c>
      <c r="G10235" t="inlineStr">
        <is>
          <t>2020-08-18 09:32:50</t>
        </is>
      </c>
      <c r="H10235" t="inlineStr"/>
    </row>
    <row r="10236">
      <c r="A10236" t="inlineStr">
        <is>
          <t>ic5vuy</t>
        </is>
      </c>
      <c r="B10236" t="inlineStr">
        <is>
          <t>Bravo capsule fell off</t>
        </is>
      </c>
      <c r="C10236" t="inlineStr">
        <is>
          <t>Hey, GERD sufferers!
Yesterday I had a Bravo/Endoflip/Upper GI procedure, and while the upper GI/Endoflip went well, the Bravo pH test did not. The doctors couldn't get the Bravo capsule to stay on my esophagus, so tomorrow I'm going to get X-rays of my esophagus. My question is: has this happened to any of you before? With the Bravo capsule not staying on?</t>
        </is>
      </c>
      <c r="D10236" t="n">
        <v>1</v>
      </c>
      <c r="E10236" t="n">
        <v>0</v>
      </c>
      <c r="F10236">
        <f>HYPERLINK("https://www.reddit.com/r/GERD/comments/ic5vuy/bravo_capsule_fell_off/")</f>
        <v/>
      </c>
      <c r="G10236" t="inlineStr">
        <is>
          <t>2020-08-18 10:49:36</t>
        </is>
      </c>
      <c r="H10236" t="inlineStr"/>
    </row>
    <row r="10237">
      <c r="A10237" t="inlineStr">
        <is>
          <t>ic67ov</t>
        </is>
      </c>
      <c r="B10237" t="inlineStr">
        <is>
          <t>Persistent Dry Cough</t>
        </is>
      </c>
      <c r="C10237" t="inlineStr">
        <is>
          <t>has anyone had any luck alleviating the GERD “persistent cough?” No coffee, no sugar in my tea, no tomato, exercise daily and very healthy. Omniprozal has helped a bit, but not totally. This is the only symptom I have. Thanks!</t>
        </is>
      </c>
      <c r="D10237" t="n">
        <v>1</v>
      </c>
      <c r="E10237" t="n">
        <v>11</v>
      </c>
      <c r="F10237">
        <f>HYPERLINK("https://www.reddit.com/r/GERD/comments/ic67ov/persistent_dry_cough/")</f>
        <v/>
      </c>
      <c r="G10237" t="inlineStr">
        <is>
          <t>2020-08-18 11:06:06</t>
        </is>
      </c>
      <c r="H10237" t="inlineStr"/>
    </row>
    <row r="10238">
      <c r="A10238" t="inlineStr">
        <is>
          <t>ic7117</t>
        </is>
      </c>
      <c r="B10238" t="inlineStr">
        <is>
          <t>Trying antibiotics</t>
        </is>
      </c>
      <c r="C10238" t="inlineStr">
        <is>
          <t>Has anyone tried antibiotics with any help? I’ve done nasal spray, allergy sprays, gaviscon rolaids and nothing helping. Doctor trying antibiotics now. Symptoms: constant nasal drip, voice hoarseness, constant throat clearing, makes it hard to talk,  and it’s been recently bad this bad week. I’m always on anxity meds and nothings improved</t>
        </is>
      </c>
      <c r="D10238" t="n">
        <v>1</v>
      </c>
      <c r="E10238" t="n">
        <v>5</v>
      </c>
      <c r="F10238">
        <f>HYPERLINK("https://www.reddit.com/r/GERD/comments/ic7117/trying_antibiotics/")</f>
        <v/>
      </c>
      <c r="G10238" t="inlineStr">
        <is>
          <t>2020-08-18 11:46:52</t>
        </is>
      </c>
      <c r="H10238" t="inlineStr"/>
    </row>
    <row r="10239">
      <c r="A10239" t="inlineStr">
        <is>
          <t>ic788z</t>
        </is>
      </c>
      <c r="B10239" t="inlineStr">
        <is>
          <t>Pepcid: Anxiety</t>
        </is>
      </c>
      <c r="C10239" t="inlineStr">
        <is>
          <t>So I’m fairly sure I have GERD. Been dealing with heartburn and almost acid coming up my throat and back down. I took Pepcid and it helped with my heartburn a lot but after taking it for 2 weeks, I started to have pretty bad anxiety. Heart rate was up and I was worrying constantly as to what was wrong with me. Stopped taking it and the palpitations are gone but my anxiety is still fairly bad. Has anyone else dealt with this while on Pepcid?</t>
        </is>
      </c>
      <c r="D10239" t="n">
        <v>1</v>
      </c>
      <c r="E10239" t="n">
        <v>10</v>
      </c>
      <c r="F10239">
        <f>HYPERLINK("https://www.reddit.com/r/GERD/comments/ic788z/pepcid_anxiety/")</f>
        <v/>
      </c>
      <c r="G10239" t="inlineStr">
        <is>
          <t>2020-08-18 11:56:58</t>
        </is>
      </c>
      <c r="H10239" t="inlineStr"/>
    </row>
    <row r="10240">
      <c r="A10240" t="inlineStr">
        <is>
          <t>ic7lq9</t>
        </is>
      </c>
      <c r="B10240" t="inlineStr">
        <is>
          <t>WHAT WAS YOUR RESULTS FROM YOUR SLEEP SWALLOW TEST?</t>
        </is>
      </c>
      <c r="C10240" t="inlineStr">
        <is>
          <t>I’ve been dealing with Gerd/LPR symptoms for the past 2 weeks. I am currently on Omeprazole (just made a week) and Famotidine (been on for two weeks). This AM I took a sleep swallow test. The Tech said food/Liquids are taking long to get down my esophagus and into my stomach. 
She said she will forward the Xrays to my GI doctor and I will need to follow up with him. She said he may need to do more testing.
This has made me really anxious. I’m hoping I don’t have stricture. Does my results sound normal? What were your swallow test results with Gerd or LPR?</t>
        </is>
      </c>
      <c r="D10240" t="n">
        <v>1</v>
      </c>
      <c r="E10240" t="n">
        <v>3</v>
      </c>
      <c r="F10240">
        <f>HYPERLINK("https://www.reddit.com/r/GERD/comments/ic7lq9/what_was_your_results_from_your_sleep_swallow_test/")</f>
        <v/>
      </c>
      <c r="G10240" t="inlineStr">
        <is>
          <t>2020-08-18 12:16:06</t>
        </is>
      </c>
      <c r="H10240" t="inlineStr"/>
    </row>
    <row r="10241">
      <c r="A10241" t="inlineStr">
        <is>
          <t>ic84qd</t>
        </is>
      </c>
      <c r="B10241" t="inlineStr">
        <is>
          <t>Upper GI &amp;amp; H-pylori tests were...perfectly normal. Has this happened to anyone else?</t>
        </is>
      </c>
      <c r="C10241" t="inlineStr">
        <is>
          <t>2 months ago, I overate, and ate fast (overeating quickly is always my trigger for a short, like 1-day, I pop a couple of antacids flare). Within a day or two, all gastric hell breaks loose...excess saliva, just under my breastbone feels like it's on fire unless it's feeling like someone took a cheese grater to it, weird, tight cough, everything is inflamed, eating just makes me feel full, etc.
Dr. put me on pantoprazole (20 mg) &amp;amp; carafate in case it's an ulcer. I get a little better, but slooooowly and any bigger-than-tiny meal sends me back into a tailspin. I'm given an H-pylori test and the whole whole barium swallow x-ray, fully expecting that I have an ulcer, or a hernia, or stomach cancer or *anything*. Instead...nothing. Everything checks out. I'm apparently fine. I know that's great, but it's surprising, too.
Just plain GERD, for a months'-long flare-up?  That's what the doctor says. I'm 43 now, and the body changes, and all that. I mean, I've been under a lot of stress lately, sure, but has anyone experienced a crazy months'-long flare like that where DAILY they're feeling rough? I've never had that happen before.
I'm about 75% better now. Lower esophagus and stomach still feel "scratchy" lots of the time, for lack of a better term, so now I'm on 40 mg of pantoprazole until I'm back to good. (Is there a back to good?) Guess I'll just stick to tiny meals and avoid triggers, yeah? Am I maybe just crazy sensitive in that region all the sudden?</t>
        </is>
      </c>
      <c r="D10241" t="n">
        <v>1</v>
      </c>
      <c r="E10241" t="n">
        <v>4</v>
      </c>
      <c r="F10241">
        <f>HYPERLINK("https://www.reddit.com/r/GERD/comments/ic84qd/upper_gi_hpylori_tests_wereperfectly_normal_has/")</f>
        <v/>
      </c>
      <c r="G10241" t="inlineStr">
        <is>
          <t>2020-08-18 12:42:56</t>
        </is>
      </c>
      <c r="H10241" t="inlineStr"/>
    </row>
    <row r="10242">
      <c r="A10242" t="inlineStr">
        <is>
          <t>ic91zl</t>
        </is>
      </c>
      <c r="B10242" t="inlineStr">
        <is>
          <t>Pepcid, anxiety + palpitations ?</t>
        </is>
      </c>
      <c r="C10242" t="inlineStr">
        <is>
          <t>So I’ve been taking Pepcid a bit for like a week and a half and before I wasn’t having that bad of anxiety but recently , it’s been bad and I’ve had palpitations quite a bit , should I stop and just stick to antacids for now ?</t>
        </is>
      </c>
      <c r="D10242" t="n">
        <v>1</v>
      </c>
      <c r="E10242" t="n">
        <v>14</v>
      </c>
      <c r="F10242">
        <f>HYPERLINK("https://www.reddit.com/r/GERD/comments/ic91zl/pepcid_anxiety_palpitations/")</f>
        <v/>
      </c>
      <c r="G10242" t="inlineStr">
        <is>
          <t>2020-08-18 13:29:54</t>
        </is>
      </c>
      <c r="H10242" t="inlineStr"/>
    </row>
    <row r="10243">
      <c r="A10243" t="inlineStr">
        <is>
          <t>ic9y5d</t>
        </is>
      </c>
      <c r="B10243" t="inlineStr">
        <is>
          <t>I had GERD surgery 7/24</t>
        </is>
      </c>
      <c r="C10243" t="inlineStr">
        <is>
          <t>TLDR: got the surgery, some set backs, overall glad I did it.
Hi, I just wanted to tell you all my experience with GERD surgery, in case my story helps anyone at all. 
I began having sharp chest pains when I was 22. It wasn’t the stereotypical heart burn symptoms.  I think I may have had reflux for years before that but just didn’t know what it was.
I have had several endoscopies, barium swallows, and the dreaded esophageal manometry. I was recommended for surgery at around 25, and then several times throughout the years after that. For several reasons, I never had the surgery: couldn’t afford the copay, had no vacation time, or had no insurance.
A couple of years ago, I began getting bronchitis from aspiration. I had bronchitis for several months, and it was terrible. My epiglottis is damaged from the years of acid. 
This year I had an endoscopy and discovered I also had the hiatal hernia that many GERD sufferers get, so I decided it was time. I am 35 now.
My surgery was 07/24. I had the traditional Nissen Fundlopication and hiatal hernia repair. My surgeon says my hernia was quite small.
I had the surgery at 7:30 in the morning and was required to stay overnight. I had 5 incisions in my abdomen.
I drank clear liquids for 24 hours, and was then moved to the full liquids diet. Strained vegetable soup, broth, cream of wheat, popsicles, and jello were my go-to items.
The incisions never hurt me. My pain the first few days was up in my shoulders and caused by the gas they used to inflate my stomach.
I took some Percocet in the hospital, mostly because they offered it to me. But I have only used it twice since I have been home.
I was sent home with a Nissen diet plan. I was supposed to begin eating soft foods after 5 days, but that was not possible. The diet lists pastas, breads, etc and whenever I tried to eat something like that, it would get stuck. I have lost 18 lbs.
I got a wicked allergic reaction to Dermabond, which is the glue they used to sew me back up. I had to go in and have a nurse pick each piece of glue off my skin, and then she prescribed famotidine and benadryl to kill the allergic reaction, but it took over a week to go away, and I was super itchy the whole time.
Last week I saw my surgeon and he told me usually by week 2 people are expanding their diets, but I am week 3 and still struggling. I was able to eat half a piece of pizza but had stomach troubles the rest of the evening. I tried some pasta but 1 out of every several bites would bring pain. It is getting easier, but it is still a struggle. The surgeon says if I am not transitioning to more foods this week that he will give me some medicine (I have no idea what kind) to help. 
The first 2 weeks I was not hungry at all. It’s like my stomach turned off the sensors that tell me I am hungry. Slowly over the past week and a half the appetite is returning. However, I get full very quickly. I am able to eat chocolate now, but no soda or anything fizzy. I eat little bits every couple of hours to stay satiated. 
If I start absent mindedly eating sometimes I may not chew well enough and the food will get stuck around the esophageal sphincter. Sometimes I can wash it down with water, but sometimes I have 30-60 seconds of pain as it works its way down. A couple of times I have gotten nauseous and something will come up, but its not full blown vomiting. 
I can make small burps, which helps. I woke up from surgery burping and it has never been a problem. When they tell you to expect to be gassy for awhile, it’s no joke. I try to take GasX after meals to help.
Honestly, all of the above hasn’t been too bad. The worst part is the exhaustion. I still sleep a lot. So if you get this surgery, be prepared. This isn’t like a lot of other surgeries where you spend a couple days in bed and then you are back up and moving. 
I recommend getting a grabber tool, because it is difficult to bend over for about 2 weeks. Picking stuff up off the floor is difficult. No lifting anything over 20 lbs, and you can feel it if you try to do more than that. A mini fridge in my bedroom helped me the first few days when I didn’t feel like getting out of bed much. 
I realize the way I described it may make it sound like hell, but it honestly isn’t terrible. Overall, I am very pleased to have this surgery. I have only had heart burn once. As far as the reflux goes, sometimes I can feel it trying to bubble up, but it doesn’t get passed the esophageal sphincter anymore. I am definitely glad I did the surgery, and I would do it again.</t>
        </is>
      </c>
      <c r="D10243" t="n">
        <v>1</v>
      </c>
      <c r="E10243" t="n">
        <v>20</v>
      </c>
      <c r="F10243">
        <f>HYPERLINK("https://www.reddit.com/r/GERD/comments/ic9y5d/i_had_gerd_surgery_724/")</f>
        <v/>
      </c>
      <c r="G10243" t="inlineStr">
        <is>
          <t>2020-08-18 14:16:38</t>
        </is>
      </c>
      <c r="H10243" t="inlineStr"/>
    </row>
    <row r="10244">
      <c r="A10244" t="inlineStr">
        <is>
          <t>icazow</t>
        </is>
      </c>
      <c r="B10244" t="inlineStr">
        <is>
          <t>Burping only when I move?</t>
        </is>
      </c>
      <c r="C10244" t="inlineStr">
        <is>
          <t>If I sit down, I won’t burp but as soon as I move around, I’ll burp once. For example, I’m using my computer and I’ll get a glass of water. I’ll either burp when I’m walking or as soon as I sit down again, I’ll let out a burp. Does anyone else experience this?</t>
        </is>
      </c>
      <c r="D10244" t="n">
        <v>1</v>
      </c>
      <c r="E10244" t="n">
        <v>1</v>
      </c>
      <c r="F10244">
        <f>HYPERLINK("https://www.reddit.com/r/GERD/comments/icazow/burping_only_when_i_move/")</f>
        <v/>
      </c>
      <c r="G10244" t="inlineStr">
        <is>
          <t>2020-08-18 15:13:19</t>
        </is>
      </c>
      <c r="H10244" t="inlineStr"/>
    </row>
    <row r="10245">
      <c r="A10245" t="inlineStr">
        <is>
          <t>icb2bp</t>
        </is>
      </c>
      <c r="B10245" t="inlineStr">
        <is>
          <t>I hope nothing's too out-of-hand yet</t>
        </is>
      </c>
      <c r="C10245" t="inlineStr">
        <is>
          <t>I've been in an ordeal with my body since April, the "staying indoors" life does not suit me, apparently. I believe I may be suffering from GERD but I haven't been to a doctor because of the pandemic. I'm going to hopefully see one this Thursday! I just want to know how concerned I should be with myself. I've got a number of symptoms, like nausea, feeling full too quickly, and no appetite but it just doesn't make sense. How can it come to be in the first place? To give some context, I'm a really thin kid, actually I'm underweight and I had a good diet of many foods prior to having symptoms.
My current main questions are, how did GERD feel like to you when you first got it? What exactly do you describe heartburn as feeling like?</t>
        </is>
      </c>
      <c r="D10245" t="n">
        <v>1</v>
      </c>
      <c r="E10245" t="n">
        <v>9</v>
      </c>
      <c r="F10245">
        <f>HYPERLINK("https://www.reddit.com/r/GERD/comments/icb2bp/i_hope_nothings_too_outofhand_yet/")</f>
        <v/>
      </c>
      <c r="G10245" t="inlineStr">
        <is>
          <t>2020-08-18 15:17:21</t>
        </is>
      </c>
      <c r="H10245" t="inlineStr"/>
    </row>
    <row r="10246">
      <c r="A10246" t="inlineStr">
        <is>
          <t>iccoo1</t>
        </is>
      </c>
      <c r="B10246" t="inlineStr">
        <is>
          <t>Is there any options other than an Endoscopy to diagnose my gerd?</t>
        </is>
      </c>
      <c r="C10246" t="inlineStr">
        <is>
          <t>Hey,
So an Endoscopy is farrrr to expensive for my budget right now. I've been Googling other procedures to diagnose my stomach issues (Gerd) but all of them tend to point back to having an Endoscopy. The problem is that it costs $4k and the lowest I could find in my area cost $2k but I have to pay half up-front (they only take a selected few insurances that I can't get because my credit score isn't good enough). I'm strapped on my money (not struggling but strapped) are there any other tests that are cheaper that can properly diagnose my stomach issues in the U.S.A or am I fudged? My budget is $100-400. My insurance is pretty bad and I've been trying to find other insurances that specializes in covering gastro but most are either super expensive, require a yearly payment, or won't accept my average credit score rating. Please help if you're in the U.S.A. I really dont want to put any medication in my body without knowing my diagnosis. I did see a gastronologist who wanted to set me up to have an endoscopy but he seemed like he wanted to rush me out of the office because he was literally one doctor with a full waiting room. I don't know what to do I just want to know what's wrong with my stomach lol. Please give me some advice.</t>
        </is>
      </c>
      <c r="D10246" t="n">
        <v>1</v>
      </c>
      <c r="E10246" t="n">
        <v>5</v>
      </c>
      <c r="F10246">
        <f>HYPERLINK("https://www.reddit.com/r/GERD/comments/iccoo1/is_there_any_options_other_than_an_endoscopy_to/")</f>
        <v/>
      </c>
      <c r="G10246" t="inlineStr">
        <is>
          <t>2020-08-18 16:51:04</t>
        </is>
      </c>
      <c r="H10246" t="inlineStr"/>
    </row>
    <row r="10247">
      <c r="A10247" t="inlineStr">
        <is>
          <t>icdd86</t>
        </is>
      </c>
      <c r="B10247" t="inlineStr">
        <is>
          <t>Any Tips on Dealing With Throat Tightness, Shortness of Breathe and Bloating?</t>
        </is>
      </c>
      <c r="C10247" t="inlineStr">
        <is>
          <t>I feel like there is so much information out there on how to deal with GERD. Does anyone have any tips/advice on fixing these symptoms? I have other symptoms but these are the ones that really trouble me. Diet and Lifestyle tips  along with medication if needed. My throat tightness is pretty much 24/7 although worse when stressed or after eating. Shortness of breath feels like I just can barely get enough air when I breathe in. Bloating makes me uncomfortable after eating or drinking a lot.</t>
        </is>
      </c>
      <c r="D10247" t="n">
        <v>1</v>
      </c>
      <c r="E10247" t="n">
        <v>0</v>
      </c>
      <c r="F10247">
        <f>HYPERLINK("https://www.reddit.com/r/GERD/comments/icdd86/any_tips_on_dealing_with_throat_tightness/")</f>
        <v/>
      </c>
      <c r="G10247" t="inlineStr">
        <is>
          <t>2020-08-18 17:32:38</t>
        </is>
      </c>
      <c r="H10247" t="inlineStr"/>
    </row>
    <row r="10248">
      <c r="A10248" t="inlineStr">
        <is>
          <t>icefjc</t>
        </is>
      </c>
      <c r="B10248" t="inlineStr">
        <is>
          <t>Side effects from PPI use ? Protonix</t>
        </is>
      </c>
      <c r="C10248" t="inlineStr">
        <is>
          <t>Okay so, for about 1 year I’ve been taking Nexium 2 a day (20mg) , which basically stopped helping at some point 1 month ago. I started taking protonix which was 40 mg (1 a day) some days I took two this was 3 weeks ago. Before hand I had a migraine that wouldn’t go away , literally every day I had it lasted days, this was one month prior to me taking protonix. 
Anyway, fast forward to me taking the protonix, after a few days I started having balance disorder, along with anxiety and other really weird stuff going on, which at that point I figured maybe somethings wrong so I got a MRI to rule anything serious, it was clean. I stopped taking the Protonix the symptoms went away for a week. LPR came back with a vengeance so I took it again, symptoms came back, again. I’m quitting PPI’s and switching to high dose famotidine for now. 
By the way the balance disorder, actually felt like I’m just lightly bouncing even when I’m standing still, not an actual balance disorder. Idk if it’s connected with the migraine, or they’re both caused by the long term ppi use, several doctor visits, no answers.
Anyone else get side effects from Ppi?</t>
        </is>
      </c>
      <c r="D10248" t="n">
        <v>1</v>
      </c>
      <c r="E10248" t="n">
        <v>3</v>
      </c>
      <c r="F10248">
        <f>HYPERLINK("https://www.reddit.com/r/GERD/comments/icefjc/side_effects_from_ppi_use_protonix/")</f>
        <v/>
      </c>
      <c r="G10248" t="inlineStr">
        <is>
          <t>2020-08-18 18:38:31</t>
        </is>
      </c>
      <c r="H10248" t="inlineStr"/>
    </row>
    <row r="10249">
      <c r="A10249" t="inlineStr">
        <is>
          <t>icend4</t>
        </is>
      </c>
      <c r="B10249" t="inlineStr">
        <is>
          <t>Is dysphagia common for GERD?</t>
        </is>
      </c>
      <c r="C10249" t="inlineStr">
        <is>
          <t>How common is esophageal dysphagia for GERD and / or Barrett's? Or is it only as cancer thing?</t>
        </is>
      </c>
      <c r="D10249" t="n">
        <v>1</v>
      </c>
      <c r="E10249" t="n">
        <v>1</v>
      </c>
      <c r="F10249">
        <f>HYPERLINK("https://www.reddit.com/r/GERD/comments/icend4/is_dysphagia_common_for_gerd/")</f>
        <v/>
      </c>
      <c r="G10249" t="inlineStr">
        <is>
          <t>2020-08-18 18:52:34</t>
        </is>
      </c>
      <c r="H10249" t="inlineStr"/>
    </row>
    <row r="10250">
      <c r="A10250" t="inlineStr">
        <is>
          <t>icexz5</t>
        </is>
      </c>
      <c r="B10250" t="inlineStr">
        <is>
          <t>Burping, esophagus pain and sour tongue</t>
        </is>
      </c>
      <c r="C10250" t="inlineStr">
        <is>
          <t>I have been having these symptoms for about a year now. They  started after I had an endoscopy for a gastric ulcer. Before the endoscopy I only had abdominal pain and never had any symptoms of reflux. 
So i got tested for h pylori and came back negative. Had a second endoscopy and nothing was found. High doses of PPI with night time fomotadine make no deference. Elevated the head of the bed 5 inches cut out spicy foods and tea still no difference. So finally we recently got a CT angiogram which found that my Celiac artery had an abrupt angulation. So vascular surgery has be consulted. 
My overall symptoms are white irrated tongue, especially in the morning. It's as if I've burned my tongue with hot tea. Pain in the esophagus is substernal but is not burning. It's an irritation with pain that gets worse with burping. Exercise also produces the pain in the lower esophagus, not acid burn but just raw pain, that subsides when I stop exercising.
Any body had this symptoms? And what helped you get better. At this point I'm will to do anything.</t>
        </is>
      </c>
      <c r="D10250" t="n">
        <v>1</v>
      </c>
      <c r="E10250" t="n">
        <v>0</v>
      </c>
      <c r="F10250">
        <f>HYPERLINK("https://www.reddit.com/r/GERD/comments/icexz5/burping_esophagus_pain_and_sour_tongue/")</f>
        <v/>
      </c>
      <c r="G10250" t="inlineStr">
        <is>
          <t>2020-08-18 19:10:55</t>
        </is>
      </c>
      <c r="H10250" t="inlineStr"/>
    </row>
    <row r="10251">
      <c r="A10251" t="inlineStr">
        <is>
          <t>icf94o</t>
        </is>
      </c>
      <c r="B10251" t="inlineStr">
        <is>
          <t>I don't understand gerd or lpr</t>
        </is>
      </c>
      <c r="C10251" t="inlineStr">
        <is>
          <t>I started getting a sore throat in January of 2018 then started getting a burning feeling in stomach that was so bad I would wake up and couldn't sleep and this would happen around 2 or 3 times a month randomly, it would last hours. Then my nose started to drip down my face a lot. My throat felt tight like it was lightly being strangled and it last for weeks. So I went to ENT doctor and he found nothing concerning. I got testing done for  thyroid came back good. Got blood tests they came back fine. Then last year got a endoscopy and everything came back fine. I've been dealing with this for almost 3 years and I still don't understand it totally. Like what even caused it? I'm not overweight don't drink don't smoke eat pretty healthily. Sometimes I'll eat the same thing and my throat will feel tight and other times no problem. Also I'll have days of no issues and then multiple days of pain and discomfort. Also sometimes I randomly get heartburn from God knows what but then go months with nothing. Like last night and today both days I have discomfort in my throat and right between under my breast right where the ribcage bone starts.  But I don't understand how I even got lpr in the first place. A virus? I never had heartburn or any problems in my 30 years until 3 years ago and it came on suddenly too. How does one have lpr for months then get gerd sometimes too? I would think I'd get gerd first then lpr since the first sphincter has to mess up for the throat one to mess up to lead to lpr.  Sometimes I think I have nerve damage or something because 2 months before the first time I had throat tightness in that January i was having very weird symptoms. Back in  early December 2017 i started having burning pain in my arms and legs that started mild and got so bad i was crying and freaking out and had my first and only panic attack. Then I started having insomnia every night and waking up sweating and heart racing. Started having headaches and my eyes randomly twitching. Then having Bacterial vaginosis which I've never dealt with before and all this was happening for 3 months at the same time. Then it randomly started getting better and I haven't really had issues in 2 and a half years. At this point I have given up trying anything to help because ppi didn't help,  or tums or any supplements I tried or even fasting. Sometimes I have symptoms when I eat small meals but don't when I eat big meals but sometimes I do have issues from too big a meal. I never can know what will happen from day to day. Hell I've had symptoms from oatmeal that just had brown sugar and maple but not from a big plate of spicy fatty Mexican food so Idk.</t>
        </is>
      </c>
      <c r="D10251" t="n">
        <v>1</v>
      </c>
      <c r="E10251" t="n">
        <v>2</v>
      </c>
      <c r="F10251">
        <f>HYPERLINK("https://www.reddit.com/r/GERD/comments/icf94o/i_dont_understand_gerd_or_lpr/")</f>
        <v/>
      </c>
      <c r="G10251" t="inlineStr">
        <is>
          <t>2020-08-18 19:30:53</t>
        </is>
      </c>
      <c r="H10251" t="inlineStr"/>
    </row>
    <row r="10252">
      <c r="A10252" t="inlineStr">
        <is>
          <t>icfsf9</t>
        </is>
      </c>
      <c r="B10252" t="inlineStr">
        <is>
          <t>Constant mucus from throat when eating</t>
        </is>
      </c>
      <c r="C10252" t="inlineStr">
        <is>
          <t>For several months whenever I eat something my throat generates a lot of mucus- its not super thick or yellow like a phlegm but def thicker and more slimy than Saladin (apologies if this is gross). 
I feel like there's certain foods that produces more mucus than others, one huuuge trigger is chocolate- my throat get flooded with mucus after a bite of chocolate I almost can't swallow or choke, I usually have to spit it all out.. another big one is avacado... it's so bad I can't eat it anymore which socks because I used to love it so much. 
Generally carbs and sugar and mushy foods seem to trigger it while harder foods and vegetables trigger very little or none. I really haven't had the time to fully explore food triggers and do testing due to a demanding job but I feel like it's getting worse and makes it difficult for me to eat food and enjoy it. 
Would this be a possible cause of LPR/Gerd or maybe even a food allergy symptoms? Histame maybe idk if anyone has gone through this please shed some light!!</t>
        </is>
      </c>
      <c r="D10252" t="n">
        <v>1</v>
      </c>
      <c r="E10252" t="n">
        <v>6</v>
      </c>
      <c r="F10252">
        <f>HYPERLINK("https://www.reddit.com/r/GERD/comments/icfsf9/constant_mucus_from_throat_when_eating/")</f>
        <v/>
      </c>
      <c r="G10252" t="inlineStr">
        <is>
          <t>2020-08-18 20:06:57</t>
        </is>
      </c>
      <c r="H10252" t="inlineStr"/>
    </row>
    <row r="10253">
      <c r="A10253" t="inlineStr">
        <is>
          <t>icfz2y</t>
        </is>
      </c>
      <c r="B10253" t="inlineStr">
        <is>
          <t>I challenge you:</t>
        </is>
      </c>
      <c r="C10253" t="inlineStr">
        <is>
          <t>**30 Days**
•No soda (diet is even worse)
•No coffee, tea, etc. ONLY water
•No candy or added sugars, only which occurs naturally in fruits, veggies, etc. 
•No red sauce
•No cheese</t>
        </is>
      </c>
      <c r="D10253" t="n">
        <v>1</v>
      </c>
      <c r="E10253" t="n">
        <v>0</v>
      </c>
      <c r="F10253">
        <f>HYPERLINK("https://www.reddit.com/r/GERD/comments/icfz2y/i_challenge_you/")</f>
        <v/>
      </c>
      <c r="G10253" t="inlineStr">
        <is>
          <t>2020-08-18 20:19:28</t>
        </is>
      </c>
      <c r="H10253" t="inlineStr"/>
    </row>
    <row r="10254">
      <c r="A10254" t="inlineStr">
        <is>
          <t>ici9fc</t>
        </is>
      </c>
      <c r="B10254" t="inlineStr">
        <is>
          <t>GERD and possible asthma, help!</t>
        </is>
      </c>
      <c r="C10254" t="inlineStr">
        <is>
          <t>So I used to have asthma as a kid. It went way for the most part until I got pneumonia in middle school. Then it lessened again and I haven't had any problems since. Jump to last month, and I start getting chest pains and trouble breathing. I was diagnosed with bronchitis. Then the excess burping came and it was evident that my problem wasn't with my lung but my stomach. 
The burping progressed over the month and now it's painful. Sometimes I burp so much I dry heave or puke up white fluid. This past week, I've felt like I can't breathe and have almost went to the ER because I thought I was going to choke.
I didn't make the correlation to asthma until a fellow redditor pointed it out to me. So guys, is there any relief for this? I'm really desperate. It's woken me up twice and it's a terrible experience to wake up struggling for air. My doctor gave me Pepcid yesterday but it's too soon to see if it's helped any. What I've done so far: extreme cutting of foods (today I only had chicken, banana, corn bread, eggs, and carrots), I've doubled my pillows and am sleeping on my left side. 
Any suggestions would be appreciated!</t>
        </is>
      </c>
      <c r="D10254" t="n">
        <v>1</v>
      </c>
      <c r="E10254" t="n">
        <v>3</v>
      </c>
      <c r="F10254">
        <f>HYPERLINK("https://www.reddit.com/r/GERD/comments/ici9fc/gerd_and_possible_asthma_help/")</f>
        <v/>
      </c>
      <c r="G10254" t="inlineStr">
        <is>
          <t>2020-08-18 23:09:35</t>
        </is>
      </c>
      <c r="H10254" t="inlineStr"/>
    </row>
    <row r="10255">
      <c r="A10255" t="inlineStr">
        <is>
          <t>icm8qv</t>
        </is>
      </c>
      <c r="B10255" t="inlineStr">
        <is>
          <t>Lump in throat only on the right side.</t>
        </is>
      </c>
      <c r="C10255" t="inlineStr">
        <is>
          <t>Hi, I just got diagnosed with lpr/gerd, it sucks. I just wanna know if anyone has experienced a sensation in your throat but only on the right side. Usually I feel a light lump on the center of my throat, but for the first time its on the right side. I don't know if its normal or not, my doctor told me not to worry but I just want to make sure.</t>
        </is>
      </c>
      <c r="D10255" t="n">
        <v>1</v>
      </c>
      <c r="E10255" t="n">
        <v>3</v>
      </c>
      <c r="F10255">
        <f>HYPERLINK("https://www.reddit.com/r/GERD/comments/icm8qv/lump_in_throat_only_on_the_right_side/")</f>
        <v/>
      </c>
      <c r="G10255" t="inlineStr">
        <is>
          <t>2020-08-19 04:57:19</t>
        </is>
      </c>
      <c r="H10255" t="inlineStr"/>
    </row>
    <row r="10256">
      <c r="A10256" t="inlineStr">
        <is>
          <t>icnio4</t>
        </is>
      </c>
      <c r="B10256" t="inlineStr">
        <is>
          <t>Please give me advice. I tried everything and nothing works. My life feels worthless.</t>
        </is>
      </c>
      <c r="C10256" t="inlineStr">
        <is>
          <t>You may recognize me from my last medical marijuana post. I have been currently trying EVERYTHING to solve my reflux without PPIs. I tried h2 blockers, makuma honey, glutamine, ginger, alkaline water, probiotics, and OTC Licorice. None of that worked even doing it all for weeks. So now I’m at the dilemma. I either suffer from terrible side effects (bloating and nausea and constpation) from PPIS, or have terrible acid reflux that burns and makes me unable to swallow. I have a 2cm hietal hernia also. I am unable to get surgery for aroujd 6 months although due to school. (I’m only 19).</t>
        </is>
      </c>
      <c r="D10256" t="n">
        <v>1</v>
      </c>
      <c r="E10256" t="n">
        <v>17</v>
      </c>
      <c r="F10256">
        <f>HYPERLINK("https://www.reddit.com/r/GERD/comments/icnio4/please_give_me_advice_i_tried_everything_and/")</f>
        <v/>
      </c>
      <c r="G10256" t="inlineStr">
        <is>
          <t>2020-08-19 06:21:25</t>
        </is>
      </c>
      <c r="H10256" t="inlineStr"/>
    </row>
    <row r="10257">
      <c r="A10257" t="inlineStr">
        <is>
          <t>icnmnk</t>
        </is>
      </c>
      <c r="B10257" t="inlineStr">
        <is>
          <t>Going on 14 years of this...over it.</t>
        </is>
      </c>
      <c r="C10257" t="inlineStr">
        <is>
          <t>Hey all, diagnosed with GERD 14 years ago at 20, took Zantac 150 twice a day for 12 years without problem could eat drink anything I wanted. I got pregnant, it got worse, had to add in pantprazole, worked out, had my baby and went back to Zantac. Then early last year it stopped working so well about the same time they took it off shelves. Got back on pantprazole for a month didn’t work that great this time and supplemented with famotidine (Pepcid ac) and mylanta when it gets bad. Right now I’m just taking Pepcid ac and mylanta more than I’d like, but I’m so over it. Last night I couldn’t sleep at all feeling like I would throw up and the anxiety that comes with that feeling. I’ve had a couple upper endoscopes, barium swallows and have the bravo test next month that I’m terrified of well cuz being off my Pepcid I’m so afraid I’ll puke. I have GERD and hiatal hernia. I read horror stories about surgeries. I feel like I’m at my wits end. I’m just looking for advice, positive stories, anything. I can’t drink alcohol, coffee, flavored water, not too much water, eat anything with tomatoes, no sparkling water, have to be very careful not to overeat it feels like the list keeps getting longer and longer. Thanks for reading this far</t>
        </is>
      </c>
      <c r="D10257" t="n">
        <v>1</v>
      </c>
      <c r="E10257" t="n">
        <v>42</v>
      </c>
      <c r="F10257">
        <f>HYPERLINK("https://www.reddit.com/r/GERD/comments/icnmnk/going_on_14_years_of_thisover_it/")</f>
        <v/>
      </c>
      <c r="G10257" t="inlineStr">
        <is>
          <t>2020-08-19 06:28:02</t>
        </is>
      </c>
      <c r="H10257" t="inlineStr"/>
    </row>
    <row r="10258">
      <c r="A10258" t="inlineStr">
        <is>
          <t>icnvaa</t>
        </is>
      </c>
      <c r="B10258" t="inlineStr">
        <is>
          <t>Feeling hungry all the time - GERD, removed gallbladder</t>
        </is>
      </c>
      <c r="C10258" t="inlineStr">
        <is>
          <t>Hi, I am new here, please be gentle.
I was diagnosed with Gastritis and GERD in September 2019. In November, I had my gallbladder removed. Since then, I was feeling bad; I was always hungry and nauseous. Now it is almost year after and still, I am hungry before I eat, during and after eating. Hunger makes me feel psychically very, very bad. I still can feel very strong sucking in my tummy. I do not do any diet besides low fat (because of the gallbladder). My gastroenterologist said that there is a small percentage of people who recover much worse and have these symptoms. Does anyone of you have similar symptoms? If yes, how do you cope with this? I am taking Pantoprazole 20mg once a day 30 min before breakfast.</t>
        </is>
      </c>
      <c r="D10258" t="n">
        <v>1</v>
      </c>
      <c r="E10258" t="n">
        <v>4</v>
      </c>
      <c r="F10258">
        <f>HYPERLINK("https://www.reddit.com/r/GERD/comments/icnvaa/feeling_hungry_all_the_time_gerd_removed/")</f>
        <v/>
      </c>
      <c r="G10258" t="inlineStr">
        <is>
          <t>2020-08-19 06:42:43</t>
        </is>
      </c>
      <c r="H10258" t="inlineStr"/>
    </row>
    <row r="10259">
      <c r="A10259" t="inlineStr">
        <is>
          <t>icofud</t>
        </is>
      </c>
      <c r="B10259" t="inlineStr">
        <is>
          <t>Endoscopy</t>
        </is>
      </c>
      <c r="C10259" t="inlineStr">
        <is>
          <t>HI has anyone had a nasal endoscopy? My doctor wants to give me one and told me that he’ll put some spray in my nose but that I’ll still feel it- which terrifies me. Are these really as bad as I’m expecting? &amp;amp; is the camera super small or still pretty large? anything to help calm my anxiety please!</t>
        </is>
      </c>
      <c r="D10259" t="n">
        <v>1</v>
      </c>
      <c r="E10259" t="n">
        <v>12</v>
      </c>
      <c r="F10259">
        <f>HYPERLINK("https://www.reddit.com/r/GERD/comments/icofud/endoscopy/")</f>
        <v/>
      </c>
      <c r="G10259" t="inlineStr">
        <is>
          <t>2020-08-19 07:16:22</t>
        </is>
      </c>
      <c r="H10259" t="inlineStr"/>
    </row>
    <row r="10260">
      <c r="A10260" t="inlineStr">
        <is>
          <t>icr4ba</t>
        </is>
      </c>
      <c r="B10260" t="inlineStr">
        <is>
          <t>Looking for some reassurance</t>
        </is>
      </c>
      <c r="C10260" t="inlineStr">
        <is>
          <t>I have gerd/ lpr, which only started as we went into lockdown. I have health anxiety which for the most part I keep under control.i have had a endoscopy , nothing found .
Ent consultant said I have a red throat and very mild redness of my vocal cords.i have tried ppi with no effect.they seem to think that most of my acid reflux could be caused by my anxiety.i do have all the other typical symptoms of anxiety.
Does anyone else feel/ think that their gerd is being caused by anxiety ,I having a hard time believing , which is making me even more anxious</t>
        </is>
      </c>
      <c r="D10260" t="n">
        <v>1</v>
      </c>
      <c r="E10260" t="n">
        <v>8</v>
      </c>
      <c r="F10260">
        <f>HYPERLINK("https://www.reddit.com/r/GERD/comments/icr4ba/looking_for_some_reassurance/")</f>
        <v/>
      </c>
      <c r="G10260" t="inlineStr">
        <is>
          <t>2020-08-19 09:36:57</t>
        </is>
      </c>
      <c r="H10260" t="inlineStr"/>
    </row>
    <row r="10261">
      <c r="A10261" t="inlineStr">
        <is>
          <t>icrogp</t>
        </is>
      </c>
      <c r="B10261" t="inlineStr">
        <is>
          <t>What do you do to raise your bed?</t>
        </is>
      </c>
      <c r="C10261" t="inlineStr">
        <is>
          <t>I bought some furniture risers on amazon, thinking i could put them under the top part of my bed, mistake, didn't work out... do you use those foam things that lay under the bed? i want to try one, but they are $120 or so, and my partner won't like it... what are your solutions? thanks in advance</t>
        </is>
      </c>
      <c r="D10261" t="n">
        <v>1</v>
      </c>
      <c r="E10261" t="n">
        <v>22</v>
      </c>
      <c r="F10261">
        <f>HYPERLINK("https://www.reddit.com/r/GERD/comments/icrogp/what_do_you_do_to_raise_your_bed/")</f>
        <v/>
      </c>
      <c r="G10261" t="inlineStr">
        <is>
          <t>2020-08-19 10:04:43</t>
        </is>
      </c>
      <c r="H10261" t="inlineStr"/>
    </row>
    <row r="10262">
      <c r="A10262" t="inlineStr">
        <is>
          <t>ictpkr</t>
        </is>
      </c>
      <c r="B10262" t="inlineStr">
        <is>
          <t>DGL Licorice vs. slippery elm?</t>
        </is>
      </c>
      <c r="C10262" t="inlineStr">
        <is>
          <t>Hey guys I was just wondering what your thoughts are in these supplements. Which one do you use/prefer? How effective are they for treating GERD symptoms? Do they both have the same use? I’m curious to hear any commentary on these.</t>
        </is>
      </c>
      <c r="D10262" t="n">
        <v>1</v>
      </c>
      <c r="E10262" t="n">
        <v>2</v>
      </c>
      <c r="F10262">
        <f>HYPERLINK("https://www.reddit.com/r/GERD/comments/ictpkr/dgl_licorice_vs_slippery_elm/")</f>
        <v/>
      </c>
      <c r="G10262" t="inlineStr">
        <is>
          <t>2020-08-19 11:47:45</t>
        </is>
      </c>
      <c r="H10262" t="inlineStr"/>
    </row>
    <row r="10263">
      <c r="A10263" t="inlineStr">
        <is>
          <t>icv2i2</t>
        </is>
      </c>
      <c r="B10263" t="inlineStr">
        <is>
          <t>Anyone ever get itchy throat and cough</t>
        </is>
      </c>
      <c r="C10263" t="inlineStr">
        <is>
          <t>I cant stop coughing and my throat really itches
Its giving me anxiety so if anyone else has had this it would help me.</t>
        </is>
      </c>
      <c r="D10263" t="n">
        <v>1</v>
      </c>
      <c r="E10263" t="n">
        <v>4</v>
      </c>
      <c r="F10263">
        <f>HYPERLINK("https://www.reddit.com/r/GERD/comments/icv2i2/anyone_ever_get_itchy_throat_and_cough/")</f>
        <v/>
      </c>
      <c r="G10263" t="inlineStr">
        <is>
          <t>2020-08-19 12:56:18</t>
        </is>
      </c>
      <c r="H10263" t="inlineStr"/>
    </row>
    <row r="10264">
      <c r="A10264" t="inlineStr">
        <is>
          <t>icwhtv</t>
        </is>
      </c>
      <c r="B10264" t="inlineStr">
        <is>
          <t>Sharp pain center of chest</t>
        </is>
      </c>
      <c r="C10264" t="inlineStr">
        <is>
          <t>Does anyone else get a sharp/pulsing pain in the middle of their lower chest? I assume its the spot where your stomach connects to your esophagus.</t>
        </is>
      </c>
      <c r="D10264" t="n">
        <v>1</v>
      </c>
      <c r="E10264" t="n">
        <v>7</v>
      </c>
      <c r="F10264">
        <f>HYPERLINK("https://www.reddit.com/r/GERD/comments/icwhtv/sharp_pain_center_of_chest/")</f>
        <v/>
      </c>
      <c r="G10264" t="inlineStr">
        <is>
          <t>2020-08-19 14:09:06</t>
        </is>
      </c>
      <c r="H10264" t="inlineStr"/>
    </row>
    <row r="10265">
      <c r="A10265" t="inlineStr">
        <is>
          <t>icx21s</t>
        </is>
      </c>
      <c r="B10265" t="inlineStr">
        <is>
          <t>Flare-up since 2-3 months, tickle/weird sensation in my left side and waking up coughing in the night. Do anyone know how to handle it?</t>
        </is>
      </c>
      <c r="C10265" t="inlineStr">
        <is>
          <t>Since my I s has gone to shit and I'm more bloated I randomly have this itchy/strange/bubbling sensation in my throat or chest are, it's very diffuse. At the same time I often wake up irritated in my throat and coughing while sleeping. Taking galieve seems to help but the package says to take it just 2 weeks. I push my doctors but they send me home again without doing more.
How can I stop this sensation? It's super unpleasant although not really painful, just weird and wrong. It seems worse with breathing and is mostly there after eating (pretty fast after) comes and goes, but had been persistent every day. 
My mom has gerd and her symptoms are different and of no help to me. It is driving me nuts please help if you have any solution indtil my doctors will do something!</t>
        </is>
      </c>
      <c r="D10265" t="n">
        <v>1</v>
      </c>
      <c r="E10265" t="n">
        <v>0</v>
      </c>
      <c r="F10265">
        <f>HYPERLINK("https://www.reddit.com/r/GERD/comments/icx21s/flareup_since_23_months_tickleweird_sensation_in/")</f>
        <v/>
      </c>
      <c r="G10265" t="inlineStr">
        <is>
          <t>2020-08-19 14:38:27</t>
        </is>
      </c>
      <c r="H10265" t="inlineStr"/>
    </row>
    <row r="10266">
      <c r="A10266" t="inlineStr">
        <is>
          <t>icxwf8</t>
        </is>
      </c>
      <c r="B10266" t="inlineStr">
        <is>
          <t>Ok so...</t>
        </is>
      </c>
      <c r="C10266" t="inlineStr">
        <is>
          <t>I'm not sure if I'm correct about this or not but is it when we burp up the gas are we also eliminating the acids in the stomach or are the acids still there just producing more gas.</t>
        </is>
      </c>
      <c r="D10266" t="n">
        <v>1</v>
      </c>
      <c r="E10266" t="n">
        <v>3</v>
      </c>
      <c r="F10266">
        <f>HYPERLINK("https://www.reddit.com/r/GERD/comments/icxwf8/ok_so/")</f>
        <v/>
      </c>
      <c r="G10266" t="inlineStr">
        <is>
          <t>2020-08-19 15:23:38</t>
        </is>
      </c>
      <c r="H10266" t="inlineStr"/>
    </row>
    <row r="10267">
      <c r="A10267" t="inlineStr">
        <is>
          <t>icyjed</t>
        </is>
      </c>
      <c r="B10267" t="inlineStr">
        <is>
          <t>Has anyone experienced strange swallowing reflex as they are about to fall asleep?</t>
        </is>
      </c>
      <c r="C10267" t="inlineStr">
        <is>
          <t>I started to get this in the past couple of weeks. As soon as I drift off to sleep I feel like my throat locks up. I immediately wake up and try to swallow. It usually goes away in a second or so, but the anxiety spikes through the roof. Sometimes I can go right back to sleep, and sometimes it would occur every time the sleep comes, and this process would last for hours. 
This reflex does not come back during the night, and I never experienced it through the day. I think it has a physical trigger (ex. acid floating up to vocal cords) but the fact that it happens at such specific moment is confusing. 
I have LPR (silent reflux) but has not had any symptoms or episodes recently. I read this article  [https://www.verywellhealth.com/what-is-sleep-related-laryngospasm-3014748](https://www.verywellhealth.com/what-is-sleep-related-laryngospasm-3014748)  which seems to relate to what I am experiencing. 
If anyone has this I would like to find out what you learned about it and how you deal with it.</t>
        </is>
      </c>
      <c r="D10267" t="n">
        <v>1</v>
      </c>
      <c r="E10267" t="n">
        <v>7</v>
      </c>
      <c r="F10267">
        <f>HYPERLINK("https://www.reddit.com/r/GERD/comments/icyjed/has_anyone_experienced_strange_swallowing_reflex/")</f>
        <v/>
      </c>
      <c r="G10267" t="inlineStr">
        <is>
          <t>2020-08-19 16:00:03</t>
        </is>
      </c>
      <c r="H10267" t="inlineStr"/>
    </row>
    <row r="10268">
      <c r="A10268" t="inlineStr">
        <is>
          <t>icymia</t>
        </is>
      </c>
      <c r="B10268" t="inlineStr">
        <is>
          <t>For those who underwent surgery, how long did you struggle with GERD/LPR before you got it?</t>
        </is>
      </c>
      <c r="C10268" t="inlineStr">
        <is>
          <t>Just wondering because my symptoms are pretty sever right now and I really don't want to deal with them/take PPIs for a long time.
Also, how severe were your symptoms? I feel like I can barely do basic tasks or function right now (with the SOB especially).</t>
        </is>
      </c>
      <c r="D10268" t="n">
        <v>1</v>
      </c>
      <c r="E10268" t="n">
        <v>13</v>
      </c>
      <c r="F10268">
        <f>HYPERLINK("https://www.reddit.com/r/GERD/comments/icymia/for_those_who_underwent_surgery_how_long_did_you/")</f>
        <v/>
      </c>
      <c r="G10268" t="inlineStr">
        <is>
          <t>2020-08-19 16:04:46</t>
        </is>
      </c>
      <c r="H10268" t="inlineStr"/>
    </row>
    <row r="10269">
      <c r="A10269" t="inlineStr">
        <is>
          <t>iczcw5</t>
        </is>
      </c>
      <c r="B10269" t="inlineStr">
        <is>
          <t>Weening off ppi, stomach already hurting</t>
        </is>
      </c>
      <c r="C10269" t="inlineStr">
        <is>
          <t>I’ve been on protonix for a little longer than 2 months now and I’ve started to ween off them because I feel like they’re doing more harm than good. 
I was on 60mgs, and I’ve been on 40mgs once a day for about a week now. The past few days my stomach has been really upset, as well as chest tightness and pain, and sometimes pain in my jaw and throat. I’ve had the symptoms while on 60mgs too, but they seem to be worse now. I have an endoscopy on Tuesday which has been making me really anxious, so that might not be helping either.</t>
        </is>
      </c>
      <c r="D10269" t="n">
        <v>1</v>
      </c>
      <c r="E10269" t="n">
        <v>7</v>
      </c>
      <c r="F10269">
        <f>HYPERLINK("https://www.reddit.com/r/GERD/comments/iczcw5/weening_off_ppi_stomach_already_hurting/")</f>
        <v/>
      </c>
      <c r="G10269" t="inlineStr">
        <is>
          <t>2020-08-19 16:47:41</t>
        </is>
      </c>
      <c r="H10269" t="inlineStr"/>
    </row>
    <row r="10270">
      <c r="A10270" t="inlineStr">
        <is>
          <t>id06rr</t>
        </is>
      </c>
      <c r="B10270" t="inlineStr">
        <is>
          <t>Maximum time I can wait before seeking a doctor for LPR</t>
        </is>
      </c>
      <c r="C10270" t="inlineStr">
        <is>
          <t>Believe I have LPR , since about mid May , symptoms aren’t too bad but they’re pretty annoying, standard hoarseness , dry throat , globus sensation, what’s the longest I could wait to see a doctor since I’m moving in a few months ?</t>
        </is>
      </c>
      <c r="D10270" t="n">
        <v>1</v>
      </c>
      <c r="E10270" t="n">
        <v>3</v>
      </c>
      <c r="F10270">
        <f>HYPERLINK("https://www.reddit.com/r/GERD/comments/id06rr/maximum_time_i_can_wait_before_seeking_a_doctor/")</f>
        <v/>
      </c>
      <c r="G10270" t="inlineStr">
        <is>
          <t>2020-08-19 17:39:09</t>
        </is>
      </c>
      <c r="H10270" t="inlineStr"/>
    </row>
    <row r="10271">
      <c r="A10271" t="inlineStr">
        <is>
          <t>id207w</t>
        </is>
      </c>
      <c r="B10271" t="inlineStr">
        <is>
          <t>Does anyone else get chronic hiccups occasionally?</t>
        </is>
      </c>
      <c r="C10271" t="inlineStr">
        <is>
          <t>Maybe it’s something else but I noticed when I drink a lot or whatever I get hiccups for like two days straight. It temporarily stopped when I went for a run but I did notice the hiccups would always feel like food is coming up.</t>
        </is>
      </c>
      <c r="D10271" t="n">
        <v>1</v>
      </c>
      <c r="E10271" t="n">
        <v>6</v>
      </c>
      <c r="F10271">
        <f>HYPERLINK("https://www.reddit.com/r/GERD/comments/id207w/does_anyone_else_get_chronic_hiccups_occasionally/")</f>
        <v/>
      </c>
      <c r="G10271" t="inlineStr">
        <is>
          <t>2020-08-19 19:33:18</t>
        </is>
      </c>
      <c r="H10271" t="inlineStr"/>
    </row>
    <row r="10272">
      <c r="A10272" t="inlineStr">
        <is>
          <t>id27yk</t>
        </is>
      </c>
      <c r="B10272" t="inlineStr">
        <is>
          <t>Dysphagia anyone?</t>
        </is>
      </c>
      <c r="C10272" t="inlineStr">
        <is>
          <t>I had a barium swallow a few weeks ago and got my results today that I have “functional dysphagia” meaning there’s no mass or obstruction. The Dr  said the end of the esophagus is a little narrowed and I have reflux. I’ve been on pantoprazole for months due to stomach inflammation, but I feel like I’m not your average case. I never get heart burn, no difficulty swallowing never taste acidity, never vomit. My symptoms used to be nausea, pain where the stomach is, a little chest wall pain that felt like costochondritis, I have cramping in my abdomen every single day; due to “IBS” whether I believe that- I don’t know. I also occasionally have a small regurgitation but it’s very very rare. I feel like there’s always an underlying condition to IBS, it’s just a matter of figuring out what it is. My cramping regions change and I definitely get bowel cramping. I just feel like I’m being misdiagnosed constantly.</t>
        </is>
      </c>
      <c r="D10272" t="n">
        <v>1</v>
      </c>
      <c r="E10272" t="n">
        <v>3</v>
      </c>
      <c r="F10272">
        <f>HYPERLINK("https://www.reddit.com/r/GERD/comments/id27yk/dysphagia_anyone/")</f>
        <v/>
      </c>
      <c r="G10272" t="inlineStr">
        <is>
          <t>2020-08-19 19:47:21</t>
        </is>
      </c>
      <c r="H10272" t="inlineStr"/>
    </row>
    <row r="10273">
      <c r="A10273" t="inlineStr">
        <is>
          <t>id2ty9</t>
        </is>
      </c>
      <c r="B10273" t="inlineStr">
        <is>
          <t>Have You Had A 24-Hour Nose Catheter For GERD-related Testing?</t>
        </is>
      </c>
      <c r="C10273" t="inlineStr">
        <is>
          <t>Hi. My doctor wants to schedule me for a 24-hour nose catheter test. Sounds very unpleasant. Have any of you done it before? How endurable is it?
Thank you.</t>
        </is>
      </c>
      <c r="D10273" t="n">
        <v>1</v>
      </c>
      <c r="E10273" t="n">
        <v>11</v>
      </c>
      <c r="F10273">
        <f>HYPERLINK("https://www.reddit.com/r/GERD/comments/id2ty9/have_you_had_a_24hour_nose_catheter_for/")</f>
        <v/>
      </c>
      <c r="G10273" t="inlineStr">
        <is>
          <t>2020-08-19 20:28:49</t>
        </is>
      </c>
      <c r="H10273" t="inlineStr"/>
    </row>
    <row r="10274">
      <c r="A10274" t="inlineStr">
        <is>
          <t>id3p6a</t>
        </is>
      </c>
      <c r="B10274" t="inlineStr">
        <is>
          <t>All it took was one bad flare-up and now my LPR just refuses to go away</t>
        </is>
      </c>
      <c r="C10274" t="inlineStr">
        <is>
          <t>I fucked up ONCE and it has caused my gerd to become apparently permanently worse. How the hell can one flare up fuck my gut up to the point that I could previously eat anything on PPI's and now post-flareup I still get shitty symptoms while on PPI's and dieting properly??
This shit sucks. The mechanics of the disease are absolutely insidious and horrible.
All the solutions suck. The people with good lives get better lives and the people with shitty lives get even shittier.</t>
        </is>
      </c>
      <c r="D10274" t="n">
        <v>1</v>
      </c>
      <c r="E10274" t="n">
        <v>8</v>
      </c>
      <c r="F10274">
        <f>HYPERLINK("https://www.reddit.com/r/GERD/comments/id3p6a/all_it_took_was_one_bad_flareup_and_now_my_lpr/")</f>
        <v/>
      </c>
      <c r="G10274" t="inlineStr">
        <is>
          <t>2020-08-19 21:31:35</t>
        </is>
      </c>
      <c r="H10274" t="inlineStr"/>
    </row>
    <row r="10275">
      <c r="A10275" t="inlineStr">
        <is>
          <t>id55ue</t>
        </is>
      </c>
      <c r="B10275" t="inlineStr">
        <is>
          <t>Cough caused by GERD : Is it normal to cough more when you try to talk?</t>
        </is>
      </c>
      <c r="C10275" t="inlineStr">
        <is>
          <t>As title? Tried asking a doctor but she was being evasive and just told me to try taking zenpro (a PPI) for two weeks to see if it improved.</t>
        </is>
      </c>
      <c r="D10275" t="n">
        <v>1</v>
      </c>
      <c r="E10275" t="n">
        <v>3</v>
      </c>
      <c r="F10275">
        <f>HYPERLINK("https://www.reddit.com/r/GERD/comments/id55ue/cough_caused_by_gerd_is_it_normal_to_cough_more/")</f>
        <v/>
      </c>
      <c r="G10275" t="inlineStr">
        <is>
          <t>2020-08-19 23:30:05</t>
        </is>
      </c>
      <c r="H10275" t="inlineStr"/>
    </row>
    <row r="10276">
      <c r="A10276" t="inlineStr">
        <is>
          <t>id5ivn</t>
        </is>
      </c>
      <c r="B10276" t="inlineStr">
        <is>
          <t>Rib cage pain</t>
        </is>
      </c>
      <c r="C10276" t="inlineStr">
        <is>
          <t>Has anyone experienced a pain center area between the breasts after an attack of GERD? I can seem to expand my chest either without some discomfort. I have changed everything diet, lifestyle, everything!!!! 
kinda wondering does it ever go away? I got rid of the pylori and the sibo but still left with some annoying factors....I can barely eat anything, and regurgitation every single day! This chest discomfort and a dry cough after eating!</t>
        </is>
      </c>
      <c r="D10276" t="n">
        <v>1</v>
      </c>
      <c r="E10276" t="n">
        <v>1</v>
      </c>
      <c r="F10276">
        <f>HYPERLINK("https://www.reddit.com/r/GERD/comments/id5ivn/rib_cage_pain/")</f>
        <v/>
      </c>
      <c r="G10276" t="inlineStr">
        <is>
          <t>2020-08-20 00:03:19</t>
        </is>
      </c>
      <c r="H10276" t="inlineStr"/>
    </row>
    <row r="10277">
      <c r="A10277" t="inlineStr">
        <is>
          <t>id6ndd</t>
        </is>
      </c>
      <c r="B10277" t="inlineStr">
        <is>
          <t>I'm desperate at this point</t>
        </is>
      </c>
      <c r="C10277" t="inlineStr">
        <is>
          <t>Hello friends, 
I have been suffering from LPR and a variety of its nasty symptoms for over a year now. I went to multiple doctors, ENT doctor confirmed the acid damage in my throat, my GP prescribed pantoprazole and a few days ago I had an endoscopy done. Although I have been taking pantoprazole for over four months now, it doesn't seem to do anything for me. My symptoms are only marginally better, and if I ever miss a dose I get horrible rebound reflux immediately, which scares me a lot. I don't want to take these forever, because I experience some nasty side effects. I'm already on a really bland, low acid diet. I'm thin and I get regular exercise. I don't know what else to do...
The endoscopy was mostly disappointing as they didn't find anything that could explain the severity of my symptoms. The gastroenterologist said that I have very mild gastritis and wants to double my dose of pantoprazole. Otherwise they had no explanation whatsoever. I'm still waiting for the results of the biopsy, though. 
Long story short, I really want to go off pantoprazole at some point in the near future, but I am scared to death of my symptoms getting even worse. Does anyone here have any similar experiences? I'm sorry if this is all over the place, I'm really struggling right now.</t>
        </is>
      </c>
      <c r="D10277" t="n">
        <v>1</v>
      </c>
      <c r="E10277" t="n">
        <v>11</v>
      </c>
      <c r="F10277">
        <f>HYPERLINK("https://www.reddit.com/r/GERD/comments/id6ndd/im_desperate_at_this_point/")</f>
        <v/>
      </c>
      <c r="G10277" t="inlineStr">
        <is>
          <t>2020-08-20 01:47:03</t>
        </is>
      </c>
      <c r="H10277" t="inlineStr"/>
    </row>
    <row r="10278">
      <c r="A10278" t="inlineStr">
        <is>
          <t>id7dag</t>
        </is>
      </c>
      <c r="B10278" t="inlineStr">
        <is>
          <t>unrelenting stomach pain and vomiting</t>
        </is>
      </c>
      <c r="C10278" t="inlineStr">
        <is>
          <t>so my stomach pain and vomiting started nearly 2 months ago, and were relatively mild until just a month ago. I'd experienced symptoms of extreme stomach pain, which could only be relieved a bit by vomiting, and I'd involuntarily vomit really large amounts of undigested food whenever I burped or bent down. it'd be so bad I had to excuse myself from lectures, works, and meetings with friends really often just so that I could vomit or just simply bend down at a toilet because of the excruciating stomach pain. 
I saw a gastro about a week ago, and did an endoscopy, but the only thing that showed up was mild inflammation of my stomach lining and a loose esophageal sphincter. this puzzled me, because my stomach pains would be extremely painful, and these results seemed underwhelming. I tried bringing up the possibility of gastroparesis to my doctor, but he dismissed it and just gave me some PPIs because Ive never experienced bloating or constipation. 
ive been taking the PPIs regularly and they seem to help with the involuntary vomiting a bit - Im still unable to control my vomiting when I bend down, but when I burp, I'd sometimes be able to swallow my vomit before I just start full on vomiting? if that makes sense? but my stomach pain has been the same. I'm starting to doubt the fact that they're due to acid-related complications, because the pain is wrenching and twisting rather than burning, and also because whenever I vomit, the contents are just undigested food mixed with stomach acid. 
I'm hoping to check out a different gastro again by next week. also, in the meantime, I have to meet up with my parents and some old classmates, but Im not sure if I'm well enough to do that. I've only gone out with someone once after the pain began, and my stomach hurt so much that I couldn't concentrate, and I'd had to be confined to a toilet vomiting after like, 3 bites of outside food. do you have any advice how to function and socialise with stomach problems?? my stomach hurts all the time, and I can deal with it at home with a heat pack and by lying down, but I can't deal with it outside - all I can do is clutch my stomach and look pathetic. help!</t>
        </is>
      </c>
      <c r="D10278" t="n">
        <v>1</v>
      </c>
      <c r="E10278" t="n">
        <v>1</v>
      </c>
      <c r="F10278">
        <f>HYPERLINK("https://www.reddit.com/r/GERD/comments/id7dag/unrelenting_stomach_pain_and_vomiting/")</f>
        <v/>
      </c>
      <c r="G10278" t="inlineStr">
        <is>
          <t>2020-08-20 02:51:08</t>
        </is>
      </c>
      <c r="H10278" t="inlineStr"/>
    </row>
    <row r="10279">
      <c r="A10279" t="inlineStr">
        <is>
          <t>id8o18</t>
        </is>
      </c>
      <c r="B10279" t="inlineStr">
        <is>
          <t>Rant: Even the scientist done kntow hwat theyre talking about</t>
        </is>
      </c>
      <c r="C10279" t="inlineStr">
        <is>
          <t>I don't know whether to laugh or cry. One health/scientific websites says eat cucumber,peach and apple the other websites says all of them increase acid.
One website says eat that the other website says don't eat that 
Thousands of contradicting researches
I'm so pissed to be honest. Just tell us we can't eat anything so we can die of hunger and malnutrition.
This is getting ridiculous.</t>
        </is>
      </c>
      <c r="D10279" t="n">
        <v>1</v>
      </c>
      <c r="E10279" t="n">
        <v>24</v>
      </c>
      <c r="F10279">
        <f>HYPERLINK("https://www.reddit.com/r/GERD/comments/id8o18/rant_even_the_scientist_done_kntow_hwat_theyre/")</f>
        <v/>
      </c>
      <c r="G10279" t="inlineStr">
        <is>
          <t>2020-08-20 04:39:26</t>
        </is>
      </c>
      <c r="H10279" t="inlineStr"/>
    </row>
    <row r="10280">
      <c r="A10280" t="inlineStr">
        <is>
          <t>id8yfx</t>
        </is>
      </c>
      <c r="B10280" t="inlineStr">
        <is>
          <t>Something to suck on at work?</t>
        </is>
      </c>
      <c r="C10280" t="inlineStr">
        <is>
          <t>Hey everyone!  
Was looking to see if anyone had a list of foods, candies, gum...etc to distract me from eating at work that isn't to rough on your stomachs?</t>
        </is>
      </c>
      <c r="D10280" t="n">
        <v>1</v>
      </c>
      <c r="E10280" t="n">
        <v>1</v>
      </c>
      <c r="F10280">
        <f>HYPERLINK("https://www.reddit.com/r/GERD/comments/id8yfx/something_to_suck_on_at_work/")</f>
        <v/>
      </c>
      <c r="G10280" t="inlineStr">
        <is>
          <t>2020-08-20 05:01:40</t>
        </is>
      </c>
      <c r="H10280" t="inlineStr"/>
    </row>
    <row r="10281">
      <c r="A10281" t="inlineStr">
        <is>
          <t>id9875</t>
        </is>
      </c>
      <c r="B10281" t="inlineStr">
        <is>
          <t>6 more months until I can see a specialist - feeling defeated.</t>
        </is>
      </c>
      <c r="C10281" t="inlineStr">
        <is>
          <t>TL;DR: I’ve had GERD most of my life but it’s taken a sudden turn for the worse 6 months ago; I’ve been extremely ill with a very limited diet and repeated bouts of vomiting. I’ve lost so much weight and feel like it took so long for my Dr to take me seriously. Finally got a call from the specialist and it will be another 6 months before they can see me:( just feeling defeated.
Hey all, just here to vent I guess:/ I’ve had stomach issues and GERD for basically my entire life. Though it used to be manageable with PPIs and mild lifestyle changes, 6 months ago I developed (suspected) LPR as well as getting repeated violent bouts of vomiting. My last endoscopy was close to 15 years ago (I was about 10) and it showed gastritis and irritation in my esophagus; my medical care was somewhat neglected for awhile afterward and only after getting so sick this year have I began to really try to take care of myself. I can only eat an alkaline diet, low fat, low sugar, no dairy, and the food I eat has to be soft/easy to digest or else it doesn’t digest and just sits in my stomach for hours until I throw it all up (e.g., potato skin, apple skin, carrots, dried fruit, etc). I have kidney stones and IBS as well. Over the past few months I’ve lost 25+ lbs and am now on the edge of being underweight. I’ve had to be hospitalized multiple times now to replenish fluids and electrolytes through an IV from long bouts of vomiting. After months of repeated dr appointments, blood work, urine samples, and ultrasounds, I was finally referred to a specialist; they called yesterday to tell me my appointment is in February and that’s the soonest they can see me. I’m just feeling so defeated and don’t know how I can live like this for another 6 months, especially with the rate I’m losing weight.. just needed to vent, thanks for reading</t>
        </is>
      </c>
      <c r="D10281" t="n">
        <v>1</v>
      </c>
      <c r="E10281" t="n">
        <v>8</v>
      </c>
      <c r="F10281">
        <f>HYPERLINK("https://www.reddit.com/r/GERD/comments/id9875/6_more_months_until_i_can_see_a_specialist/")</f>
        <v/>
      </c>
      <c r="G10281" t="inlineStr">
        <is>
          <t>2020-08-20 05:20:58</t>
        </is>
      </c>
      <c r="H10281" t="inlineStr"/>
    </row>
    <row r="10282">
      <c r="A10282" t="inlineStr">
        <is>
          <t>id9duy</t>
        </is>
      </c>
      <c r="B10282" t="inlineStr">
        <is>
          <t>Anyone of you ever had Mallory Weiss Tears caused by GERD?</t>
        </is>
      </c>
      <c r="C10282" t="inlineStr">
        <is>
          <t>I have had them 3 times and the last time still fucks with me mentally. So maybe someone has had similar problems and can share how they overcome the issue.
I'm 24 year old, underweight, don't drink alcohol anymore, try to get my nutrition right, take PPI everyday and except some belch i'm pretty much symptom free.</t>
        </is>
      </c>
      <c r="D10282" t="n">
        <v>1</v>
      </c>
      <c r="E10282" t="n">
        <v>3</v>
      </c>
      <c r="F10282">
        <f>HYPERLINK("https://www.reddit.com/r/GERD/comments/id9duy/anyone_of_you_ever_had_mallory_weiss_tears_caused/")</f>
        <v/>
      </c>
      <c r="G10282" t="inlineStr">
        <is>
          <t>2020-08-20 05:31:36</t>
        </is>
      </c>
      <c r="H10282" t="inlineStr"/>
    </row>
    <row r="10283">
      <c r="A10283" t="inlineStr">
        <is>
          <t>ida0qn</t>
        </is>
      </c>
      <c r="B10283" t="inlineStr">
        <is>
          <t>24 hr ph impedance test</t>
        </is>
      </c>
      <c r="C10283" t="inlineStr">
        <is>
          <t>Did anyone work while having this done? I'm getting it inserted Monday am. I've got personal day requested, but thought about working. I talk on the phone  non stop all day however and not sure how that would work.</t>
        </is>
      </c>
      <c r="D10283" t="n">
        <v>1</v>
      </c>
      <c r="E10283" t="n">
        <v>5</v>
      </c>
      <c r="F10283">
        <f>HYPERLINK("https://www.reddit.com/r/GERD/comments/ida0qn/24_hr_ph_impedance_test/")</f>
        <v/>
      </c>
      <c r="G10283" t="inlineStr">
        <is>
          <t>2020-08-20 06:11:57</t>
        </is>
      </c>
      <c r="H10283" t="inlineStr"/>
    </row>
    <row r="10284">
      <c r="A10284" t="inlineStr">
        <is>
          <t>idaim6</t>
        </is>
      </c>
      <c r="B10284" t="inlineStr">
        <is>
          <t>I have been using prilosec 40mg/day for 4 years and now I feel bloated all the time.</t>
        </is>
      </c>
      <c r="C10284" t="inlineStr">
        <is>
          <t>I have a  haital hernai and and battle with GERD daily, but the prilosec and diet changes have worked pretty well for me. Last week I started to feel bloated all the time.  Should I change medicine from Prilosec to Zantac or pepcid? Any recs would be helpful.</t>
        </is>
      </c>
      <c r="D10284" t="n">
        <v>1</v>
      </c>
      <c r="E10284" t="n">
        <v>5</v>
      </c>
      <c r="F10284">
        <f>HYPERLINK("https://www.reddit.com/r/GERD/comments/idaim6/i_have_been_using_prilosec_40mgday_for_4_years/")</f>
        <v/>
      </c>
      <c r="G10284" t="inlineStr">
        <is>
          <t>2020-08-20 06:43:00</t>
        </is>
      </c>
      <c r="H10284" t="inlineStr"/>
    </row>
    <row r="10285">
      <c r="A10285" t="inlineStr">
        <is>
          <t>idauuq</t>
        </is>
      </c>
      <c r="B10285" t="inlineStr">
        <is>
          <t>Should I increase my ppi dosage to heal my esophagatis? I'm currently taking only 20mg Rabeprazole</t>
        </is>
      </c>
      <c r="C10285" t="inlineStr">
        <is>
          <t>and I have seen some improvement, but I'm wondering if I should increase it to 40mg to see faster improvement. Usually takes 4-8 weeks to heal along with the bland diet.</t>
        </is>
      </c>
      <c r="D10285" t="n">
        <v>1</v>
      </c>
      <c r="E10285" t="n">
        <v>0</v>
      </c>
      <c r="F10285">
        <f>HYPERLINK("https://www.reddit.com/r/GERD/comments/idauuq/should_i_increase_my_ppi_dosage_to_heal_my/")</f>
        <v/>
      </c>
      <c r="G10285" t="inlineStr">
        <is>
          <t>2020-08-20 07:03:20</t>
        </is>
      </c>
      <c r="H10285" t="inlineStr"/>
    </row>
    <row r="10286">
      <c r="A10286" t="inlineStr">
        <is>
          <t>iday80</t>
        </is>
      </c>
      <c r="B10286" t="inlineStr">
        <is>
          <t>On h.pylori treatment</t>
        </is>
      </c>
      <c r="C10286" t="inlineStr">
        <is>
          <t>Hi, I’m currently taking lansoprazole, Clarithromyocin, and amoxicillin twice a day for 14 days. Today is day 7 on the antibiotics and I had a breakfast consisting of fiber cereal with probiotic kefir and an egg. I took my medicine shortly after. After 30 minutes, I felt a bit nauseous and then finally had that lump in my throat. Eventually I threw up the egg and few of the cereal. This hasn’t really happened before during the treatment process. I was wondering if it’s normal to have that due to a possible side effect and if anyone dealt with that during the treatment ?  It’s so hard to stay positive just when I feel a bad side effect from it.</t>
        </is>
      </c>
      <c r="D10286" t="n">
        <v>1</v>
      </c>
      <c r="E10286" t="n">
        <v>4</v>
      </c>
      <c r="F10286">
        <f>HYPERLINK("https://www.reddit.com/r/GERD/comments/iday80/on_hpylori_treatment/")</f>
        <v/>
      </c>
      <c r="G10286" t="inlineStr">
        <is>
          <t>2020-08-20 07:08:37</t>
        </is>
      </c>
      <c r="H10286" t="inlineStr"/>
    </row>
    <row r="10287">
      <c r="A10287" t="inlineStr">
        <is>
          <t>idbmi4</t>
        </is>
      </c>
      <c r="B10287" t="inlineStr">
        <is>
          <t>PPI rebound? Should I try a PPI?</t>
        </is>
      </c>
      <c r="C10287" t="inlineStr">
        <is>
          <t>Hi guys, I see my doctor today and I’m guessing they’ll diagnose me with GERD for my chronic nausea and want to try me on a PPI
How bad is getting off of them? I’ve heard it can be tough?</t>
        </is>
      </c>
      <c r="D10287" t="n">
        <v>1</v>
      </c>
      <c r="E10287" t="n">
        <v>12</v>
      </c>
      <c r="F10287">
        <f>HYPERLINK("https://www.reddit.com/r/GERD/comments/idbmi4/ppi_rebound_should_i_try_a_ppi/")</f>
        <v/>
      </c>
      <c r="G10287" t="inlineStr">
        <is>
          <t>2020-08-20 07:47:47</t>
        </is>
      </c>
      <c r="H10287" t="inlineStr"/>
    </row>
    <row r="10288">
      <c r="A10288" t="inlineStr">
        <is>
          <t>idcl60</t>
        </is>
      </c>
      <c r="B10288" t="inlineStr">
        <is>
          <t>Surgery options</t>
        </is>
      </c>
      <c r="C10288" t="inlineStr">
        <is>
          <t>Hi folks.
Does anyone know if there's a surgery option for GERD/HH that avoids fundoplication?
I've heard a few concerning things about fundoplication, i.e being unable to throw up, which would be nasty. 
My main symptoms are chest pressure, shortness of breath and abdominal pain.
Any information would be appreciated.</t>
        </is>
      </c>
      <c r="D10288" t="n">
        <v>1</v>
      </c>
      <c r="E10288" t="n">
        <v>10</v>
      </c>
      <c r="F10288">
        <f>HYPERLINK("https://www.reddit.com/r/GERD/comments/idcl60/surgery_options/")</f>
        <v/>
      </c>
      <c r="G10288" t="inlineStr">
        <is>
          <t>2020-08-20 08:38:31</t>
        </is>
      </c>
      <c r="H10288" t="inlineStr"/>
    </row>
    <row r="10289">
      <c r="A10289" t="inlineStr">
        <is>
          <t>ideout</t>
        </is>
      </c>
      <c r="B10289" t="inlineStr">
        <is>
          <t>Milk or no milk?</t>
        </is>
      </c>
      <c r="C10289" t="inlineStr">
        <is>
          <t>What is your experience with drinking milk to reduce inflammation and acidity? Does anyone notice symptoms relieve?</t>
        </is>
      </c>
      <c r="D10289" t="n">
        <v>1</v>
      </c>
      <c r="E10289" t="n">
        <v>18</v>
      </c>
      <c r="F10289">
        <f>HYPERLINK("https://www.reddit.com/r/GERD/comments/ideout/milk_or_no_milk/")</f>
        <v/>
      </c>
      <c r="G10289" t="inlineStr">
        <is>
          <t>2020-08-20 10:28:12</t>
        </is>
      </c>
      <c r="H10289" t="inlineStr"/>
    </row>
    <row r="10290">
      <c r="A10290" t="inlineStr">
        <is>
          <t>idf6wb</t>
        </is>
      </c>
      <c r="B10290" t="inlineStr">
        <is>
          <t>Almost quitting sugar has almost cured my GERD.</t>
        </is>
      </c>
      <c r="C10290" t="inlineStr">
        <is>
          <t>The only sugar I eat is like fifteen grams in a serving of cereal I eat for breakfast. The crazy thing about this is that my diet is relatively high fiber, which gave me crazy reflux in the past, and I do eat some fats like butter and olive oil no problem. It was the sugar all along. I've also eat very little dairy, and no fried anything. I've been doing this for a month now, and I went from thirty mg omeprazole once day down to fifteen once a day without having to take zantac or tums or anything. The other day I had a chocolate ice cream and I instantly got reflux, that went away really fast though. I didn't expect such a drastic difference. Anyone else got this reaction from quitting sugar?</t>
        </is>
      </c>
      <c r="D10290" t="n">
        <v>1</v>
      </c>
      <c r="E10290" t="n">
        <v>40</v>
      </c>
      <c r="F10290">
        <f>HYPERLINK("https://www.reddit.com/r/GERD/comments/idf6wb/almost_quitting_sugar_has_almost_cured_my_gerd/")</f>
        <v/>
      </c>
      <c r="G10290" t="inlineStr">
        <is>
          <t>2020-08-20 10:53:39</t>
        </is>
      </c>
      <c r="H10290" t="inlineStr"/>
    </row>
    <row r="10291">
      <c r="A10291" t="inlineStr">
        <is>
          <t>idhggo</t>
        </is>
      </c>
      <c r="B10291" t="inlineStr">
        <is>
          <t>Your symptoms of GERD</t>
        </is>
      </c>
      <c r="C10291" t="inlineStr">
        <is>
          <t>Hi all. So I have been getting a burning sensation in the chest and stomach after I eat and at night.
Doctor has referred me to have the camera down throat to see what the problem is. I’m thinking I could have GERD. 
What do you all eat?
What triggers food triggers it?
Thanks</t>
        </is>
      </c>
      <c r="D10291" t="n">
        <v>1</v>
      </c>
      <c r="E10291" t="n">
        <v>1</v>
      </c>
      <c r="F10291">
        <f>HYPERLINK("https://www.reddit.com/r/GERD/comments/idhggo/your_symptoms_of_gerd/")</f>
        <v/>
      </c>
      <c r="G10291" t="inlineStr">
        <is>
          <t>2020-08-20 12:50:39</t>
        </is>
      </c>
      <c r="H10291" t="inlineStr"/>
    </row>
    <row r="10292">
      <c r="A10292" t="inlineStr">
        <is>
          <t>idhzvu</t>
        </is>
      </c>
      <c r="B10292" t="inlineStr">
        <is>
          <t>Just had TIF Converted to a Floppy Nissen</t>
        </is>
      </c>
      <c r="C10292" t="inlineStr">
        <is>
          <t>Let me know if you have any questions. 
TIF worked great for 4 months then i lifted something moderately heavy around the house and blew out 29 of the plastic fasteners. Surgeon clipped the last 6 fasteners, re-fixed the hernia and give me a floppy Nissen. Current laid up in the hospital waiting to be discharge. Let me know if you have questions on either procedure.</t>
        </is>
      </c>
      <c r="D10292" t="n">
        <v>1</v>
      </c>
      <c r="E10292" t="n">
        <v>14</v>
      </c>
      <c r="F10292">
        <f>HYPERLINK("https://www.reddit.com/r/GERD/comments/idhzvu/just_had_tif_converted_to_a_floppy_nissen/")</f>
        <v/>
      </c>
      <c r="G10292" t="inlineStr">
        <is>
          <t>2020-08-20 13:18:28</t>
        </is>
      </c>
      <c r="H10292" t="inlineStr"/>
    </row>
    <row r="10293">
      <c r="A10293" t="inlineStr">
        <is>
          <t>idi1gr</t>
        </is>
      </c>
      <c r="B10293" t="inlineStr">
        <is>
          <t>6 weeks in and symptoms are GETTING WORSE</t>
        </is>
      </c>
      <c r="C10293" t="inlineStr">
        <is>
          <t>Hello all. So I've been having stomach/gerd like symptoms for the past 5 weeks. I was having very bad throat pain/soreness, feeling of something in my throat, chest pain, etc.  After suffering for two weeks, I finally decided to go to my local clinic and they prescribed pantoprazole. After starting that, my symtopms started to get better for the following 2 weeks. When my prescription ran out my symptoms didn't totally go away so I was luckily able to get in to see a GI specialist 4 days later. The GI specialist prescribed me omeprazole. After taking this for about a week a half, my symptoms have seemingly gotten worse. Now I can only eat a very small amount of food (for example one small cut of chicken with nothing else, one 6 piece sushi roll, a handful of almonds) about every 4 hours, otherwise i'll get immediate acid reflux after eating. When I eat these small amounts I feel full immediately but then I'll feel hungry and full at the same time within 15-20 minutes afterwards. I have heartburn or acid reflux about 2-3 times a day, and if I eat too much I'll get a burning feeling in my throat and stomach as well as stomach cramps. Pepto-bismol no longer helps, only thing that offers even slight relief is extra strength Rolaids, which I take 1-3 times a day to help. I've been making large dietary changes, but it seems unless I'm eating under 1000 calories a day (which I generally around the threshold that symptoms start), I am getting these symptoms. I'm in a catch 22 with my sleeping, if I eat too much burning stomach keeps me up but if I eat too little hunger pains and stomach growls also lead to me losing sleep. I have an endoscopy 5 days from now, should I tough things out until then and tell them my change in symptoms when I get there? Or should I get in contact with the GI specialist immediately? I feel I wouldn't be able to be seen any earlier any ways. Is this GERD or something else?</t>
        </is>
      </c>
      <c r="D10293" t="n">
        <v>1</v>
      </c>
      <c r="E10293" t="n">
        <v>6</v>
      </c>
      <c r="F10293">
        <f>HYPERLINK("https://www.reddit.com/r/GERD/comments/idi1gr/6_weeks_in_and_symptoms_are_getting_worse/")</f>
        <v/>
      </c>
      <c r="G10293" t="inlineStr">
        <is>
          <t>2020-08-20 13:20:38</t>
        </is>
      </c>
      <c r="H10293" t="inlineStr"/>
    </row>
    <row r="10294">
      <c r="A10294" t="inlineStr">
        <is>
          <t>idiljz</t>
        </is>
      </c>
      <c r="B10294" t="inlineStr">
        <is>
          <t>Anyone diagnosed with Non-acid reflux?</t>
        </is>
      </c>
      <c r="C10294" t="inlineStr">
        <is>
          <t>I was diagnosed with Lpr IN June and had an endoscopy and Bravo a few days ago.  Still waiting on biopsies from the endoscopy but doctor called today and said the bravo study showed I have non-acid reflux. 
I go in for a follow-up in a month but was curious if anyone has dealt with this.  I guess I can start eating what I want again?  He prescribed baclofen to try and said I can stop PPIs.  Gaviscon advance will still help reduce the reflux even if it is non acid so I will keep using that as needed.  Any other suggestions?  
I've read that non-acid could be bile-based or just from pepsin which might explain the Lpr.</t>
        </is>
      </c>
      <c r="D10294" t="n">
        <v>1</v>
      </c>
      <c r="E10294" t="n">
        <v>12</v>
      </c>
      <c r="F10294">
        <f>HYPERLINK("https://www.reddit.com/r/GERD/comments/idiljz/anyone_diagnosed_with_nonacid_reflux/")</f>
        <v/>
      </c>
      <c r="G10294" t="inlineStr">
        <is>
          <t>2020-08-20 13:49:45</t>
        </is>
      </c>
      <c r="H10294" t="inlineStr"/>
    </row>
    <row r="10295">
      <c r="A10295" t="inlineStr">
        <is>
          <t>idiuji</t>
        </is>
      </c>
      <c r="B10295" t="inlineStr">
        <is>
          <t>Hoarse Voice?</t>
        </is>
      </c>
      <c r="C10295" t="inlineStr">
        <is>
          <t>Hi all, 
Was recently diagnosed with mild gastritis and acid reflux. I started taking 40 mg of Prilosec last Friday, but this week my voice has become especially hoarse over the course of the week. I understand that can be from acid reflux, but I was under the impression Prilosec would help that, not make my voice hoarse. Anybody have any experience with this? Thank you!</t>
        </is>
      </c>
      <c r="D10295" t="n">
        <v>1</v>
      </c>
      <c r="E10295" t="n">
        <v>2</v>
      </c>
      <c r="F10295">
        <f>HYPERLINK("https://www.reddit.com/r/GERD/comments/idiuji/hoarse_voice/")</f>
        <v/>
      </c>
      <c r="G10295" t="inlineStr">
        <is>
          <t>2020-08-20 14:02:44</t>
        </is>
      </c>
      <c r="H10295" t="inlineStr"/>
    </row>
    <row r="10296">
      <c r="A10296" t="inlineStr">
        <is>
          <t>idj2na</t>
        </is>
      </c>
      <c r="B10296" t="inlineStr">
        <is>
          <t>Is it reflux ?</t>
        </is>
      </c>
      <c r="C10296" t="inlineStr">
        <is>
          <t>Hello guys month ago i went to my ORL doctor wit throat pain and that i burped and i had a bitter taste in my mouth. He didnt test my saliva but he thought its reflux so he prescribed me ortanol (contain Omeprazole) i took it for 4 days and i think i felt better the pain dissapeared after drinking ginger and taking it. Then i stopped for few days cuz the side effects ive read scarred me and then i got throat pain agqin few days later but only on one side of the throat and when i swallow it was like pain connected to ear . But not everytime when i swallow. Idk my throat sometime hurt on one side sometime on other side sometimes doesnt hurt. But i get ear pain sometime and i was tested for ears and they all good. I dont have heartburn, dont have chest pain, never had these symptoms only throat pain sometime connected to ears and i feel like i swallow mucus all day . Do you think i should keep taking Omeprazole? Or should i ask doctor for really testing my saliva on pH ?</t>
        </is>
      </c>
      <c r="D10296" t="n">
        <v>1</v>
      </c>
      <c r="E10296" t="n">
        <v>0</v>
      </c>
      <c r="F10296">
        <f>HYPERLINK("https://www.reddit.com/r/GERD/comments/idj2na/is_it_reflux/")</f>
        <v/>
      </c>
      <c r="G10296" t="inlineStr">
        <is>
          <t>2020-08-20 14:14:49</t>
        </is>
      </c>
      <c r="H10296" t="inlineStr"/>
    </row>
    <row r="10297">
      <c r="A10297" t="inlineStr">
        <is>
          <t>idj6w9</t>
        </is>
      </c>
      <c r="B10297" t="inlineStr">
        <is>
          <t>Doc says my LES doesn't close at all</t>
        </is>
      </c>
      <c r="C10297" t="inlineStr">
        <is>
          <t>I had a gastroscopy today and the doc said that my sphincter didn't close or contract at all when he looked. I've had GERD symptoms for my whole life, getting particularly bad since last december. I've been on daily PPIs since March. I'm on 3 a day and it doesn't fully get rid of it. doc says it makes sense because of what he saw, and it makes sense to me, the PPIs work but wont ever fully work if the sphincter's always open.
has anyone here had a similar problem (where the LES doesn't close) and had surgery? i don't have a hiatal hernia. 
im worried about having surgery, feeling kind of hopeless since it seems the case is pretty bad. if anyone has had a fully open LES and had good outcomes with surgery please let me know.
i've adhered to all recommendations for what foods not to eat and haven't for a while now. my diet is so boring, but i still get it (just not as intense as with the really bad foods), and not all the time.
ive been recommended for surgery. 
what i read online about the surgery is all mixed, so looking to hear from personal experience, any advice, things you wish you wouldve asked your doc or surgeon,. also did it come back after?
i feel like with such a flimsy LES, im doomed to have heartburn...</t>
        </is>
      </c>
      <c r="D10297" t="n">
        <v>1</v>
      </c>
      <c r="E10297" t="n">
        <v>7</v>
      </c>
      <c r="F10297">
        <f>HYPERLINK("https://www.reddit.com/r/GERD/comments/idj6w9/doc_says_my_les_doesnt_close_at_all/")</f>
        <v/>
      </c>
      <c r="G10297" t="inlineStr">
        <is>
          <t>2020-08-20 14:21:21</t>
        </is>
      </c>
      <c r="H10297" t="inlineStr"/>
    </row>
    <row r="10298">
      <c r="A10298" t="inlineStr">
        <is>
          <t>idjxh9</t>
        </is>
      </c>
      <c r="B10298" t="inlineStr">
        <is>
          <t>Joint Pain and Acid Reflux Medication</t>
        </is>
      </c>
      <c r="C10298" t="inlineStr">
        <is>
          <t>Hi all, 
I am basically at my wits end. With no apparent trigger other than increased stress, I started getting really bad acid reflux in April and it has proven exceptionally difficult to treat. After doing some research, I think I may have had silent reflux for quite some time before this, but my symptoms only became really noticeable around April. Since then, I have experienced near constant reflux and gerd symptoms. I went to a doctor and was prescribed omeprazole, which initially helped, but within about two days I started experiencing horrible joint pain, headaches, general fogginess ... fastforward 4 months and I have now three different PPIs, all with the same effect. I can tolerate 1 10mg Pepcid a day, but if I take any more than that -- same deal, horrible joint pain (like worse than a day after my first even session with a personal trainer at a gym. Every joint in my body hurts including my toes and elbows).  
I have completely cut caffeine and alcohol. I have lost nearly 30lbs since April. And yet, I can't get relief. Have any of you had similar experiences with being intolerant to acid reflux drugs, and if so, what did you do to get rid of your symptoms?</t>
        </is>
      </c>
      <c r="D10298" t="n">
        <v>1</v>
      </c>
      <c r="E10298" t="n">
        <v>2</v>
      </c>
      <c r="F10298">
        <f>HYPERLINK("https://www.reddit.com/r/GERD/comments/idjxh9/joint_pain_and_acid_reflux_medication/")</f>
        <v/>
      </c>
      <c r="G10298" t="inlineStr">
        <is>
          <t>2020-08-20 15:02:11</t>
        </is>
      </c>
      <c r="H10298" t="inlineStr"/>
    </row>
    <row r="10299">
      <c r="A10299" t="inlineStr">
        <is>
          <t>idjyr2</t>
        </is>
      </c>
      <c r="B10299" t="inlineStr">
        <is>
          <t>Is it normal to feel pressure/bloating hours after endoscopy?</t>
        </is>
      </c>
      <c r="C10299" t="inlineStr">
        <is>
          <t>I had my endoscopy about 7 hours ago. Experiencing what feels like trapped gas in my stomach area? Is this normal?</t>
        </is>
      </c>
      <c r="D10299" t="n">
        <v>1</v>
      </c>
      <c r="E10299" t="n">
        <v>1</v>
      </c>
      <c r="F10299">
        <f>HYPERLINK("https://www.reddit.com/r/GERD/comments/idjyr2/is_it_normal_to_feel_pressurebloating_hours_after/")</f>
        <v/>
      </c>
      <c r="G10299" t="inlineStr">
        <is>
          <t>2020-08-20 15:04:11</t>
        </is>
      </c>
      <c r="H10299" t="inlineStr"/>
    </row>
    <row r="10300">
      <c r="A10300" t="inlineStr">
        <is>
          <t>idk5br</t>
        </is>
      </c>
      <c r="B10300" t="inlineStr">
        <is>
          <t>Nausea and Nissan Fundoplication</t>
        </is>
      </c>
      <c r="C10300" t="inlineStr">
        <is>
          <t>For those that chose to go with the Nissan fundoplication route, can you offer any advice on how to deal with life post-procedure?
&amp;amp;#x200B;
My spouse had a Nissan fundoplication in December with amazing results in reduction of GERD symptoms but they were replaced with nausea that comes and goes usually in the morning . Its bad enough she can't keep a fixed schedule IE a job for she cant predict what her belly will be like every morning.</t>
        </is>
      </c>
      <c r="D10300" t="n">
        <v>1</v>
      </c>
      <c r="E10300" t="n">
        <v>4</v>
      </c>
      <c r="F10300">
        <f>HYPERLINK("https://www.reddit.com/r/GERD/comments/idk5br/nausea_and_nissan_fundoplication/")</f>
        <v/>
      </c>
      <c r="G10300" t="inlineStr">
        <is>
          <t>2020-08-20 15:14:09</t>
        </is>
      </c>
      <c r="H10300" t="inlineStr"/>
    </row>
    <row r="10301">
      <c r="A10301" t="inlineStr">
        <is>
          <t>idkiu5</t>
        </is>
      </c>
      <c r="B10301" t="inlineStr">
        <is>
          <t>Coffee substitute?</t>
        </is>
      </c>
      <c r="C10301" t="inlineStr">
        <is>
          <t>Hi,
I was recently diagnosed with GERD and have been struggling with my coffee consumption. I’m used to drinking 1-3 cups cold a day and now going to none. I’ve tried black tea with almond milk but it also causes severe flare ups, does anybody have any suggestions? Are lattes okay or do they also trigger more flare ups? I haven’t been willing to take the risk to find out myself yet.</t>
        </is>
      </c>
      <c r="D10301" t="n">
        <v>1</v>
      </c>
      <c r="E10301" t="n">
        <v>17</v>
      </c>
      <c r="F10301">
        <f>HYPERLINK("https://www.reddit.com/r/GERD/comments/idkiu5/coffee_substitute/")</f>
        <v/>
      </c>
      <c r="G10301" t="inlineStr">
        <is>
          <t>2020-08-20 15:34:52</t>
        </is>
      </c>
      <c r="H10301" t="inlineStr"/>
    </row>
    <row r="10302">
      <c r="A10302" t="inlineStr">
        <is>
          <t>idlcbp</t>
        </is>
      </c>
      <c r="B10302" t="inlineStr">
        <is>
          <t>Non dairy ice cream relief for heart burn</t>
        </is>
      </c>
      <c r="C10302" t="inlineStr">
        <is>
          <t>I had an absolutely terrible flare up and for some reason felt the urgent need to calm my flaming hot heart burn with a scoop of vanilla oat milk ice cream and actually did calm it down for a moment but god I feel like I’m chasing that “cool melting” feeling with anything cold I want to eat. 
Anybody else feel that plain non dairy ice cream helps subside their symptoms? Do you suggest oat almond or coconut milk ? Or soy?</t>
        </is>
      </c>
      <c r="D10302" t="n">
        <v>1</v>
      </c>
      <c r="E10302" t="n">
        <v>0</v>
      </c>
      <c r="F10302">
        <f>HYPERLINK("https://www.reddit.com/r/GERD/comments/idlcbp/non_dairy_ice_cream_relief_for_heart_burn/")</f>
        <v/>
      </c>
      <c r="G10302" t="inlineStr">
        <is>
          <t>2020-08-20 16:21:53</t>
        </is>
      </c>
      <c r="H10302" t="inlineStr"/>
    </row>
    <row r="10303">
      <c r="A10303" t="inlineStr">
        <is>
          <t>idme0o</t>
        </is>
      </c>
      <c r="B10303" t="inlineStr">
        <is>
          <t>Has anyone been prescribed Amitriptyline for functional GERD?</t>
        </is>
      </c>
      <c r="C10303" t="inlineStr">
        <is>
          <t>I’m 5 days in and all it’s done is make me constipated. I’m wondering if I should continue treatment.</t>
        </is>
      </c>
      <c r="D10303" t="n">
        <v>1</v>
      </c>
      <c r="E10303" t="n">
        <v>1</v>
      </c>
      <c r="F10303">
        <f>HYPERLINK("https://www.reddit.com/r/GERD/comments/idme0o/has_anyone_been_prescribed_amitriptyline_for/")</f>
        <v/>
      </c>
      <c r="G10303" t="inlineStr">
        <is>
          <t>2020-08-20 17:26:11</t>
        </is>
      </c>
      <c r="H10303" t="inlineStr"/>
    </row>
    <row r="10304">
      <c r="A10304" t="inlineStr">
        <is>
          <t>idmkd3</t>
        </is>
      </c>
      <c r="B10304" t="inlineStr">
        <is>
          <t>Is my gerd caused by depression?</t>
        </is>
      </c>
      <c r="C10304" t="inlineStr">
        <is>
          <t>I can't figure it out I tried everything.  Vegan diet, carnivore diet, ketogenic, nothing helps. 
Taking lansoprazole atm. MRI showed no hiatal.
I got so many problems and no idea what to do. Is depression caused by stomach problems or stomach problems caused by depression? Also anxiety,  insomnia and fatigue.
I get worse and worse each day and nothing I try matters.</t>
        </is>
      </c>
      <c r="D10304" t="n">
        <v>1</v>
      </c>
      <c r="E10304" t="n">
        <v>8</v>
      </c>
      <c r="F10304">
        <f>HYPERLINK("https://www.reddit.com/r/GERD/comments/idmkd3/is_my_gerd_caused_by_depression/")</f>
        <v/>
      </c>
      <c r="G10304" t="inlineStr">
        <is>
          <t>2020-08-20 17:37:23</t>
        </is>
      </c>
      <c r="H10304" t="inlineStr"/>
    </row>
    <row r="10305">
      <c r="A10305" t="inlineStr">
        <is>
          <t>idmzep</t>
        </is>
      </c>
      <c r="B10305" t="inlineStr">
        <is>
          <t>GERD &amp;amp; Binge Eating?</t>
        </is>
      </c>
      <c r="C10305" t="inlineStr">
        <is>
          <t>I’ve been a binge eater all my life, but it has progressively gotten worse these past 4 years. My GERD appeared suddenly this May with the only real symptom being this sudden inability to breathe properly.  
Through recent researching I discovered one article claiming that binge eating can be one of the causes of GERD as it expands the LES so it doesn’t close properly on its own anymore. 
Anyone struggle with both GERD and Binge Eating? Is it a possibility that binge eating is what led to me developing GERD? Also, is it possible to correct and have my LES work properly once more if I were to fix my eating habits and eat small non acidic meals?
Thanks guys for the help as usual :)</t>
        </is>
      </c>
      <c r="D10305" t="n">
        <v>1</v>
      </c>
      <c r="E10305" t="n">
        <v>4</v>
      </c>
      <c r="F10305">
        <f>HYPERLINK("https://www.reddit.com/r/GERD/comments/idmzep/gerd_binge_eating/")</f>
        <v/>
      </c>
      <c r="G10305" t="inlineStr">
        <is>
          <t>2020-08-20 18:03:56</t>
        </is>
      </c>
      <c r="H10305" t="inlineStr"/>
    </row>
    <row r="10306">
      <c r="A10306" t="inlineStr">
        <is>
          <t>idn2l5</t>
        </is>
      </c>
      <c r="B10306" t="inlineStr">
        <is>
          <t>Can antibiotics cause acid reflux?</t>
        </is>
      </c>
      <c r="C10306" t="inlineStr">
        <is>
          <t>I've always had digestive issues but I'm not diagnosed with GERD. I'm currently on a round of antibiotics (clarithromycin) and I'm experiencing burning in the stomach, nausea, acid taste in the back of my throat, and a weird feeling in my chest like my lungs are irritated especially when I breathe out (this comes and goes, I cough on purpose to try and clear it but it doesn't). Tums don't really help, mint tea helps a little.
Did anyone else notice these symptoms while on antibiotics? I have pretty bad health anxiety so the weird lung feeling freaks me out because of you-know-what.</t>
        </is>
      </c>
      <c r="D10306" t="n">
        <v>1</v>
      </c>
      <c r="E10306" t="n">
        <v>3</v>
      </c>
      <c r="F10306">
        <f>HYPERLINK("https://www.reddit.com/r/GERD/comments/idn2l5/can_antibiotics_cause_acid_reflux/")</f>
        <v/>
      </c>
      <c r="G10306" t="inlineStr">
        <is>
          <t>2020-08-20 18:09:31</t>
        </is>
      </c>
      <c r="H10306" t="inlineStr"/>
    </row>
    <row r="10307">
      <c r="A10307" t="inlineStr">
        <is>
          <t>idnvr4</t>
        </is>
      </c>
      <c r="B10307" t="inlineStr">
        <is>
          <t>Wanna eat eggs</t>
        </is>
      </c>
      <c r="C10307" t="inlineStr">
        <is>
          <t>I realized I shouldn’t eat boiled eggs after I stopped eating it for a week when I got back to it my reflux acted up EVERY DAMN MORNING.
So I wanna no if I fry it (without oil of course didn’t no you could pan cook eggs without oil till just the other day in fact) if I’d be able to eat it? Last time I tried fried eggs (with oil) I got nauseous opposed to the reflux I felt with the boiled eggs</t>
        </is>
      </c>
      <c r="D10307" t="n">
        <v>1</v>
      </c>
      <c r="E10307" t="n">
        <v>4</v>
      </c>
      <c r="F10307">
        <f>HYPERLINK("https://www.reddit.com/r/GERD/comments/idnvr4/wanna_eat_eggs/")</f>
        <v/>
      </c>
      <c r="G10307" t="inlineStr">
        <is>
          <t>2020-08-20 19:01:06</t>
        </is>
      </c>
      <c r="H10307" t="inlineStr"/>
    </row>
    <row r="10308">
      <c r="A10308" t="inlineStr">
        <is>
          <t>ido7pw</t>
        </is>
      </c>
      <c r="B10308" t="inlineStr">
        <is>
          <t>Has anybody maintained their GERD Naturally? What is your diet like day to day?</t>
        </is>
      </c>
      <c r="C10308" t="inlineStr">
        <is>
          <t>Looking for food suggestions. I’ve had some luck the last few days with 
Breakfast- RX oatmeal
Lunch- avocado toast on cauliflower bread
Snack- almond butter, protein, almond milk, mct oil smoothie
Dinner- 1/2 baked sweet potato. 
I’ve had this diet for 3 days now. Did I mention in 7.5 months pregnant? 
Please post your diet and help me learn wht foods I can eat!</t>
        </is>
      </c>
      <c r="D10308" t="n">
        <v>1</v>
      </c>
      <c r="E10308" t="n">
        <v>4</v>
      </c>
      <c r="F10308">
        <f>HYPERLINK("https://www.reddit.com/r/GERD/comments/ido7pw/has_anybody_maintained_their_gerd_naturally_what/")</f>
        <v/>
      </c>
      <c r="G10308" t="inlineStr">
        <is>
          <t>2020-08-20 19:22:08</t>
        </is>
      </c>
      <c r="H10308" t="inlineStr"/>
    </row>
    <row r="10309">
      <c r="A10309" t="inlineStr">
        <is>
          <t>idpaw6</t>
        </is>
      </c>
      <c r="B10309" t="inlineStr">
        <is>
          <t>Tapering off PPI - any advice?</t>
        </is>
      </c>
      <c r="C10309" t="inlineStr">
        <is>
          <t>Hi all! I (26F) was put on 40mg omeprazole by a GI for reflux (mostly burping, feeling of fullness, nausea) about one year ago and I’ve been faithfully taking it every night since. I’m a non-smoker, hardly drink, normal to slightly underweight, but massively stressed due to grad school. However, for a few reasons, I’ve decided to try to come off of it. After perusing this sub, I decided to try to taper off using an H2 blocker (20mg famotidine). My plan is to swap my nighttime omeprazole for 20mg famotidine every other night for awhile. Since H2s are active for 12 hours, perhaps I should also take a morning dose of the famotidine on the mornings after I skip my PPI? What do you guys think? Any other suggestions? Thanks!</t>
        </is>
      </c>
      <c r="D10309" t="n">
        <v>1</v>
      </c>
      <c r="E10309" t="n">
        <v>12</v>
      </c>
      <c r="F10309">
        <f>HYPERLINK("https://www.reddit.com/r/GERD/comments/idpaw6/tapering_off_ppi_any_advice/")</f>
        <v/>
      </c>
      <c r="G10309" t="inlineStr">
        <is>
          <t>2020-08-20 20:34:33</t>
        </is>
      </c>
      <c r="H10309" t="inlineStr"/>
    </row>
    <row r="10310">
      <c r="A10310" t="inlineStr">
        <is>
          <t>idqmoi</t>
        </is>
      </c>
      <c r="B10310" t="inlineStr">
        <is>
          <t>Orange Burps, they helped me!!</t>
        </is>
      </c>
      <c r="C10310" t="inlineStr">
        <is>
          <t>just thought id tell the group about something i found that helped me a lot.  I saw an ad for "orange burps" last week, the comments seemed promising. They just arrived a couple days ago. They work! i stopped taking acid reducers and it seems like these actually work better and are supposed to be all natural. They do make you burp what seems like Orange Clean but ill take that any day over chest pain and shortness of breath.  Also I have only taken them with food and not at night because i read a comment saying that can not be good if you take them at night. Hope this helps someone!</t>
        </is>
      </c>
      <c r="D10310" t="n">
        <v>1</v>
      </c>
      <c r="E10310" t="n">
        <v>5</v>
      </c>
      <c r="F10310">
        <f>HYPERLINK("https://www.reddit.com/r/GERD/comments/idqmoi/orange_burps_they_helped_me/")</f>
        <v/>
      </c>
      <c r="G10310" t="inlineStr">
        <is>
          <t>2020-08-20 22:10:25</t>
        </is>
      </c>
      <c r="H10310" t="inlineStr"/>
    </row>
    <row r="10311">
      <c r="A10311" t="inlineStr">
        <is>
          <t>idqp08</t>
        </is>
      </c>
      <c r="B10311" t="inlineStr">
        <is>
          <t>New to GERD does this sound normal</t>
        </is>
      </c>
      <c r="C10311" t="inlineStr">
        <is>
          <t>I started having symptoms back in March/April that started at shortness of breath that was felt more in my chest. Now I've been told I have GERD and have been taking Prilosec/Pantrozole for 3 months and my symptoms now have moved from my chest to feeling like I have something in the bottom of my throat. I clear my throat 50 times a day and it gets much worse with exercise for the next day or two. I also get random headaches. I didn't think GERDs was the right diagnosis because I've never had heartburn but I do burp acid multiple times a day. I guess I'm just looking for is this normal and what should I do to fix this.</t>
        </is>
      </c>
      <c r="D10311" t="n">
        <v>1</v>
      </c>
      <c r="E10311" t="n">
        <v>13</v>
      </c>
      <c r="F10311">
        <f>HYPERLINK("https://www.reddit.com/r/GERD/comments/idqp08/new_to_gerd_does_this_sound_normal/")</f>
        <v/>
      </c>
      <c r="G10311" t="inlineStr">
        <is>
          <t>2020-08-20 22:15:28</t>
        </is>
      </c>
      <c r="H10311" t="inlineStr"/>
    </row>
    <row r="10312">
      <c r="A10312" t="inlineStr">
        <is>
          <t>idratj</t>
        </is>
      </c>
      <c r="B10312" t="inlineStr">
        <is>
          <t>long term sage medication?</t>
        </is>
      </c>
      <c r="C10312" t="inlineStr">
        <is>
          <t>Are there any OTC meds or prescription even, that can relatively be taken long term? I don't expect something that is actually 100% since it's a drug. I mean, even natural things can be harmful too of course. It's hard to find much information on drugs and their long term safety. I realize you do also have to weigh pros and cons. I don't want fucking cancer from untreated heartburn. 
I've heard that taking plain old antacid like Tums isn't good for you long term. Not to mention they don't help me a whole lot, and I hate chew-ables. I went out and bought some Omeprazole since reading on reddit and some other sources that it seems to be the most popular OTC heartburn med.  Only problem there is that it says to only take it for 14. The two others that also have a 14 day warning are Nexium, and Lansoprazel. Then we have Pepcid that is an H2 blocker. Not sure if any of previously mentioned are H2 blockers, and I don't completely understand what that actually means. Pepcid however doesn't have a warning on how long you can use it. But that doesn't necessarily mean you can take it for a long time. Like I said Tums apparently shouldn't be used too much, and I don't see a warning on how long you can take them.
Now with prescription drugs. I realize these will be more intense and possibly even have some crappy side effects, but I wonder if these drugs are also just for symptom relief, and also can't be taken long term?
Basically I'm wondering if there's either a medication that can actually cure heartburn, or at least a med that you can take for a prolonged period that won't negatively affect your health too much. I mean, the risk for cancer seems to be super high, and heartburn is already having negative affect on my health. I just don't know what is the bigger risk.  
The there is surgery. Sounds effective, that being said I've read articles that tend to use the words "can be effective" or "can be very effective". the word "can" bothers me. Does that mean we don't necessarily have a cure out there? So basically some things work for some, others work for some, and nothing works for some? Almost makes suicide sound like a not so bad side effect alternative.</t>
        </is>
      </c>
      <c r="D10312" t="n">
        <v>1</v>
      </c>
      <c r="E10312" t="n">
        <v>1</v>
      </c>
      <c r="F10312">
        <f>HYPERLINK("https://www.reddit.com/r/GERD/comments/idratj/long_term_sage_medication/")</f>
        <v/>
      </c>
      <c r="G10312" t="inlineStr">
        <is>
          <t>2020-08-20 23:03:35</t>
        </is>
      </c>
      <c r="H10312" t="inlineStr"/>
    </row>
    <row r="10313">
      <c r="A10313" t="inlineStr">
        <is>
          <t>idrsd2</t>
        </is>
      </c>
      <c r="B10313" t="inlineStr">
        <is>
          <t>Sedentary Lifestyle led to LPR / reflux ?</t>
        </is>
      </c>
      <c r="C10313" t="inlineStr">
        <is>
          <t>During March - May I was really inactive and didn’t get any symptoms besides normal indigestion til Mid-early May , which was globus , and to now where I get acid coming up my throat , could being active again possibly help ? Currently have Gaviscon , and Pepcid as well for relief</t>
        </is>
      </c>
      <c r="D10313" t="n">
        <v>1</v>
      </c>
      <c r="E10313" t="n">
        <v>0</v>
      </c>
      <c r="F10313">
        <f>HYPERLINK("https://www.reddit.com/r/GERD/comments/idrsd2/sedentary_lifestyle_led_to_lpr_reflux/")</f>
        <v/>
      </c>
      <c r="G10313" t="inlineStr">
        <is>
          <t>2020-08-20 23:42:44</t>
        </is>
      </c>
      <c r="H10313" t="inlineStr"/>
    </row>
    <row r="10314">
      <c r="A10314" t="inlineStr">
        <is>
          <t>idspc0</t>
        </is>
      </c>
      <c r="B10314" t="inlineStr">
        <is>
          <t>GERD at night</t>
        </is>
      </c>
      <c r="C10314" t="inlineStr">
        <is>
          <t>Hello everyone, 
First thanks for setting up a support network. I appreciate your time and effort. Curious if anyone has bad acid reflux (GERD) at night? I have had bouts of acid reflux before, but in the last month it has been really bad. I had to go to the doctors and have scope (turns out I have swollen vocal chords) from clearing my throat (found out this is a no-no) and coughing at night. 
I have a humidifier, prop my head 3 inches, and have recently cut out caffeine (RIP Coffee), but still no real effects yet. I am on medication for my acid reflux, and I take lexapro as well (could be a side effect of lexapro). 
Does anyone have any suggestions? What works for you? What has not worked for you? 
I'll be honest, this GERD sucks and I've been struggling with the effects it has on my day to day life. I'm a positive person, so that helps. 
Thanks ya'll 
Scott W.</t>
        </is>
      </c>
      <c r="D10314" t="n">
        <v>1</v>
      </c>
      <c r="E10314" t="n">
        <v>9</v>
      </c>
      <c r="F10314">
        <f>HYPERLINK("https://www.reddit.com/r/GERD/comments/idspc0/gerd_at_night/")</f>
        <v/>
      </c>
      <c r="G10314" t="inlineStr">
        <is>
          <t>2020-08-21 01:04:37</t>
        </is>
      </c>
      <c r="H10314" t="inlineStr"/>
    </row>
    <row r="10315">
      <c r="A10315" t="inlineStr">
        <is>
          <t>idssf3</t>
        </is>
      </c>
      <c r="B10315" t="inlineStr">
        <is>
          <t>Drug Dependency</t>
        </is>
      </c>
      <c r="C10315" t="inlineStr">
        <is>
          <t>Hi fellow redditors, I’m a 36 year old male diagnosed with a mild hiatal hernia who is now dependent on a daily 40mg dose of omeprazole.  Without it it’s like the fire of 1000 suns is ripping through my chest and throat.
Not a fan of having to depend on a daily medicine at this point in my life and I’m concerned about the potential side effects this will cause long term.  I recently have seen what’s come out about Zantac and all I can think about is how eventually something devastating will come out about extended usage of omeprazole causing dire health issues like cancer etc.. down the road.
Anyways, wanted to get others thoughts on this if you’re in the same boat or similar and hear how you’re coping.
Also, what if the apocalypse happens... now I have to fight zombies and struggle for food and deal with the fire of 1000 suns in my throat because I’m out of medicine... smh</t>
        </is>
      </c>
      <c r="D10315" t="n">
        <v>1</v>
      </c>
      <c r="E10315" t="n">
        <v>17</v>
      </c>
      <c r="F10315">
        <f>HYPERLINK("https://www.reddit.com/r/GERD/comments/idssf3/drug_dependency/")</f>
        <v/>
      </c>
      <c r="G10315" t="inlineStr">
        <is>
          <t>2020-08-21 01:12:52</t>
        </is>
      </c>
      <c r="H10315" t="inlineStr"/>
    </row>
    <row r="10316">
      <c r="A10316" t="inlineStr">
        <is>
          <t>idt1zd</t>
        </is>
      </c>
      <c r="B10316" t="inlineStr">
        <is>
          <t>Gerd fatigue</t>
        </is>
      </c>
      <c r="C10316" t="inlineStr">
        <is>
          <t>Does gerd makes you feel so sleepy and tired?</t>
        </is>
      </c>
      <c r="D10316" t="n">
        <v>1</v>
      </c>
      <c r="E10316" t="n">
        <v>2</v>
      </c>
      <c r="F10316">
        <f>HYPERLINK("https://www.reddit.com/r/GERD/comments/idt1zd/gerd_fatigue/")</f>
        <v/>
      </c>
      <c r="G10316" t="inlineStr">
        <is>
          <t>2020-08-21 01:37:13</t>
        </is>
      </c>
      <c r="H10316" t="inlineStr"/>
    </row>
    <row r="10317">
      <c r="A10317" t="inlineStr">
        <is>
          <t>idtaar</t>
        </is>
      </c>
      <c r="B10317" t="inlineStr">
        <is>
          <t>How long did PPI take before working for you? (if at all)</t>
        </is>
      </c>
      <c r="C10317" t="inlineStr">
        <is>
          <t>I have been recently diagnosed with GERD due to frequent burping, almost always the feeling of tightness in throat/something stuck, trouble swallowing but no heartburn. I have been on 80mg of pantoprazole for 4 days now and am wondering for you guys personally when the PPI started working? This is a really scary time in my life being only 22 thinking this could be a life long ordeal now. I never even knew this problem existed till about 3 weeks ago. I guess it's comforting knowing there are others out there going through the same things. I really just want my throat to feel better the sensation of tightness/hard to swallow is frustrating and worrying and it doesn't help it's all I think about. Any responses/advice are much appreciated thanks! :)</t>
        </is>
      </c>
      <c r="D10317" t="n">
        <v>1</v>
      </c>
      <c r="E10317" t="n">
        <v>13</v>
      </c>
      <c r="F10317">
        <f>HYPERLINK("https://www.reddit.com/r/GERD/comments/idtaar/how_long_did_ppi_take_before_working_for_you_if/")</f>
        <v/>
      </c>
      <c r="G10317" t="inlineStr">
        <is>
          <t>2020-08-21 02:00:18</t>
        </is>
      </c>
      <c r="H10317" t="inlineStr"/>
    </row>
    <row r="10318">
      <c r="A10318" t="inlineStr">
        <is>
          <t>idtjss</t>
        </is>
      </c>
      <c r="B10318" t="inlineStr">
        <is>
          <t>GERD affecting me in a big way (bad grammar sorry)</t>
        </is>
      </c>
      <c r="C10318" t="inlineStr">
        <is>
          <t xml:space="preserve"> 
Hi my name is Andrew and I'm 21. It's been around 5 years having GERD and it's affected my day to day in a big way. The big things that are affecting me the most are nausea, shortness of breath, and my burning chest. More specifically the nausea I feel like at any point throughout the day no matter what I might be doing the feeling of nausea always seems to creep up on me. It also doesn't help that I have pretty bad anxiety issues. The shortness of breath always frightens me because sometimes my mind wants to connect it to other things when it's actually just the acid in my throat. I've never really tried to do anything about it which i admit is very much on me just thinking it will get better and i know thats dumb. I take tums and while it does work sometimes there are other times where it doesn't. I went to the doctor around 2016 and they gave me zantac. They offered to do that thing where they put a camera through you and it really freaked me out so i didn't do it. I took the zantac for a month which helped but after that never really went back to the doctor. So i have continued to just suffer through this but know i think its gone too far. Looking back, GERD has always affected me in a big way. Honestly though some days it really is just awful for me because i feel as though my anxiety and GERD go hand in hand i think one usually causes the other to flare up. At school I feel as though it was always a distraction. The nausea and shortness of breath would just occur out of nowhere and that's when the anxiety kicked in. I was always fearful of having the nausea hit me like a truck and I also kind of fear throwing up in public. Also in terms of my relationships I feel as though GERD has affected me in a big way. In a lot of instances where i would want to go out with friends or a significant other GERD has definitely got in the way. I always have to come up with some random excuse because I'm embarrassed to say that I couldn't attend something because of GERD. I've definitely had a hard time trying to deal with this and to be honest I'm kinda over it. In the past I remember telling myself this is the year that I will try to get better and usually it never happened. But now I'm willing to change if it means that i can start feeling better. I know it isn't easy but i want to get better.
So does anyone think I should go back to the doctor? I feel like the last time I went it wasn't very helpful. They really only told me that I had GERD and gave me medication for it. I Am not very healthy in terms of diet so I'm definitely going to look to change my diet, maybe food journal. Also want to start exercising which I think might help. Anything else you guys think I can do please let me know if. I really want to do something about it NOW before it can get any worse. I know change doesn't happen in a day and that it will take time. I really just wanted to share my experience with GERD.</t>
        </is>
      </c>
      <c r="D10318" t="n">
        <v>1</v>
      </c>
      <c r="E10318" t="n">
        <v>1</v>
      </c>
      <c r="F10318">
        <f>HYPERLINK("https://www.reddit.com/r/GERD/comments/idtjss/gerd_affecting_me_in_a_big_way_bad_grammar_sorry/")</f>
        <v/>
      </c>
      <c r="G10318" t="inlineStr">
        <is>
          <t>2020-08-21 02:24:46</t>
        </is>
      </c>
      <c r="H10318" t="inlineStr"/>
    </row>
    <row r="10319">
      <c r="A10319" t="inlineStr">
        <is>
          <t>idtsba</t>
        </is>
      </c>
      <c r="B10319" t="inlineStr">
        <is>
          <t>Blood Pressure Spike during episodes</t>
        </is>
      </c>
      <c r="C10319" t="inlineStr">
        <is>
          <t>Had another episode of reflux and my blood pressure when 150/100 then got back to 120/80 after a short time. Am I the only one who experiences this?</t>
        </is>
      </c>
      <c r="D10319" t="n">
        <v>1</v>
      </c>
      <c r="E10319" t="n">
        <v>0</v>
      </c>
      <c r="F10319">
        <f>HYPERLINK("https://www.reddit.com/r/GERD/comments/idtsba/blood_pressure_spike_during_episodes/")</f>
        <v/>
      </c>
      <c r="G10319" t="inlineStr">
        <is>
          <t>2020-08-21 02:46:22</t>
        </is>
      </c>
      <c r="H10319" t="inlineStr"/>
    </row>
    <row r="10320">
      <c r="A10320" t="inlineStr">
        <is>
          <t>iduqk2</t>
        </is>
      </c>
      <c r="B10320" t="inlineStr">
        <is>
          <t>Mods: A centralized treatments page?</t>
        </is>
      </c>
      <c r="C10320" t="inlineStr">
        <is>
          <t>I've seen many posts of the form 'I tried X and after 10 years something finally gave me relief from GERD'. But it's a bit hard to keep track of all these suggestions. 
I think it would be super helpful to aggregate all of these into one place for easy reference if someone wants to systematically try all of them. 
Perhaps a wiki is in order?</t>
        </is>
      </c>
      <c r="D10320" t="n">
        <v>1</v>
      </c>
      <c r="E10320" t="n">
        <v>0</v>
      </c>
      <c r="F10320">
        <f>HYPERLINK("https://www.reddit.com/r/GERD/comments/iduqk2/mods_a_centralized_treatments_page/")</f>
        <v/>
      </c>
      <c r="G10320" t="inlineStr">
        <is>
          <t>2020-08-21 04:06:58</t>
        </is>
      </c>
      <c r="H10320" t="inlineStr"/>
    </row>
    <row r="10321">
      <c r="A10321" t="inlineStr">
        <is>
          <t>idvrog</t>
        </is>
      </c>
      <c r="B10321" t="inlineStr">
        <is>
          <t>No more sore throat in morning!!</t>
        </is>
      </c>
      <c r="C10321" t="inlineStr">
        <is>
          <t>I posted about a week ago about this &amp;amp; found out its a common gerd problem. A few nights ago I wasn't feeling great so I took quite a few tums (didnt end up brushing my teeth). Woke up in the morning &amp;amp; no sore throat. I thought it was a fluke. So I tried it again. This time I brushed my teeth about a half hour before I went to bed &amp;amp; ate two tums slowly (chewable candy covered kind). Woke up again with no sore throat. I'm not saying it's an exact science. I'm just saying try it. I hope it helps!</t>
        </is>
      </c>
      <c r="D10321" t="n">
        <v>1</v>
      </c>
      <c r="E10321" t="n">
        <v>20</v>
      </c>
      <c r="F10321">
        <f>HYPERLINK("https://www.reddit.com/r/GERD/comments/idvrog/no_more_sore_throat_in_morning/")</f>
        <v/>
      </c>
      <c r="G10321" t="inlineStr">
        <is>
          <t>2020-08-21 05:27:02</t>
        </is>
      </c>
      <c r="H10321" t="inlineStr"/>
    </row>
    <row r="10322">
      <c r="A10322" t="inlineStr">
        <is>
          <t>idwici</t>
        </is>
      </c>
      <c r="B10322" t="inlineStr">
        <is>
          <t>Only drinks affect my reflux?</t>
        </is>
      </c>
      <c r="C10322" t="inlineStr">
        <is>
          <t>Been dealing with reflux the past couple of months and have noticed that mainly beer and soda are what gives me bad reflux but food doesn’t bother me. Anyone else?</t>
        </is>
      </c>
      <c r="D10322" t="n">
        <v>1</v>
      </c>
      <c r="E10322" t="n">
        <v>9</v>
      </c>
      <c r="F10322">
        <f>HYPERLINK("https://www.reddit.com/r/GERD/comments/idwici/only_drinks_affect_my_reflux/")</f>
        <v/>
      </c>
      <c r="G10322" t="inlineStr">
        <is>
          <t>2020-08-21 06:15:41</t>
        </is>
      </c>
      <c r="H10322" t="inlineStr"/>
    </row>
    <row r="10323">
      <c r="A10323" t="inlineStr">
        <is>
          <t>idy9vf</t>
        </is>
      </c>
      <c r="B10323" t="inlineStr">
        <is>
          <t>Magnesium CAUSING heartburn?</t>
        </is>
      </c>
      <c r="C10323" t="inlineStr">
        <is>
          <t>I take 500 mg magnesium on an empty stomach before bed. It seems to actually create some kind of reaction in my stomach where more acid production is triggered. Maybe it’s just the act of taking a pill on an empty stomach. Another time, I tried milk of magnesia and felt like it made things much worse, like it created an open wound in my stomach for several days that felt like it gradually healed. Moreover classic antacids with magnesium tend to have no effect or make things worse. 
I know magnesium can cause cramps and an upset stomach, but I can’t find anything where it might trigger GERD. Has anyone experienced this?</t>
        </is>
      </c>
      <c r="D10323" t="n">
        <v>1</v>
      </c>
      <c r="E10323" t="n">
        <v>3</v>
      </c>
      <c r="F10323">
        <f>HYPERLINK("https://www.reddit.com/r/GERD/comments/idy9vf/magnesium_causing_heartburn/")</f>
        <v/>
      </c>
      <c r="G10323" t="inlineStr">
        <is>
          <t>2020-08-21 07:58:28</t>
        </is>
      </c>
      <c r="H10323" t="inlineStr"/>
    </row>
    <row r="10324">
      <c r="A10324" t="inlineStr">
        <is>
          <t>idz1yr</t>
        </is>
      </c>
      <c r="B10324" t="inlineStr">
        <is>
          <t>Thoughts on Dexilant?</t>
        </is>
      </c>
      <c r="C10324" t="inlineStr">
        <is>
          <t>My GI is switching me from Omeprazol to Dexilant as my nausea and burping/regurgitation has gotten worse over time. My last endoscopy was in December 2019 which showed a small hiatal hernia and GERD. Has anybody used Dexilant? How did it work for you?</t>
        </is>
      </c>
      <c r="D10324" t="n">
        <v>1</v>
      </c>
      <c r="E10324" t="n">
        <v>9</v>
      </c>
      <c r="F10324">
        <f>HYPERLINK("https://www.reddit.com/r/GERD/comments/idz1yr/thoughts_on_dexilant/")</f>
        <v/>
      </c>
      <c r="G10324" t="inlineStr">
        <is>
          <t>2020-08-21 08:40:35</t>
        </is>
      </c>
      <c r="H10324" t="inlineStr"/>
    </row>
    <row r="10325">
      <c r="A10325" t="inlineStr">
        <is>
          <t>idzic4</t>
        </is>
      </c>
      <c r="B10325" t="inlineStr">
        <is>
          <t>Anyone with EOE?</t>
        </is>
      </c>
      <c r="C10325" t="inlineStr">
        <is>
          <t>I don't want to stay on PPI forever so I'm trying to find a solution, and what food I'm allergic to. The delayed reaction sucks tho so I don't really know! Any advice? Success?</t>
        </is>
      </c>
      <c r="D10325" t="n">
        <v>1</v>
      </c>
      <c r="E10325" t="n">
        <v>3</v>
      </c>
      <c r="F10325">
        <f>HYPERLINK("https://www.reddit.com/r/GERD/comments/idzic4/anyone_with_eoe/")</f>
        <v/>
      </c>
      <c r="G10325" t="inlineStr">
        <is>
          <t>2020-08-21 09:04:20</t>
        </is>
      </c>
      <c r="H10325" t="inlineStr"/>
    </row>
    <row r="10326">
      <c r="A10326" t="inlineStr">
        <is>
          <t>idzmzy</t>
        </is>
      </c>
      <c r="B10326" t="inlineStr">
        <is>
          <t>Need help with this</t>
        </is>
      </c>
      <c r="C10326" t="inlineStr">
        <is>
          <t>So during this quarantine, my routine was just sitting on the computer and my posture was very bad.
After a few days I started feeling a lump in the throat.  I use to be physically active, so I thought its due to lack of physical activity. This continued for a month. Then one day it got worse and I went to see the doctor.
The doc suggested me some medicines and lifestyle change, I used them and the lump feeling was gone.  I also started exercising and avoiding coffee.
Now I feel my throat is very dry. 
Is this good or bad? any advice would be nice.
Bdw my I'm no longer on my medication, as I read online that medicines are not the best way to treat GERD. I usually go for a run and do Yoga. Posture is still bad, and I have to work on my computer 5-6 hrs a day.
How can I get rid of this dryness in the throat?</t>
        </is>
      </c>
      <c r="D10326" t="n">
        <v>1</v>
      </c>
      <c r="E10326" t="n">
        <v>5</v>
      </c>
      <c r="F10326">
        <f>HYPERLINK("https://www.reddit.com/r/GERD/comments/idzmzy/need_help_with_this/")</f>
        <v/>
      </c>
      <c r="G10326" t="inlineStr">
        <is>
          <t>2020-08-21 09:10:57</t>
        </is>
      </c>
      <c r="H10326" t="inlineStr"/>
    </row>
    <row r="10327">
      <c r="A10327" t="inlineStr">
        <is>
          <t>idzzmk</t>
        </is>
      </c>
      <c r="B10327" t="inlineStr">
        <is>
          <t>Does anyone else have trouble swallowing the chewable gaviscon UK brand?</t>
        </is>
      </c>
      <c r="C10327" t="inlineStr">
        <is>
          <t>Seems to instantly suck up all the moisture in my mouth and become a sticky paste.
Anyone have any tips or tricks for getting it down?</t>
        </is>
      </c>
      <c r="D10327" t="n">
        <v>1</v>
      </c>
      <c r="E10327" t="n">
        <v>4</v>
      </c>
      <c r="F10327">
        <f>HYPERLINK("https://www.reddit.com/r/GERD/comments/idzzmk/does_anyone_else_have_trouble_swallowing_the/")</f>
        <v/>
      </c>
      <c r="G10327" t="inlineStr">
        <is>
          <t>2020-08-21 09:28:59</t>
        </is>
      </c>
      <c r="H10327" t="inlineStr"/>
    </row>
    <row r="10328">
      <c r="A10328" t="inlineStr">
        <is>
          <t>ie0emj</t>
        </is>
      </c>
      <c r="B10328" t="inlineStr">
        <is>
          <t>How long did it take to get rid of shortness of breath?</t>
        </is>
      </c>
      <c r="C10328" t="inlineStr">
        <is>
          <t>I’ve developed a shortness of breath symptom for the past 3 months and have been put on Nexium to treat GERD. I’ve changed my diet significantly but my shortness of breath is still extremely intrusive to my everyday routine. 
After using the PPI for almost a week, my consistent heartburn has stopped but my throat is still always full of mucus and the shortness of breath problem remains. For anyone having this problem were PPIs able to help? I’m so sick of having these asthmatic symptoms.</t>
        </is>
      </c>
      <c r="D10328" t="n">
        <v>1</v>
      </c>
      <c r="E10328" t="n">
        <v>32</v>
      </c>
      <c r="F10328">
        <f>HYPERLINK("https://www.reddit.com/r/GERD/comments/ie0emj/how_long_did_it_take_to_get_rid_of_shortness_of/")</f>
        <v/>
      </c>
      <c r="G10328" t="inlineStr">
        <is>
          <t>2020-08-21 09:50:16</t>
        </is>
      </c>
      <c r="H10328" t="inlineStr"/>
    </row>
    <row r="10329">
      <c r="A10329" t="inlineStr">
        <is>
          <t>ie1dv8</t>
        </is>
      </c>
      <c r="B10329" t="inlineStr">
        <is>
          <t>Does anybody have an aching / dry sensation where the globus feeling is?</t>
        </is>
      </c>
      <c r="C10329" t="inlineStr">
        <is>
          <t>Around the cricoid cartilage area? I have a sore throat, want to drink loads but also an achey feeling like you get if you’re coming down with something proper. It’s exactly where I feel the lump sensation. The lump sensation has been going away often lately but this achey dry feeling is still there.</t>
        </is>
      </c>
      <c r="D10329" t="n">
        <v>1</v>
      </c>
      <c r="E10329" t="n">
        <v>0</v>
      </c>
      <c r="F10329">
        <f>HYPERLINK("https://www.reddit.com/r/GERD/comments/ie1dv8/does_anybody_have_an_aching_dry_sensation_where/")</f>
        <v/>
      </c>
      <c r="G10329" t="inlineStr">
        <is>
          <t>2020-08-21 10:40:06</t>
        </is>
      </c>
      <c r="H10329" t="inlineStr"/>
    </row>
    <row r="10330">
      <c r="A10330" t="inlineStr">
        <is>
          <t>ie2wej</t>
        </is>
      </c>
      <c r="B10330" t="inlineStr">
        <is>
          <t>Lung pain</t>
        </is>
      </c>
      <c r="C10330" t="inlineStr">
        <is>
          <t>Tonight I woke up with pain in the lungs and had to sit upright for a while for it to pass away a bit. And right now I'm experiencing pain in the lungs as well (similar to esopaghus irritation from the acid). It's not the first time, just wondering if any of you experience lung pain during flare ups?</t>
        </is>
      </c>
      <c r="D10330" t="n">
        <v>1</v>
      </c>
      <c r="E10330" t="n">
        <v>4</v>
      </c>
      <c r="F10330">
        <f>HYPERLINK("https://www.reddit.com/r/GERD/comments/ie2wej/lung_pain/")</f>
        <v/>
      </c>
      <c r="G10330" t="inlineStr">
        <is>
          <t>2020-08-21 11:58:30</t>
        </is>
      </c>
      <c r="H10330" t="inlineStr"/>
    </row>
    <row r="10331">
      <c r="A10331" t="inlineStr">
        <is>
          <t>ie36c4</t>
        </is>
      </c>
      <c r="B10331" t="inlineStr">
        <is>
          <t>Please help! Anyone! Anyone!</t>
        </is>
      </c>
      <c r="C10331" t="inlineStr">
        <is>
          <t>SEVERE sore mouth, throat and sternum. Feels like stabbing. Since August of 2019. Travels up my jaw and into my ears and head. 
Endoscopy completed. I have Barrett’s esophagus buy the Gastro didn’t see acid coming up my throat. 
ENT scope completed. Laryngitis. 
PCP check up. Strep. 
So I’ve taken antibiotics and antifungals. The inflammation and redness seems to have gone away. THE PAIN IS STILL HERE! I live on Motrin. 
ENT said it MAY just be silent GERD. Started PPI and Antiacids four days ago...
Anyone else have similar symptoms?? Maybe it is just GERD..</t>
        </is>
      </c>
      <c r="D10331" t="n">
        <v>1</v>
      </c>
      <c r="E10331" t="n">
        <v>4</v>
      </c>
      <c r="F10331">
        <f>HYPERLINK("https://www.reddit.com/r/GERD/comments/ie36c4/please_help_anyone_anyone/")</f>
        <v/>
      </c>
      <c r="G10331" t="inlineStr">
        <is>
          <t>2020-08-21 12:12:41</t>
        </is>
      </c>
      <c r="H10331" t="inlineStr"/>
    </row>
    <row r="10332">
      <c r="A10332" t="inlineStr">
        <is>
          <t>ie3jqr</t>
        </is>
      </c>
      <c r="B10332" t="inlineStr">
        <is>
          <t>Caffeine alternatives</t>
        </is>
      </c>
      <c r="C10332" t="inlineStr">
        <is>
          <t>So I've been getting really really tired and I've been drinking coffee but its making my gerd much worse</t>
        </is>
      </c>
      <c r="D10332" t="n">
        <v>1</v>
      </c>
      <c r="E10332" t="n">
        <v>45</v>
      </c>
      <c r="F10332">
        <f>HYPERLINK("https://www.reddit.com/r/GERD/comments/ie3jqr/caffeine_alternatives/")</f>
        <v/>
      </c>
      <c r="G10332" t="inlineStr">
        <is>
          <t>2020-08-21 12:32:01</t>
        </is>
      </c>
      <c r="H10332" t="inlineStr"/>
    </row>
    <row r="10333">
      <c r="A10333" t="inlineStr">
        <is>
          <t>ie3t46</t>
        </is>
      </c>
      <c r="B10333" t="inlineStr">
        <is>
          <t>How long does your GERD take to flare up?</t>
        </is>
      </c>
      <c r="C10333" t="inlineStr">
        <is>
          <t>I'm new to this suffering and still trying to track down my triggers.
How long after eating something before you have pain?
It seems to be a few hours for me, or there are triggers I'm not aware of.</t>
        </is>
      </c>
      <c r="D10333" t="n">
        <v>1</v>
      </c>
      <c r="E10333" t="n">
        <v>17</v>
      </c>
      <c r="F10333">
        <f>HYPERLINK("https://www.reddit.com/r/GERD/comments/ie3t46/how_long_does_your_gerd_take_to_flare_up/")</f>
        <v/>
      </c>
      <c r="G10333" t="inlineStr">
        <is>
          <t>2020-08-21 12:45:39</t>
        </is>
      </c>
      <c r="H10333" t="inlineStr"/>
    </row>
    <row r="10334">
      <c r="A10334" t="inlineStr">
        <is>
          <t>ie49zw</t>
        </is>
      </c>
      <c r="B10334" t="inlineStr">
        <is>
          <t>GERD Friendly Recipe</t>
        </is>
      </c>
      <c r="C10334" t="inlineStr">
        <is>
          <t>Like chicken &amp;amp; gnocchi?? Yeah me too. I was really struggling to find recipes that wasn't bland. So.. I decided to start making my own recipes. This recipe is a Chicken &amp;amp; Gnocchi Soup. (it is also IBS friendly.. I have a lot of restrictions haha) If you want to try the recipe check it out here  [https://www.youtube.com/watch?v=v6xBsi5t43A](https://www.youtube.com/watch?v=v6xBsi5t43A) 
Hope it works for you guys!!
&amp;amp;#x200B;
Note: I made a like typed out image of the entire recipe, but it won't let me post images here.</t>
        </is>
      </c>
      <c r="D10334" t="n">
        <v>1</v>
      </c>
      <c r="E10334" t="n">
        <v>11</v>
      </c>
      <c r="F10334">
        <f>HYPERLINK("https://www.reddit.com/r/GERD/comments/ie49zw/gerd_friendly_recipe/")</f>
        <v/>
      </c>
      <c r="G10334" t="inlineStr">
        <is>
          <t>2020-08-21 13:10:07</t>
        </is>
      </c>
      <c r="H10334" t="inlineStr"/>
    </row>
    <row r="10335">
      <c r="A10335" t="inlineStr">
        <is>
          <t>ie509m</t>
        </is>
      </c>
      <c r="B10335" t="inlineStr">
        <is>
          <t>Should I still be worried about Barretts esophagus if the doctor didn't mention it after my endoscopy?</t>
        </is>
      </c>
      <c r="C10335" t="inlineStr">
        <is>
          <t>I just got an endoscopy done for the first time in 9 years (I'm currently 24 years old). Previous one I had gotten revealed mild to moderate esophagitis throughout the esophagus due to both GERD and Eosiniphilic Esophagitis. I've been on ppi's for a short period of time afterwards and trying to limit certain trigger foods. Because it's been years since I had one and my swallowing issues have been getting worse, I wanted to get another one done to make sure it hasn't progressed to anything super serious. After the endoscopy was over, my doctor barely mentioned a thing (maybe I was too out of it to remember), but he for sure didn't say anything about barretts esophagus which was my biggest concern. They did take some biopsies and told me to wait for the results. Should I still be worried about Barretts Esophagus or cancer with these findings?
There was diffuse luminal narrowing note throughout the esophagus (mild resistance to advancement of the standard endoscope). The endoscope was used to dilate more discrete narrowing in the in the distal esophagus via advancement through the gastroesophageal junction. No fixed hiatus hernia</t>
        </is>
      </c>
      <c r="D10335" t="n">
        <v>1</v>
      </c>
      <c r="E10335" t="n">
        <v>1</v>
      </c>
      <c r="F10335">
        <f>HYPERLINK("https://www.reddit.com/r/GERD/comments/ie509m/should_i_still_be_worried_about_barretts/")</f>
        <v/>
      </c>
      <c r="G10335" t="inlineStr">
        <is>
          <t>2020-08-21 13:48:33</t>
        </is>
      </c>
      <c r="H10335" t="inlineStr"/>
    </row>
    <row r="10336">
      <c r="A10336" t="inlineStr">
        <is>
          <t>ie5d47</t>
        </is>
      </c>
      <c r="B10336" t="inlineStr">
        <is>
          <t>RENNIE</t>
        </is>
      </c>
      <c r="C10336" t="inlineStr">
        <is>
          <t>Anyone ever tried Rennie antacid?</t>
        </is>
      </c>
      <c r="D10336" t="n">
        <v>1</v>
      </c>
      <c r="E10336" t="n">
        <v>1</v>
      </c>
      <c r="F10336">
        <f>HYPERLINK("https://www.reddit.com/r/GERD/comments/ie5d47/rennie/")</f>
        <v/>
      </c>
      <c r="G10336" t="inlineStr">
        <is>
          <t>2020-08-21 14:07:55</t>
        </is>
      </c>
      <c r="H10336" t="inlineStr"/>
    </row>
    <row r="10337">
      <c r="A10337" t="inlineStr">
        <is>
          <t>ie5guz</t>
        </is>
      </c>
      <c r="B10337" t="inlineStr">
        <is>
          <t>Getting tested for H. Pylori on Monday.</t>
        </is>
      </c>
      <c r="C10337" t="inlineStr">
        <is>
          <t>Do you poop in a bag or a test tube or??</t>
        </is>
      </c>
      <c r="D10337" t="n">
        <v>1</v>
      </c>
      <c r="E10337" t="n">
        <v>10</v>
      </c>
      <c r="F10337">
        <f>HYPERLINK("https://www.reddit.com/r/GERD/comments/ie5guz/getting_tested_for_h_pylori_on_monday/")</f>
        <v/>
      </c>
      <c r="G10337" t="inlineStr">
        <is>
          <t>2020-08-21 14:13:37</t>
        </is>
      </c>
      <c r="H10337" t="inlineStr"/>
    </row>
    <row r="10338">
      <c r="A10338" t="inlineStr">
        <is>
          <t>ie5oez</t>
        </is>
      </c>
      <c r="B10338" t="inlineStr">
        <is>
          <t>Can you guys help me pls?</t>
        </is>
      </c>
      <c r="C10338" t="inlineStr">
        <is>
          <t>Hey guys, i’ve been diagnosed with acidic reflux since im 6 (im 20 rn) and i’ve eaten some extremly spicy noodles earlier today like 20k shu (i can normally tolerare way more but the amount of them was insane) and now im extremly nauseous, sick, snd i cant make it stop already took some painkillers, antiacids, omeprazol 20mg, ginger lolly and nithing helps. Pls guys i really dont want to throw up with reflux... dont you know what can help???</t>
        </is>
      </c>
      <c r="D10338" t="n">
        <v>1</v>
      </c>
      <c r="E10338" t="n">
        <v>1</v>
      </c>
      <c r="F10338">
        <f>HYPERLINK("https://www.reddit.com/r/GERD/comments/ie5oez/can_you_guys_help_me_pls/")</f>
        <v/>
      </c>
      <c r="G10338" t="inlineStr">
        <is>
          <t>2020-08-21 14:25:17</t>
        </is>
      </c>
      <c r="H10338" t="inlineStr"/>
    </row>
    <row r="10339">
      <c r="A10339" t="inlineStr">
        <is>
          <t>ie5ras</t>
        </is>
      </c>
      <c r="B10339" t="inlineStr">
        <is>
          <t>Can a sedentary lifestyle cause LPR ?</t>
        </is>
      </c>
      <c r="C10339" t="inlineStr">
        <is>
          <t>I was inactive during March to May and up to now tbh and I’m pretty sure I have LPR ( haven’t been diagnosed ) could exercise help ? My symptoms are reflux in the throat, throat is kinda itchy making me have to cough , has globus in mid-early May to early June, hear rate feels high even tho it isn’t , as well as anxiety</t>
        </is>
      </c>
      <c r="D10339" t="n">
        <v>1</v>
      </c>
      <c r="E10339" t="n">
        <v>22</v>
      </c>
      <c r="F10339">
        <f>HYPERLINK("https://www.reddit.com/r/GERD/comments/ie5ras/can_a_sedentary_lifestyle_cause_lpr/")</f>
        <v/>
      </c>
      <c r="G10339" t="inlineStr">
        <is>
          <t>2020-08-21 14:29:42</t>
        </is>
      </c>
      <c r="H10339" t="inlineStr"/>
    </row>
    <row r="10340">
      <c r="A10340" t="inlineStr">
        <is>
          <t>ie5yaw</t>
        </is>
      </c>
      <c r="B10340" t="inlineStr">
        <is>
          <t>Do I have GERD?</t>
        </is>
      </c>
      <c r="C10340" t="inlineStr">
        <is>
          <t>I have doctors who are very unclear and uncommunicative. 
I had a GI stool test done which showed high inflammation in my gut, so I was referred to a GI doctor who retested it months later and though it was normal sent me for an Endoscopy. I wasn’t having symptoms other than it feels like a heart attack if I drink coke (which I don’t often) and specifically coke. Other carbonated drinks are ok. 
My EGD results were all normal except I had bilious fluid in my stomach. 
All he said when he called was that he was calling in a medicine called ursodial and to try it for a couple of weeks. And that if I didn’t treat the bile it wouldn’t be a big deal, and I asked how it happened and he said “pretty much bad luck” 
My other women’s wellness doctor was a little more concerned and is sending me for an ultra sound for my gallbladder and put me on a supplement called A-F betafood. 
Sorry if this is not GERD, I just know nothing about this guy stuff and googling has left me worse off because there’s so much... 
Could someone point me in the direction of a more appropriate subreddit if this has nothing to do with GERD?</t>
        </is>
      </c>
      <c r="D10340" t="n">
        <v>1</v>
      </c>
      <c r="E10340" t="n">
        <v>2</v>
      </c>
      <c r="F10340">
        <f>HYPERLINK("https://www.reddit.com/r/GERD/comments/ie5yaw/do_i_have_gerd/")</f>
        <v/>
      </c>
      <c r="G10340" t="inlineStr">
        <is>
          <t>2020-08-21 14:40:30</t>
        </is>
      </c>
      <c r="H10340" t="inlineStr"/>
    </row>
    <row r="10341">
      <c r="A10341" t="inlineStr">
        <is>
          <t>ie68ew</t>
        </is>
      </c>
      <c r="B10341" t="inlineStr">
        <is>
          <t>How will I ever know what is causing my issues?</t>
        </is>
      </c>
      <c r="C10341" t="inlineStr">
        <is>
          <t>So a little context. About 2-3 years ago I developed a cough and excruciating back pain. After much searching and nothing coming up, my doc thought it might be reflux. I started taking 60 mg Dexilant and it’s been a non-issue ever since. The problem is, we used the medicine as a diagnosis. So now when I try to wean, I get rebound symptoms. I don’t have a clue what started the issues, so it’s never really been addressed or solved. That’s all fine, except I don’t want to be on PPIs forever. How do I begin the process of finding out what causes my reflux, so that I can fix it and get off PPIs? 
P.S. I will also be posting this on the LPR subreddit as it could be that - since I was never really diagnosed as far as I know, I don’t know which one to post to.</t>
        </is>
      </c>
      <c r="D10341" t="n">
        <v>1</v>
      </c>
      <c r="E10341" t="n">
        <v>15</v>
      </c>
      <c r="F10341">
        <f>HYPERLINK("https://www.reddit.com/r/GERD/comments/ie68ew/how_will_i_ever_know_what_is_causing_my_issues/")</f>
        <v/>
      </c>
      <c r="G10341" t="inlineStr">
        <is>
          <t>2020-08-21 14:56:05</t>
        </is>
      </c>
      <c r="H10341" t="inlineStr"/>
    </row>
    <row r="10342">
      <c r="A10342" t="inlineStr">
        <is>
          <t>ie76bb</t>
        </is>
      </c>
      <c r="B10342" t="inlineStr">
        <is>
          <t>Acidic burps</t>
        </is>
      </c>
      <c r="C10342" t="inlineStr">
        <is>
          <t>My only issue now are acidic burps.. they only happen 10 or more minutes apart but burn as they come up. Any tips?? If I could get on top of this I’d be almost there.</t>
        </is>
      </c>
      <c r="D10342" t="n">
        <v>1</v>
      </c>
      <c r="E10342" t="n">
        <v>15</v>
      </c>
      <c r="F10342">
        <f>HYPERLINK("https://www.reddit.com/r/GERD/comments/ie76bb/acidic_burps/")</f>
        <v/>
      </c>
      <c r="G10342" t="inlineStr">
        <is>
          <t>2020-08-21 15:50:18</t>
        </is>
      </c>
      <c r="H10342" t="inlineStr"/>
    </row>
    <row r="10343">
      <c r="A10343" t="inlineStr">
        <is>
          <t>ie7idr</t>
        </is>
      </c>
      <c r="B10343" t="inlineStr">
        <is>
          <t>Endoscopy/Sedation experiences?</t>
        </is>
      </c>
      <c r="C10343" t="inlineStr">
        <is>
          <t>Hey all! I just got referred to a GI specialist and they’re going to do an upper GI endoscopy and biopsy, they told me they’ll be using propofol. I guess I’m just a little bit anxious and want to hear how everyone’s experiences have been so I have a better idea. Will I be completely out on propofol? I know it’s a short procedure, I’m mostly just terrified of the propofol, and waking up from it. Should I take the day off after?</t>
        </is>
      </c>
      <c r="D10343" t="n">
        <v>1</v>
      </c>
      <c r="E10343" t="n">
        <v>36</v>
      </c>
      <c r="F10343">
        <f>HYPERLINK("https://www.reddit.com/r/GERD/comments/ie7idr/endoscopysedation_experiences/")</f>
        <v/>
      </c>
      <c r="G10343" t="inlineStr">
        <is>
          <t>2020-08-21 16:10:30</t>
        </is>
      </c>
      <c r="H10343" t="inlineStr"/>
    </row>
    <row r="10344">
      <c r="A10344" t="inlineStr">
        <is>
          <t>ie7j3k</t>
        </is>
      </c>
      <c r="B10344" t="inlineStr">
        <is>
          <t>Extra lean ground beef/ plant based burgers?</t>
        </is>
      </c>
      <c r="C10344" t="inlineStr">
        <is>
          <t>Is this edible to us? I know turkey burgers are</t>
        </is>
      </c>
      <c r="D10344" t="n">
        <v>1</v>
      </c>
      <c r="E10344" t="n">
        <v>3</v>
      </c>
      <c r="F10344">
        <f>HYPERLINK("https://www.reddit.com/r/GERD/comments/ie7j3k/extra_lean_ground_beef_plant_based_burgers/")</f>
        <v/>
      </c>
      <c r="G10344" t="inlineStr">
        <is>
          <t>2020-08-21 16:11:46</t>
        </is>
      </c>
      <c r="H10344" t="inlineStr"/>
    </row>
    <row r="10345">
      <c r="A10345" t="inlineStr">
        <is>
          <t>ie8pes</t>
        </is>
      </c>
      <c r="B10345" t="inlineStr">
        <is>
          <t>Stomach pain after eating</t>
        </is>
      </c>
      <c r="C10345" t="inlineStr">
        <is>
          <t>I am having a really bad stomach pain at the very top of my stomach like where the end of my esophagus and beggining of my stomach connects. I also do have heartburn at the moment and can’t burp. I ate a sandwhich and drank an iced coffee 😬😬😬 I messed up i know 😭😭 but what is this pain ? I feel so uncomfortable full feeling and have nausea ..</t>
        </is>
      </c>
      <c r="D10345" t="n">
        <v>1</v>
      </c>
      <c r="E10345" t="n">
        <v>5</v>
      </c>
      <c r="F10345">
        <f>HYPERLINK("https://www.reddit.com/r/GERD/comments/ie8pes/stomach_pain_after_eating/")</f>
        <v/>
      </c>
      <c r="G10345" t="inlineStr">
        <is>
          <t>2020-08-21 17:24:44</t>
        </is>
      </c>
      <c r="H10345" t="inlineStr"/>
    </row>
    <row r="10346">
      <c r="A10346" t="inlineStr">
        <is>
          <t>ie95j9</t>
        </is>
      </c>
      <c r="B10346" t="inlineStr">
        <is>
          <t>Omg</t>
        </is>
      </c>
      <c r="C10346" t="inlineStr">
        <is>
          <t>Ate a greasy ass burrito earlier now paying the price feel tightness in chest idk why I thought it was a good idea😂😢</t>
        </is>
      </c>
      <c r="D10346" t="n">
        <v>1</v>
      </c>
      <c r="E10346" t="n">
        <v>7</v>
      </c>
      <c r="F10346">
        <f>HYPERLINK("https://www.reddit.com/r/GERD/comments/ie95j9/omg/")</f>
        <v/>
      </c>
      <c r="G10346" t="inlineStr">
        <is>
          <t>2020-08-21 17:54:30</t>
        </is>
      </c>
      <c r="H10346" t="inlineStr"/>
    </row>
    <row r="10347">
      <c r="A10347" t="inlineStr">
        <is>
          <t>ie9a28</t>
        </is>
      </c>
      <c r="B10347" t="inlineStr">
        <is>
          <t>Is there a recall on mint extra strength antacids like gaviscon?</t>
        </is>
      </c>
      <c r="C10347" t="inlineStr">
        <is>
          <t>I can’t find them anywhere it has been 3 weeks. Pharmacists at the grocery stores haven’t had an answer either. Does anyone know anything about this? I have terrible autoimmune gastritis and the only thing that stops the pain is gaviscon. I rarely need it but now that I do it’s nowhere to be found :(</t>
        </is>
      </c>
      <c r="D10347" t="n">
        <v>1</v>
      </c>
      <c r="E10347" t="n">
        <v>3</v>
      </c>
      <c r="F10347">
        <f>HYPERLINK("https://www.reddit.com/r/GERD/comments/ie9a28/is_there_a_recall_on_mint_extra_strength_antacids/")</f>
        <v/>
      </c>
      <c r="G10347" t="inlineStr">
        <is>
          <t>2020-08-21 18:02:57</t>
        </is>
      </c>
      <c r="H10347" t="inlineStr"/>
    </row>
    <row r="10348">
      <c r="A10348" t="inlineStr">
        <is>
          <t>ie9tud</t>
        </is>
      </c>
      <c r="B10348" t="inlineStr">
        <is>
          <t>Pepcid</t>
        </is>
      </c>
      <c r="C10348" t="inlineStr">
        <is>
          <t>Has anyone had any side effects because of it I took it for 2 weeks straight everything was normal then 1 dat after I took it I had a really bad reaction felt like I wasn’t here dizzy nausea then stopped taking it and today I had a flare up because of a burrito took it and again same thing wondering if anyone has experienced the same or is it just me?</t>
        </is>
      </c>
      <c r="D10348" t="n">
        <v>1</v>
      </c>
      <c r="E10348" t="n">
        <v>3</v>
      </c>
      <c r="F10348">
        <f>HYPERLINK("https://www.reddit.com/r/GERD/comments/ie9tud/pepcid/")</f>
        <v/>
      </c>
      <c r="G10348" t="inlineStr">
        <is>
          <t>2020-08-21 18:40:14</t>
        </is>
      </c>
      <c r="H10348" t="inlineStr"/>
    </row>
    <row r="10349">
      <c r="A10349" t="inlineStr">
        <is>
          <t>ieagar</t>
        </is>
      </c>
      <c r="B10349" t="inlineStr">
        <is>
          <t>Itchy neck after eating</t>
        </is>
      </c>
      <c r="C10349" t="inlineStr">
        <is>
          <t>Hi, guys, I'm been having this issue lately anytime I eat food usually something containing eggs or wheat my neck mainly around my thyroid region begins to itch after eating.I was prescribed cetirizine as they believe it could  food allergy I was wondering if you guys have  any idea what it is your response would be greatly appreciated</t>
        </is>
      </c>
      <c r="D10349" t="n">
        <v>1</v>
      </c>
      <c r="E10349" t="n">
        <v>2</v>
      </c>
      <c r="F10349">
        <f>HYPERLINK("https://www.reddit.com/r/GERD/comments/ieagar/itchy_neck_after_eating/")</f>
        <v/>
      </c>
      <c r="G10349" t="inlineStr">
        <is>
          <t>2020-08-21 19:23:01</t>
        </is>
      </c>
      <c r="H10349" t="inlineStr"/>
    </row>
    <row r="10350">
      <c r="A10350" t="inlineStr">
        <is>
          <t>ieax3b</t>
        </is>
      </c>
      <c r="B10350" t="inlineStr">
        <is>
          <t>Any GERD pregnancy stories?</t>
        </is>
      </c>
      <c r="C10350" t="inlineStr">
        <is>
          <t>Curious if any women here who have GERD and have gone through a pregnancy have any stories. Did being pregnant have any impact on your GERD? I'm a woman who would like to be pregnant one day.</t>
        </is>
      </c>
      <c r="D10350" t="n">
        <v>1</v>
      </c>
      <c r="E10350" t="n">
        <v>1</v>
      </c>
      <c r="F10350">
        <f>HYPERLINK("https://www.reddit.com/r/GERD/comments/ieax3b/any_gerd_pregnancy_stories/")</f>
        <v/>
      </c>
      <c r="G10350" t="inlineStr">
        <is>
          <t>2020-08-21 19:56:06</t>
        </is>
      </c>
      <c r="H10350" t="inlineStr"/>
    </row>
    <row r="10351">
      <c r="A10351" t="inlineStr">
        <is>
          <t>iebhlw</t>
        </is>
      </c>
      <c r="B10351" t="inlineStr">
        <is>
          <t>i thought I was about to die. Is this normal for GERD?</t>
        </is>
      </c>
      <c r="C10351" t="inlineStr">
        <is>
          <t>So sometimes I get heartburn and during the night I wake up feeling acid in my throat. Tonight, two hours after I went to sleep, I woke up and felt acid in my throat that was down the wrong pippe and blocking my airway.
I could not breathe. I screamed and jumped out of bed and started caughing violently and gasping for air, until I could finally catch half a breath. Then I kept coughing until it felt like  I could breathe again. I can breathe now but my throat stull burns a bit.
It was very scary. When I woke up I went to open my front door thinkig maybe one of my neighbirs will hear me and call an ambulance so I don't die.
Did this happen to anyone else? Anything I can do to stop it? It happened once before a few months ago but not nearly as bad.</t>
        </is>
      </c>
      <c r="D10351" t="n">
        <v>1</v>
      </c>
      <c r="E10351" t="n">
        <v>20</v>
      </c>
      <c r="F10351">
        <f>HYPERLINK("https://www.reddit.com/r/GERD/comments/iebhlw/i_thought_i_was_about_to_die_is_this_normal_for/")</f>
        <v/>
      </c>
      <c r="G10351" t="inlineStr">
        <is>
          <t>2020-08-21 20:37:18</t>
        </is>
      </c>
      <c r="H10351" t="inlineStr"/>
    </row>
    <row r="10352">
      <c r="A10352" t="inlineStr">
        <is>
          <t>iebxe6</t>
        </is>
      </c>
      <c r="B10352" t="inlineStr">
        <is>
          <t>Low acid from PPIs</t>
        </is>
      </c>
      <c r="C10352" t="inlineStr">
        <is>
          <t>Is having low stomach acid after doing PPIs for sometime is a thing ?</t>
        </is>
      </c>
      <c r="D10352" t="n">
        <v>1</v>
      </c>
      <c r="E10352" t="n">
        <v>2</v>
      </c>
      <c r="F10352">
        <f>HYPERLINK("https://www.reddit.com/r/GERD/comments/iebxe6/low_acid_from_ppis/")</f>
        <v/>
      </c>
      <c r="G10352" t="inlineStr">
        <is>
          <t>2020-08-21 21:09:36</t>
        </is>
      </c>
      <c r="H10352" t="inlineStr"/>
    </row>
    <row r="10353">
      <c r="A10353" t="inlineStr">
        <is>
          <t>ied89d</t>
        </is>
      </c>
      <c r="B10353" t="inlineStr">
        <is>
          <t>Drugs that increase Lower oesophageal Sphincter pressure?</t>
        </is>
      </c>
      <c r="C10353" t="inlineStr">
        <is>
          <t>I've read that Buspar (buspirone), Trazadone (albeit mildy) and prokinetics such as metoclopramide and domperidone increase LES pressure. Does anyone know of any others? I've also read that pressure is somewhat mediated by the neurotransmitter acetylcholine. For instance - Amitriptyline and Nortriptyline make my Gerd (silent gerd) worse - and make my asthma symptoms worse because of the valve being opened. Also, baclofen seems to have a positive effect on this as well. Suggestions anyone?</t>
        </is>
      </c>
      <c r="D10353" t="n">
        <v>1</v>
      </c>
      <c r="E10353" t="n">
        <v>6</v>
      </c>
      <c r="F10353">
        <f>HYPERLINK("https://www.reddit.com/r/GERD/comments/ied89d/drugs_that_increase_lower_oesophageal_sphincter/")</f>
        <v/>
      </c>
      <c r="G10353" t="inlineStr">
        <is>
          <t>2020-08-21 22:53:04</t>
        </is>
      </c>
      <c r="H10353" t="inlineStr"/>
    </row>
    <row r="10354">
      <c r="A10354" t="inlineStr">
        <is>
          <t>iedk0y</t>
        </is>
      </c>
      <c r="B10354" t="inlineStr">
        <is>
          <t>Is it normal?</t>
        </is>
      </c>
      <c r="C10354" t="inlineStr">
        <is>
          <t>I've been diagnosed with acid reflux 8 months ago and I remember being prescribed pills I had to take for a week and I don't think it worked.. going forward to now, Im still suffering from it but what this post is about: my chest pain sometimes occurs on the left and right side, sometimes above my breast area ( under my collarbone) or below my breast and I was wondering if it's normal? I already stress out from depression and other mental health issues and I really don't want to stress out more about this.</t>
        </is>
      </c>
      <c r="D10354" t="n">
        <v>1</v>
      </c>
      <c r="E10354" t="n">
        <v>1</v>
      </c>
      <c r="F10354">
        <f>HYPERLINK("https://www.reddit.com/r/GERD/comments/iedk0y/is_it_normal/")</f>
        <v/>
      </c>
      <c r="G10354" t="inlineStr">
        <is>
          <t>2020-08-21 23:21:55</t>
        </is>
      </c>
      <c r="H10354" t="inlineStr"/>
    </row>
    <row r="10355">
      <c r="A10355" t="inlineStr">
        <is>
          <t>iee60a</t>
        </is>
      </c>
      <c r="B10355" t="inlineStr">
        <is>
          <t>Advice or knowledge will help</t>
        </is>
      </c>
      <c r="C10355" t="inlineStr">
        <is>
          <t>Hello,
So I haven’t been diagnosed with anything yet. But basically about a year and a half ago I felt this burning pain in my back. It went away after a couple of weeks. It then returned in February. Around this time I noticed eating bad was causing these strange pains in my chest that worried me. The pain went away again. I went on vacation, safe to say I was eating not too good and drinking. The pain returned. I went to the doctor they said your fine. I only mentioned the back pain though. I had no idea it was stomach related until I realized the pain was also in the front left abdomen when I pushed in. I know not eating helped so I realized it was stomach related. I got a ct scan done and they said your fine. Roll on a month or two and it’s so much worse. Also accompanied by really bad acid reflux. I had reflux before but I never really felt it. Also I’ve been eating nothing but vegetables and healthy food for a few days but every night I can feel the acid in my chest. This never really happened before. The pain in back and abdomen is still here but not as bad as before. Has anyone ever had this before? What can I do to help it? Could it be an ulcer? Thanks for any help or advice</t>
        </is>
      </c>
      <c r="D10355" t="n">
        <v>1</v>
      </c>
      <c r="E10355" t="n">
        <v>1</v>
      </c>
      <c r="F10355">
        <f>HYPERLINK("https://www.reddit.com/r/GERD/comments/iee60a/advice_or_knowledge_will_help/")</f>
        <v/>
      </c>
      <c r="G10355" t="inlineStr">
        <is>
          <t>2020-08-22 00:19:01</t>
        </is>
      </c>
      <c r="H10355" t="inlineStr"/>
    </row>
    <row r="10356">
      <c r="A10356" t="inlineStr">
        <is>
          <t>ieefi0</t>
        </is>
      </c>
      <c r="B10356" t="inlineStr">
        <is>
          <t>My stomach is volcano</t>
        </is>
      </c>
      <c r="C10356" t="inlineStr">
        <is>
          <t>I'm having terrible esophageal spams. RX medications might be making them worse. I'm under so much stress since my parents are tormenting me while on lock down and I can't go anywhere due to job loss and my cat's cancer. I bought pepzin and l glutamine which helps a little. I make a herbal antacid with marshmallow, aloe, calcium carbonate and magnesium hydroxide. My doctor rx'd lidocain benadryl maalox cocktail but it fucks me up and keeps me bed ridden. The spasms have never lasted this long. SOS!</t>
        </is>
      </c>
      <c r="D10356" t="n">
        <v>1</v>
      </c>
      <c r="E10356" t="n">
        <v>0</v>
      </c>
      <c r="F10356">
        <f>HYPERLINK("https://www.reddit.com/r/GERD/comments/ieefi0/my_stomach_is_volcano/")</f>
        <v/>
      </c>
      <c r="G10356" t="inlineStr">
        <is>
          <t>2020-08-22 00:41:40</t>
        </is>
      </c>
      <c r="H10356" t="inlineStr"/>
    </row>
    <row r="10357">
      <c r="A10357" t="inlineStr">
        <is>
          <t>ief1al</t>
        </is>
      </c>
      <c r="B10357" t="inlineStr">
        <is>
          <t>What do you do when you can't eat</t>
        </is>
      </c>
      <c r="C10357" t="inlineStr">
        <is>
          <t>Its been 8 days since my last full days meal. I'm hungry and want to eat but also full and no appetite at the same time.</t>
        </is>
      </c>
      <c r="D10357" t="n">
        <v>1</v>
      </c>
      <c r="E10357" t="n">
        <v>22</v>
      </c>
      <c r="F10357">
        <f>HYPERLINK("https://www.reddit.com/r/GERD/comments/ief1al/what_do_you_do_when_you_cant_eat/")</f>
        <v/>
      </c>
      <c r="G10357" t="inlineStr">
        <is>
          <t>2020-08-22 01:38:49</t>
        </is>
      </c>
      <c r="H10357" t="inlineStr"/>
    </row>
    <row r="10358">
      <c r="A10358" t="inlineStr">
        <is>
          <t>ieg4zm</t>
        </is>
      </c>
      <c r="B10358" t="inlineStr">
        <is>
          <t>Feels like air is going straight into my stomach</t>
        </is>
      </c>
      <c r="C10358" t="inlineStr">
        <is>
          <t>Hey so I've been diagnosed with gastritis from my doctor. I've been having issues since about May. Usually it's just constant burping/bloating, shortness of breath occasionally but the thing that's been bothering me the most is most days at one point or another it feels like when I breathe in , it feels like air is going straight into my stomach? Idk how else to explain it other than that. My doctor has done a bunch of test &amp;amp; they've all come back negative ( gallbladder test, H pylori stool test, ultrasound) my doctor has recommended a endoscopy procedure that I'm waiting to be scheduled but I've been reading and it seems like it's very similar to LES ? Whenever I feel like I'm breathing air straight into my stomach I usually have to get up &amp;amp; walk around to burp the air out &amp;amp; my upper abdomen also like looks sorta pushed out or like my upper abs seemed like they're flexing. Idk how else to deal with this &amp;amp; I can't sleep at night or even breath normal. I've been on Omeprazole 20mg since May .</t>
        </is>
      </c>
      <c r="D10358" t="n">
        <v>1</v>
      </c>
      <c r="E10358" t="n">
        <v>1</v>
      </c>
      <c r="F10358">
        <f>HYPERLINK("https://www.reddit.com/r/GERD/comments/ieg4zm/feels_like_air_is_going_straight_into_my_stomach/")</f>
        <v/>
      </c>
      <c r="G10358" t="inlineStr">
        <is>
          <t>2020-08-22 03:25:54</t>
        </is>
      </c>
      <c r="H10358" t="inlineStr"/>
    </row>
    <row r="10359">
      <c r="A10359" t="inlineStr">
        <is>
          <t>ieg9vh</t>
        </is>
      </c>
      <c r="B10359" t="inlineStr">
        <is>
          <t>Learning more than coping with GERD/REFLUX</t>
        </is>
      </c>
      <c r="C10359" t="inlineStr">
        <is>
          <t>Hi everyone, 
Thanks for all the love and support. This page has been incredible for my journey so far. 
I just feel like I'm learning what I can and cannot do anymore. Not gonna lie, I'm still having a small bit of coffee around 10AM (after medicine and breakfast). I was really feeling depressed yesterday and I just pushed the Fuck it button and had a coffee. 
How is everyone's journey going? What has been your biggest "learning" moment. 
Scott W.</t>
        </is>
      </c>
      <c r="D10359" t="n">
        <v>1</v>
      </c>
      <c r="E10359" t="n">
        <v>3</v>
      </c>
      <c r="F10359">
        <f>HYPERLINK("https://www.reddit.com/r/GERD/comments/ieg9vh/learning_more_than_coping_with_gerdreflux/")</f>
        <v/>
      </c>
      <c r="G10359" t="inlineStr">
        <is>
          <t>2020-08-22 03:38:24</t>
        </is>
      </c>
      <c r="H10359" t="inlineStr"/>
    </row>
    <row r="10360">
      <c r="A10360" t="inlineStr">
        <is>
          <t>iegb0d</t>
        </is>
      </c>
      <c r="B10360" t="inlineStr">
        <is>
          <t>NSAIDs/Pain Med</t>
        </is>
      </c>
      <c r="C10360" t="inlineStr">
        <is>
          <t>Second post today. 
It's a long story, but I suffered an open phalanx fracture back in January. Fast forward six months+ later and I'm still in physical therapy and dealing with chronic panic in my fingers/hand/wrist. 
My doctors prescribed me Celebrix back in May. I told him about my reflux and all, but he said that it should not affect my GERD. Needless to say, it's been more of a battle than a journey with my acid reflux and other meds. 
This week, I basically stopped taking the Celebrex and I'm going to try and stay away from NSAIDs meds. 
Is it pretty much a concrete idea that NSAIDs will flare up any reflux? Curious what ya'll have experienced. 
Thanks again, 
&amp;amp;#x200B;
Scott W.</t>
        </is>
      </c>
      <c r="D10360" t="n">
        <v>1</v>
      </c>
      <c r="E10360" t="n">
        <v>1</v>
      </c>
      <c r="F10360">
        <f>HYPERLINK("https://www.reddit.com/r/GERD/comments/iegb0d/nsaidspain_med/")</f>
        <v/>
      </c>
      <c r="G10360" t="inlineStr">
        <is>
          <t>2020-08-22 03:41:06</t>
        </is>
      </c>
      <c r="H10360" t="inlineStr"/>
    </row>
    <row r="10361">
      <c r="A10361" t="inlineStr">
        <is>
          <t>iegtyj</t>
        </is>
      </c>
      <c r="B10361" t="inlineStr">
        <is>
          <t>LPR Mornings</t>
        </is>
      </c>
      <c r="C10361" t="inlineStr">
        <is>
          <t>So I have been recently diagnosed with LPR causing my constant nausea, burping and weird chest feelings. I don’t really feel any burning expect sometimes I feel liquid come up my esophagus. 
Besides that my question is, does anyone else experience like a weird painful/tight stomach feeling when waking up. Before my breakfast my stomach is tight, if I breath out with my belly it kinda hurts. Like a pulling sensation. 
I’m on Pentoprazol for about 2 months now. Symptoms were less severe but are still there. Since 2 days taking 40mg per day instead of 20mg.</t>
        </is>
      </c>
      <c r="D10361" t="n">
        <v>1</v>
      </c>
      <c r="E10361" t="n">
        <v>0</v>
      </c>
      <c r="F10361">
        <f>HYPERLINK("https://www.reddit.com/r/GERD/comments/iegtyj/lpr_mornings/")</f>
        <v/>
      </c>
      <c r="G10361" t="inlineStr">
        <is>
          <t>2020-08-22 04:26:17</t>
        </is>
      </c>
      <c r="H10361" t="inlineStr"/>
    </row>
    <row r="10362">
      <c r="A10362" t="inlineStr">
        <is>
          <t>iei1xm</t>
        </is>
      </c>
      <c r="B10362" t="inlineStr">
        <is>
          <t>How does Gerd Feels like</t>
        </is>
      </c>
      <c r="C10362" t="inlineStr">
        <is>
          <t>People who have Gerd How does it feels in the epigastric Region for me 
I feel a Knot or Bulge like in the epigastric Region it completely movable and soft When I am hungry or eat Spicy food its pain there last an Hour and goes off 
My question is Can this be Gerd or something more serious Have anyone with Gerd Experience such Knot or Bulge like 
Sorry if it doesn't make sense its kinda Freaking me out</t>
        </is>
      </c>
      <c r="D10362" t="n">
        <v>1</v>
      </c>
      <c r="E10362" t="n">
        <v>0</v>
      </c>
      <c r="F10362">
        <f>HYPERLINK("https://www.reddit.com/r/GERD/comments/iei1xm/how_does_gerd_feels_like/")</f>
        <v/>
      </c>
      <c r="G10362" t="inlineStr">
        <is>
          <t>2020-08-22 06:03:28</t>
        </is>
      </c>
      <c r="H10362" t="inlineStr"/>
    </row>
    <row r="10363">
      <c r="A10363" t="inlineStr">
        <is>
          <t>iei5r5</t>
        </is>
      </c>
      <c r="B10363" t="inlineStr">
        <is>
          <t>What's next? - Not diagnosed</t>
        </is>
      </c>
      <c r="C10363" t="inlineStr">
        <is>
          <t>Background: 19M, healthy weight, no smoking, very little alcohol,
Coming up on 6 weeks omeprazole with diet/lifestyle changes. 
So right now my omeprazole is about to finish soon. It helped, but I still get symptoms after trigger foods. I think right now I can tolerate quite a few things, however stuff like the basic GERD triggers still get me. Symptoms right now tend to be burping and sore throat especially after trigger foods. 
I've also decided to cut down my belly fat (bodyfat seems to be around 20%). I think it's probably helped a little and I'm hoping to continue losing it. Started walking more and I chew my food way more. I started drinking kefir and Ginger tea in the mornings. Also got a wedge pillow.
I'm going to call my GP soon to see what he says. I'll let him know that I still get symptoms after trigger foods. 
To be honest my symptoms are pretty mild so I have it good compared it others and I am grateful that this community exists, otherwise I probably wouldn't have acted quickly enough. 
I don't really have plans to continue on omeprazole. I can get gaviscon easily so I probably rely on that when symptoms get bad. For now I'm going to continue trying to find my triggers and hopefully make more diet changes. 
What I'm not sure about right now is how I'm supposed get officially diagnosed. I know about the H Pylori tests but don't really know anything else. I probably won't be able to get an endoscopy because my symptoms are mild. So what's next after this. Do I assume I have GERD and continue on or do I try and get some tests done. Also will I need to wean off omeprazole?
Cheers!</t>
        </is>
      </c>
      <c r="D10363" t="n">
        <v>1</v>
      </c>
      <c r="E10363" t="n">
        <v>1</v>
      </c>
      <c r="F10363">
        <f>HYPERLINK("https://www.reddit.com/r/GERD/comments/iei5r5/whats_next_not_diagnosed/")</f>
        <v/>
      </c>
      <c r="G10363" t="inlineStr">
        <is>
          <t>2020-08-22 06:10:22</t>
        </is>
      </c>
      <c r="H10363" t="inlineStr"/>
    </row>
    <row r="10364">
      <c r="A10364" t="inlineStr">
        <is>
          <t>ieihcv</t>
        </is>
      </c>
      <c r="B10364" t="inlineStr">
        <is>
          <t>Is my GERD from low or high acid?</t>
        </is>
      </c>
      <c r="C10364" t="inlineStr">
        <is>
          <t>Drank 2 big glasses of oj daily for 4 years.  One day rushed to ER for heart attack scare. Was just acid. Do you think I have too much or to little acid? I've quit oj for 8 months now and it's hardly any better.  Every night I lay down and it's torture.</t>
        </is>
      </c>
      <c r="D10364" t="n">
        <v>1</v>
      </c>
      <c r="E10364" t="n">
        <v>6</v>
      </c>
      <c r="F10364">
        <f>HYPERLINK("https://www.reddit.com/r/GERD/comments/ieihcv/is_my_gerd_from_low_or_high_acid/")</f>
        <v/>
      </c>
      <c r="G10364" t="inlineStr">
        <is>
          <t>2020-08-22 06:31:22</t>
        </is>
      </c>
      <c r="H10364" t="inlineStr"/>
    </row>
    <row r="10365">
      <c r="A10365" t="inlineStr">
        <is>
          <t>ieju8u</t>
        </is>
      </c>
      <c r="B10365" t="inlineStr">
        <is>
          <t>Pain in chest swallowing after endoscopy</t>
        </is>
      </c>
      <c r="C10365" t="inlineStr">
        <is>
          <t>Hey so I’m 17m and had an endoscopy with biopsy performed yesterday. Doctor said it looked good. But now every time I swallow I get a really uncomfortable sharp pain around the sternum, seemingly when the thing passes that area. Was just wondering if this is normal from the biopsy maybe?</t>
        </is>
      </c>
      <c r="D10365" t="n">
        <v>1</v>
      </c>
      <c r="E10365" t="n">
        <v>5</v>
      </c>
      <c r="F10365">
        <f>HYPERLINK("https://www.reddit.com/r/GERD/comments/ieju8u/pain_in_chest_swallowing_after_endoscopy/")</f>
        <v/>
      </c>
      <c r="G10365" t="inlineStr">
        <is>
          <t>2020-08-22 07:55:28</t>
        </is>
      </c>
      <c r="H10365" t="inlineStr"/>
    </row>
    <row r="10366">
      <c r="A10366" t="inlineStr">
        <is>
          <t>iekf8l</t>
        </is>
      </c>
      <c r="B10366" t="inlineStr">
        <is>
          <t>My chest hurts for no reason</t>
        </is>
      </c>
      <c r="C10366" t="inlineStr">
        <is>
          <t>Am a 23M that's had GERD  since February and it had gotten worse but I knew how to control it now. But for some reason my chest starts feeling like like it hurts, in the past I avoided certain acidic foods, once my chest started feeling like this I only ate 2 meals a day before that I ate some snacks and candies. Might that be the cause of my chest pain or is my condition getting worse?
Right now am feeling like i could have a heart attack any moment, am currently drinking water with a bit baking soda. Any advise please</t>
        </is>
      </c>
      <c r="D10366" t="n">
        <v>1</v>
      </c>
      <c r="E10366" t="n">
        <v>3</v>
      </c>
      <c r="F10366">
        <f>HYPERLINK("https://www.reddit.com/r/GERD/comments/iekf8l/my_chest_hurts_for_no_reason/")</f>
        <v/>
      </c>
      <c r="G10366" t="inlineStr">
        <is>
          <t>2020-08-22 08:29:35</t>
        </is>
      </c>
      <c r="H10366" t="inlineStr"/>
    </row>
    <row r="10367">
      <c r="A10367" t="inlineStr">
        <is>
          <t>ielakn</t>
        </is>
      </c>
      <c r="B10367" t="inlineStr">
        <is>
          <t>Nizatidine Availability</t>
        </is>
      </c>
      <c r="C10367" t="inlineStr">
        <is>
          <t>Hey all. I used to take ranitidine which got me to the point where I only needed it occasionally, but then it was recalled. I unfortunately, every other GERD medication available either makes me sick or horribly constipated, except nizatidine. I see that certain batches were recalled. Does that mean the drug is no longer available? I was trying to refill my prescription when the pharmacist says their supplier no longer has it available. Does anyone know of all possible GERD medications? Is it available over the counter somewhere?
I’m a bit afraid of nizatidine disappearing like my other miracle drug. Even when I follow my diet, things still go wrong. Thank you for any advice.</t>
        </is>
      </c>
      <c r="D10367" t="n">
        <v>1</v>
      </c>
      <c r="E10367" t="n">
        <v>4</v>
      </c>
      <c r="F10367">
        <f>HYPERLINK("https://www.reddit.com/r/GERD/comments/ielakn/nizatidine_availability/")</f>
        <v/>
      </c>
      <c r="G10367" t="inlineStr">
        <is>
          <t>2020-08-22 09:18:01</t>
        </is>
      </c>
      <c r="H10367" t="inlineStr"/>
    </row>
    <row r="10368">
      <c r="A10368" t="inlineStr">
        <is>
          <t>ielmgj</t>
        </is>
      </c>
      <c r="B10368" t="inlineStr">
        <is>
          <t>Gerd?</t>
        </is>
      </c>
      <c r="C10368" t="inlineStr">
        <is>
          <t>Hi, 
&amp;amp;#x200B;
I am a 25 year old male. I drink and smoke (stopped 2 weeks ago)
I have been having a range of symptoms for the past 2 months and wanted some advice. 
It all started a month ago when I had panic attacks. This happened twice. Both times after eating. 
I had severe bloating, pain in abdomen, ibs like symptoms  for a month which has now subsided but now i am having difficulty swallowing and i feel like there is something stuck in my throat, it feels as if there is like a gas pocket at the bottom of my throat. i am also burping very very excessively and sometimes i am burping to try and get that "gas pocket out" (it does relieve it a littlle). I have also had a sore throat and i can see that the back of my mouth is inflammed on one side. 
I have been taking omprezole for the past 2 months but this is not helped my symptoms much. I don't know what to do. I feel very fatigued and tired and upset that i cant or drink the way i used to.  Please can someone advise me as to what to do??</t>
        </is>
      </c>
      <c r="D10368" t="n">
        <v>1</v>
      </c>
      <c r="E10368" t="n">
        <v>12</v>
      </c>
      <c r="F10368">
        <f>HYPERLINK("https://www.reddit.com/r/GERD/comments/ielmgj/gerd/")</f>
        <v/>
      </c>
      <c r="G10368" t="inlineStr">
        <is>
          <t>2020-08-22 09:36:37</t>
        </is>
      </c>
      <c r="H10368" t="inlineStr"/>
    </row>
    <row r="10369">
      <c r="A10369" t="inlineStr">
        <is>
          <t>ielolw</t>
        </is>
      </c>
      <c r="B10369" t="inlineStr">
        <is>
          <t>Struggling on what to eat</t>
        </is>
      </c>
      <c r="C10369" t="inlineStr">
        <is>
          <t>New to this, was told I have a ton of acid in my stomach over the quarantine. Experienced symptoms back in February with awful heartburn daily. 
Eventually it turned to nausea and lack of appetite. 
Now I’m on a PPI for 2 months (1 month in) and I’m struggling to find meals that I like to eat. I normally cook with a lot of spices (pepper, garlic etc) and I’m struggling on what to eat. I’m pretty picky but I have a ton of meals that I cook normally but aren’t GERD friendly. I love my pastas with meat sauce, pizza, chicken fingers, fries, Mexican food, Chinese food, salads with dressing and veggies, burgers, soups etc. 
I’m just struggling and if anyone out there has any tips of what they do please let me know lol I don’t want to be eating plain pasta, rice, chicken etc for the rest of my life lol so boring</t>
        </is>
      </c>
      <c r="D10369" t="n">
        <v>1</v>
      </c>
      <c r="E10369" t="n">
        <v>17</v>
      </c>
      <c r="F10369">
        <f>HYPERLINK("https://www.reddit.com/r/GERD/comments/ielolw/struggling_on_what_to_eat/")</f>
        <v/>
      </c>
      <c r="G10369" t="inlineStr">
        <is>
          <t>2020-08-22 09:39:59</t>
        </is>
      </c>
      <c r="H10369" t="inlineStr"/>
    </row>
    <row r="10370">
      <c r="A10370" t="inlineStr">
        <is>
          <t>ien4xb</t>
        </is>
      </c>
      <c r="B10370" t="inlineStr">
        <is>
          <t>Anything that helps bloating and bleaching</t>
        </is>
      </c>
      <c r="C10370" t="inlineStr">
        <is>
          <t>Im currently waiting on an appointment to the gi doctor and I’m currently dealing with the worst bloating and burping issues of my life. I’ve been taking gas x at its maximum strength and 40mg Protonix twice a day.  
The only thing I can take without making it worst is water and because of that I’ve been losing weight pretty rapidly.  Is there anything else I could potentially talking to relieve this feeling. My appointment is three weeks from now so I really don’t want to live in hell until then.</t>
        </is>
      </c>
      <c r="D10370" t="n">
        <v>1</v>
      </c>
      <c r="E10370" t="n">
        <v>5</v>
      </c>
      <c r="F10370">
        <f>HYPERLINK("https://www.reddit.com/r/GERD/comments/ien4xb/anything_that_helps_bloating_and_bleaching/")</f>
        <v/>
      </c>
      <c r="G10370" t="inlineStr">
        <is>
          <t>2020-08-22 10:59:21</t>
        </is>
      </c>
      <c r="H10370" t="inlineStr"/>
    </row>
    <row r="10371">
      <c r="A10371" t="inlineStr">
        <is>
          <t>ienork</t>
        </is>
      </c>
      <c r="B10371" t="inlineStr">
        <is>
          <t>Anyone try smoking with GERD?</t>
        </is>
      </c>
      <c r="C10371" t="inlineStr">
        <is>
          <t>It feels like I could doo it but it just burns so much. I’m not looking for a stop smoking comment but has anyone eased that pain?</t>
        </is>
      </c>
      <c r="D10371" t="n">
        <v>1</v>
      </c>
      <c r="E10371" t="n">
        <v>13</v>
      </c>
      <c r="F10371">
        <f>HYPERLINK("https://www.reddit.com/r/GERD/comments/ienork/anyone_try_smoking_with_gerd/")</f>
        <v/>
      </c>
      <c r="G10371" t="inlineStr">
        <is>
          <t>2020-08-22 11:29:22</t>
        </is>
      </c>
      <c r="H10371" t="inlineStr"/>
    </row>
    <row r="10372">
      <c r="A10372" t="inlineStr">
        <is>
          <t>ieo5ay</t>
        </is>
      </c>
      <c r="B10372" t="inlineStr">
        <is>
          <t>Reflux episode</t>
        </is>
      </c>
      <c r="C10372" t="inlineStr">
        <is>
          <t>Had another episode of reflux and my blood pressure went up to 150/100 then got back to 120/80 after a short time. Am I the only one who experiences this</t>
        </is>
      </c>
      <c r="D10372" t="n">
        <v>1</v>
      </c>
      <c r="E10372" t="n">
        <v>5</v>
      </c>
      <c r="F10372">
        <f>HYPERLINK("https://www.reddit.com/r/GERD/comments/ieo5ay/reflux_episode/")</f>
        <v/>
      </c>
      <c r="G10372" t="inlineStr">
        <is>
          <t>2020-08-22 11:54:44</t>
        </is>
      </c>
      <c r="H10372" t="inlineStr"/>
    </row>
    <row r="10373">
      <c r="A10373" t="inlineStr">
        <is>
          <t>ieobao</t>
        </is>
      </c>
      <c r="B10373" t="inlineStr">
        <is>
          <t>How long can you take Gaviscon Advance?</t>
        </is>
      </c>
      <c r="C10373" t="inlineStr">
        <is>
          <t>Is it okay to use it a few months (daily 2-3 times)?
Any experiences?</t>
        </is>
      </c>
      <c r="D10373" t="n">
        <v>1</v>
      </c>
      <c r="E10373" t="n">
        <v>1</v>
      </c>
      <c r="F10373">
        <f>HYPERLINK("https://www.reddit.com/r/GERD/comments/ieobao/how_long_can_you_take_gaviscon_advance/")</f>
        <v/>
      </c>
      <c r="G10373" t="inlineStr">
        <is>
          <t>2020-08-22 12:04:18</t>
        </is>
      </c>
      <c r="H10373" t="inlineStr"/>
    </row>
    <row r="10374">
      <c r="A10374" t="inlineStr">
        <is>
          <t>ieoto1</t>
        </is>
      </c>
      <c r="B10374" t="inlineStr">
        <is>
          <t>PPI muscle aches</t>
        </is>
      </c>
      <c r="C10374" t="inlineStr">
        <is>
          <t>Anyone else get muscle fatigue and pain from PPIs? That normal?</t>
        </is>
      </c>
      <c r="D10374" t="n">
        <v>1</v>
      </c>
      <c r="E10374" t="n">
        <v>17</v>
      </c>
      <c r="F10374">
        <f>HYPERLINK("https://www.reddit.com/r/GERD/comments/ieoto1/ppi_muscle_aches/")</f>
        <v/>
      </c>
      <c r="G10374" t="inlineStr">
        <is>
          <t>2020-08-22 12:32:45</t>
        </is>
      </c>
      <c r="H10374" t="inlineStr"/>
    </row>
    <row r="10375">
      <c r="A10375" t="inlineStr">
        <is>
          <t>ieovmy</t>
        </is>
      </c>
      <c r="B10375" t="inlineStr">
        <is>
          <t>Stretta Procedure for GERD cure?</t>
        </is>
      </c>
      <c r="C10375" t="inlineStr">
        <is>
          <t>Hello!
Im 28 years old, Skinny ass white dude (like 130lbs). 
I have constant regurgitation and acid refluc problems. I take 40mg of esomeprozal every mourning. 
Has anyone with a similar profile to me undergone the Stretta Procedure to cure GERD? It looks really hopeful and like a better alternative to the surgery?
Thanks homies,
Roshi</t>
        </is>
      </c>
      <c r="D10375" t="n">
        <v>1</v>
      </c>
      <c r="E10375" t="n">
        <v>7</v>
      </c>
      <c r="F10375">
        <f>HYPERLINK("https://www.reddit.com/r/GERD/comments/ieovmy/stretta_procedure_for_gerd_cure/")</f>
        <v/>
      </c>
      <c r="G10375" t="inlineStr">
        <is>
          <t>2020-08-22 12:35:41</t>
        </is>
      </c>
      <c r="H10375" t="inlineStr"/>
    </row>
    <row r="10376">
      <c r="A10376" t="inlineStr">
        <is>
          <t>iepdn3</t>
        </is>
      </c>
      <c r="B10376" t="inlineStr">
        <is>
          <t>Maalox</t>
        </is>
      </c>
      <c r="C10376" t="inlineStr">
        <is>
          <t>The Maalox nighttime used to work so well, sure wish they would bring it back . Was so effective at blocking nighttime reflux.</t>
        </is>
      </c>
      <c r="D10376" t="n">
        <v>1</v>
      </c>
      <c r="E10376" t="n">
        <v>5</v>
      </c>
      <c r="F10376">
        <f>HYPERLINK("https://www.reddit.com/r/GERD/comments/iepdn3/maalox/")</f>
        <v/>
      </c>
      <c r="G10376" t="inlineStr">
        <is>
          <t>2020-08-22 13:02:56</t>
        </is>
      </c>
      <c r="H10376" t="inlineStr"/>
    </row>
    <row r="10377">
      <c r="A10377" t="inlineStr">
        <is>
          <t>ieporg</t>
        </is>
      </c>
      <c r="B10377" t="inlineStr">
        <is>
          <t>PPI withdrawal and unsure what to try next</t>
        </is>
      </c>
      <c r="C10377" t="inlineStr">
        <is>
          <t>I stopped pantoprazole/Protonix and then a couple weeks later had INSANELY severe heartburn. I started the pantoprazole again for a week and that got the heart burn under control, but I stopped it again and my GI Dr switched me to famotidine/Pepcid 40mg at night. The heartburn was gone from that week of re starting pantoprazole but then I started having stinging and burning in my throat/tongue/nostrils and insane nausea and burning in my stomach like my stomach was going to explode, so I was popping Tums all day. That initial burst of crazy heart burn had passed, but I was still miserable with all these other symptoms. Since I was still miserable during the day and taking Tums constantly, my primary Dr adjusted the Pepcid 40mg to night and day instead of just night time, which is what I’ve been on and I eventually stopped needing the Tums for the most part but I have to sleep with a wedge pillow under my mattress (causes neck and back pain) or else my throat feels swollen/uncomfortable in the morning. 
Well, now I just learned that pepcid/famotidine/h2 blockers and even antacids like Tums also cause withdrawal in exactly the same way, they cause rebound acid hyper secretin. So now I feel stuck on the Pepcid 40mg twice a day. When I try to go down to 20mg I have nausea and the really bad pain in my stomach like it’s going to explode with sour acid, and the stinging in my throat and tongue and burning in my nostrils. 40mg twice a day is an unusually high dose and you’re not supposed to be on it long term from what I read so I want to get off of it asap.
I read about Gaviscon Advance but that’s expensive and time consuming to get from the UK and it sounds like it just protects the acid from going up to your esophagus by creating the barrier, but it’s not clear whether it neutralize the acid in your stomach, which I really need. Also I read that when you eat or drink it messes up the barrier. I have dehydration problems and I drink water constantly and I also have issues to where I kind of have to eat snacks and small meals all day so it just sounds stressful to have to worry about taking that and not messing up the barrier that it provides. Seems like I wouldn't be able to reap the benefits.
I thought I would step down to the 20mg Pepcid, then 10mg, then 5mg until I could eventually get off of it, and use Tums to help with the rebound of lowering the pepcid, but Tums themselves cause rebound acid hyper secretion. So if PPIs, H2 blockers, and antacids, all cause rebound acid hyper secretion, how do I ever get off them by using one to get off of the other? None of the doctors or pharmacists take it seriously when I talk about PPI withdrawal, most out right don’t believe in it and they don’t seem to grasp the severity of my symptoms, that’s why I’m trying to figure this out myself.</t>
        </is>
      </c>
      <c r="D10377" t="n">
        <v>1</v>
      </c>
      <c r="E10377" t="n">
        <v>2</v>
      </c>
      <c r="F10377">
        <f>HYPERLINK("https://www.reddit.com/r/GERD/comments/ieporg/ppi_withdrawal_and_unsure_what_to_try_next/")</f>
        <v/>
      </c>
      <c r="G10377" t="inlineStr">
        <is>
          <t>2020-08-22 13:20:35</t>
        </is>
      </c>
      <c r="H10377" t="inlineStr"/>
    </row>
    <row r="10378">
      <c r="A10378" t="inlineStr">
        <is>
          <t>ieqawd</t>
        </is>
      </c>
      <c r="B10378" t="inlineStr">
        <is>
          <t>Best PPI?</t>
        </is>
      </c>
      <c r="C10378" t="inlineStr">
        <is>
          <t>Best H2 blocker/PPI?
I’ve taken them on and off since I was a child but most recently it was Zantac. Unfortunately had to stop due to the link it has to cancer. Deff need to get back on one, my symptoms are getting really pervasive despite my other medications. Which one are you on/would you recommend, and what side effects have you had if any? I get really extreme anxiety starting new meds and because I haven’t taken another brand besides Zantac in so long I feel really apprehensive. Thanks!</t>
        </is>
      </c>
      <c r="D10378" t="n">
        <v>1</v>
      </c>
      <c r="E10378" t="n">
        <v>8</v>
      </c>
      <c r="F10378">
        <f>HYPERLINK("https://www.reddit.com/r/GERD/comments/ieqawd/best_ppi/")</f>
        <v/>
      </c>
      <c r="G10378" t="inlineStr">
        <is>
          <t>2020-08-22 13:57:42</t>
        </is>
      </c>
      <c r="H10378" t="inlineStr"/>
    </row>
    <row r="10379">
      <c r="A10379" t="inlineStr">
        <is>
          <t>ieqm6e</t>
        </is>
      </c>
      <c r="B10379" t="inlineStr">
        <is>
          <t>Try probiotics!</t>
        </is>
      </c>
      <c r="C10379" t="inlineStr">
        <is>
          <t>This is completely anecdotal, but after years of constant GERD, I discovered that probiotics helped. I should also note that in addition to GERD, I would get occasional flareups of mild candida infections, that I'd have to take antifungals for.
Well I finally started taking probiotics instead, which helped not only my candida problem but seemed to eliminate my GERD.  Now, instead of probiotics I brew my own kombucha and drink 2 pints a day. It's even paradoxical because kombucha can get pretty acidic. I haven't had a GERD flareup since, with the exception of the few times I discontinued probiotics and/or fermented foods.
Is it a magic bullet?  I have no idea and would need to see the research. But since you have absolutely nothing to lose by taking probiotics, it's worth a try!</t>
        </is>
      </c>
      <c r="D10379" t="n">
        <v>1</v>
      </c>
      <c r="E10379" t="n">
        <v>32</v>
      </c>
      <c r="F10379">
        <f>HYPERLINK("https://www.reddit.com/r/GERD/comments/ieqm6e/try_probiotics/")</f>
        <v/>
      </c>
      <c r="G10379" t="inlineStr">
        <is>
          <t>2020-08-22 14:16:01</t>
        </is>
      </c>
      <c r="H10379" t="inlineStr"/>
    </row>
    <row r="10380">
      <c r="A10380" t="inlineStr">
        <is>
          <t>ies0fu</t>
        </is>
      </c>
      <c r="B10380" t="inlineStr">
        <is>
          <t>PPI Pins and needles</t>
        </is>
      </c>
      <c r="C10380" t="inlineStr">
        <is>
          <t>Anyone get the pins and needles sensation from taking ppi's? I've taken esomeprazole for about a month and a half now and lately i've noticed those pins and needles and tingling in my extermities and sometimes other parts of my body. Read about it being a side effect of the medication but i'd like to hear from your experiences.</t>
        </is>
      </c>
      <c r="D10380" t="n">
        <v>1</v>
      </c>
      <c r="E10380" t="n">
        <v>6</v>
      </c>
      <c r="F10380">
        <f>HYPERLINK("https://www.reddit.com/r/GERD/comments/ies0fu/ppi_pins_and_needles/")</f>
        <v/>
      </c>
      <c r="G10380" t="inlineStr">
        <is>
          <t>2020-08-22 15:37:41</t>
        </is>
      </c>
      <c r="H10380" t="inlineStr"/>
    </row>
    <row r="10381">
      <c r="A10381" t="inlineStr">
        <is>
          <t>iesehu</t>
        </is>
      </c>
      <c r="B10381" t="inlineStr">
        <is>
          <t>Does anyone know what specifically in chocolate makes a lot of peoples' GERD react?</t>
        </is>
      </c>
      <c r="C10381" t="inlineStr">
        <is>
          <t>I am especially sensitive to chocolate but haven't tested whether it's the cocoa or if it's the dairy and sugar or some other combo.</t>
        </is>
      </c>
      <c r="D10381" t="n">
        <v>1</v>
      </c>
      <c r="E10381" t="n">
        <v>6</v>
      </c>
      <c r="F10381">
        <f>HYPERLINK("https://www.reddit.com/r/GERD/comments/iesehu/does_anyone_know_what_specifically_in_chocolate/")</f>
        <v/>
      </c>
      <c r="G10381" t="inlineStr">
        <is>
          <t>2020-08-22 16:01:01</t>
        </is>
      </c>
      <c r="H10381" t="inlineStr"/>
    </row>
    <row r="10382">
      <c r="A10382" t="inlineStr">
        <is>
          <t>ietgow</t>
        </is>
      </c>
      <c r="B10382" t="inlineStr">
        <is>
          <t>Someone give me some insight</t>
        </is>
      </c>
      <c r="C10382" t="inlineStr">
        <is>
          <t>So it’s been a week of pain. I’ve never had heart burn this bad.. I can’t eat anything. A tiny bite of anytype of food inflames me and it hurts so bad I just haven’t been eating
I went to the ER and they gave me pills for heartburn/stomach ulcers. This was 3 days ago and it’s just gotten worse
I feel like my boyfriend thinks I’m being dramatic and so do my co workers. I literally can’t consume anything without being in pain :(
Do I continue to wait it out?</t>
        </is>
      </c>
      <c r="D10382" t="n">
        <v>1</v>
      </c>
      <c r="E10382" t="n">
        <v>2</v>
      </c>
      <c r="F10382">
        <f>HYPERLINK("https://www.reddit.com/r/GERD/comments/ietgow/someone_give_me_some_insight/")</f>
        <v/>
      </c>
      <c r="G10382" t="inlineStr">
        <is>
          <t>2020-08-22 17:09:17</t>
        </is>
      </c>
      <c r="H10382" t="inlineStr"/>
    </row>
    <row r="10383">
      <c r="A10383" t="inlineStr">
        <is>
          <t>ieugws</t>
        </is>
      </c>
      <c r="B10383" t="inlineStr">
        <is>
          <t>Palpations</t>
        </is>
      </c>
      <c r="C10383" t="inlineStr">
        <is>
          <t>Anyone else getting palpitations from PPIS</t>
        </is>
      </c>
      <c r="D10383" t="n">
        <v>1</v>
      </c>
      <c r="E10383" t="n">
        <v>6</v>
      </c>
      <c r="F10383">
        <f>HYPERLINK("https://www.reddit.com/r/GERD/comments/ieugws/palpations/")</f>
        <v/>
      </c>
      <c r="G10383" t="inlineStr">
        <is>
          <t>2020-08-22 18:16:38</t>
        </is>
      </c>
      <c r="H10383" t="inlineStr"/>
    </row>
    <row r="10384">
      <c r="A10384" t="inlineStr">
        <is>
          <t>ieuqw3</t>
        </is>
      </c>
      <c r="B10384" t="inlineStr">
        <is>
          <t>Heat sensitive or intolerant</t>
        </is>
      </c>
      <c r="C10384" t="inlineStr">
        <is>
          <t>Anyone else having a hard time during the summer months?
Some days I can be outside in the heat and be ok.
Most days it makes my reflux so much worse and I sweat just standing still and get nauseous and my heart is pounding. It's like theres heat on the inside and outside of my body and it makes me sick.
Anyone else get this too??</t>
        </is>
      </c>
      <c r="D10384" t="n">
        <v>1</v>
      </c>
      <c r="E10384" t="n">
        <v>4</v>
      </c>
      <c r="F10384">
        <f>HYPERLINK("https://www.reddit.com/r/GERD/comments/ieuqw3/heat_sensitive_or_intolerant/")</f>
        <v/>
      </c>
      <c r="G10384" t="inlineStr">
        <is>
          <t>2020-08-22 18:36:24</t>
        </is>
      </c>
      <c r="H10384" t="inlineStr"/>
    </row>
    <row r="10385">
      <c r="A10385" t="inlineStr">
        <is>
          <t>ieyd47</t>
        </is>
      </c>
      <c r="B10385" t="inlineStr">
        <is>
          <t>Did it worsen?</t>
        </is>
      </c>
      <c r="C10385" t="inlineStr">
        <is>
          <t>Hey guys so I recently made a post here a while back and I've started to notice a few things that haven't really occurred in the past. despite shortness of breath, I noticed its kinda difficult to swallow sometimes (I'd rate it a 4 out of 10) and I kind of get scared by it? something I've also noticed was my appetite. I can usually finish a plate of food but recently I've been eating at least a fairly small portion of my meals so I'd be saving them for later them attempting to eat again when I'm hungry.. Is this normal? what do I do?</t>
        </is>
      </c>
      <c r="D10385" t="n">
        <v>1</v>
      </c>
      <c r="E10385" t="n">
        <v>6</v>
      </c>
      <c r="F10385">
        <f>HYPERLINK("https://www.reddit.com/r/GERD/comments/ieyd47/did_it_worsen/")</f>
        <v/>
      </c>
      <c r="G10385" t="inlineStr">
        <is>
          <t>2020-08-22 23:20:21</t>
        </is>
      </c>
      <c r="H10385" t="inlineStr"/>
    </row>
    <row r="10386">
      <c r="A10386" t="inlineStr">
        <is>
          <t>iezrzu</t>
        </is>
      </c>
      <c r="B10386" t="inlineStr">
        <is>
          <t>Stomach-Heart Correlation</t>
        </is>
      </c>
      <c r="C10386" t="inlineStr">
        <is>
          <t>Is there a correlation between having GERD and having spikes in the blood pressure and heart rate? If so is it possible that in order to treat the spikes in the heart rate and blood pressure the GERD must first be fully addressed. Any thoughts on this guys?</t>
        </is>
      </c>
      <c r="D10386" t="n">
        <v>1</v>
      </c>
      <c r="E10386" t="n">
        <v>17</v>
      </c>
      <c r="F10386">
        <f>HYPERLINK("https://www.reddit.com/r/GERD/comments/iezrzu/stomachheart_correlation/")</f>
        <v/>
      </c>
      <c r="G10386" t="inlineStr">
        <is>
          <t>2020-08-23 01:33:49</t>
        </is>
      </c>
      <c r="H10386" t="inlineStr"/>
    </row>
    <row r="10387">
      <c r="A10387" t="inlineStr">
        <is>
          <t>if0l8b</t>
        </is>
      </c>
      <c r="B10387" t="inlineStr">
        <is>
          <t>How to manage shortness of breath caused by GERD</t>
        </is>
      </c>
      <c r="C10387" t="inlineStr">
        <is>
          <t>Hey guys, I've been diagnosed with esophagitis, gastritis, a small hiatal hernia, and GERD. I can literally deal with any other symptoms but shortness of breath. Ive been living with this for around 5 months now and I've sort of learned to live with shortness of breath, but my anxiety still jumps over the roof when i have flare ups which makes me gasp for air. For those who experience shortness of breath, how do you guys manage it or cope with it?</t>
        </is>
      </c>
      <c r="D10387" t="n">
        <v>1</v>
      </c>
      <c r="E10387" t="n">
        <v>6</v>
      </c>
      <c r="F10387">
        <f>HYPERLINK("https://www.reddit.com/r/GERD/comments/if0l8b/how_to_manage_shortness_of_breath_caused_by_gerd/")</f>
        <v/>
      </c>
      <c r="G10387" t="inlineStr">
        <is>
          <t>2020-08-23 02:52:29</t>
        </is>
      </c>
      <c r="H10387" t="inlineStr"/>
    </row>
    <row r="10388">
      <c r="A10388" t="inlineStr">
        <is>
          <t>if1d2e</t>
        </is>
      </c>
      <c r="B10388" t="inlineStr">
        <is>
          <t>Liquid gaviscon tastes REALLY bitter towards the end? Anyone else?</t>
        </is>
      </c>
      <c r="C10388" t="inlineStr">
        <is>
          <t>It says "shake well" before use but there's nothing left to shake. These are the last drops at the bottom of the bottle. It tastes like chewing on an aspirin.  The stuff tasted fine when I first opened them, but over the weeks they've gone bad maybe? Or maybe the dregs on the bottom are more concentrated? I have both flavors and they have turned equally nasty. I do not drink directly from the bottle so there is no mouth bacteria to worry about.
I am wondering if it's a bad idea to ingest these nasty last drops,  because I rely on the stuff and the replacement bottle doesn't arrive for another day.</t>
        </is>
      </c>
      <c r="D10388" t="n">
        <v>1</v>
      </c>
      <c r="E10388" t="n">
        <v>0</v>
      </c>
      <c r="F10388">
        <f>HYPERLINK("https://www.reddit.com/r/GERD/comments/if1d2e/liquid_gaviscon_tastes_really_bitter_towards_the/")</f>
        <v/>
      </c>
      <c r="G10388" t="inlineStr">
        <is>
          <t>2020-08-23 04:06:17</t>
        </is>
      </c>
      <c r="H10388" t="inlineStr"/>
    </row>
    <row r="10389">
      <c r="A10389" t="inlineStr">
        <is>
          <t>if1pid</t>
        </is>
      </c>
      <c r="B10389" t="inlineStr">
        <is>
          <t>Here is a replead to try no carb if you haven't already</t>
        </is>
      </c>
      <c r="C10389" t="inlineStr">
        <is>
          <t>Carnivore diet practically made my 5 year reflux go away. I was on it for about a month, keto after.
Now I try for whole foods diet. Can even introduce chocolate and shit without notable reflux.</t>
        </is>
      </c>
      <c r="D10389" t="n">
        <v>1</v>
      </c>
      <c r="E10389" t="n">
        <v>15</v>
      </c>
      <c r="F10389">
        <f>HYPERLINK("https://www.reddit.com/r/GERD/comments/if1pid/here_is_a_replead_to_try_no_carb_if_you_havent/")</f>
        <v/>
      </c>
      <c r="G10389" t="inlineStr">
        <is>
          <t>2020-08-23 04:37:52</t>
        </is>
      </c>
      <c r="H10389" t="inlineStr"/>
    </row>
    <row r="10390">
      <c r="A10390" t="inlineStr">
        <is>
          <t>if1y6g</t>
        </is>
      </c>
      <c r="B10390" t="inlineStr">
        <is>
          <t>BURPING WHOLE DAY</t>
        </is>
      </c>
      <c r="C10390" t="inlineStr">
        <is>
          <t>BURPING WHOLE DAY
Hi! So I’ve been searching the net if I have GERD and seems like my experiences fit in the symptoms I see in the internet. 
Does anyone of you who have already been diagnosed with GERD experienced these:
- burping constantly (for almost whole day) but MORE INTENSE after eating
- shortness of breath but becomes relieved after burping
- i feel perfectly fine after waking up in the morning but once I drink my coffee, the burping starts again
- i tried not to drink coffee for a day but the burping is still there
PLEASE LET ME KNOW IF YOU HAVE EXPERIENCED THESE AS GERD SYMPTOMS 😭It’s really hard to see a doctor here now</t>
        </is>
      </c>
      <c r="D10390" t="n">
        <v>1</v>
      </c>
      <c r="E10390" t="n">
        <v>12</v>
      </c>
      <c r="F10390">
        <f>HYPERLINK("https://www.reddit.com/r/GERD/comments/if1y6g/burping_whole_day/")</f>
        <v/>
      </c>
      <c r="G10390" t="inlineStr">
        <is>
          <t>2020-08-23 04:59:04</t>
        </is>
      </c>
      <c r="H10390" t="inlineStr"/>
    </row>
    <row r="10391">
      <c r="A10391" t="inlineStr">
        <is>
          <t>if20p1</t>
        </is>
      </c>
      <c r="B10391" t="inlineStr">
        <is>
          <t>Korean study of 132 000 people shows that current use of Proton Pump Inhibitors (PPI) may lead to 79% greater risk of severe clinical outcomes of COVID-19</t>
        </is>
      </c>
      <c r="C10391" t="inlineStr">
        <is>
          <t>Published in the British Medical Journal:
[https://gut.bmj.com/content/early/2020/07/30/gutjnl-2020-322248.full](https://gut.bmj.com/content/early/2020/07/30/gutjnl-2020-322248.full)
Basically almost a doubled risk of severe outcome. :(
Well I'm not gonna ditch my PPIs. But all the more reason for me to keep up with taking my vitamins.</t>
        </is>
      </c>
      <c r="D10391" t="n">
        <v>1</v>
      </c>
      <c r="E10391" t="n">
        <v>39</v>
      </c>
      <c r="F10391">
        <f>HYPERLINK("https://www.reddit.com/r/GERD/comments/if20p1/korean_study_of_132_000_people_shows_that_current/")</f>
        <v/>
      </c>
      <c r="G10391" t="inlineStr">
        <is>
          <t>2020-08-23 05:04:26</t>
        </is>
      </c>
      <c r="H10391" t="inlineStr"/>
    </row>
    <row r="10392">
      <c r="A10392" t="inlineStr">
        <is>
          <t>if2t8e</t>
        </is>
      </c>
      <c r="B10392" t="inlineStr">
        <is>
          <t>I miss tomato</t>
        </is>
      </c>
      <c r="C10392" t="inlineStr">
        <is>
          <t>I have GERD and IBS so my diet is pretty limited. I can live without dairy, caffeine, alcohol, mint, garlic, red meat, etc. But I miss tomatoes so much!
With dairy, there's now so many non dairy alternatives, but there's no tomato alternative. 
My husband makes me a nomato sauce out of carrots, beets, celery, onion, and pumpkin which it's good once you season it. Though it is a bit of an acquired taste. 
Thankfully though it does allow me to eat pizza again. But I don't like it as a pasta sauce or a ketchup.
I went to a fancy pizza restaurant with my work. There was one thing on the menu I could eat: a salad if they didn't include the cheese. It cost $17 and I had to go to the coffee shop on my way back to work till get a bagel because I was starving.</t>
        </is>
      </c>
      <c r="D10392" t="n">
        <v>1</v>
      </c>
      <c r="E10392" t="n">
        <v>4</v>
      </c>
      <c r="F10392">
        <f>HYPERLINK("https://www.reddit.com/r/GERD/comments/if2t8e/i_miss_tomato/")</f>
        <v/>
      </c>
      <c r="G10392" t="inlineStr">
        <is>
          <t>2020-08-23 06:03:46</t>
        </is>
      </c>
      <c r="H10392" t="inlineStr"/>
    </row>
    <row r="10393">
      <c r="A10393" t="inlineStr">
        <is>
          <t>if3umy</t>
        </is>
      </c>
      <c r="B10393" t="inlineStr">
        <is>
          <t>Feeling 90% better, how to combat rebound after short term PPI usage?</t>
        </is>
      </c>
      <c r="C10393" t="inlineStr">
        <is>
          <t>I'm about to be on my 6th and final week on Omeprazole. I feel better but this last week I've pretty much felt the same so it's why I want to stop. I've done diet and lifestyle changes. I've not yet found all of my triggers but I seem to be able to eat most things except tomato sauces and other common triggers.
My question is because I used Omeprazole for the short term, should I just buy a regular antacid to help with any rebound?</t>
        </is>
      </c>
      <c r="D10393" t="n">
        <v>1</v>
      </c>
      <c r="E10393" t="n">
        <v>1</v>
      </c>
      <c r="F10393">
        <f>HYPERLINK("https://www.reddit.com/r/GERD/comments/if3umy/feeling_90_better_how_to_combat_rebound_after/")</f>
        <v/>
      </c>
      <c r="G10393" t="inlineStr">
        <is>
          <t>2020-08-23 07:12:13</t>
        </is>
      </c>
      <c r="H10393" t="inlineStr"/>
    </row>
    <row r="10394">
      <c r="A10394" t="inlineStr">
        <is>
          <t>if5orr</t>
        </is>
      </c>
      <c r="B10394" t="inlineStr">
        <is>
          <t>Streptococcus and staphylococcus</t>
        </is>
      </c>
      <c r="C10394" t="inlineStr">
        <is>
          <t>I was wondering if streptococcus could cause GERD. Because after noticing changes in my throat along with GERD symptoms, me doctor recommended throat swab, and streptococcus and staphylococcus came out positive.</t>
        </is>
      </c>
      <c r="D10394" t="n">
        <v>1</v>
      </c>
      <c r="E10394" t="n">
        <v>0</v>
      </c>
      <c r="F10394">
        <f>HYPERLINK("https://www.reddit.com/r/GERD/comments/if5orr/streptococcus_and_staphylococcus/")</f>
        <v/>
      </c>
      <c r="G10394" t="inlineStr">
        <is>
          <t>2020-08-23 09:02:12</t>
        </is>
      </c>
      <c r="H10394" t="inlineStr"/>
    </row>
    <row r="10395">
      <c r="A10395" t="inlineStr">
        <is>
          <t>if6f3l</t>
        </is>
      </c>
      <c r="B10395" t="inlineStr">
        <is>
          <t>Bitter taste.</t>
        </is>
      </c>
      <c r="C10395" t="inlineStr">
        <is>
          <t>Does not having bitter taste after waking up means acid has stopped refluxing?</t>
        </is>
      </c>
      <c r="D10395" t="n">
        <v>1</v>
      </c>
      <c r="E10395" t="n">
        <v>2</v>
      </c>
      <c r="F10395">
        <f>HYPERLINK("https://www.reddit.com/r/GERD/comments/if6f3l/bitter_taste/")</f>
        <v/>
      </c>
      <c r="G10395" t="inlineStr">
        <is>
          <t>2020-08-23 09:43:24</t>
        </is>
      </c>
      <c r="H10395" t="inlineStr"/>
    </row>
    <row r="10396">
      <c r="A10396" t="inlineStr">
        <is>
          <t>if6qs5</t>
        </is>
      </c>
      <c r="B10396" t="inlineStr">
        <is>
          <t>Morning Nausea</t>
        </is>
      </c>
      <c r="C10396" t="inlineStr">
        <is>
          <t>How many of you experience nausea in the morning when you wake up? Is this common?</t>
        </is>
      </c>
      <c r="D10396" t="n">
        <v>1</v>
      </c>
      <c r="E10396" t="n">
        <v>2</v>
      </c>
      <c r="F10396">
        <f>HYPERLINK("https://www.reddit.com/r/GERD/comments/if6qs5/morning_nausea/")</f>
        <v/>
      </c>
      <c r="G10396" t="inlineStr">
        <is>
          <t>2020-08-23 10:01:50</t>
        </is>
      </c>
      <c r="H10396" t="inlineStr"/>
    </row>
    <row r="10397">
      <c r="A10397" t="inlineStr">
        <is>
          <t>if6tq3</t>
        </is>
      </c>
      <c r="B10397" t="inlineStr">
        <is>
          <t>Has anyone been able to go back to caffeine after giving it up for a while to heal?</t>
        </is>
      </c>
      <c r="C10397" t="inlineStr">
        <is>
          <t>Currently caffeine seems to be my number one trigger but that wasn’t the case for most of my life. I’m wondering if I give myself a long period of time to heal, if I’ll ever be able to go back to it and have it again.
Have any of you had an experience like that?</t>
        </is>
      </c>
      <c r="D10397" t="n">
        <v>1</v>
      </c>
      <c r="E10397" t="n">
        <v>15</v>
      </c>
      <c r="F10397">
        <f>HYPERLINK("https://www.reddit.com/r/GERD/comments/if6tq3/has_anyone_been_able_to_go_back_to_caffeine_after/")</f>
        <v/>
      </c>
      <c r="G10397" t="inlineStr">
        <is>
          <t>2020-08-23 10:06:14</t>
        </is>
      </c>
      <c r="H10397" t="inlineStr"/>
    </row>
    <row r="10398">
      <c r="A10398" t="inlineStr">
        <is>
          <t>if90iw</t>
        </is>
      </c>
      <c r="B10398" t="inlineStr">
        <is>
          <t>Is this GERD, LPR, IBS or something else?</t>
        </is>
      </c>
      <c r="C10398" t="inlineStr">
        <is>
          <t>Hi,
I have GERD,  LPR and IBS-C for a long time we're peacefully coexisting. 
However, about 3 months ago, I got what seemed to be a strong stomach infection that lasted for 10 days.
Since then and every 10 to 15 days, I'd get an episode with the following symptoms:
* low grade fever
* very mild headache with some possible sinus inflammation
* Mild eyes irritation
* Mild pain in the back of my knees and in ankles.
Could these be related to any of my prior conditions or should I check for something else?</t>
        </is>
      </c>
      <c r="D10398" t="n">
        <v>1</v>
      </c>
      <c r="E10398" t="n">
        <v>1</v>
      </c>
      <c r="F10398">
        <f>HYPERLINK("https://www.reddit.com/r/GERD/comments/if90iw/is_this_gerd_lpr_ibs_or_something_else/")</f>
        <v/>
      </c>
      <c r="G10398" t="inlineStr">
        <is>
          <t>2020-08-23 12:02:31</t>
        </is>
      </c>
      <c r="H10398" t="inlineStr"/>
    </row>
    <row r="10399">
      <c r="A10399" t="inlineStr">
        <is>
          <t>ifaisl</t>
        </is>
      </c>
      <c r="B10399" t="inlineStr">
        <is>
          <t>I feel like gerd is ruining my life</t>
        </is>
      </c>
      <c r="C10399" t="inlineStr">
        <is>
          <t>I’ve been dealing with GERD for the last 6 years of my life (and I’m only 22). I rarely get normal gerd symptoms like heartburn but get extremely nauseous. I vomit all the time, and when it happens it will be days at a time where I can’t keep any food down. 
I just got retested for other possible causes/complications and have been on PPIs for a month with no relief. It’s ruining my social life, relationships, and made me hate food. I’m not sure what else to do or how to advocate for myself with my doctors.</t>
        </is>
      </c>
      <c r="D10399" t="n">
        <v>1</v>
      </c>
      <c r="E10399" t="n">
        <v>27</v>
      </c>
      <c r="F10399">
        <f>HYPERLINK("https://www.reddit.com/r/GERD/comments/ifaisl/i_feel_like_gerd_is_ruining_my_life/")</f>
        <v/>
      </c>
      <c r="G10399" t="inlineStr">
        <is>
          <t>2020-08-23 13:24:47</t>
        </is>
      </c>
      <c r="H10399" t="inlineStr"/>
    </row>
    <row r="10400">
      <c r="A10400" t="inlineStr">
        <is>
          <t>ifal2b</t>
        </is>
      </c>
      <c r="B10400" t="inlineStr">
        <is>
          <t>Feeling a tickle down my throat or esophagus</t>
        </is>
      </c>
      <c r="C10400" t="inlineStr">
        <is>
          <t>Been having lpr for 2 years now and I feel like I can’t breath sometimes and lately I keep feeling like my food or liquids touch my trachea and I feel a tickle then I’ll feel like my nerves getting all sensitive I feel it then down my fingers tips and it makes me very weak has this happened to anyone I’m thinking of going to the hospital ASAP 😫</t>
        </is>
      </c>
      <c r="D10400" t="n">
        <v>1</v>
      </c>
      <c r="E10400" t="n">
        <v>2</v>
      </c>
      <c r="F10400">
        <f>HYPERLINK("https://www.reddit.com/r/GERD/comments/ifal2b/feeling_a_tickle_down_my_throat_or_esophagus/")</f>
        <v/>
      </c>
      <c r="G10400" t="inlineStr">
        <is>
          <t>2020-08-23 13:28:09</t>
        </is>
      </c>
      <c r="H10400" t="inlineStr"/>
    </row>
    <row r="10401">
      <c r="A10401" t="inlineStr">
        <is>
          <t>ifanho</t>
        </is>
      </c>
      <c r="B10401" t="inlineStr">
        <is>
          <t>Endoscopy and sedation anxiety</t>
        </is>
      </c>
      <c r="C10401" t="inlineStr">
        <is>
          <t>I have an endoscopy scheduled for Tuesday, and I’m absolutely terrified of being sedated. I’m seriously considering doing it without sedation, but don’t know how to go about asking for it. Should I email my doctor or just wait till I’m in prep and ask?</t>
        </is>
      </c>
      <c r="D10401" t="n">
        <v>1</v>
      </c>
      <c r="E10401" t="n">
        <v>15</v>
      </c>
      <c r="F10401">
        <f>HYPERLINK("https://www.reddit.com/r/GERD/comments/ifanho/endoscopy_and_sedation_anxiety/")</f>
        <v/>
      </c>
      <c r="G10401" t="inlineStr">
        <is>
          <t>2020-08-23 13:31:48</t>
        </is>
      </c>
      <c r="H10401" t="inlineStr"/>
    </row>
    <row r="10402">
      <c r="A10402" t="inlineStr">
        <is>
          <t>ifbkxa</t>
        </is>
      </c>
      <c r="B10402" t="inlineStr">
        <is>
          <t>Probiotics causing GERD symptoms to bypass PPIs?</t>
        </is>
      </c>
      <c r="C10402" t="inlineStr">
        <is>
          <t xml:space="preserve"> 
33 y/o - 390 lb male - Prescribed Omeprazole 20Mg - walking 4-5 miles a day for weight loss
At  the beginning of July, I was prescribed Doxycycline for a sinus  infection. I asked the doctor if I should pick up a probiotic to go with  it and she said to go ahead. I ended up buying Meijer brand gummies w/  Bacilus Coagulans. I took both the antibiotic and probiotics together  and as of mid August, my sinus infection still lingers. I've continued  taking the probiotics (2 gummies a day) and have recently started having  some weird issues crop up around day 20 or so:
\-It  seems like the PPI i'm prescribed (for 3 years)(Omeprazole) isn't 100%  working like it used to. I get faint feelings of heartburn with meals  that used to be no issue.
\-My stomach constantly feels like it's on fire.
\-Constant gas, bloating, and burping.
\-Diarrhea/Loose stool
I've  stopped the probiotic around 3 days ago but the symptoms are still  persisting. My wife started taking them a couple of weeks ago during a  UTI and her reaction is similar to mine but not quite as potent.
&amp;amp;#x200B;
Has anyone else had any experience with probiotics making their GERD worse or causing it to weaken the effects of their PPI?</t>
        </is>
      </c>
      <c r="D10402" t="n">
        <v>1</v>
      </c>
      <c r="E10402" t="n">
        <v>8</v>
      </c>
      <c r="F10402">
        <f>HYPERLINK("https://www.reddit.com/r/GERD/comments/ifbkxa/probiotics_causing_gerd_symptoms_to_bypass_ppis/")</f>
        <v/>
      </c>
      <c r="G10402" t="inlineStr">
        <is>
          <t>2020-08-23 14:21:25</t>
        </is>
      </c>
      <c r="H10402" t="inlineStr"/>
    </row>
    <row r="10403">
      <c r="A10403" t="inlineStr">
        <is>
          <t>ifby5y</t>
        </is>
      </c>
      <c r="B10403" t="inlineStr">
        <is>
          <t>Silent GERD relief:</t>
        </is>
      </c>
      <c r="C10403" t="inlineStr">
        <is>
          <t>Finally found something that works!! 
Arm and hammer saline nasal spray and Gaviscon! 
After a year of daily pain I’m feel better!!</t>
        </is>
      </c>
      <c r="D10403" t="n">
        <v>1</v>
      </c>
      <c r="E10403" t="n">
        <v>6</v>
      </c>
      <c r="F10403">
        <f>HYPERLINK("https://www.reddit.com/r/GERD/comments/ifby5y/silent_gerd_relief/")</f>
        <v/>
      </c>
      <c r="G10403" t="inlineStr">
        <is>
          <t>2020-08-23 14:41:25</t>
        </is>
      </c>
      <c r="H10403" t="inlineStr"/>
    </row>
    <row r="10404">
      <c r="A10404" t="inlineStr">
        <is>
          <t>ifc5wx</t>
        </is>
      </c>
      <c r="B10404" t="inlineStr">
        <is>
          <t>Cast Net Fishing _ Best Catch Fishing in The River # 27( Siirt Botan )</t>
        </is>
      </c>
      <c r="C10404" t="inlineStr">
        <is>
          <t>Youtube Videos: [https://www.youtube.com/watch?v=59ry9cRn\_4E](https://www.youtube.com/watch?v=59ry9cRn_4E)</t>
        </is>
      </c>
      <c r="D10404" t="n">
        <v>1</v>
      </c>
      <c r="E10404" t="n">
        <v>0</v>
      </c>
      <c r="F10404">
        <f>HYPERLINK("https://www.reddit.com/r/GERD/comments/ifc5wx/cast_net_fishing_best_catch_fishing_in_the_river/")</f>
        <v/>
      </c>
      <c r="G10404" t="inlineStr">
        <is>
          <t>2020-08-23 14:53:11</t>
        </is>
      </c>
      <c r="H10404" t="inlineStr"/>
    </row>
    <row r="10405">
      <c r="A10405" t="inlineStr">
        <is>
          <t>ifcll8</t>
        </is>
      </c>
      <c r="B10405" t="inlineStr">
        <is>
          <t>Any other in my situation?please advice</t>
        </is>
      </c>
      <c r="C10405" t="inlineStr">
        <is>
          <t>I went to the doctor and after some visits she told me after a stool work that i have h. Pylori.Before that i had gerd for 1 month.But she told me that it could be a symptom of hiatal hernia because i lifted a very very hard object sudden right after i experienced these symptoms.She told me i am young and if i have hernia it will go away on its on after some time, but she gave me a treatment for h pylori.I took it and today, after i finished it, i tried to stay away from gerd medicamentation to see if it was h pylory's fault or i have hiatal hernia.I felt some burns inside the stomach and latter that day some burn even in the throat.What do you think it is the h. hernia or h. Lylori that wasnt fully treated maybe? Or it is just a weak muscle from all the time it was in ye contact with the acid from the h pylori. I  am deperate so please tell me what you think.</t>
        </is>
      </c>
      <c r="D10405" t="n">
        <v>1</v>
      </c>
      <c r="E10405" t="n">
        <v>3</v>
      </c>
      <c r="F10405">
        <f>HYPERLINK("https://www.reddit.com/r/GERD/comments/ifcll8/any_other_in_my_situationplease_advice/")</f>
        <v/>
      </c>
      <c r="G10405" t="inlineStr">
        <is>
          <t>2020-08-23 15:17:34</t>
        </is>
      </c>
      <c r="H10405" t="inlineStr"/>
    </row>
    <row r="10406">
      <c r="A10406" t="inlineStr">
        <is>
          <t>ifdpu3</t>
        </is>
      </c>
      <c r="B10406" t="inlineStr">
        <is>
          <t>Been burping like crazy for 2 days +hiccups</t>
        </is>
      </c>
      <c r="C10406" t="inlineStr">
        <is>
          <t>Ok so idk what happened but yesterday this crazy phenomenon of burping began for me. Basically began excessively burping after drinking large glass of water in morning. Got hiccups. Ate tums. Eventually went away for a while. Tried to drink a smoothie I typically drink with collagen shakeology and greens powders in it. More burps. Ate dinner later a baked potato and a few bites of steak.. couldn’t really enjoy. With water. More burping and hiccups. Was out of tums so drank apple cider vinegar in water then burped until I went to sleep basically. Like multiple burps a minute! Less when lying down. No feeing of stomach acid in throat or anything or heartburn type feelings. Just burps. All the burps. And then two of the times hiccups. Is this gerd?!!!! I am going to try to get in contact with doctor tomorrow. Basically had same issue today but a little less like frequency with burps and no hiccups. 
I’m 5’8 female 187lbs (yes overweight but working on it have lost 30lbs since January-gained 40 lbs rapidly from lexapro last year-now off of it) I basically eat whatever but try to eat healthier during weeks and more lenient on weekends. Usually drink beer on weekends but didn’t this weekend due to all my issues. Woke up with a really bad migraine? Also the same day as the burping started... and I never ever get headaches? Sooo idk basically falling apart over here. Oh did take Tylenol and ibuprofen on that day due to headache also. Typically I drink coffee daily but haven’t last few days either due to it spiking my anxiety up. As far as I know I did nothing different!!!!!!
I do know my stress levels have been up lately having a lot of panic attacks and general anxiety and I’m one of those people that does the hyperventilation breathing- not to the point of a paper bag or passing out but just enough to drive me crazy and probably not help with swallowing excess air???
Anyway trying not to freak out. But yeah, before two days ago I never burped this much like ever!!!!!!! I was noticing recently I was having several burps after drinking water or anything really right after. But that was pretty much it. I’d burp a bit and then go on with my day. Idk why it has been so non stop the last two days. Tums haven’t seemed to help really. 
Any advice or insight or anything would be helpful! No idea what’s going on with my tum! Thanksssss ❤️</t>
        </is>
      </c>
      <c r="D10406" t="n">
        <v>1</v>
      </c>
      <c r="E10406" t="n">
        <v>2</v>
      </c>
      <c r="F10406">
        <f>HYPERLINK("https://www.reddit.com/r/GERD/comments/ifdpu3/been_burping_like_crazy_for_2_days_hiccups/")</f>
        <v/>
      </c>
      <c r="G10406" t="inlineStr">
        <is>
          <t>2020-08-23 16:25:24</t>
        </is>
      </c>
      <c r="H10406" t="inlineStr"/>
    </row>
    <row r="10407">
      <c r="A10407" t="inlineStr">
        <is>
          <t>iff0sq</t>
        </is>
      </c>
      <c r="B10407" t="inlineStr">
        <is>
          <t>First time posting, very scared rn</t>
        </is>
      </c>
      <c r="C10407" t="inlineStr">
        <is>
          <t>I was eating and I felt something get stuck in my throat, water and food will not go down. I gag and spit long strand of sticky mucus, I also have the sensation to burp. I’ve had this happen to
Me a few times but I need answers.  My mom tries giving me saline and gaviscon and I couldn’t even swallow it. I’m really worried, mom says my stomach is overproducing mucus and I thought that might be related. Sorry if this doesn’t belong here I’m just scared
For reference I had Popeyes earlier today and it was pretty heavy to my stomach. First time this happened I was 14 and had to go to the hospital because of dehydration</t>
        </is>
      </c>
      <c r="D10407" t="n">
        <v>1</v>
      </c>
      <c r="E10407" t="n">
        <v>3</v>
      </c>
      <c r="F10407">
        <f>HYPERLINK("https://www.reddit.com/r/GERD/comments/iff0sq/first_time_posting_very_scared_rn/")</f>
        <v/>
      </c>
      <c r="G10407" t="inlineStr">
        <is>
          <t>2020-08-23 17:46:58</t>
        </is>
      </c>
      <c r="H10407" t="inlineStr"/>
    </row>
    <row r="10408">
      <c r="A10408" t="inlineStr">
        <is>
          <t>iffx8o</t>
        </is>
      </c>
      <c r="B10408" t="inlineStr">
        <is>
          <t>Low acid orange juice</t>
        </is>
      </c>
      <c r="C10408" t="inlineStr">
        <is>
          <t>Tropicana has low acid orange juice, do you think its ok to drink for people with gerd or still probably acidic?</t>
        </is>
      </c>
      <c r="D10408" t="n">
        <v>1</v>
      </c>
      <c r="E10408" t="n">
        <v>9</v>
      </c>
      <c r="F10408">
        <f>HYPERLINK("https://www.reddit.com/r/GERD/comments/iffx8o/low_acid_orange_juice/")</f>
        <v/>
      </c>
      <c r="G10408" t="inlineStr">
        <is>
          <t>2020-08-23 18:45:42</t>
        </is>
      </c>
      <c r="H10408" t="inlineStr"/>
    </row>
    <row r="10409">
      <c r="A10409" t="inlineStr">
        <is>
          <t>ifg593</t>
        </is>
      </c>
      <c r="B10409" t="inlineStr">
        <is>
          <t>There needs to be a thread on this sub for GERD friendly recipes that we can all share with eachother!!</t>
        </is>
      </c>
      <c r="C10409" t="inlineStr">
        <is>
          <t>New to this and struggling to eat/make meals. All I’ve been eating is rice, veggies, some fruit and chicken lol.</t>
        </is>
      </c>
      <c r="D10409" t="n">
        <v>1</v>
      </c>
      <c r="E10409" t="n">
        <v>17</v>
      </c>
      <c r="F10409">
        <f>HYPERLINK("https://www.reddit.com/r/GERD/comments/ifg593/there_needs_to_be_a_thread_on_this_sub_for_gerd/")</f>
        <v/>
      </c>
      <c r="G10409" t="inlineStr">
        <is>
          <t>2020-08-23 19:00:15</t>
        </is>
      </c>
      <c r="H10409" t="inlineStr"/>
    </row>
    <row r="10410">
      <c r="A10410" t="inlineStr">
        <is>
          <t>ifh37x</t>
        </is>
      </c>
      <c r="B10410" t="inlineStr">
        <is>
          <t>GERD Out Of Nowhere? Need Help.</t>
        </is>
      </c>
      <c r="C10410" t="inlineStr">
        <is>
          <t>Hey all. It’s been about 2 months since I woke up with what i thought to be an insane cold. VERY sore throat, felt lathargic, food made me sick. Decided to nap it off that day but when I woke up, there was a new sensation in my throat. There was a clicking sound every time I swallowed. Went to the doctor, he told me to take some over the counter meds for acid reflux, but the clicking sensation never went away. Fast forward a month, food was no longer the trigger, but sleep was. When I lay down I get crazy heartburn along with a lot of stomach pains and growls. Worsens when I shift around. 
About a week ago now, new symptoms came up. I thought I was literally dying for about 4 days in a deep depression. The new symptoms were terrifying me. Swollen and tender lymph nodes on peck, ice pick headache, cough, awful taste in mouth, and waking up with a sore throat everyday that went away within a couple of hours.- Not to mention, the tonsil stones i’ve been getting are recurring, however I brush my teeth twice a day (for the most part). 
If I could explain what I’m going through right now I’d put it like this. 
The idea of swollen lymph nodes and waking up with an insane cold one day makes me think that it was an infection. 
I’ve never had acid reflux before, until that day. 
Is it possible that an infection can trigger GERD?
BTW, i was prescribed rabeprazole for a short period of time, but i had to stop due to heart palpitations. 
Any input is appreciated, I really need some help. Thanks all.</t>
        </is>
      </c>
      <c r="D10410" t="n">
        <v>1</v>
      </c>
      <c r="E10410" t="n">
        <v>5</v>
      </c>
      <c r="F10410">
        <f>HYPERLINK("https://www.reddit.com/r/GERD/comments/ifh37x/gerd_out_of_nowhere_need_help/")</f>
        <v/>
      </c>
      <c r="G10410" t="inlineStr">
        <is>
          <t>2020-08-23 20:01:47</t>
        </is>
      </c>
      <c r="H10410" t="inlineStr"/>
    </row>
    <row r="10411">
      <c r="A10411" t="inlineStr">
        <is>
          <t>ifh9hg</t>
        </is>
      </c>
      <c r="B10411" t="inlineStr">
        <is>
          <t>So this acidity will never leave ?</t>
        </is>
      </c>
      <c r="C10411" t="inlineStr">
        <is>
          <t>I'm so sad that doctor said no coffee or tea and no sour and hot.</t>
        </is>
      </c>
      <c r="D10411" t="n">
        <v>1</v>
      </c>
      <c r="E10411" t="n">
        <v>16</v>
      </c>
      <c r="F10411">
        <f>HYPERLINK("https://www.reddit.com/r/GERD/comments/ifh9hg/so_this_acidity_will_never_leave/")</f>
        <v/>
      </c>
      <c r="G10411" t="inlineStr">
        <is>
          <t>2020-08-23 20:13:19</t>
        </is>
      </c>
      <c r="H10411" t="inlineStr"/>
    </row>
    <row r="10412">
      <c r="A10412" t="inlineStr">
        <is>
          <t>ifhmxo</t>
        </is>
      </c>
      <c r="B10412" t="inlineStr">
        <is>
          <t>Collis Gastroplasty</t>
        </is>
      </c>
      <c r="C10412" t="inlineStr">
        <is>
          <t>I searched the subreddit and didn’t see anything about this surgery so I thought I would share.
I had a nissen fundoplicarion in 2008 which worked wonderfully for about 10 years, but then malrotated and herniated. My reflux has been very bad for the last few years including near-constant regurgitation, heart burn, vomiting, and aspiration. Last year my GI convinced me that I needed to look at surgery again because my quality of life sucked.
Other important info- I had a BMI of 33.
So I went to a surgeon and had all the tests and they suggested a partial nissen due to esophageal damage he was concerned I’d have an increased chance of difficulty swallowing if I had a regular nissen. I decided to get a second opinion, and went to a big-name hospital. The surgeon I saw there looked at my tests and was the first to suggest a Collis gastroplasty. He (thoracic surgeon) works with a Bariatric surgeon to do the surgery. As an added bonus they said that I would probably lost ~40 pounds.
The downside is, perhaps because of the pandemic, I felt like I had little-no pre-op care. A few days before the surgery I had to call the office to get a post-op diet and they ended up actually giving me the wrong one. 
The surgery- I was in the hospital 1 night, less pain than I was expecting. 
Post-surgery diet- More intensive than the Nissen, more similar to a gastric sleeve, I.e. liquids for 2 weeks, purées for 2 weeks, soft foods for 2 weeks. I’m in purées right now and it totally sucks.
Results- I have had absolutely NO symptoms. I am on a small dose of omeprozole, but should be able to get off that soon and I don’t foresee problems because before surgery I was on a large dose and had to also take Pepcid and still had a lot of symptoms. I’ve also lost 10 pounds so far, no complaints about that. 
Totally worth it. AMA</t>
        </is>
      </c>
      <c r="D10412" t="n">
        <v>1</v>
      </c>
      <c r="E10412" t="n">
        <v>1</v>
      </c>
      <c r="F10412">
        <f>HYPERLINK("https://www.reddit.com/r/GERD/comments/ifhmxo/collis_gastroplasty/")</f>
        <v/>
      </c>
      <c r="G10412" t="inlineStr">
        <is>
          <t>2020-08-23 20:39:00</t>
        </is>
      </c>
      <c r="H10412" t="inlineStr"/>
    </row>
    <row r="10413">
      <c r="A10413" t="inlineStr">
        <is>
          <t>ifiaji</t>
        </is>
      </c>
      <c r="B10413" t="inlineStr">
        <is>
          <t>Chocolate</t>
        </is>
      </c>
      <c r="C10413" t="inlineStr">
        <is>
          <t>Has to be my worst trigger (I start refluxing IMMEDIATELY after eating it) and yet I love chocolate so much that I eat some almost every night and torture myself. Especially those M&amp;amp;M bars. Tragic. Just curious who else indulges in their worst triggers even though they know better...</t>
        </is>
      </c>
      <c r="D10413" t="n">
        <v>1</v>
      </c>
      <c r="E10413" t="n">
        <v>5</v>
      </c>
      <c r="F10413">
        <f>HYPERLINK("https://www.reddit.com/r/GERD/comments/ifiaji/chocolate/")</f>
        <v/>
      </c>
      <c r="G10413" t="inlineStr">
        <is>
          <t>2020-08-23 21:25:22</t>
        </is>
      </c>
      <c r="H10413" t="inlineStr"/>
    </row>
    <row r="10414">
      <c r="A10414" t="inlineStr">
        <is>
          <t>ifis8i</t>
        </is>
      </c>
      <c r="B10414" t="inlineStr">
        <is>
          <t>Abnormal barium swallow but normal follow up endoscopy. Should I still be worried?</t>
        </is>
      </c>
      <c r="C10414" t="inlineStr">
        <is>
          <t>Barium swallow should a 3 by 5 mm defect that is sometimes present and sometimes not when looking at spot imaging of the upper esophagus. A month later I had an endoscopy completed and the esophagus appeared completely normal. I don't know what to make of this. Has this ever happened to anyone else who has had both procedures done?</t>
        </is>
      </c>
      <c r="D10414" t="n">
        <v>1</v>
      </c>
      <c r="E10414" t="n">
        <v>1</v>
      </c>
      <c r="F10414">
        <f>HYPERLINK("https://www.reddit.com/r/GERD/comments/ifis8i/abnormal_barium_swallow_but_normal_follow_up/")</f>
        <v/>
      </c>
      <c r="G10414" t="inlineStr">
        <is>
          <t>2020-08-23 22:03:31</t>
        </is>
      </c>
      <c r="H10414" t="inlineStr"/>
    </row>
    <row r="10415">
      <c r="A10415" t="inlineStr">
        <is>
          <t>ifizw1</t>
        </is>
      </c>
      <c r="B10415" t="inlineStr">
        <is>
          <t>Diagnosed as GERD but don't have acid reflux symptoms</t>
        </is>
      </c>
      <c r="C10415" t="inlineStr">
        <is>
          <t>My symptoms are primarily burping after eating or drinking (even water) and occasional growling noises from the stomach. The stomach area also feels weak. Upper Endoscopy came back normal and I have been asked to take PPI for a month to see if symptoms go away. Want to find out if anyone here has symptoms that are not classic acid reflux.</t>
        </is>
      </c>
      <c r="D10415" t="n">
        <v>1</v>
      </c>
      <c r="E10415" t="n">
        <v>10</v>
      </c>
      <c r="F10415">
        <f>HYPERLINK("https://www.reddit.com/r/GERD/comments/ifizw1/diagnosed_as_gerd_but_dont_have_acid_reflux/")</f>
        <v/>
      </c>
      <c r="G10415" t="inlineStr">
        <is>
          <t>2020-08-23 22:19:37</t>
        </is>
      </c>
      <c r="H10415" t="inlineStr"/>
    </row>
    <row r="10416">
      <c r="A10416" t="inlineStr">
        <is>
          <t>ifjkt1</t>
        </is>
      </c>
      <c r="B10416" t="inlineStr">
        <is>
          <t>Irregular Heart Beat</t>
        </is>
      </c>
      <c r="C10416" t="inlineStr">
        <is>
          <t>a few months ago when i visited the doctor for gerd they said i have an irregular heart beat that may or may not be associated to what i have. Does anyone know if this happens and if i can make it normal again if i start getting fit and healthy again?</t>
        </is>
      </c>
      <c r="D10416" t="n">
        <v>1</v>
      </c>
      <c r="E10416" t="n">
        <v>1</v>
      </c>
      <c r="F10416">
        <f>HYPERLINK("https://www.reddit.com/r/GERD/comments/ifjkt1/irregular_heart_beat/")</f>
        <v/>
      </c>
      <c r="G10416" t="inlineStr">
        <is>
          <t>2020-08-23 23:06:48</t>
        </is>
      </c>
      <c r="H10416" t="inlineStr"/>
    </row>
    <row r="10417">
      <c r="A10417" t="inlineStr">
        <is>
          <t>ifm35o</t>
        </is>
      </c>
      <c r="B10417" t="inlineStr">
        <is>
          <t>Help with cutting PPIs</t>
        </is>
      </c>
      <c r="C10417" t="inlineStr">
        <is>
          <t>Hi guys. I'm a 32-yo male. I have multiple chronic health issues including autoimmune stuff, chronic fatigue - all quite severe in recent years. I have also had a sliding hiatus hernia since I was a teenager so that makes the GERD even more difficult to combat.
I have been on PPIs since I was around 20 so it's a long time. Part of me thinks they may be partially to blame for the other health problems. I tried to wean myself off Lansoprazole last year. Had been on 30mg per day, changed to 15mg most days, then every second day and then added Ranitidine a few times a week instead of Lansoprazole. I was doing a keto diet at the time and it worked quite well but not perfectly. I used aloe vera to soothe symptoms and apple cider vinegar too (before meals). Unfortunately, due to stress, etc, things started to flare up badly and also the H2 blocker scandal happened (contamination and recall, and they stopped prescribing them in the UK) so almost a year later, I'm on Lansoprazole 15mg pretty much every day and 30mg some days and when I try to wean again the acid is too much very quickly.
So, sorry for that long description but what I'm looking for is help/advice with cutting the PPIs out completely. Does anyone recommend a particular H2 blocker to help this? And what other things can I do? I don't think I'll ever be medication free for this but I'd like to try minimum medication for it. I'm sure all this has been discussed in different guises many times but hoping someone related to my story and has their own story that will help me.</t>
        </is>
      </c>
      <c r="D10417" t="n">
        <v>1</v>
      </c>
      <c r="E10417" t="n">
        <v>3</v>
      </c>
      <c r="F10417">
        <f>HYPERLINK("https://www.reddit.com/r/GERD/comments/ifm35o/help_with_cutting_ppis/")</f>
        <v/>
      </c>
      <c r="G10417" t="inlineStr">
        <is>
          <t>2020-08-24 02:55:12</t>
        </is>
      </c>
      <c r="H10417" t="inlineStr"/>
    </row>
    <row r="10418">
      <c r="A10418" t="inlineStr">
        <is>
          <t>ifmdw8</t>
        </is>
      </c>
      <c r="B10418" t="inlineStr">
        <is>
          <t>Anyone get a feeling like there is a bubble just below their ribs?</t>
        </is>
      </c>
      <c r="C10418" t="inlineStr">
        <is>
          <t>I'm getting scoped this week for strongly suspected stomach issues, and I wondered if anyone else here gets this symptom? When I am getting reflux, or sometimes without it, I get a feeling like there is a big bubble/lump of gas sitting just below my ribcage, in the center of my abdomen. Usually it kind of gurgles and disappears eventually on its own. Aside from the usual lump-in-throat feeling, I get this as well which I find a lot more uncomfortable personally.</t>
        </is>
      </c>
      <c r="D10418" t="n">
        <v>1</v>
      </c>
      <c r="E10418" t="n">
        <v>9</v>
      </c>
      <c r="F10418">
        <f>HYPERLINK("https://www.reddit.com/r/GERD/comments/ifmdw8/anyone_get_a_feeling_like_there_is_a_bubble_just/")</f>
        <v/>
      </c>
      <c r="G10418" t="inlineStr">
        <is>
          <t>2020-08-24 03:21:06</t>
        </is>
      </c>
      <c r="H10418" t="inlineStr"/>
    </row>
    <row r="10419">
      <c r="A10419" t="inlineStr">
        <is>
          <t>ifo2hq</t>
        </is>
      </c>
      <c r="B10419" t="inlineStr">
        <is>
          <t>First endoscopy - seeking advice!</t>
        </is>
      </c>
      <c r="C10419" t="inlineStr">
        <is>
          <t>Hi folks!
I’ve been dealing with GERD for nearly four years now, but was told by my doctors that I was too young to go through with an endoscopy. I’ve been on PPIs and Gaviscon for years, which have helped my symptoms greatly. It took my moving abroad to finally find a doctor who accepted to make me go through with the procedure. I got a call from the hospital today and it was moved from December to next Tuesday! I am mildly scared, but also happy to be finally getting there. 
I was given very little information, except that the procedure (which will be coupled with a colonoscopy for my IBS) should only take about two hours, and that probably would not be sedated. I wanted to know if anyone had any advice (the only person I know who’s ever had the procedure done is my mother, but things between France and Ireland, where I’m located, seem very different) - does the procedure hurt when you’re not sedated? Is there anything to be done to make it easier? Is the aftermath something to be worried about? 
Thank you in advance and have a wonderful day!</t>
        </is>
      </c>
      <c r="D10419" t="n">
        <v>1</v>
      </c>
      <c r="E10419" t="n">
        <v>5</v>
      </c>
      <c r="F10419">
        <f>HYPERLINK("https://www.reddit.com/r/GERD/comments/ifo2hq/first_endoscopy_seeking_advice/")</f>
        <v/>
      </c>
      <c r="G10419" t="inlineStr">
        <is>
          <t>2020-08-24 05:32:26</t>
        </is>
      </c>
      <c r="H10419" t="inlineStr"/>
    </row>
    <row r="10420">
      <c r="A10420" t="inlineStr">
        <is>
          <t>ifocu4</t>
        </is>
      </c>
      <c r="B10420" t="inlineStr">
        <is>
          <t>Amitryptyline and Appetite</t>
        </is>
      </c>
      <c r="C10420" t="inlineStr">
        <is>
          <t>Hi all. Ive had really bad reflux and nausea for the last few months and after no response to PPIs and H2 Blockers, my doctor prescribed me with amitryptyline (also called endep). It’s only been 3 days but i actually feel a bit better (although it could be a placebo effect!) the only thing is that it’s decreased my appetite a bit. Has anyone else experienced this? Does it go away? I hope it’s just part of the adjustment period. Would love to hear about anyone else’s experience with this. TIA.</t>
        </is>
      </c>
      <c r="D10420" t="n">
        <v>1</v>
      </c>
      <c r="E10420" t="n">
        <v>2</v>
      </c>
      <c r="F10420">
        <f>HYPERLINK("https://www.reddit.com/r/GERD/comments/ifocu4/amitryptyline_and_appetite/")</f>
        <v/>
      </c>
      <c r="G10420" t="inlineStr">
        <is>
          <t>2020-08-24 05:51:28</t>
        </is>
      </c>
      <c r="H10420" t="inlineStr"/>
    </row>
    <row r="10421">
      <c r="A10421" t="inlineStr">
        <is>
          <t>ifpbrm</t>
        </is>
      </c>
      <c r="B10421" t="inlineStr">
        <is>
          <t>Did anyone experienced loss of libido and hair loss while taking PPI's?</t>
        </is>
      </c>
      <c r="C10421" t="inlineStr">
        <is>
          <t>I've started experiencing very weird side-effects right around the time I was diagnosed with GERD and started taking PPI's.
Hair loss, Loss of Libido and yellowish semen.</t>
        </is>
      </c>
      <c r="D10421" t="n">
        <v>1</v>
      </c>
      <c r="E10421" t="n">
        <v>1</v>
      </c>
      <c r="F10421">
        <f>HYPERLINK("https://www.reddit.com/r/GERD/comments/ifpbrm/did_anyone_experienced_loss_of_libido_and_hair/")</f>
        <v/>
      </c>
      <c r="G10421" t="inlineStr">
        <is>
          <t>2020-08-24 06:48:53</t>
        </is>
      </c>
      <c r="H10421" t="inlineStr"/>
    </row>
    <row r="10422">
      <c r="A10422" t="inlineStr">
        <is>
          <t>ifq3v0</t>
        </is>
      </c>
      <c r="B10422" t="inlineStr">
        <is>
          <t>Probiotics</t>
        </is>
      </c>
      <c r="C10422" t="inlineStr">
        <is>
          <t>Has anyone had a good results using probiotics in particular bifdobacterium and lactobacillus capsules</t>
        </is>
      </c>
      <c r="D10422" t="n">
        <v>1</v>
      </c>
      <c r="E10422" t="n">
        <v>1</v>
      </c>
      <c r="F10422">
        <f>HYPERLINK("https://www.reddit.com/r/GERD/comments/ifq3v0/probiotics/")</f>
        <v/>
      </c>
      <c r="G10422" t="inlineStr">
        <is>
          <t>2020-08-24 07:33:10</t>
        </is>
      </c>
      <c r="H10422" t="inlineStr"/>
    </row>
    <row r="10423">
      <c r="A10423" t="inlineStr">
        <is>
          <t>ifqaf1</t>
        </is>
      </c>
      <c r="B10423" t="inlineStr">
        <is>
          <t>Is GERD a progressive disease?</t>
        </is>
      </c>
      <c r="C10423" t="inlineStr">
        <is>
          <t>So I don't have it as bad as some of you, but I belch/get heartburn symptoms whenever I overeat and run. I undersatnd the acid coming up all the time deterioates the repiartory lining and makes the symptoms worse. So does that mean this is a progressive disease and gradually becomes worse?
I need to work on portion control and not overeating. But the issue is I bloat a lot these days so I don't know if I'm actually full or not sometimes but I guess if I feel full I should just stop eating but its hard cuz I overeat sometimes haha</t>
        </is>
      </c>
      <c r="D10423" t="n">
        <v>1</v>
      </c>
      <c r="E10423" t="n">
        <v>34</v>
      </c>
      <c r="F10423">
        <f>HYPERLINK("https://www.reddit.com/r/GERD/comments/ifqaf1/is_gerd_a_progressive_disease/")</f>
        <v/>
      </c>
      <c r="G10423" t="inlineStr">
        <is>
          <t>2020-08-24 07:42:53</t>
        </is>
      </c>
      <c r="H10423" t="inlineStr"/>
    </row>
    <row r="10424">
      <c r="A10424" t="inlineStr">
        <is>
          <t>ifrz5s</t>
        </is>
      </c>
      <c r="B10424" t="inlineStr">
        <is>
          <t>I just want one little cup of coffee</t>
        </is>
      </c>
      <c r="C10424" t="inlineStr">
        <is>
          <t>It tastes so good. But do I really want to be in pain all day and night?</t>
        </is>
      </c>
      <c r="D10424" t="n">
        <v>1</v>
      </c>
      <c r="E10424" t="n">
        <v>22</v>
      </c>
      <c r="F10424">
        <f>HYPERLINK("https://www.reddit.com/r/GERD/comments/ifrz5s/i_just_want_one_little_cup_of_coffee/")</f>
        <v/>
      </c>
      <c r="G10424" t="inlineStr">
        <is>
          <t>2020-08-24 09:12:09</t>
        </is>
      </c>
      <c r="H10424" t="inlineStr"/>
    </row>
    <row r="10425">
      <c r="A10425" t="inlineStr">
        <is>
          <t>ifsglz</t>
        </is>
      </c>
      <c r="B10425" t="inlineStr">
        <is>
          <t>Burping non-stop for the past 2 months</t>
        </is>
      </c>
      <c r="C10425" t="inlineStr">
        <is>
          <t>Hello everyone, 
About 2 to 3 months ago, I woke up in the middle of the night with a pain in my chest that felt like a knife and a lot of burping. This caused me to stay awake for about 2 hours and I then decided to go to the ER to check if it was anything heart related.
Turns out it is not, and I was diagnosed with gastritis the first time.
This kept on happening to me a few times and I've tried everything from talking to my family doctor to going to a gastro specialist.
&amp;amp;#x200B;
My symptoms have never been anything related to heartburn, nausea or regurgitation, etc. Just chest pain attacks (which honestly feel like a lot of air on my esophagus) and non stop burping.
&amp;amp;#x200B;
The gastro then made me take a bunch of exams, including colonoscopy and endoscopy.
I've shown them to my family doctor and 2 gastro specialists and they say I got nothing, while one of them (gastro) said I might have acid reflux, but it's still inconclusive.
&amp;amp;#x200B;
I am being treated with PPIs and gaviscon for the last 5 weeks and the "night episodes" have stopped. 
The problem is this new "burping all day demon" seems to be here to stay, and nothing I do makes it stop (made a lot of life style changes including cutting on a lot of foods and drinks, e.g. alcohol, coffee, citrus, etc.)
&amp;amp;#x200B;
Most doctors seem not to care about it or shrug it off like it's a minor inconvenience and some have told me it might be related to anxiety (I do have an anxiety history but it is under control, or so I feel)
&amp;amp;#x200B;
Besides wanting to share my story, my question to you as a community is: has anyone ever experienced something like this? (especially the burps) and could this be GERD or acid reflux?
Any sharing or help clarifying this is much appreciated and thank you if you've read this far!</t>
        </is>
      </c>
      <c r="D10425" t="n">
        <v>1</v>
      </c>
      <c r="E10425" t="n">
        <v>2</v>
      </c>
      <c r="F10425">
        <f>HYPERLINK("https://www.reddit.com/r/GERD/comments/ifsglz/burping_nonstop_for_the_past_2_months/")</f>
        <v/>
      </c>
      <c r="G10425" t="inlineStr">
        <is>
          <t>2020-08-24 09:37:43</t>
        </is>
      </c>
      <c r="H10425" t="inlineStr"/>
    </row>
    <row r="10426">
      <c r="A10426" t="inlineStr">
        <is>
          <t>ifttm2</t>
        </is>
      </c>
      <c r="B10426" t="inlineStr">
        <is>
          <t>How to heal the UES ?</t>
        </is>
      </c>
      <c r="C10426" t="inlineStr">
        <is>
          <t>Almost daily my ues feels so dry and congested , likely damaged from the pepsin ( i believe i have lpr since i don’t really get heartburn and it comes all the way to my throat , what changes or steps can I take to heal it ? If possible both sphincters</t>
        </is>
      </c>
      <c r="D10426" t="n">
        <v>1</v>
      </c>
      <c r="E10426" t="n">
        <v>2</v>
      </c>
      <c r="F10426">
        <f>HYPERLINK("https://www.reddit.com/r/GERD/comments/ifttm2/how_to_heal_the_ues/")</f>
        <v/>
      </c>
      <c r="G10426" t="inlineStr">
        <is>
          <t>2020-08-24 10:44:44</t>
        </is>
      </c>
      <c r="H10426" t="inlineStr"/>
    </row>
    <row r="10427">
      <c r="A10427" t="inlineStr">
        <is>
          <t>iftvjh</t>
        </is>
      </c>
      <c r="B10427" t="inlineStr">
        <is>
          <t>Lozenge for Throat Pain?</t>
        </is>
      </c>
      <c r="C10427" t="inlineStr">
        <is>
          <t>Are there any lozenges that my fellow LPR sufferers have found effective for helping with throat pain?  I don’t want to make anything worse.</t>
        </is>
      </c>
      <c r="D10427" t="n">
        <v>1</v>
      </c>
      <c r="E10427" t="n">
        <v>11</v>
      </c>
      <c r="F10427">
        <f>HYPERLINK("https://www.reddit.com/r/GERD/comments/iftvjh/lozenge_for_throat_pain/")</f>
        <v/>
      </c>
      <c r="G10427" t="inlineStr">
        <is>
          <t>2020-08-24 10:47:30</t>
        </is>
      </c>
      <c r="H10427" t="inlineStr"/>
    </row>
    <row r="10428">
      <c r="A10428" t="inlineStr">
        <is>
          <t>ifumts</t>
        </is>
      </c>
      <c r="B10428" t="inlineStr">
        <is>
          <t>How to sneak in more calories during acid rebound</t>
        </is>
      </c>
      <c r="C10428" t="inlineStr">
        <is>
          <t>I’m trying to get off Nexium and I’m having trouble with nausea, dizziness and reflux. I’m not wanting to eat very much but I want to stop the weight loss, as I’m not overweight and very well could be underweight soon. Any suggestions on how to sneak in more calories without aggravating the reflux? Thanks</t>
        </is>
      </c>
      <c r="D10428" t="n">
        <v>1</v>
      </c>
      <c r="E10428" t="n">
        <v>5</v>
      </c>
      <c r="F10428">
        <f>HYPERLINK("https://www.reddit.com/r/GERD/comments/ifumts/how_to_sneak_in_more_calories_during_acid_rebound/")</f>
        <v/>
      </c>
      <c r="G10428" t="inlineStr">
        <is>
          <t>2020-08-24 11:24:24</t>
        </is>
      </c>
      <c r="H10428" t="inlineStr"/>
    </row>
    <row r="10429">
      <c r="A10429" t="inlineStr">
        <is>
          <t>ifuob7</t>
        </is>
      </c>
      <c r="B10429" t="inlineStr">
        <is>
          <t>Swollen Lymph Nodes</t>
        </is>
      </c>
      <c r="C10429" t="inlineStr">
        <is>
          <t>I've been dealing with LPR and Gerd but have been taking PPI s for about 13 days, coming up on ny 14th. Before, I experienced normal burping and chest pains even some acid that backed up into my mouth. After, the left side of my neck has been sore and feels a bit tight and I can feel my lymph node right under my jaw swollen a little about the size of a pea. My jaw feels sore too, it's very uncomfortable. Anyone else having these problems too? Any advice?</t>
        </is>
      </c>
      <c r="D10429" t="n">
        <v>1</v>
      </c>
      <c r="E10429" t="n">
        <v>9</v>
      </c>
      <c r="F10429">
        <f>HYPERLINK("https://www.reddit.com/r/GERD/comments/ifuob7/swollen_lymph_nodes/")</f>
        <v/>
      </c>
      <c r="G10429" t="inlineStr">
        <is>
          <t>2020-08-24 11:26:31</t>
        </is>
      </c>
      <c r="H10429" t="inlineStr"/>
    </row>
    <row r="10430">
      <c r="A10430" t="inlineStr">
        <is>
          <t>ifur19</t>
        </is>
      </c>
      <c r="B10430" t="inlineStr">
        <is>
          <t>Chest pressure after concurrent days of exercise</t>
        </is>
      </c>
      <c r="C10430" t="inlineStr">
        <is>
          <t>Whenever i increase my exercise routine abruptly I've found a hard stop in the form of chest pressure the following day, it starts feeling like a balloon at the base of my breastbone and causes shooting pressure and pain up my neck
During this time I'm also very prone to belching and burping up food unexpectedly, though I almost never feel heartburn or a sore throat
At its worst when i tried to power through and keep exercising a few years ago I felt a constant pressure in my chest for about a day that made breathing uncomfortable, it was also worse if i lay on my back. I spoke to a doctor and they mentioned either silent reflux or oesophageal spasms, does anyone else experience this and if so how do you manage it?</t>
        </is>
      </c>
      <c r="D10430" t="n">
        <v>1</v>
      </c>
      <c r="E10430" t="n">
        <v>0</v>
      </c>
      <c r="F10430">
        <f>HYPERLINK("https://www.reddit.com/r/GERD/comments/ifur19/chest_pressure_after_concurrent_days_of_exercise/")</f>
        <v/>
      </c>
      <c r="G10430" t="inlineStr">
        <is>
          <t>2020-08-24 11:30:33</t>
        </is>
      </c>
      <c r="H10430" t="inlineStr"/>
    </row>
    <row r="10431">
      <c r="A10431" t="inlineStr">
        <is>
          <t>ifvxbs</t>
        </is>
      </c>
      <c r="B10431" t="inlineStr">
        <is>
          <t>Went from constant heatburn to Silent Reflux within months.</t>
        </is>
      </c>
      <c r="C10431" t="inlineStr">
        <is>
          <t>back in may i was having bad heartburn constantly and some globus , and now it’s just gotten worse , since i haven’t been able to get diagnosed by a specialist, at this point idek man , i’m 17 and i’m 143 lbs / 5’6 so i’m not overweight, i’ve bought pepcid ac , gaviscon advance tablets , i need some guidance cause it’s making my anxiety so bad and doesn’t help since i’ve had a family loss recently 
tldr : went from standard heartburn ( had indigestion since i was like 14-15 )  to what i believe to be lpr since my throat is what’s being affected</t>
        </is>
      </c>
      <c r="D10431" t="n">
        <v>1</v>
      </c>
      <c r="E10431" t="n">
        <v>4</v>
      </c>
      <c r="F10431">
        <f>HYPERLINK("https://www.reddit.com/r/GERD/comments/ifvxbs/went_from_constant_heatburn_to_silent_reflux/")</f>
        <v/>
      </c>
      <c r="G10431" t="inlineStr">
        <is>
          <t>2020-08-24 12:29:06</t>
        </is>
      </c>
      <c r="H10431" t="inlineStr"/>
    </row>
    <row r="10432">
      <c r="A10432" t="inlineStr">
        <is>
          <t>ifvzyj</t>
        </is>
      </c>
      <c r="B10432" t="inlineStr">
        <is>
          <t>Girlfriend with GERD - How to help</t>
        </is>
      </c>
      <c r="C10432" t="inlineStr">
        <is>
          <t>I have no idea how to help her, been reading this subreddit for the past hour and I get the same feeling as when I first time read eczema related subs (I'm suffering from it and it sucks). 
No definitive cure, just life style change and hope it works..
For the entire day, she's got nausea sensation in the throat but can't throw up because she hasn't eaten much. 
Also she lost her virginity today and started bleeding a bit, I think it caused some stress too. 
I'm kinda lost on what to do or how to help her</t>
        </is>
      </c>
      <c r="D10432" t="n">
        <v>1</v>
      </c>
      <c r="E10432" t="n">
        <v>8</v>
      </c>
      <c r="F10432">
        <f>HYPERLINK("https://www.reddit.com/r/GERD/comments/ifvzyj/girlfriend_with_gerd_how_to_help/")</f>
        <v/>
      </c>
      <c r="G10432" t="inlineStr">
        <is>
          <t>2020-08-24 12:32:34</t>
        </is>
      </c>
      <c r="H10432" t="inlineStr"/>
    </row>
    <row r="10433">
      <c r="A10433" t="inlineStr">
        <is>
          <t>ifw5z0</t>
        </is>
      </c>
      <c r="B10433" t="inlineStr">
        <is>
          <t>How do some of you workout with GERD?</t>
        </is>
      </c>
      <c r="C10433" t="inlineStr">
        <is>
          <t>Straining just seems to induce symptoms even if I’ve been feeling relatively alright lately. I wonder if it’s because I’ve been out for so long and developed a weak core?
Please let me know as I really want to hit the gym and gain some weight.</t>
        </is>
      </c>
      <c r="D10433" t="n">
        <v>1</v>
      </c>
      <c r="E10433" t="n">
        <v>6</v>
      </c>
      <c r="F10433">
        <f>HYPERLINK("https://www.reddit.com/r/GERD/comments/ifw5z0/how_do_some_of_you_workout_with_gerd/")</f>
        <v/>
      </c>
      <c r="G10433" t="inlineStr">
        <is>
          <t>2020-08-24 12:40:56</t>
        </is>
      </c>
      <c r="H10433" t="inlineStr"/>
    </row>
    <row r="10434">
      <c r="A10434" t="inlineStr">
        <is>
          <t>ifwovg</t>
        </is>
      </c>
      <c r="B10434" t="inlineStr">
        <is>
          <t>Just trying to see if anyone else can relate to these symptoms out of curiosity!</t>
        </is>
      </c>
      <c r="C10434" t="inlineStr">
        <is>
          <t>I’m 25, great shape, low body fat and workout 6x a week.
I have a “small” hiatal hernia which has been seen once during 2 endoscopy’s (smaller than 1cm I was told).
I have been diagnosed with Gerd, and LPR. Constant throat clearing is my main symptom.
Here recently everyone I eat I get full so quickly, and then it feels like I have a weight on my chest like I’m gassed up, I was just curious if anyone else has this symptom? It goes away after an hour or two. Belching helps sometimes, but not always.
(No I don’t currently take PPI,  I do a 1 month run of them every 6 months so twice a year and I hold off until heartburn is coming on everyday which is pretty rare, haven’t been on one since February)</t>
        </is>
      </c>
      <c r="D10434" t="n">
        <v>1</v>
      </c>
      <c r="E10434" t="n">
        <v>24</v>
      </c>
      <c r="F10434">
        <f>HYPERLINK("https://www.reddit.com/r/GERD/comments/ifwovg/just_trying_to_see_if_anyone_else_can_relate_to/")</f>
        <v/>
      </c>
      <c r="G10434" t="inlineStr">
        <is>
          <t>2020-08-24 13:07:06</t>
        </is>
      </c>
      <c r="H10434" t="inlineStr"/>
    </row>
    <row r="10435">
      <c r="A10435" t="inlineStr">
        <is>
          <t>ifxihp</t>
        </is>
      </c>
      <c r="B10435" t="inlineStr">
        <is>
          <t>GERD/Carafate</t>
        </is>
      </c>
      <c r="C10435" t="inlineStr">
        <is>
          <t>The past two weeks I've been throwing up, burning sensation in my stomach (mostly upper GI), and can't keep anything down. I went to my PCP when I just had minor symptoms and he diagnosed me with GERD and gave me Nexium. The very next day I threw up everything I ate that night, which I know what I had eaten triggered it. I felt fine the next day and watched what I ate, continued to take the Nexium. It only got worse from there, can't keep anything down, not even a banana. I had to go to the ER and they gave me Carafate &amp;amp; Prilosec. So far nothing has helped, I've thrown up just about every meal...I literally feel like I'm dying when I eat half a banana. 
Has anyone had luck with Carafate? Does it take a few days to work? I'm finding absolutely no relief and have lost almost 10 pounds in 2 weeks. Please help xoxo</t>
        </is>
      </c>
      <c r="D10435" t="n">
        <v>1</v>
      </c>
      <c r="E10435" t="n">
        <v>12</v>
      </c>
      <c r="F10435">
        <f>HYPERLINK("https://www.reddit.com/r/GERD/comments/ifxihp/gerdcarafate/")</f>
        <v/>
      </c>
      <c r="G10435" t="inlineStr">
        <is>
          <t>2020-08-24 13:48:46</t>
        </is>
      </c>
      <c r="H10435" t="inlineStr"/>
    </row>
    <row r="10436">
      <c r="A10436" t="inlineStr">
        <is>
          <t>ifzo9a</t>
        </is>
      </c>
      <c r="B10436" t="inlineStr">
        <is>
          <t>GERD OK FOOD &amp;amp; Prilosec question</t>
        </is>
      </c>
      <c r="C10436" t="inlineStr">
        <is>
          <t>Yooo guys I’ve been on here reading like hundreds of posts and all these threads and I just need a break for a moment. Can anyone tell me a couple gerd OK foods I could eat tonight 
I have hardly ate in two days trying to figure out what’s going on with me but it seems to be gerd - had excessive burping suddenly start and have been researching since. I’m so f’ing tired 
Sent messages to GI over weekend and nurse called today to relay advice from GI doc about symptoms and was recommended to try gas x mylanta and/or Prilosec 
Saw on here some people said Prilosec spiked their anxiety? Anyone else have this experience. I’ve been having the worst anxiety lately so don’t really want to risk it! Saw someone said Nexium would be better ... not sure if I should go with what the doc said or not. Sometimes I feel they don’t take anxiety into consideration 
Thanks I’ll be up all night doing more research but I wanna head to the store to pick up some of these medicines too and maybe some food if there’s anything that is ok and easy. 
Blah I’m not ready for this life</t>
        </is>
      </c>
      <c r="D10436" t="n">
        <v>1</v>
      </c>
      <c r="E10436" t="n">
        <v>4</v>
      </c>
      <c r="F10436">
        <f>HYPERLINK("https://www.reddit.com/r/GERD/comments/ifzo9a/gerd_ok_food_prilosec_question/")</f>
        <v/>
      </c>
      <c r="G10436" t="inlineStr">
        <is>
          <t>2020-08-24 15:39:54</t>
        </is>
      </c>
      <c r="H10436" t="inlineStr"/>
    </row>
    <row r="10437">
      <c r="A10437" t="inlineStr">
        <is>
          <t>ig030s</t>
        </is>
      </c>
      <c r="B10437" t="inlineStr">
        <is>
          <t>Pain Under Right Breast When Swallowing &amp;amp; Acid Reflux</t>
        </is>
      </c>
      <c r="C10437" t="inlineStr">
        <is>
          <t>For the past week or so i’ve had awful acid reflux (I assume because i drank tons of coffee, drank beer because im back at school and also have been eating like shit)....just the past couple days every time I swallow right below my right nipple has a short sharp pain. I also feel random spasms in the bottom left area of my chest lately. 
Anyone else get these with GERD and Acid Reflux? I feel like I might need a doctors visit with how bad it’s been lately.</t>
        </is>
      </c>
      <c r="D10437" t="n">
        <v>1</v>
      </c>
      <c r="E10437" t="n">
        <v>4</v>
      </c>
      <c r="F10437">
        <f>HYPERLINK("https://www.reddit.com/r/GERD/comments/ig030s/pain_under_right_breast_when_swallowing_acid/")</f>
        <v/>
      </c>
      <c r="G10437" t="inlineStr">
        <is>
          <t>2020-08-24 16:03:04</t>
        </is>
      </c>
      <c r="H10437" t="inlineStr"/>
    </row>
    <row r="10438">
      <c r="A10438" t="inlineStr">
        <is>
          <t>ig03x8</t>
        </is>
      </c>
      <c r="B10438" t="inlineStr">
        <is>
          <t>Stomach feels hot</t>
        </is>
      </c>
      <c r="C10438" t="inlineStr">
        <is>
          <t>Does anyone else get the feeling where their stomach is hot? Not necessarily a bad burning feeling but just feels hot?</t>
        </is>
      </c>
      <c r="D10438" t="n">
        <v>1</v>
      </c>
      <c r="E10438" t="n">
        <v>9</v>
      </c>
      <c r="F10438">
        <f>HYPERLINK("https://www.reddit.com/r/GERD/comments/ig03x8/stomach_feels_hot/")</f>
        <v/>
      </c>
      <c r="G10438" t="inlineStr">
        <is>
          <t>2020-08-24 16:04:20</t>
        </is>
      </c>
      <c r="H10438" t="inlineStr"/>
    </row>
    <row r="10439">
      <c r="A10439" t="inlineStr">
        <is>
          <t>ig0em1</t>
        </is>
      </c>
      <c r="B10439" t="inlineStr">
        <is>
          <t>Regretting sleeping on ride side</t>
        </is>
      </c>
      <c r="C10439" t="inlineStr">
        <is>
          <t>OMG its been a nightmare sleeping on my back or upright. I finally relented after two weeks and slept on my right side. PAAAAAIIINNN, the spams are horrible.</t>
        </is>
      </c>
      <c r="D10439" t="n">
        <v>1</v>
      </c>
      <c r="E10439" t="n">
        <v>6</v>
      </c>
      <c r="F10439">
        <f>HYPERLINK("https://www.reddit.com/r/GERD/comments/ig0em1/regretting_sleeping_on_ride_side/")</f>
        <v/>
      </c>
      <c r="G10439" t="inlineStr">
        <is>
          <t>2020-08-24 16:21:08</t>
        </is>
      </c>
      <c r="H10439" t="inlineStr"/>
    </row>
    <row r="10440">
      <c r="A10440" t="inlineStr">
        <is>
          <t>ig0fj1</t>
        </is>
      </c>
      <c r="B10440" t="inlineStr">
        <is>
          <t>Started Omeprazole and not having much acid in my mouth but waking up with shortness of breath/racing heart and constipated but intensely hungry?- A GERD symptom or side effect of the meds?</t>
        </is>
      </c>
      <c r="C10440" t="inlineStr">
        <is>
          <t>So been having GERD for over of a month maybe two at this point now, pretty severely ( constantly having acid in my mouth, sore throat, bloating and indigestion to the point I didn’t eat everything felt like a trigger ) for a while it combined with my allergies ( lips and tongue swelling ) asthma was hell and didn’t eat much of anything. 
Now I’m trying my best to handle it, I’m trying to manage my stress as best as I can but let’s say I have a lot of it and know it is a trigger but trying my best to mediation, in therapy, may or may get on some anxiety meds, and changed my diet to primarily vegetarian and removed my notable triggers tomatoes and onions and carbonated drinks which all crush me cause I didn’t alcohol so a can of ginger ale every day was my cold one. My doctor prescribed Omeprazole and it’s working? But not sure. 
Found my symptoms of the sore throat, the constant acid in my mouth and intense bloating the point I couldn’t take two bites of anything gone but replaced with other things like burping not intensely but more than I ever did prior to developing GERD. 
Notably been waking up in the middle of night three days in a row and my heart just racing and feeling super fatigued/dizzy but just at night. Happened two nights in a row and only at night. I’ve been rather constipation despite eating fiber and drinking only water or ginger tea. 
Outside of that have been intensely hungry maybe all the not eating is catching up to me but feel like there isn’t an off with my hunger now even though I’m still bloated/right in the stomach like I’m either expanded too much or like I’m squeezing my abs. Try to keep a scheldue and track calories to make sure I don’t overeat but not sure if intense hunger is common cause eating dense foods like eat a lot of three bean chili, granola, nuts. Going to talk to my doctor but wanted to know if anyone else had a similar experience.</t>
        </is>
      </c>
      <c r="D10440" t="n">
        <v>1</v>
      </c>
      <c r="E10440" t="n">
        <v>3</v>
      </c>
      <c r="F10440">
        <f>HYPERLINK("https://www.reddit.com/r/GERD/comments/ig0fj1/started_omeprazole_and_not_having_much_acid_in_my/")</f>
        <v/>
      </c>
      <c r="G10440" t="inlineStr">
        <is>
          <t>2020-08-24 16:22:32</t>
        </is>
      </c>
      <c r="H10440" t="inlineStr"/>
    </row>
    <row r="10441">
      <c r="A10441" t="inlineStr">
        <is>
          <t>ig0k4c</t>
        </is>
      </c>
      <c r="B10441" t="inlineStr">
        <is>
          <t>My gf throws up foam with no burn</t>
        </is>
      </c>
      <c r="C10441" t="inlineStr">
        <is>
          <t>My gf is throwing up almost every morning with foam. She also is burping a lot but has not burning in her throat. Does she have GERD??</t>
        </is>
      </c>
      <c r="D10441" t="n">
        <v>1</v>
      </c>
      <c r="E10441" t="n">
        <v>11</v>
      </c>
      <c r="F10441">
        <f>HYPERLINK("https://www.reddit.com/r/GERD/comments/ig0k4c/my_gf_throws_up_foam_with_no_burn/")</f>
        <v/>
      </c>
      <c r="G10441" t="inlineStr">
        <is>
          <t>2020-08-24 16:30:22</t>
        </is>
      </c>
      <c r="H10441" t="inlineStr"/>
    </row>
    <row r="10442">
      <c r="A10442" t="inlineStr">
        <is>
          <t>ig0mf7</t>
        </is>
      </c>
      <c r="B10442" t="inlineStr">
        <is>
          <t>question about endoscopy</t>
        </is>
      </c>
      <c r="C10442" t="inlineStr">
        <is>
          <t>just had my endoscopy pushed up to tomorrow and wondering how much can i eat/drink before the procedure</t>
        </is>
      </c>
      <c r="D10442" t="n">
        <v>1</v>
      </c>
      <c r="E10442" t="n">
        <v>4</v>
      </c>
      <c r="F10442">
        <f>HYPERLINK("https://www.reddit.com/r/GERD/comments/ig0mf7/question_about_endoscopy/")</f>
        <v/>
      </c>
      <c r="G10442" t="inlineStr">
        <is>
          <t>2020-08-24 16:34:06</t>
        </is>
      </c>
      <c r="H10442" t="inlineStr"/>
    </row>
    <row r="10443">
      <c r="A10443" t="inlineStr">
        <is>
          <t>ig19m6</t>
        </is>
      </c>
      <c r="B10443" t="inlineStr">
        <is>
          <t>Diagnosed with Gerd, Gastriris, and esophagitis....anybody else in the same boat?</t>
        </is>
      </c>
      <c r="C10443" t="inlineStr">
        <is>
          <t>So starting in October 2019 I began to experience a lot of regular nausea. It would be off and on. I would feel sick for weeks at a time then I would be fine. I also started having diarrhea almost everyday. When I don’t have diarrhea my stools still are not totally solid. I went to see a gastroenterologist and I had an upper GI done and an abdominal ultrasound. She diagnosed me with Gerd, Gastriris, and esophagitis. I never thought I had acid reflux...but now thinking about it maybe I have had it for a long time now, with only my symptoms recently getting worse. I have a bad habit of eating while laying down, or eating and laying down right after. I typically get off work after 9pm so this is why....I just prefer to wait till I get home to eat dinner. How soon when you start treatment does it get better? She prescribed me 40mg of famotidine to take at night. I took it tonight and I already notice a difference. I am also thinking about picking up some tums to help me throughout the day. My stomach pains are really started to distract me at work and I cannot focus well at all.</t>
        </is>
      </c>
      <c r="D10443" t="n">
        <v>1</v>
      </c>
      <c r="E10443" t="n">
        <v>9</v>
      </c>
      <c r="F10443">
        <f>HYPERLINK("https://www.reddit.com/r/GERD/comments/ig19m6/diagnosed_with_gerd_gastriris_and/")</f>
        <v/>
      </c>
      <c r="G10443" t="inlineStr">
        <is>
          <t>2020-08-24 17:12:24</t>
        </is>
      </c>
      <c r="H10443" t="inlineStr"/>
    </row>
    <row r="10444">
      <c r="A10444" t="inlineStr">
        <is>
          <t>ig1l09</t>
        </is>
      </c>
      <c r="B10444" t="inlineStr">
        <is>
          <t>Post endoscopy flare up</t>
        </is>
      </c>
      <c r="C10444" t="inlineStr">
        <is>
          <t>Anyone ever have a really bad flare up right after an endoscopy? It's like I have my usual chest burny symptoms plus bloating and stomach pain whenever I eat. I'm trying to figure out if they are related or perhaps this is just a coincidence.</t>
        </is>
      </c>
      <c r="D10444" t="n">
        <v>1</v>
      </c>
      <c r="E10444" t="n">
        <v>13</v>
      </c>
      <c r="F10444">
        <f>HYPERLINK("https://www.reddit.com/r/GERD/comments/ig1l09/post_endoscopy_flare_up/")</f>
        <v/>
      </c>
      <c r="G10444" t="inlineStr">
        <is>
          <t>2020-08-24 17:30:49</t>
        </is>
      </c>
      <c r="H10444" t="inlineStr"/>
    </row>
    <row r="10445">
      <c r="A10445" t="inlineStr">
        <is>
          <t>ig24ad</t>
        </is>
      </c>
      <c r="B10445" t="inlineStr">
        <is>
          <t>LPR Symptoms - Anyone Else?</t>
        </is>
      </c>
      <c r="C10445" t="inlineStr">
        <is>
          <t>The List:
• Sore throat
• Sore jaw
• Sore upper sternum 
• Post nasal drip
• Swollen lymph nodes
• Inflamed tonsils 
• Bad breath 
• Heart palpitations 
• Sharp pain that moves around your chest 
• Voice hoarseness/loss of voice 
• Ear pain
• Neck pain
• Ringing in the ears
• Headaches
• Shortness of breath 
• Fatigue 
• Dizzy or blurry vision 
• Increased anxiety and depression 
• Stomach cramps 
• Nausea 
• Loose bowl movements 
• General feelings of unwell 
• Difficultly eating/ difficulty when avoiding food
(Am I missing anything else?)
Doctors: 
- PCP “It’s viral!”
- Cardiologist “It’s sinus tachycardia!”
- Rheumatologist “It’s fibromyalgia!”
- Psychiatry “It’s anxiety!”
- Gastroenterologist “It’s GERD!”
- Neurologist “It’s anemia!”
- Otolaryngology “It’s silent GERD”
Treatments: 
PPI - Do not work for me. Made things worse. 
Steroids - Can’t take them. Eff with my heart.
Antihistamines - Makes things worse. 
Antacid - Upsets my GERD (???)
Antibiotics - Worse and serious allergic reaction.
Anti-fungal - Serious allergic reaction.
Beta blockers &amp;amp; calcium channel blockers - NO!
Treatment That Actually Works (FOR ME) A Year Later...
~ Elevated bed (10inches)
~ Gaviscon (Waiting for UK version though)
~ Saline nasal spray / NetiPot
~ Eliminating all triggers 
(THIS is how I corrected my Barrett’s Esophagus: Cut out all caffeine and alcohol).
~ Humidifier  
~ OTC sore throat spray 
...And about to try a generic reflux band.</t>
        </is>
      </c>
      <c r="D10445" t="n">
        <v>1</v>
      </c>
      <c r="E10445" t="n">
        <v>48</v>
      </c>
      <c r="F10445">
        <f>HYPERLINK("https://www.reddit.com/r/GERD/comments/ig24ad/lpr_symptoms_anyone_else/")</f>
        <v/>
      </c>
      <c r="G10445" t="inlineStr">
        <is>
          <t>2020-08-24 18:03:47</t>
        </is>
      </c>
      <c r="H10445" t="inlineStr"/>
    </row>
    <row r="10446">
      <c r="A10446" t="inlineStr">
        <is>
          <t>ig2skb</t>
        </is>
      </c>
      <c r="B10446" t="inlineStr">
        <is>
          <t>Are milk products tend to make the symptoms worse?</t>
        </is>
      </c>
      <c r="C10446" t="inlineStr">
        <is>
          <t>I drink milk daily and yesterday i went to the doctor and he asked me to avoid milk products except curd...can i consume milk 1 glass a day?</t>
        </is>
      </c>
      <c r="D10446" t="n">
        <v>1</v>
      </c>
      <c r="E10446" t="n">
        <v>4</v>
      </c>
      <c r="F10446">
        <f>HYPERLINK("https://www.reddit.com/r/GERD/comments/ig2skb/are_milk_products_tend_to_make_the_symptoms_worse/")</f>
        <v/>
      </c>
      <c r="G10446" t="inlineStr">
        <is>
          <t>2020-08-24 18:45:59</t>
        </is>
      </c>
      <c r="H10446" t="inlineStr"/>
    </row>
    <row r="10447">
      <c r="A10447" t="inlineStr">
        <is>
          <t>ig3mns</t>
        </is>
      </c>
      <c r="B10447" t="inlineStr">
        <is>
          <t>Wtf is hyperacidity ?</t>
        </is>
      </c>
      <c r="C10447" t="inlineStr">
        <is>
          <t>So for last 4 months my PCP said it’s acid reflux and this morning he said it might be hyperacidity and your throat ache could be because of it. Does it make any sense ?</t>
        </is>
      </c>
      <c r="D10447" t="n">
        <v>1</v>
      </c>
      <c r="E10447" t="n">
        <v>0</v>
      </c>
      <c r="F10447">
        <f>HYPERLINK("https://www.reddit.com/r/GERD/comments/ig3mns/wtf_is_hyperacidity/")</f>
        <v/>
      </c>
      <c r="G10447" t="inlineStr">
        <is>
          <t>2020-08-24 19:38:17</t>
        </is>
      </c>
      <c r="H10447" t="inlineStr"/>
    </row>
    <row r="10448">
      <c r="A10448" t="inlineStr">
        <is>
          <t>ig3wf8</t>
        </is>
      </c>
      <c r="B10448" t="inlineStr">
        <is>
          <t>Feel weak after eating</t>
        </is>
      </c>
      <c r="C10448" t="inlineStr">
        <is>
          <t>After eating, my heart begins to have palpitations and start to beat harder.  
Then, it almost feels like I have low blood sugar when in reality I don’t...
I just feel extremely weak and start to sweat too much.  Like my body goes into overdrive.
The heart palpitations, beating out of my chest and weakness after eating (especially after a bigger meal) is driving me crazy.
Any idea if this can be GERD related?? 
Male
30
185 lbs</t>
        </is>
      </c>
      <c r="D10448" t="n">
        <v>1</v>
      </c>
      <c r="E10448" t="n">
        <v>0</v>
      </c>
      <c r="F10448">
        <f>HYPERLINK("https://www.reddit.com/r/GERD/comments/ig3wf8/feel_weak_after_eating/")</f>
        <v/>
      </c>
      <c r="G10448" t="inlineStr">
        <is>
          <t>2020-08-24 19:55:44</t>
        </is>
      </c>
      <c r="H10448" t="inlineStr"/>
    </row>
    <row r="10449">
      <c r="A10449" t="inlineStr">
        <is>
          <t>ig406u</t>
        </is>
      </c>
      <c r="B10449" t="inlineStr">
        <is>
          <t>endoscopy anxiety????</t>
        </is>
      </c>
      <c r="C10449" t="inlineStr">
        <is>
          <t>about to have endoscopy tomorrow morning and  freaking out, any risk of anything going wrong? and if it does will it kill me instantly and also will having a slight dented chest make the risk that something will happen bigger???</t>
        </is>
      </c>
      <c r="D10449" t="n">
        <v>1</v>
      </c>
      <c r="E10449" t="n">
        <v>8</v>
      </c>
      <c r="F10449">
        <f>HYPERLINK("https://www.reddit.com/r/GERD/comments/ig406u/endoscopy_anxiety/")</f>
        <v/>
      </c>
      <c r="G10449" t="inlineStr">
        <is>
          <t>2020-08-24 20:02:32</t>
        </is>
      </c>
      <c r="H10449" t="inlineStr"/>
    </row>
    <row r="10450">
      <c r="A10450" t="inlineStr">
        <is>
          <t>ig448g</t>
        </is>
      </c>
      <c r="B10450" t="inlineStr">
        <is>
          <t>Nissen surgery</t>
        </is>
      </c>
      <c r="C10450" t="inlineStr">
        <is>
          <t>How long does it last? Google doesn’t say anything past the ten year mark. Really considering this to fix my hiatal hernia and GERD.</t>
        </is>
      </c>
      <c r="D10450" t="n">
        <v>1</v>
      </c>
      <c r="E10450" t="n">
        <v>7</v>
      </c>
      <c r="F10450">
        <f>HYPERLINK("https://www.reddit.com/r/GERD/comments/ig448g/nissen_surgery/")</f>
        <v/>
      </c>
      <c r="G10450" t="inlineStr">
        <is>
          <t>2020-08-24 20:09:26</t>
        </is>
      </c>
      <c r="H10450" t="inlineStr"/>
    </row>
    <row r="10451">
      <c r="A10451" t="inlineStr">
        <is>
          <t>ig4p3y</t>
        </is>
      </c>
      <c r="B10451" t="inlineStr">
        <is>
          <t>I get symptoms GERD no matter what...</t>
        </is>
      </c>
      <c r="C10451" t="inlineStr">
        <is>
          <t>Okay, long story short to keep things at a TLDR level, I have **GERD/LPR,** for 2.5+ years, since 22. One evening, I ate a cookie, and it felt so dry going down my throat, felt like it was getting stuck somewhere down there... and fast forward to now, after seeing my PCP 4 times, trying PPI's, seeing a Gastro, getting an endoscopy, getting a barium swallow, ALL of it, tried every med... still nothing.
**My MAIN symptoms**, scratchy throat, voice gets all raspy, dysphagia 
and I have NO functional heartburn
&amp;amp;#x200B;
I get reflux no matter WHAT. Recently I **stopped** taking PPI's due to the virus pandemic  (read something online on how it could weaken your system)
&amp;amp;#x200B;
So Im taking **Pepcid extra strength 4x a day (20mg)**, and it makes NO difference, literally NO difference.
&amp;amp;#x200B;
Im also a musician, and this is ruining my life at this point, I don't understand what's going on and why my body is doing this, but I wanna get down to the God Damn bottom, or else I'm gonna lose it</t>
        </is>
      </c>
      <c r="D10451" t="n">
        <v>1</v>
      </c>
      <c r="E10451" t="n">
        <v>1</v>
      </c>
      <c r="F10451">
        <f>HYPERLINK("https://www.reddit.com/r/GERD/comments/ig4p3y/i_get_symptoms_gerd_no_matter_what/")</f>
        <v/>
      </c>
      <c r="G10451" t="inlineStr">
        <is>
          <t>2020-08-24 20:46:17</t>
        </is>
      </c>
      <c r="H10451" t="inlineStr"/>
    </row>
    <row r="10452">
      <c r="A10452" t="inlineStr">
        <is>
          <t>ig4u5v</t>
        </is>
      </c>
      <c r="B10452" t="inlineStr">
        <is>
          <t>Does this sound like H.pylori?</t>
        </is>
      </c>
      <c r="C10452" t="inlineStr">
        <is>
          <t>Hey /r/GERD, I honestly don't know what's going on...
Some days, it feels like my body goes on a civil war against itself. My single-led EKG screams at me that I have "irregular heart rhythm", I have severe indigestion/heartburn, and I go to the bathroom multiple times and the stools burn (they're acidic). This goes on almost for the whole day, and it eventually ends, and when it does...!
I get hungry. When I get hungry it's like none of it ever happened. My EKG goes back to normal, my chest pains subsides and it' almost like it never happened, except maybe I end up with a fever...
I want to go to the doctor and sort of trying to help him fight an angle in helping me with this, so I'm thinking H.pylori, but what do you guys think?
Symptoms sound familiar?</t>
        </is>
      </c>
      <c r="D10452" t="n">
        <v>1</v>
      </c>
      <c r="E10452" t="n">
        <v>3</v>
      </c>
      <c r="F10452">
        <f>HYPERLINK("https://www.reddit.com/r/GERD/comments/ig4u5v/does_this_sound_like_hpylori/")</f>
        <v/>
      </c>
      <c r="G10452" t="inlineStr">
        <is>
          <t>2020-08-24 20:55:58</t>
        </is>
      </c>
      <c r="H10452" t="inlineStr"/>
    </row>
    <row r="10453">
      <c r="A10453" t="inlineStr">
        <is>
          <t>ig4uaz</t>
        </is>
      </c>
      <c r="B10453" t="inlineStr">
        <is>
          <t>Pepzin stops symptoms within minutes</t>
        </is>
      </c>
      <c r="C10453" t="inlineStr">
        <is>
          <t>This is one of the best supplements I've taken for all stomach issues. Was dying, hospitalized and now I'm on the mend.</t>
        </is>
      </c>
      <c r="D10453" t="n">
        <v>1</v>
      </c>
      <c r="E10453" t="n">
        <v>5</v>
      </c>
      <c r="F10453">
        <f>HYPERLINK("https://www.reddit.com/r/GERD/comments/ig4uaz/pepzin_stops_symptoms_within_minutes/")</f>
        <v/>
      </c>
      <c r="G10453" t="inlineStr">
        <is>
          <t>2020-08-24 20:56:15</t>
        </is>
      </c>
      <c r="H10453" t="inlineStr"/>
    </row>
    <row r="10454">
      <c r="A10454" t="inlineStr">
        <is>
          <t>ig6e61</t>
        </is>
      </c>
      <c r="B10454" t="inlineStr">
        <is>
          <t>Heart Palpitations and Pounding after eating</t>
        </is>
      </c>
      <c r="C10454" t="inlineStr">
        <is>
          <t>After eating, my heart begins to have palpitations and start to beat harder.  
Then, it almost feels like I have low blood sugar when in reality I don’t...
I just feel extremely weak, dizzy and start to sweat too much.  Like my body goes into overdrive.
The heart palpitations, beating out of my chest and weakness after eating (especially after a bigger meal) is driving me crazy.
This never happened to me before.  Then I got sick (crazy flu like symptoms) a while back, and now I have these terrible symptoms. 
Any idea if this can be GERD related?? 
Male
30
185 lbs</t>
        </is>
      </c>
      <c r="D10454" t="n">
        <v>1</v>
      </c>
      <c r="E10454" t="n">
        <v>3</v>
      </c>
      <c r="F10454">
        <f>HYPERLINK("https://www.reddit.com/r/GERD/comments/ig6e61/heart_palpitations_and_pounding_after_eating/")</f>
        <v/>
      </c>
      <c r="G10454" t="inlineStr">
        <is>
          <t>2020-08-24 22:53:28</t>
        </is>
      </c>
      <c r="H10454" t="inlineStr"/>
    </row>
    <row r="10455">
      <c r="A10455" t="inlineStr">
        <is>
          <t>ig7lmx</t>
        </is>
      </c>
      <c r="B10455" t="inlineStr">
        <is>
          <t>How do you sleep with head elevated and not get sore neck???</t>
        </is>
      </c>
      <c r="C10455" t="inlineStr">
        <is>
          <t>Maybe I’m crazy but I have like 3 pillows stacked and it just kind of crains my neck! I saw that this is supposed to help but it just seems like my neck is bent weird and I feel like I’m doing this wrong lol</t>
        </is>
      </c>
      <c r="D10455" t="n">
        <v>1</v>
      </c>
      <c r="E10455" t="n">
        <v>7</v>
      </c>
      <c r="F10455">
        <f>HYPERLINK("https://www.reddit.com/r/GERD/comments/ig7lmx/how_do_you_sleep_with_head_elevated_and_not_get/")</f>
        <v/>
      </c>
      <c r="G10455" t="inlineStr">
        <is>
          <t>2020-08-25 00:38:07</t>
        </is>
      </c>
      <c r="H10455" t="inlineStr"/>
    </row>
    <row r="10456">
      <c r="A10456" t="inlineStr">
        <is>
          <t>ig85vk</t>
        </is>
      </c>
      <c r="B10456" t="inlineStr">
        <is>
          <t>Help with symptoms</t>
        </is>
      </c>
      <c r="C10456" t="inlineStr">
        <is>
          <t>Hi Guys, 
I had quite severe symptoms the last month ranging from panic attacks, burping constantly, feeling tired all the time, unable to eat properly, lost weight, stomache aches, back pain, difficulty swallowing and globus! oh what a joy!! ;
Fortunately the past couple of days i have been able to eat a little better and some of the symptoms have gone. I have been referred for an endoscopy but i don't know how long the waiting list is. My predominant symptoms now seem to be difficulty swallowing and globus and tiredness. Does anyone know how can i reduce these? I have just started a new PPI - lansoprazole - last night. I was on Omaprezole which was not making any difference whatsoever. 
Thanks Guys</t>
        </is>
      </c>
      <c r="D10456" t="n">
        <v>1</v>
      </c>
      <c r="E10456" t="n">
        <v>4</v>
      </c>
      <c r="F10456">
        <f>HYPERLINK("https://www.reddit.com/r/GERD/comments/ig85vk/help_with_symptoms/")</f>
        <v/>
      </c>
      <c r="G10456" t="inlineStr">
        <is>
          <t>2020-08-25 01:29:37</t>
        </is>
      </c>
      <c r="H10456" t="inlineStr"/>
    </row>
    <row r="10457">
      <c r="A10457" t="inlineStr">
        <is>
          <t>ig8ylv</t>
        </is>
      </c>
      <c r="B10457" t="inlineStr">
        <is>
          <t>Can anyone relate to these symptoms?</t>
        </is>
      </c>
      <c r="C10457" t="inlineStr">
        <is>
          <t>Hi everyone, I've had GERD for years as an adult, but it's gotten worse after I got a cardiac problem and have to take beta-blockers every day.
I'm not asking for anyone to play doctor and tell me if I have GERD or not because I know I do. However, it would be nice to hear if others have similar occurrences because whatever tips you could give me, I'll take them to my doctor in our search for a solution.
So anyway
\- I had a gastroscopy recently. No ulcers, no damage, no bacteria, no bleeding, no tumours. They did see my oesophageal sphincter is open most of the time which obviously facilitates GERD.
\- I cut out pretty much all triggers from my diet, which weren't even triggers before that: banned chocolate, coffee (including decaf), tomatoes and the couple of glasses of Rhum I liked to drink in the weekend? Gone too. So yeah, my diet is quite bland.
\- I elevated the head of my bed so that I sleep on a slope.
\- Tried all kinds of medication: antacids and PPI (though only tried one PPI so far)
Nothing seems to really help. The thing is that it became so much worse virtually overnight. For the first few months I took the beta-blocker, my GERD didn't really get worse but then suddenly, one day it did about a month or so ago. No idea why. Helicobacter Pylori was excluded by biopsy and stool sample.
However, here's the strange part: for a few days before the gastroscopy, I had to stop taking the PPI. Which I did, and the symptoms didn't get worse nor better. It was just the same as before. Another weirdness: I often have a feeling of having a large bubble stuck behind my chest which gives me a full and mild gagging feeling as well as nausea. I keep doing these "internal" burps, but the feeling doesn't go away. My appetite is intact though but the weird thing is: when I lie down flat on my back, the trapped bubble feeling goes away instantly. It only comes back as soon as I get back up.
I also tried to just not eat for 24 hours and see if my symptoms got better. The plan was to then gradually add stuff to my diet again till I found more trigger foods. However, I noticed that GERD is much worse on an EMPTY stomach for me. Weird, right?
Last but not least, there have ben days where the GERD was not so bad. last friday for example. I went to my dad's and we had spaghetti with home made sauce including onions and obviously, tomatoes. I thought this would make my spit fire... but I had no extra GERD whatsoever afterwards. 
I just don't understand. My doc has ordered me to take a drug that relaxes the oesophagus itself a little since it's probably spastic right now and after that she'd like to do a CT scan of the thorax and a PH-metry of the oesophagus to see what that says. At least I'm relieved the gastroscopy didn't show anything dangerous...
If anyone recognizes this stuff, please let me know. I'll be sure to take any advise you give to my doctor because at this point, I'm willing to try anything</t>
        </is>
      </c>
      <c r="D10457" t="n">
        <v>1</v>
      </c>
      <c r="E10457" t="n">
        <v>6</v>
      </c>
      <c r="F10457">
        <f>HYPERLINK("https://www.reddit.com/r/GERD/comments/ig8ylv/can_anyone_relate_to_these_symptoms/")</f>
        <v/>
      </c>
      <c r="G10457" t="inlineStr">
        <is>
          <t>2020-08-25 02:40:21</t>
        </is>
      </c>
      <c r="H10457" t="inlineStr"/>
    </row>
    <row r="10458">
      <c r="A10458" t="inlineStr">
        <is>
          <t>ig9w2i</t>
        </is>
      </c>
      <c r="B10458" t="inlineStr">
        <is>
          <t>Food stuck feeling.</t>
        </is>
      </c>
      <c r="C10458" t="inlineStr">
        <is>
          <t>One thing that annoys me, is the feeling of food stuck in your throat after eating. 
But what I've been trying to decide lately.  Is it actually stuck in there,  and slow in moving down.  Or just the feeling.   How are you able to tell the Difference.  
I guess I'm just getting paranoid that my throat is closing in.  When its probably not.</t>
        </is>
      </c>
      <c r="D10458" t="n">
        <v>1</v>
      </c>
      <c r="E10458" t="n">
        <v>9</v>
      </c>
      <c r="F10458">
        <f>HYPERLINK("https://www.reddit.com/r/GERD/comments/ig9w2i/food_stuck_feeling/")</f>
        <v/>
      </c>
      <c r="G10458" t="inlineStr">
        <is>
          <t>2020-08-25 03:58:47</t>
        </is>
      </c>
      <c r="H10458" t="inlineStr"/>
    </row>
    <row r="10459">
      <c r="A10459" t="inlineStr">
        <is>
          <t>igbpvt</t>
        </is>
      </c>
      <c r="B10459" t="inlineStr">
        <is>
          <t>rice causing gerd</t>
        </is>
      </c>
      <c r="C10459" t="inlineStr">
        <is>
          <t>I was diagnosed with gerd and did a 2 month cycle of pantoprozale which helped. Ive now noticed that I get a reoccurence whenever I eat rice, bread can trigger it to a lesser extent but if I eat rice I will have an event where pressure builds up in my throat and occasionally it will cause me to throw up. This used to be periodic but now its consistent, 1 cup of rice results in a painful surge of acid in my throat, lots of pressure and then irritation in my throat for a day or two. 
Is this a common issue? Everything I read online says rice should have the opposite effect. Thanks</t>
        </is>
      </c>
      <c r="D10459" t="n">
        <v>1</v>
      </c>
      <c r="E10459" t="n">
        <v>4</v>
      </c>
      <c r="F10459">
        <f>HYPERLINK("https://www.reddit.com/r/GERD/comments/igbpvt/rice_causing_gerd/")</f>
        <v/>
      </c>
      <c r="G10459" t="inlineStr">
        <is>
          <t>2020-08-25 06:01:18</t>
        </is>
      </c>
      <c r="H10459" t="inlineStr"/>
    </row>
    <row r="10460">
      <c r="A10460" t="inlineStr">
        <is>
          <t>igca66</t>
        </is>
      </c>
      <c r="B10460" t="inlineStr">
        <is>
          <t>Do I have GERD?</t>
        </is>
      </c>
      <c r="C10460" t="inlineStr">
        <is>
          <t>Never been diagnosed but here are my symptoms:
1. Occasional abdominal pain , usually accompanied by a lot of gas. Burping or farting relieves it somewhat. The pain feels very much like hunger pains (which it's not because it happens after I eat)
2. Sometimes the pain is very intense (and I have a high pain threshold). Several months ago, the episode lasted more than 24 hours. Went to the gastro, who suspected gallbladder stones (pain happens mostly at night), ordered ultrasound, which I was not able to have done because of the pandemic.
3. I have always been a belcher, since my early 20s. (Am now in late 30s). Never thought much of it since my mom is the same. I burp very, very frequently and very loudly. 
4. Experiencing more heartburn than usual, sometimes hurts to breathe deeply
Does this sound like GERD? Thanks.</t>
        </is>
      </c>
      <c r="D10460" t="n">
        <v>1</v>
      </c>
      <c r="E10460" t="n">
        <v>1</v>
      </c>
      <c r="F10460">
        <f>HYPERLINK("https://www.reddit.com/r/GERD/comments/igca66/do_i_have_gerd/")</f>
        <v/>
      </c>
      <c r="G10460" t="inlineStr">
        <is>
          <t>2020-08-25 06:33:43</t>
        </is>
      </c>
      <c r="H10460" t="inlineStr"/>
    </row>
    <row r="10461">
      <c r="A10461" t="inlineStr">
        <is>
          <t>igcv5y</t>
        </is>
      </c>
      <c r="B10461" t="inlineStr">
        <is>
          <t>Reflux from high protein foods?</t>
        </is>
      </c>
      <c r="C10461" t="inlineStr">
        <is>
          <t>Hey, I'm a 25 year old (otherwise) healthy male. I've been suffering with GERD for the last 1.5 years and I've been through the usual process of going to a doctor, trying various PPIs, H2 inhibs, antacids, all the classics. Antacids (Gaviscon to be specific) are the only things that seem to help me at all, and only in small doses. The more I use them, the more flare ups I seem to have and the more I need to use them. It feels like a bit of a vicious cycle. When I took PPIs I just ended up having stomach cramps, constipation, headaches to the point where it was not worth it.
There's been two major changes in my lifestyle over the last 2 years which I think started my issues, and it's making me think that maybe I have low stomach acid (or maybe I'm just eating too much hard to digest protein). Around 2 years ago I started weightlifting regularly and started to eat what I would describe as a much healthier diet - higher in protein, good carb sources and healthy fats in small doses. We're talking somewhere between 150g-200g of protein per day.
I recently tried the baking soda test (the burp test) to see if I had low stomach acid and from what I observed, it did seem to indicate that I might have low stomach acid because I didn't burp for a long time. After this I tried digestive enzymes, but this only made my reflux worse. This put me off trying Betaine HCL and pepsin because, from what I can understand, it works similarly to digestive enzymes(?).
Is it possible that I'm eating too much protein or have low stomach acid, rather than high stomach acid? I've always read about this online but wondered if it was snake oil since my doctor has never even mentioned it as a possibility. When I mentioned this during a consultation, my doctor looked at me as if I was an alien, which obviously only reinforced my suspicions about the whole low stomach acid thing.
Any help, thoughts or experiences with bodybuilding/high protein diets and GERD would be greatly appreciated.
I am currently on the waitlist for an endoscopy, so I will of course be continuing to consult with a doctor too.
Thanks</t>
        </is>
      </c>
      <c r="D10461" t="n">
        <v>1</v>
      </c>
      <c r="E10461" t="n">
        <v>4</v>
      </c>
      <c r="F10461">
        <f>HYPERLINK("https://www.reddit.com/r/GERD/comments/igcv5y/reflux_from_high_protein_foods/")</f>
        <v/>
      </c>
      <c r="G10461" t="inlineStr">
        <is>
          <t>2020-08-25 07:07:38</t>
        </is>
      </c>
      <c r="H10461" t="inlineStr"/>
    </row>
    <row r="10462">
      <c r="A10462" t="inlineStr">
        <is>
          <t>igcvi0</t>
        </is>
      </c>
      <c r="B10462" t="inlineStr">
        <is>
          <t>Is it fine to cheat a bit to get some calories in me ?</t>
        </is>
      </c>
      <c r="C10462" t="inlineStr">
        <is>
          <t>Ive lost like 5 lbs cause I can’t think of what to eat and don’t have the motivation to eat since I’m so limited , would it be fine if I ate some things to get me weight back up ? And take Pepcid or Gaviscon beforehand ? Energy has also been low</t>
        </is>
      </c>
      <c r="D10462" t="n">
        <v>1</v>
      </c>
      <c r="E10462" t="n">
        <v>14</v>
      </c>
      <c r="F10462">
        <f>HYPERLINK("https://www.reddit.com/r/GERD/comments/igcvi0/is_it_fine_to_cheat_a_bit_to_get_some_calories_in/")</f>
        <v/>
      </c>
      <c r="G10462" t="inlineStr">
        <is>
          <t>2020-08-25 07:08:12</t>
        </is>
      </c>
      <c r="H10462" t="inlineStr"/>
    </row>
    <row r="10463">
      <c r="A10463" t="inlineStr">
        <is>
          <t>igf1hd</t>
        </is>
      </c>
      <c r="B10463" t="inlineStr">
        <is>
          <t>it's back :(</t>
        </is>
      </c>
      <c r="C10463" t="inlineStr">
        <is>
          <t>Back in December, I saw doctor for bloating, belly ache under right rib and feeling of food and liquid going down very slowly. She gave me pantoprazole and no special diet.  I took them for 3 months and felt much better! Yea! But then, I started feeling dry in my esophagus, and weaned off PPI and took H2 blockers which where good. I ate too much, gained 10 lbs and now I'm bloated again and again, food and water very slow going down. I've never had a scope, I guess doctor figures if PPI works then all good. Anyways, starting them again today.  I also have weird gurgling and sometimes I can't get a burp out without gurgling. Anyone else feels that way? what worked for you? I started reading the Acid Watcher diet. TIA</t>
        </is>
      </c>
      <c r="D10463" t="n">
        <v>1</v>
      </c>
      <c r="E10463" t="n">
        <v>7</v>
      </c>
      <c r="F10463">
        <f>HYPERLINK("https://www.reddit.com/r/GERD/comments/igf1hd/its_back/")</f>
        <v/>
      </c>
      <c r="G10463" t="inlineStr">
        <is>
          <t>2020-08-25 09:04:32</t>
        </is>
      </c>
      <c r="H10463" t="inlineStr"/>
    </row>
    <row r="10464">
      <c r="A10464" t="inlineStr">
        <is>
          <t>iggtgg</t>
        </is>
      </c>
      <c r="B10464" t="inlineStr">
        <is>
          <t>Does anyone get acid reflux “attacks”?</t>
        </is>
      </c>
      <c r="C10464" t="inlineStr">
        <is>
          <t>Last year I got food poisoning (I think) and started getting these moments of intense acid reflux and acid regurgitation. Basically I’ll suddenly feel extremely nauseous and on the verge of throwing up and get a lot of acid coming up and pooling in my throat and it makes it hard to swallow. The acid just continuously comes up then I’ll swallow and repeat about 30 times. I’ll also feel so weak, shaky and dizzy during those moments. It lasts like 10 minutes (maybe less but feels like forever). And then I have high acid for the rest of the day where I feel like I’ll throw up every time I eat. 
This hasn’t happened in over a year and it happened again today randomly so I’m super frustrated. I don’t get why it happens and was wondering if anyone else experiences the same.</t>
        </is>
      </c>
      <c r="D10464" t="n">
        <v>1</v>
      </c>
      <c r="E10464" t="n">
        <v>7</v>
      </c>
      <c r="F10464">
        <f>HYPERLINK("https://www.reddit.com/r/GERD/comments/iggtgg/does_anyone_get_acid_reflux_attacks/")</f>
        <v/>
      </c>
      <c r="G10464" t="inlineStr">
        <is>
          <t>2020-08-25 10:31:53</t>
        </is>
      </c>
      <c r="H10464" t="inlineStr"/>
    </row>
    <row r="10465">
      <c r="A10465" t="inlineStr">
        <is>
          <t>ighgsk</t>
        </is>
      </c>
      <c r="B10465" t="inlineStr">
        <is>
          <t>Issues consuming water</t>
        </is>
      </c>
      <c r="C10465" t="inlineStr">
        <is>
          <t>Does anyone else have an issue doing their allotted amount of water for the day? I feel so full drinking so little and get no where near the amount I need. I get that full to my throat feeling a lot of the time.</t>
        </is>
      </c>
      <c r="D10465" t="n">
        <v>1</v>
      </c>
      <c r="E10465" t="n">
        <v>1</v>
      </c>
      <c r="F10465">
        <f>HYPERLINK("https://www.reddit.com/r/GERD/comments/ighgsk/issues_consuming_water/")</f>
        <v/>
      </c>
      <c r="G10465" t="inlineStr">
        <is>
          <t>2020-08-25 11:03:19</t>
        </is>
      </c>
      <c r="H10465" t="inlineStr"/>
    </row>
    <row r="10466">
      <c r="A10466" t="inlineStr">
        <is>
          <t>igifo1</t>
        </is>
      </c>
      <c r="B10466" t="inlineStr">
        <is>
          <t>Community for LPR/Silent GERD</t>
        </is>
      </c>
      <c r="C10466" t="inlineStr">
        <is>
          <t>https://www.reddit.com/r/LPRSilentGerd/</t>
        </is>
      </c>
      <c r="D10466" t="n">
        <v>1</v>
      </c>
      <c r="E10466" t="n">
        <v>4</v>
      </c>
      <c r="F10466">
        <f>HYPERLINK("https://www.reddit.com/r/GERD/comments/igifo1/community_for_lprsilent_gerd/")</f>
        <v/>
      </c>
      <c r="G10466" t="inlineStr">
        <is>
          <t>2020-08-25 11:50:04</t>
        </is>
      </c>
      <c r="H10466" t="inlineStr"/>
    </row>
    <row r="10467">
      <c r="A10467" t="inlineStr">
        <is>
          <t>igig83</t>
        </is>
      </c>
      <c r="B10467" t="inlineStr">
        <is>
          <t>Just wanted to check in. Had my EGD done yesterday.</t>
        </is>
      </c>
      <c r="C10467" t="inlineStr">
        <is>
          <t>So i was on this forum for quiet sometime because I was convinced I had gerd and had destroyed my esophagus to an unrepairable place. Worried about cancer and all of that. My EGD was absolutely clean. Better than I was at 17 with ulcers. No signs of gerd,lpr, hiatal.. they sent a biopsy off for celiac disease. 
So to any of you out there staying awake in night of fear. Just know its probably not that bad.</t>
        </is>
      </c>
      <c r="D10467" t="n">
        <v>1</v>
      </c>
      <c r="E10467" t="n">
        <v>7</v>
      </c>
      <c r="F10467">
        <f>HYPERLINK("https://www.reddit.com/r/GERD/comments/igig83/just_wanted_to_check_in_had_my_egd_done_yesterday/")</f>
        <v/>
      </c>
      <c r="G10467" t="inlineStr">
        <is>
          <t>2020-08-25 11:50:50</t>
        </is>
      </c>
      <c r="H10467" t="inlineStr"/>
    </row>
    <row r="10468">
      <c r="A10468" t="inlineStr">
        <is>
          <t>igjd3g</t>
        </is>
      </c>
      <c r="B10468" t="inlineStr">
        <is>
          <t>Anyone else get blisters?</t>
        </is>
      </c>
      <c r="C10468" t="inlineStr">
        <is>
          <t>I had an awful flair up a few days ago, and because of it... I now have blisters all around the back of my throat. They hurt, they’re big, and I feel like I have strep throat... but I don’t.</t>
        </is>
      </c>
      <c r="D10468" t="n">
        <v>1</v>
      </c>
      <c r="E10468" t="n">
        <v>0</v>
      </c>
      <c r="F10468">
        <f>HYPERLINK("https://www.reddit.com/r/GERD/comments/igjd3g/anyone_else_get_blisters/")</f>
        <v/>
      </c>
      <c r="G10468" t="inlineStr">
        <is>
          <t>2020-08-25 12:37:13</t>
        </is>
      </c>
      <c r="H10468" t="inlineStr"/>
    </row>
    <row r="10469">
      <c r="A10469" t="inlineStr">
        <is>
          <t>igkw0a</t>
        </is>
      </c>
      <c r="B10469" t="inlineStr">
        <is>
          <t>GERD AND ESOPHAGITIS</t>
        </is>
      </c>
      <c r="C10469" t="inlineStr">
        <is>
          <t>Hello all, I had heatburns even when i just drank water, i went to the doctor for endoscopy, i am 20 yo and slightly above the kg limit for my height. I was told i have a small injury on my esophagus, under 5cm, i have been taking nexium 40mg twice for 2 weeks and then 1 a day for 1,5 months, the treatment is over and i can tell that if i dont take the medication for 1 day the next one i will have mild heatburn 2-3 hours after the food consumption. definitely not so intense a before but generally this has me concerned, its really annoying and it was supposed to have been treated before two months already. i was told to continue the medication. prolly the esophagitis is result of GERD. Any advice or info? thanks.</t>
        </is>
      </c>
      <c r="D10469" t="n">
        <v>1</v>
      </c>
      <c r="E10469" t="n">
        <v>17</v>
      </c>
      <c r="F10469">
        <f>HYPERLINK("https://www.reddit.com/r/GERD/comments/igkw0a/gerd_and_esophagitis/")</f>
        <v/>
      </c>
      <c r="G10469" t="inlineStr">
        <is>
          <t>2020-08-25 13:55:39</t>
        </is>
      </c>
      <c r="H10469" t="inlineStr"/>
    </row>
    <row r="10470">
      <c r="A10470" t="inlineStr">
        <is>
          <t>iglotz</t>
        </is>
      </c>
      <c r="B10470" t="inlineStr">
        <is>
          <t>Why do I only ever get heartburn at night?</t>
        </is>
      </c>
      <c r="C10470" t="inlineStr">
        <is>
          <t>I eat my last meal at 7PM approx and everything is also good until 10PM and boom heartburn. I’ve been off PPI for about 3 weeks now, and now I only experience heart burn at night</t>
        </is>
      </c>
      <c r="D10470" t="n">
        <v>1</v>
      </c>
      <c r="E10470" t="n">
        <v>2</v>
      </c>
      <c r="F10470">
        <f>HYPERLINK("https://www.reddit.com/r/GERD/comments/iglotz/why_do_i_only_ever_get_heartburn_at_night/")</f>
        <v/>
      </c>
      <c r="G10470" t="inlineStr">
        <is>
          <t>2020-08-25 14:37:11</t>
        </is>
      </c>
      <c r="H10470" t="inlineStr"/>
    </row>
    <row r="10471">
      <c r="A10471" t="inlineStr">
        <is>
          <t>iglvqd</t>
        </is>
      </c>
      <c r="B10471" t="inlineStr">
        <is>
          <t>How do I force myself to change my diet so I don't have to suffer anymore?</t>
        </is>
      </c>
      <c r="C10471" t="inlineStr">
        <is>
          <t>I'm suffering from severe GERD everyday for a bit less than a year now. I tried every single PPI - didn't help. Tried lifestyle modifications (lost 96 pounds), I'm sleeping on elevated bed, not laying down at least for 2 hours after eating, etc. I'm not a drinker or a smoker, and I also don't drink coffee. But my diet is pretty shit. I lost a lot of weight using calories in calories out approach (it's diet focused on not what you eat but on how much you eat so I would still eat pizza and all the other good stuff and would lose weight). I'm so tired of suffering everyday, I became more and more depressed, I don't go outside, I don't exercise. How the hell do I force myself to go on the diet? I was obese from around when I was 8/9 years old to very recently. I love food very much. And I found what's working for me diet wise, and I'm scared to change that because I tried eating healthy before my GERD was so bad, and it would usually only last a few weeks if I was lucky... The only hope would probably be that I may not have to diet for my whole life (until my GERD gets better) which is probably my biggest fear, because thats hell and not life.</t>
        </is>
      </c>
      <c r="D10471" t="n">
        <v>1</v>
      </c>
      <c r="E10471" t="n">
        <v>15</v>
      </c>
      <c r="F10471">
        <f>HYPERLINK("https://www.reddit.com/r/GERD/comments/iglvqd/how_do_i_force_myself_to_change_my_diet_so_i_dont/")</f>
        <v/>
      </c>
      <c r="G10471" t="inlineStr">
        <is>
          <t>2020-08-25 14:47:20</t>
        </is>
      </c>
      <c r="H10471" t="inlineStr"/>
    </row>
    <row r="10472">
      <c r="A10472" t="inlineStr">
        <is>
          <t>igm3xo</t>
        </is>
      </c>
      <c r="B10472" t="inlineStr">
        <is>
          <t>Switching to Dexilant</t>
        </is>
      </c>
      <c r="C10472" t="inlineStr">
        <is>
          <t>I did a bad thing and read online reviews for Dexilant. I had an endoscopy last week and my GI wants to switch me from pantoprazole to Dexilant. This will be my 3rd PPI in 7 yrs. Most reviews did not have good things to say about it. Come to find out I have bile reflux. My LES doesn’t close at all and the doc wants to see if this med will help me, along with scheduling me for a 24 hr ph test. If this doesn’t work than we’ll talk surgery but I don’t want that. What is your experience with taking/switching to Dexilant? TIA</t>
        </is>
      </c>
      <c r="D10472" t="n">
        <v>1</v>
      </c>
      <c r="E10472" t="n">
        <v>7</v>
      </c>
      <c r="F10472">
        <f>HYPERLINK("https://www.reddit.com/r/GERD/comments/igm3xo/switching_to_dexilant/")</f>
        <v/>
      </c>
      <c r="G10472" t="inlineStr">
        <is>
          <t>2020-08-25 14:59:53</t>
        </is>
      </c>
      <c r="H10472" t="inlineStr"/>
    </row>
    <row r="10473">
      <c r="A10473" t="inlineStr">
        <is>
          <t>igm9de</t>
        </is>
      </c>
      <c r="B10473" t="inlineStr">
        <is>
          <t>Really bad last few days. Advice?</t>
        </is>
      </c>
      <c r="C10473" t="inlineStr">
        <is>
          <t>So, I have been taking Nexium (Esomeprazole) for the last 5 years or so, along with Famotidine.  It has worked wonders for me and I barely have had any problems.  
I ran out of medication about a week ago and went without Nexium for 2 days.  I was able to get some Omeprazole, but then all of a sudden I have all of a sudden experienced really bad post nasal drip, thick mucus, gagging, tight throat and bad heartburn.  
I'm guessing it's because the Nexium is stronger and now I'm taking something I normally wouldn't.  I don't have any money to buy Nexium until Friday, so at the moment I'm doubling down on the Omeprazole.
Any advice for me? Do you think that taking the Nexium again will start helping again?</t>
        </is>
      </c>
      <c r="D10473" t="n">
        <v>1</v>
      </c>
      <c r="E10473" t="n">
        <v>1</v>
      </c>
      <c r="F10473">
        <f>HYPERLINK("https://www.reddit.com/r/GERD/comments/igm9de/really_bad_last_few_days_advice/")</f>
        <v/>
      </c>
      <c r="G10473" t="inlineStr">
        <is>
          <t>2020-08-25 15:08:12</t>
        </is>
      </c>
      <c r="H10473" t="inlineStr"/>
    </row>
    <row r="10474">
      <c r="A10474" t="inlineStr">
        <is>
          <t>igmeh1</t>
        </is>
      </c>
      <c r="B10474" t="inlineStr">
        <is>
          <t>can anyone tell me what a (small) mucosal rent is?</t>
        </is>
      </c>
      <c r="C10474" t="inlineStr">
        <is>
          <t>found this in my post-endoscopy and wondering what this is and if its common</t>
        </is>
      </c>
      <c r="D10474" t="n">
        <v>1</v>
      </c>
      <c r="E10474" t="n">
        <v>0</v>
      </c>
      <c r="F10474">
        <f>HYPERLINK("https://www.reddit.com/r/GERD/comments/igmeh1/can_anyone_tell_me_what_a_small_mucosal_rent_is/")</f>
        <v/>
      </c>
      <c r="G10474" t="inlineStr">
        <is>
          <t>2020-08-25 15:16:05</t>
        </is>
      </c>
      <c r="H10474" t="inlineStr"/>
    </row>
    <row r="10475">
      <c r="A10475" t="inlineStr">
        <is>
          <t>igmtgb</t>
        </is>
      </c>
      <c r="B10475" t="inlineStr">
        <is>
          <t>Dexilant... how long before it really works?</t>
        </is>
      </c>
      <c r="C10475" t="inlineStr">
        <is>
          <t>Hi, I started feeling GERD symptoms about 6 months ago. Throat hurts down to the middle of the chest, bad taste in my mouth, no real heartburns but mostly shortness of breath (which makes me pretty anxious actually).. I tried a few PPI, at the time. First 2 didn't work after 2-3 weeks. Then switched to Dexilant 30mg in March, it worked pretty fast I think and stopped after a month. Now it's back, I started using Dexilant again. Now it's 2 weeks, no real improvement, especially on the breathing side... How long can it take to really work. Any info appreciated, thanks!</t>
        </is>
      </c>
      <c r="D10475" t="n">
        <v>1</v>
      </c>
      <c r="E10475" t="n">
        <v>2</v>
      </c>
      <c r="F10475">
        <f>HYPERLINK("https://www.reddit.com/r/GERD/comments/igmtgb/dexilant_how_long_before_it_really_works/")</f>
        <v/>
      </c>
      <c r="G10475" t="inlineStr">
        <is>
          <t>2020-08-25 15:39:34</t>
        </is>
      </c>
      <c r="H10475" t="inlineStr"/>
    </row>
    <row r="10476">
      <c r="A10476" t="inlineStr">
        <is>
          <t>ignhtj</t>
        </is>
      </c>
      <c r="B10476" t="inlineStr">
        <is>
          <t>What actually constitutes GERD from just occasional Acid Reflux?</t>
        </is>
      </c>
      <c r="C10476" t="inlineStr">
        <is>
          <t>I'll have an acid reflux flare up (heartburn/cough/burning sensation in the stomach) usually induced by anxiety or eating too much at once about one to two times per month. Although in May and June, I had five flareups. Do I fit the description of someone who actually has this disease or this relatively minor? I still try to control my diet. I've posted on this forum 3 months ago. What I thought were LPR symptoms turned out to be post-nasal drip from allergies.</t>
        </is>
      </c>
      <c r="D10476" t="n">
        <v>1</v>
      </c>
      <c r="E10476" t="n">
        <v>6</v>
      </c>
      <c r="F10476">
        <f>HYPERLINK("https://www.reddit.com/r/GERD/comments/ignhtj/what_actually_constitutes_gerd_from_just/")</f>
        <v/>
      </c>
      <c r="G10476" t="inlineStr">
        <is>
          <t>2020-08-25 16:19:25</t>
        </is>
      </c>
      <c r="H10476" t="inlineStr"/>
    </row>
    <row r="10477">
      <c r="A10477" t="inlineStr">
        <is>
          <t>ignjqf</t>
        </is>
      </c>
      <c r="B10477" t="inlineStr">
        <is>
          <t>Why do I get lightheaded during reflux episodes? Also, anyone done a 24hr ph test?</t>
        </is>
      </c>
      <c r="C10477" t="inlineStr">
        <is>
          <t>I'm getting the 24hr ph test done tomorrow so I've been off my medication for 7 days and it's been rough. I've had a bland diet all week and still get episodes. But most episodes I get varying levels of lightheadedness that passes when the reflux settles. Does anyone no why or have similar experiences?
Also, if you had this test, what was your experience like? Could you constantly feel the catheter? Was it difficult to eat or sleep?
I had a very rough experience with the manometry test so I'm super nervous.</t>
        </is>
      </c>
      <c r="D10477" t="n">
        <v>1</v>
      </c>
      <c r="E10477" t="n">
        <v>5</v>
      </c>
      <c r="F10477">
        <f>HYPERLINK("https://www.reddit.com/r/GERD/comments/ignjqf/why_do_i_get_lightheaded_during_reflux_episodes/")</f>
        <v/>
      </c>
      <c r="G10477" t="inlineStr">
        <is>
          <t>2020-08-25 16:22:38</t>
        </is>
      </c>
      <c r="H10477" t="inlineStr"/>
    </row>
    <row r="10478">
      <c r="A10478" t="inlineStr">
        <is>
          <t>igptl3</t>
        </is>
      </c>
      <c r="B10478" t="inlineStr">
        <is>
          <t>Can I practice intermittent fasting?</t>
        </is>
      </c>
      <c r="C10478" t="inlineStr">
        <is>
          <t>Just a question i wanted to ask...has anyone done this before...does this have any side effects for GERD patients?</t>
        </is>
      </c>
      <c r="D10478" t="n">
        <v>1</v>
      </c>
      <c r="E10478" t="n">
        <v>13</v>
      </c>
      <c r="F10478">
        <f>HYPERLINK("https://www.reddit.com/r/GERD/comments/igptl3/can_i_practice_intermittent_fasting/")</f>
        <v/>
      </c>
      <c r="G10478" t="inlineStr">
        <is>
          <t>2020-08-25 18:44:28</t>
        </is>
      </c>
      <c r="H10478" t="inlineStr"/>
    </row>
    <row r="10479">
      <c r="A10479" t="inlineStr">
        <is>
          <t>igr5vx</t>
        </is>
      </c>
      <c r="B10479" t="inlineStr">
        <is>
          <t>Acid Reflux and GERD</t>
        </is>
      </c>
      <c r="C10479" t="inlineStr">
        <is>
          <t>Anyone got any tips for dealing with daily nausea. 
About 10 weeks ago I suffered a severe panic attack. Over the next few I started having acid reflux symptoms. I would burp, get hiccups frequently that would last for hours, have a lot of acids and feel quite nauseated. Some of these symptoms got better however, the nausea has stayed and now got to the point where I can't eat because I feel too sick and my appetite has gone. And I get breathless on occasion.
I have been taking 20mg of Omeprazole twice daily and it's not really doing the job.  
I suffer from anxiety all day every day and have had acid reflux in the past.
I'm not sure if this is anxiety-related symptoms or gerd or both and they are teaming up to make me feel like crap.</t>
        </is>
      </c>
      <c r="D10479" t="n">
        <v>1</v>
      </c>
      <c r="E10479" t="n">
        <v>5</v>
      </c>
      <c r="F10479">
        <f>HYPERLINK("https://www.reddit.com/r/GERD/comments/igr5vx/acid_reflux_and_gerd/")</f>
        <v/>
      </c>
      <c r="G10479" t="inlineStr">
        <is>
          <t>2020-08-25 20:10:53</t>
        </is>
      </c>
      <c r="H10479" t="inlineStr"/>
    </row>
    <row r="10480">
      <c r="A10480" t="inlineStr">
        <is>
          <t>igtn50</t>
        </is>
      </c>
      <c r="B10480" t="inlineStr">
        <is>
          <t>Chronic reflux</t>
        </is>
      </c>
      <c r="C10480" t="inlineStr">
        <is>
          <t>I’m having a frustrating time of it. 
I’ve been having really horrible acid reflux for about two years now. In the past I’d have flare ups, but after a few months of Nexium and low-acid eating I’d go back to normal. 
I’m on 40 mg pantoprazole with occasional hyoscyamine (.125 mg). My one indulgence is sugar-free soda, but I’ve reduced that to about once a day (which is good, because I was at 2-3 plus coffee; fwiw I have a hypersomnia condition, so I was trying to combat sleepiness). 
I keep thinking things will eventually get better but they stay the same. I was trying to reduce pantoprazole (to 20 mg) just before the pandemic, but went back after having pain come back worse than before.
I had an upper endoscopy last year. Nothing’s wrong. I don’t have H. pylori either. I do have some chronic illnesses, and at this point I’m thinking chronic acid reflux is just part of the package. 
Has anyone else dealt with very prolonged issues? I’m so queasy and bloated tonight. My throat burns and I just took hyoscyamine. I sit sleeping propped up. I’m so over it. I may need to really address my diet very strongly if that’s the only thing that might help.</t>
        </is>
      </c>
      <c r="D10480" t="n">
        <v>1</v>
      </c>
      <c r="E10480" t="n">
        <v>4</v>
      </c>
      <c r="F10480">
        <f>HYPERLINK("https://www.reddit.com/r/GERD/comments/igtn50/chronic_reflux/")</f>
        <v/>
      </c>
      <c r="G10480" t="inlineStr">
        <is>
          <t>2020-08-25 23:15:25</t>
        </is>
      </c>
      <c r="H10480" t="inlineStr"/>
    </row>
    <row r="10481">
      <c r="A10481" t="inlineStr">
        <is>
          <t>igtte6</t>
        </is>
      </c>
      <c r="B10481" t="inlineStr">
        <is>
          <t>Hey guys wanting some help!</t>
        </is>
      </c>
      <c r="C10481" t="inlineStr">
        <is>
          <t>I’ve spoken to my doctors and they tell me I have symptoms of GERD and possibly IBS but I’m worried it could be something different or maybe even related to an STD.
My symptoms started 4 weeks ago with a painful chest when I lied down and on my side, it would also been straining throughout the day, made me feel very tired and weak. Then about a week later my sinuses started playing up, I’ve now had a blocked nose and sore throat mainly in the morning for around 3 weeks which is very unlike me. I’ve been taking OTC medication to help which is easing the pressure.
Then this week I’ve started struggling with gut pain when needing toilet and having been pooing yellow mucus and blood. Which has really worried me. I’m wondering if anyone else has had a similar issue. 
Since having the sinuses, I’ve been really stressed and worried, which has also flared my mental health issues of depression and anxiety so I know my immune system is going to strong right now!</t>
        </is>
      </c>
      <c r="D10481" t="n">
        <v>1</v>
      </c>
      <c r="E10481" t="n">
        <v>2</v>
      </c>
      <c r="F10481">
        <f>HYPERLINK("https://www.reddit.com/r/GERD/comments/igtte6/hey_guys_wanting_some_help/")</f>
        <v/>
      </c>
      <c r="G10481" t="inlineStr">
        <is>
          <t>2020-08-25 23:29:55</t>
        </is>
      </c>
      <c r="H10481" t="inlineStr"/>
    </row>
    <row r="10482">
      <c r="A10482" t="inlineStr">
        <is>
          <t>iguznq</t>
        </is>
      </c>
      <c r="B10482" t="inlineStr">
        <is>
          <t>I think broccoli is giving me heartburn</t>
        </is>
      </c>
      <c r="C10482" t="inlineStr">
        <is>
          <t>Ever since I started putting broccoli in my diet I eat like 100-150g if broccoli per day and now I’ve been getting horrendous heartburn all over again. I was considering going back on the PPI but I think broccoli is causing it</t>
        </is>
      </c>
      <c r="D10482" t="n">
        <v>1</v>
      </c>
      <c r="E10482" t="n">
        <v>5</v>
      </c>
      <c r="F10482">
        <f>HYPERLINK("https://www.reddit.com/r/GERD/comments/iguznq/i_think_broccoli_is_giving_me_heartburn/")</f>
        <v/>
      </c>
      <c r="G10482" t="inlineStr">
        <is>
          <t>2020-08-26 01:16:18</t>
        </is>
      </c>
      <c r="H10482" t="inlineStr"/>
    </row>
    <row r="10483">
      <c r="A10483" t="inlineStr">
        <is>
          <t>igvgel</t>
        </is>
      </c>
      <c r="B10483" t="inlineStr">
        <is>
          <t>Anyone else having trouble eating in public or with others?</t>
        </is>
      </c>
      <c r="C10483" t="inlineStr">
        <is>
          <t>I don't know if it's GERD or anxiety related but I can't eat as much at gatherings as I can eat alone. I just get full really fast. My appetite seems to be better when I'm eating by myself. Can someone relate?</t>
        </is>
      </c>
      <c r="D10483" t="n">
        <v>1</v>
      </c>
      <c r="E10483" t="n">
        <v>19</v>
      </c>
      <c r="F10483">
        <f>HYPERLINK("https://www.reddit.com/r/GERD/comments/igvgel/anyone_else_having_trouble_eating_in_public_or/")</f>
        <v/>
      </c>
      <c r="G10483" t="inlineStr">
        <is>
          <t>2020-08-26 02:01:26</t>
        </is>
      </c>
      <c r="H10483" t="inlineStr"/>
    </row>
    <row r="10484">
      <c r="A10484" t="inlineStr">
        <is>
          <t>igvq1f</t>
        </is>
      </c>
      <c r="B10484" t="inlineStr">
        <is>
          <t>Do I have Gerd? Any comment will be appreciated</t>
        </is>
      </c>
      <c r="C10484" t="inlineStr">
        <is>
          <t>One week ago, I overate and as a result had a stomach ache which has lasted all night, I had liquid stool and burps that smelled like rotten eggs. After 3 days my stool has normalised but not the burps. My burps do not taste like rotten egs but instead they taste as the food which I eat. The burping is quite excecive and whenever I stand up or drink any liquids or eat I have to burp. I don't have any other symptoms at the moments besides burping and I don't want to burp when I lay down. I am gonna wait another week to see if the burps will dissappear as my diarrhea has but I made the mistake of googling my symptoms so I am quite nervous at the moment. Thanks for any advice and reply I get</t>
        </is>
      </c>
      <c r="D10484" t="n">
        <v>1</v>
      </c>
      <c r="E10484" t="n">
        <v>8</v>
      </c>
      <c r="F10484">
        <f>HYPERLINK("https://www.reddit.com/r/GERD/comments/igvq1f/do_i_have_gerd_any_comment_will_be_appreciated/")</f>
        <v/>
      </c>
      <c r="G10484" t="inlineStr">
        <is>
          <t>2020-08-26 02:26:43</t>
        </is>
      </c>
      <c r="H10484" t="inlineStr"/>
    </row>
    <row r="10485">
      <c r="A10485" t="inlineStr">
        <is>
          <t>igvx0y</t>
        </is>
      </c>
      <c r="B10485" t="inlineStr">
        <is>
          <t>Does Omega 3 fish oil makes your acid reflux worse?</t>
        </is>
      </c>
      <c r="C10485" t="inlineStr">
        <is>
          <t>&amp;lt;title&amp;gt;</t>
        </is>
      </c>
      <c r="D10485" t="n">
        <v>1</v>
      </c>
      <c r="E10485" t="n">
        <v>2</v>
      </c>
      <c r="F10485">
        <f>HYPERLINK("https://www.reddit.com/r/GERD/comments/igvx0y/does_omega_3_fish_oil_makes_your_acid_reflux_worse/")</f>
        <v/>
      </c>
      <c r="G10485" t="inlineStr">
        <is>
          <t>2020-08-26 02:44:33</t>
        </is>
      </c>
      <c r="H10485" t="inlineStr"/>
    </row>
    <row r="10486">
      <c r="A10486" t="inlineStr">
        <is>
          <t>igy3hm</t>
        </is>
      </c>
      <c r="B10486" t="inlineStr">
        <is>
          <t>Has the coronvirus pandemic had a negative impact on symptoms of gerd for people?</t>
        </is>
      </c>
      <c r="C10486" t="inlineStr">
        <is>
          <t>Hi, 
I think the pandemic was the reason i started having gerd symptoms (i am not yet 100% diagnosed but from what i am reading on this blog it definitely seems its gerd) 
Can people confirm if their symptoms have started/worsened during the pandemic?
thanks</t>
        </is>
      </c>
      <c r="D10486" t="n">
        <v>1</v>
      </c>
      <c r="E10486" t="n">
        <v>90</v>
      </c>
      <c r="F10486">
        <f>HYPERLINK("https://www.reddit.com/r/GERD/comments/igy3hm/has_the_coronvirus_pandemic_had_a_negative_impact/")</f>
        <v/>
      </c>
      <c r="G10486" t="inlineStr">
        <is>
          <t>2020-08-26 05:42:07</t>
        </is>
      </c>
      <c r="H10486" t="inlineStr"/>
    </row>
    <row r="10487">
      <c r="A10487" t="inlineStr">
        <is>
          <t>igychx</t>
        </is>
      </c>
      <c r="B10487" t="inlineStr">
        <is>
          <t>Sore/burning esophagist</t>
        </is>
      </c>
      <c r="C10487" t="inlineStr">
        <is>
          <t>Good morning, 
when i get a flair up it's mostly a sore/burning in my esophagist and it last almost all day for days.
DGL helps, along with my PPI. has anyone figured out how to get releif from this?  Thanks for your support.  Damn it hurts.</t>
        </is>
      </c>
      <c r="D10487" t="n">
        <v>1</v>
      </c>
      <c r="E10487" t="n">
        <v>5</v>
      </c>
      <c r="F10487">
        <f>HYPERLINK("https://www.reddit.com/r/GERD/comments/igychx/soreburning_esophagist/")</f>
        <v/>
      </c>
      <c r="G10487" t="inlineStr">
        <is>
          <t>2020-08-26 05:58:54</t>
        </is>
      </c>
      <c r="H10487" t="inlineStr"/>
    </row>
    <row r="10488">
      <c r="A10488" t="inlineStr">
        <is>
          <t>igykm3</t>
        </is>
      </c>
      <c r="B10488" t="inlineStr">
        <is>
          <t>Woke up with a weird feeling when I took a deep breath</t>
        </is>
      </c>
      <c r="C10488" t="inlineStr">
        <is>
          <t>Felt like something in the middle of my chest, kind of bubbly? It's gone now and wasn't around for long but first time I've experienced it.
For what it's worth I did have beer and some chips and then went to bed last night.</t>
        </is>
      </c>
      <c r="D10488" t="n">
        <v>1</v>
      </c>
      <c r="E10488" t="n">
        <v>0</v>
      </c>
      <c r="F10488">
        <f>HYPERLINK("https://www.reddit.com/r/GERD/comments/igykm3/woke_up_with_a_weird_feeling_when_i_took_a_deep/")</f>
        <v/>
      </c>
      <c r="G10488" t="inlineStr">
        <is>
          <t>2020-08-26 06:13:27</t>
        </is>
      </c>
      <c r="H10488" t="inlineStr"/>
    </row>
    <row r="10489">
      <c r="A10489" t="inlineStr">
        <is>
          <t>igyp85</t>
        </is>
      </c>
      <c r="B10489" t="inlineStr">
        <is>
          <t>has anyone experienced similar symptoms?</t>
        </is>
      </c>
      <c r="C10489" t="inlineStr">
        <is>
          <t>Hi everyone,
I know that diagnoses are not allowed but I’ve been having these symptoms for months now with no explanation. After a bad chest cold in March I’ve had persistent upper chest tightness and occasional pain, along with intermittent post nasal drip type of sore throat. This accompanies chest wall pain near my sternum when it’s bad. I also cough up a bit of phlegm after exercise. Doctor thought it could be asthma so ordered tests, but my lungs look normal. I am prone to bad anxiety especially during this pandemic so this has been driving me crazy! Didn’t suspect reflux because I don’t have typical heartburn or acid stomach, but more reading has brought me to think it could be silent reflux or something similar. Thanks!</t>
        </is>
      </c>
      <c r="D10489" t="n">
        <v>1</v>
      </c>
      <c r="E10489" t="n">
        <v>2</v>
      </c>
      <c r="F10489">
        <f>HYPERLINK("https://www.reddit.com/r/GERD/comments/igyp85/has_anyone_experienced_similar_symptoms/")</f>
        <v/>
      </c>
      <c r="G10489" t="inlineStr">
        <is>
          <t>2020-08-26 06:21:51</t>
        </is>
      </c>
      <c r="H10489" t="inlineStr"/>
    </row>
    <row r="10490">
      <c r="A10490" t="inlineStr">
        <is>
          <t>igyrip</t>
        </is>
      </c>
      <c r="B10490" t="inlineStr">
        <is>
          <t>Diarrhea and stomach pain</t>
        </is>
      </c>
      <c r="C10490" t="inlineStr">
        <is>
          <t>Is it common for people with GERD to get diarrhea alot? I was diagnosed with GERD mainly bc Ive bern struggling with diarrhea for the past month. I had it this morning and Ive been really thirsty for the past couple hours. I also get abdominal discomfort and pains almost 24/7. Anyone else or advice?</t>
        </is>
      </c>
      <c r="D10490" t="n">
        <v>1</v>
      </c>
      <c r="E10490" t="n">
        <v>1</v>
      </c>
      <c r="F10490">
        <f>HYPERLINK("https://www.reddit.com/r/GERD/comments/igyrip/diarrhea_and_stomach_pain/")</f>
        <v/>
      </c>
      <c r="G10490" t="inlineStr">
        <is>
          <t>2020-08-26 06:25:35</t>
        </is>
      </c>
      <c r="H10490" t="inlineStr"/>
    </row>
    <row r="10491">
      <c r="A10491" t="inlineStr">
        <is>
          <t>igzj0k</t>
        </is>
      </c>
      <c r="B10491" t="inlineStr">
        <is>
          <t>Is this link below the UK version of gaviscon? Thinking of giving it a try after seeing all the praise it gets.</t>
        </is>
      </c>
      <c r="C10491" t="inlineStr">
        <is>
          <t>[Gaviscon Advance ](https://www.ebay.com/itm/Gaviscon-Advance-Chewable-60-Tablets-Mint-PACK-OF-3/333265222218?epid=1202878957&amp;amp;hash=item4d9827ba4a:g:324AAOSwWkRdKF~6)</t>
        </is>
      </c>
      <c r="D10491" t="n">
        <v>1</v>
      </c>
      <c r="E10491" t="n">
        <v>0</v>
      </c>
      <c r="F10491">
        <f>HYPERLINK("https://www.reddit.com/r/GERD/comments/igzj0k/is_this_link_below_the_uk_version_of_gaviscon/")</f>
        <v/>
      </c>
      <c r="G10491" t="inlineStr">
        <is>
          <t>2020-08-26 07:09:24</t>
        </is>
      </c>
      <c r="H10491" t="inlineStr"/>
    </row>
    <row r="10492">
      <c r="A10492" t="inlineStr">
        <is>
          <t>ih0hor</t>
        </is>
      </c>
      <c r="B10492" t="inlineStr">
        <is>
          <t>Suspected LPR but ENT saw no issues with my larynx - is the next step GI doctor? Or something else?</t>
        </is>
      </c>
      <c r="C10492" t="inlineStr">
        <is>
          <t>I have all the major symptoms of LPR, including:
* chronic dry, barking cough (7 months)
* wet productive cough (clear, sticky mucous) after eating 
* hoarseness in the morning and at night 
* constant throat clearing, especially after eating
* post nasal drip or excess mucous in my throat 
* ears popping when I swallow 
The ENT doctor said the symptoms match LPR, but my larynx looked fine on the scope. Because he couldn’t see any problem with my larynx, he told me I don’t have an ENT problem and to see a GI doctor while also treating it as LPR with pantoprazole and Pepsid. But from what I’ve read, it seems that ENT doctors treat LPR more than GI doctors? Also as a side note, he said that my ears popping are unrelated and diagnosed it as Eustachian tube dysfunction. Does anyone with LPR have this issue?
Previously I was on one month of Prilosec and saw no improvement, and actually got heartburn for the first time since I can remember. For that reason he switched me to pantoprazole. But I’m hesitant to continue trying a PPI because Prilosec didn’t help me at all. I’ve also read that PPIs are controversial for the treatment of LPR as compared to GERD. 
I’ve also noticed that my symptoms are far worse whenever I’m stressed or thinking about them. It started with what i thought was a cold during a very stressful time, but it just continued for months on end. If I take my mind off it it, the symptoms seem to improve quite a bit. Is this normal for LPR? I’m almost beginning to think it’s all in my head and I’m doing this to myself.</t>
        </is>
      </c>
      <c r="D10492" t="n">
        <v>1</v>
      </c>
      <c r="E10492" t="n">
        <v>4</v>
      </c>
      <c r="F10492">
        <f>HYPERLINK("https://www.reddit.com/r/GERD/comments/ih0hor/suspected_lpr_but_ent_saw_no_issues_with_my/")</f>
        <v/>
      </c>
      <c r="G10492" t="inlineStr">
        <is>
          <t>2020-08-26 08:05:45</t>
        </is>
      </c>
      <c r="H10492" t="inlineStr"/>
    </row>
    <row r="10493">
      <c r="A10493" t="inlineStr">
        <is>
          <t>ih0y8r</t>
        </is>
      </c>
      <c r="B10493" t="inlineStr">
        <is>
          <t>Tips for TIF recovery / diet?</t>
        </is>
      </c>
      <c r="C10493" t="inlineStr">
        <is>
          <t>I am having a TIF next Tuesday, I'm looking for any tips from others who have had this on the recovery diet. What did you eat/drink mostly during the recovery? (I mean I know clear liquids, then liquids, then soft foods - just looking for specific ideas for what to stock up on)
I'm also wondering how the recovery was - how long before you could return to desk-type work?
My Background: dxed with silent reflux and barrett's \~7 years ago, have been on PPIs ever since. Pretty sure I have LPR though its never been explicitly dxed since its a newer concept and this was a while back - my laryngoscopy showed my larynx is affected by the reflux and I have the husky voice, constant PND.  My bravo test showed my reflux was really really bad (among the worst cases my GI doc had seen) Later endoscopies didn't see the barrett's, so maybe I don't have that. I have been suffering from horrible bouts of chronic bronchitis for years - every cold turns to 3-12 weeks of bronchitis for me, and I'm convinced its the acid getting into my lungs (some doctors blow off this idea, others admit that is possible).  Anyway, I'm getting this TIF in the hopes that it will help with the LPR/lung issues and get me off of PPIs (which I'm concerned about what taking them for 40-50 more years will do to my kidneys, which are already showing reduced function)</t>
        </is>
      </c>
      <c r="D10493" t="n">
        <v>1</v>
      </c>
      <c r="E10493" t="n">
        <v>12</v>
      </c>
      <c r="F10493">
        <f>HYPERLINK("https://www.reddit.com/r/GERD/comments/ih0y8r/tips_for_tif_recovery_diet/")</f>
        <v/>
      </c>
      <c r="G10493" t="inlineStr">
        <is>
          <t>2020-08-26 08:30:40</t>
        </is>
      </c>
      <c r="H10493" t="inlineStr"/>
    </row>
    <row r="10494">
      <c r="A10494" t="inlineStr">
        <is>
          <t>ih30bl</t>
        </is>
      </c>
      <c r="B10494" t="inlineStr">
        <is>
          <t>Never ending story</t>
        </is>
      </c>
      <c r="C10494" t="inlineStr">
        <is>
          <t xml:space="preserve">
So I’m lost, I’m 20 years old Male. Have been having stomach issues and panic attacks on and off for 7 months. Now please whoever is reading this don’t assume it is caused by stress or whatever it might be but I just want insight from someone who has experience with these issues.
So symptoms are:
Nausea feeling behind chest 
( most severe symptom)
Light Stomach pains beneath ribs
Uncomfortable full feeling
Reflux 
No heartburn or acidic taste
Occasional regurgitation 
Nausea causing shortness of breath feeling sometimes
I should also note that during this period I haven’t vomited once, never seen blood in stool etc. I’ve had blood work done and stool tests. All came back great. Also doctor tells me he sees nothing is wrong, and told me a endoscopy at my age is not necessary.
I’m also taking daily PPI’s and medicine for gastric emptying. Symptoms were reduced in severity, but flare up occasionally. I have found no link between foods that I eat and the nausea. 
What should I do ? What could it be. My GP told me it’s probably all in my head and I shouldn’t worry to much about it. But the nausea is so distressing and uncomfortable. Sometimes it is so bad I actually have to take anti nausea meds and lay down for the whole day. Now with school coming up etc this will be very hard on me.</t>
        </is>
      </c>
      <c r="D10494" t="n">
        <v>1</v>
      </c>
      <c r="E10494" t="n">
        <v>10</v>
      </c>
      <c r="F10494">
        <f>HYPERLINK("https://www.reddit.com/r/GERD/comments/ih30bl/never_ending_story/")</f>
        <v/>
      </c>
      <c r="G10494" t="inlineStr">
        <is>
          <t>2020-08-26 10:17:55</t>
        </is>
      </c>
      <c r="H10494" t="inlineStr"/>
    </row>
    <row r="10495">
      <c r="A10495" t="inlineStr">
        <is>
          <t>ih3jat</t>
        </is>
      </c>
      <c r="B10495" t="inlineStr">
        <is>
          <t>Has supplementing with Vitamin D helped your reflux?</t>
        </is>
      </c>
      <c r="C10495" t="inlineStr">
        <is>
          <t>From what I'm reading, it should help a lot of cases, perhaps even most, as one of the main reasons for Reflux is weakness in the lower esophageal sphincter, and also the pyloric sphincter. The pyloric sphincter especially is one that shouldn't be overlooked, as even if say you get surgery for your LES, your pyloric sphincter and still be too weak, allowing partially digested  food to spill out of the intestines back into the stomach, causing gas and bloating which could potentially be enough to make the reflux return. So the idea is, vitamin D can restore proper strength to both sphincters, and the vitamin D can also help absorb other essential vitamins for proper sphincter function- Magnesium and calcium. Calcium is key for the contraction of the muscle fibers, and magnesium helps the muscles relax when they need to, which is especially important for the pyloric sphincter, because it can remain too tightly shut and food doesn't empty the stomach when it needs too, causing fermenting that causes bloating and reflux. 
Much of my info comes from this source:  [https://www.sepalika.com/gerd/vitamin-d-acid-reflux/](https://www.sepalika.com/gerd/vitamin-d-acid-reflux/) 
&amp;amp;#x200B;
Thoughts or experience with Vitamin D? Maybe you've also supplemented with calcium and magnesium. Would love to hear!</t>
        </is>
      </c>
      <c r="D10495" t="n">
        <v>1</v>
      </c>
      <c r="E10495" t="n">
        <v>13</v>
      </c>
      <c r="F10495">
        <f>HYPERLINK("https://www.reddit.com/r/GERD/comments/ih3jat/has_supplementing_with_vitamin_d_helped_your/")</f>
        <v/>
      </c>
      <c r="G10495" t="inlineStr">
        <is>
          <t>2020-08-26 10:44:59</t>
        </is>
      </c>
      <c r="H10495" t="inlineStr"/>
    </row>
    <row r="10496">
      <c r="A10496" t="inlineStr">
        <is>
          <t>ih4dnt</t>
        </is>
      </c>
      <c r="B10496" t="inlineStr">
        <is>
          <t>Pepsi is more acidic than bud light??</t>
        </is>
      </c>
      <c r="C10496" t="inlineStr">
        <is>
          <t>I been trying to quit drinking beer, I switched to bud light cos its pretty light and has a relatively low ABV, and then I stopped drinking bud light and have Pepsi whenever I feel like I'm gonna go crazy and do something that will get me in prison or killed, and I feel the sugar and caffeine kinda help taper my mood, but I just googled it and apparently pepsi has a pH of 2.53 and  bud light is 4.33 - so pepsi is doing more acid damage to me than beer??
I'm trying to do the most realistic and sustainable path. I know the ideal is to eat bland ass food, but I just can't do that. I'm making small steps that I can do forever. Like I quit eating anything with dairy, and I am trying to quit alcohol, but now I'm wondering if I'm doing more damage drinking pepsi instead of alcohol?</t>
        </is>
      </c>
      <c r="D10496" t="n">
        <v>1</v>
      </c>
      <c r="E10496" t="n">
        <v>3</v>
      </c>
      <c r="F10496">
        <f>HYPERLINK("https://www.reddit.com/r/GERD/comments/ih4dnt/pepsi_is_more_acidic_than_bud_light/")</f>
        <v/>
      </c>
      <c r="G10496" t="inlineStr">
        <is>
          <t>2020-08-26 11:27:58</t>
        </is>
      </c>
      <c r="H10496" t="inlineStr"/>
    </row>
    <row r="10497">
      <c r="A10497" t="inlineStr">
        <is>
          <t>ih4nw0</t>
        </is>
      </c>
      <c r="B10497" t="inlineStr">
        <is>
          <t>Just had my gastroscopy/endoscopy</t>
        </is>
      </c>
      <c r="C10497" t="inlineStr">
        <is>
          <t>Everything came back normal except I have "mimimal decreased les tone".
I was wondering if lack of sleep was a big reason for this?</t>
        </is>
      </c>
      <c r="D10497" t="n">
        <v>1</v>
      </c>
      <c r="E10497" t="n">
        <v>4</v>
      </c>
      <c r="F10497">
        <f>HYPERLINK("https://www.reddit.com/r/GERD/comments/ih4nw0/just_had_my_gastroscopyendoscopy/")</f>
        <v/>
      </c>
      <c r="G10497" t="inlineStr">
        <is>
          <t>2020-08-26 11:42:15</t>
        </is>
      </c>
      <c r="H10497" t="inlineStr"/>
    </row>
    <row r="10498">
      <c r="A10498" t="inlineStr">
        <is>
          <t>ih50l7</t>
        </is>
      </c>
      <c r="B10498" t="inlineStr">
        <is>
          <t>Can smelling onion or garlic trigger acid reflux?</t>
        </is>
      </c>
      <c r="C10498" t="inlineStr">
        <is>
          <t>My mom cooks with onion and garlic sometimes and I feel like the smell makes fell like there's  something in my chest. Is that normal?</t>
        </is>
      </c>
      <c r="D10498" t="n">
        <v>1</v>
      </c>
      <c r="E10498" t="n">
        <v>3</v>
      </c>
      <c r="F10498">
        <f>HYPERLINK("https://www.reddit.com/r/GERD/comments/ih50l7/can_smelling_onion_or_garlic_trigger_acid_reflux/")</f>
        <v/>
      </c>
      <c r="G10498" t="inlineStr">
        <is>
          <t>2020-08-26 12:00:18</t>
        </is>
      </c>
      <c r="H10498" t="inlineStr"/>
    </row>
    <row r="10499">
      <c r="A10499" t="inlineStr">
        <is>
          <t>ih5de5</t>
        </is>
      </c>
      <c r="B10499" t="inlineStr">
        <is>
          <t>A new recipe?</t>
        </is>
      </c>
      <c r="C10499" t="inlineStr">
        <is>
          <t>So I think I found a way to make gerd hamburger helper correct me if this is wrong I'm going to try it tonight. 
I'm going to boil macaroni pasta and grill turkey burgers with 7 or 3% fat. Next will break up the burgers and put the macaroni with the meat and salt and season the food with oregano. And feel free to add lettuce or black pitted olives to the mix? 
Yeah or no?</t>
        </is>
      </c>
      <c r="D10499" t="n">
        <v>1</v>
      </c>
      <c r="E10499" t="n">
        <v>2</v>
      </c>
      <c r="F10499">
        <f>HYPERLINK("https://www.reddit.com/r/GERD/comments/ih5de5/a_new_recipe/")</f>
        <v/>
      </c>
      <c r="G10499" t="inlineStr">
        <is>
          <t>2020-08-26 12:17:57</t>
        </is>
      </c>
      <c r="H10499" t="inlineStr"/>
    </row>
    <row r="10500">
      <c r="A10500" t="inlineStr">
        <is>
          <t>ih5p43</t>
        </is>
      </c>
      <c r="B10500" t="inlineStr">
        <is>
          <t>26M 5.5 Months of Chest Pain and Nausea, Looking for Some More Opinions</t>
        </is>
      </c>
      <c r="C10500" t="inlineStr">
        <is>
          <t>Hello everyone! I could really use some more opinions on what I have been experiencing because all my tests keep coming back normal, but have not seen any improvements in my day to day life for almost 6 months. Not all the questions are GERD related, but any help would be appreciated. THANK YOU IN ADVANCE! See TL;DR at bottom if this is too much. Just figured the more info, the better folks could try to help.
**Personal Details:**
* 26 years old, 140 lbs, 6’-3”, male, white
* WFH for last six months as an Engineer in PA
* Live with two parents. Have a fiancée who lives about an hour and a half from me, have seen each other basically every weekend for all of this time.
* Don’t work out, in reasonable condition for my age. Have hiked 10+ miles. About a month period I walked daily for about an hour, no major, major issues. Exercise levels have dropped as a result.
* No significant stressers in my life, no history of mental health.
* No known allergies, no history of any chronic medical conditions in family or otherwise.
* Diet is decent, not enough vegetables and fruits, likely. No soda, coffee, alcohol, never smoked or used recreational drugs. Recently, lots of apple sauce, crackers, soup, cream of wheat, turkey burgers, black beans, eggs, toast, potatoes, apple juice, etc.
* Things I’ve tried- apple cider vinegar tonics (lemon juice, cinnamon, ginger) twice a day for about two weeks now without improvement. Removed dairy from my diet for two weeks (upon Doctor’s recommendation as an experiment- no improvement). Also stopped taking tums or ibuprofen. Do take lemon ginger chews occasionally.
* Sleep with two thick pillows under my head, get 8 hours nightly.
**Timeline:**
* March or so, just before my company opted to wfh, started experiencing some chest pain. It seemed at first to be heartburn related. Doctor prescribed Prilosec (first time user) and admittedly, my symptoms appeared to improve after around a week. Finished the 14 day dose and had about a week of normalcy. I tend to remember thinking there were times in this first spurt where my chest pain was exacerbated when I would lie down after eating. This has not been true, since.
* The chest pain returned after about a week of normalcy. Doctor again prescribed Prilosec and after being off the medicine for maybe two weeks I resumed for two additional weeks. No improvement. Somewhere thereafter I tried Tagamet thinking maybe that would work. I also tried ibuprofen a few times a day for a week (no help). From there, had some testing done, resumed Prilosec once more for two weeks and immediately transitioned upon GI recommendation to Nexium 40 mg twice a day for about a month and a half. No noticeable improvement.
**Symptoms:**
* Chest Pain- absolutely hard to place, best bet is middle/lower ribs in the center. In my mind, I feel like I am cresting a hurdle when I try to take a deeper breath, but this isn’t like only when I am exerting myself. I feel it constantly throughout the day. Whether I am standing, sitting, or lying down, I feel it. Pain is 90% just breathing based, doesn’t typically hurt just normally. It does not seem to be driven by food. I wake up feeling it, it usually does get worse as the day goes on, but is still present when I wake up. I have slept okay every night (has not woke me). But the symptoms are constant. They aren’t a few days a week. And they don’t vary considerably day to day. I don’t know what normal breathing patterns are at this point, but it seems to me that I subconsciously am taking these deeper breaths on a regular basis. Maybe this is just normal. No pain or resistance for more shallow breaths.
* No cough, no sore throat, no runny nose, no fever, no vomiting, no diarrhea.
* I \*have\* had two weekends away at camp where I have felt pretty solid. Good enough to do reasonably strenuous hikes (3-4 miles). I may have taken slightly more breaks but it wasn’t flaring up significantly. Also, I am experiencing this discomfort constantly, regardless of what I am doing. It certainly doesn’t help when I am moving around but I have not experiencing wheezing or shortness of breath.
* Have spent many relaxing weekends at my fiancé’s family’s house. Still experience significant discomfort there.
* Nausea- the nausea has been around since about beginning of June and seemed to start after my Upper Endoscopy. There have been a handful of days where it is really rough and I have a hard time eating. Had four or five day periods of constant nausea and other periods where it is present but not unbearable.
* Stress and Anxiety – Feeling like this for six months has absolutely caused me significant amounts of stress, though there are certainly days when I feel like I can keep it out of my mind and still don’t feel great. I have never known myself to be sick for longer than a few weeks with the cold. I have no doubt that stress and anxiety could be adversely affecting my condition, but I don’t feel that would encompass all of my pain and would not explain how it started.
* Tick Bite on May 4th. I am really confident that I removed the tick very shortly after the bite (&amp;lt; 24 hours). No sign of a rash, no lingering or new symptoms. Took doxycycline that day.
**Tests completed to date:**
* Blood Work (all normal)- Basic and Complete Metabolic Panel, CBC and DIFF W/ Platelets, Hepatic Function Panel, Lipase (OO), Troponin, Celiac Disease Comprehensive Panel, Allergy Food Panel- adult.Carboxyhemoglobin Blood Test- there was a month or so period where I was working in my basement and family had forgotten to hook up the dryer discharge to the outside after completing work in the room, prompting concerns that maybe I had been inhaling CO, parents have been totally healthy; since moved upstairs to my room to work for last two months. Test came back normal and doctors have dismissed it. Didn’t know if there could have been damage done and how you’d catch such a thing (maybe mold exposure)
* Chest X Rays- two completed- in both instances, no pneumothorax or pleural effusion, cardiomediastinal contour is normal, lungs are clear.
* Upper GI Endoscopy- tube advanced to the third part of the duodenum. The examined esophagus was normal, GE junction at 43 cm, entire examined stomach was normal. Helicobacter pylori bacteria was tested via biopsy and came back negative. Duodenum was normal.
* Echocardiagram of heart- normal, nothing to report.
* CT Scan of Chest with Contrast- normal.
* Multiple EKGs- also normal.
* Ultrasound of abdomen- normal. This included full abdomen (gullbladder, pancreas, spleen, etc.)
* Pulmonary Function Test- this was just completed about a month ago. The results to my eye seem fairly inconclusive. My FVC was at 84% before albuterol and 89% after, and my FEV1 was at 75% before and 83% after Albuterol. The pulmonologist concluded I have mild asthma. I do not feel this is accurate based on my feelings. I have picked up the Flovent puffer he prescribed and am taking the medicine and swallowing (not inhaling, possible EOE fix, but don't have any indication I have that, sister did and used Flovent this way). I also played in marching band and concert band for 9 years and never experiencing any shortness of breath or otherwise. The test itself was absolutely not pleasant for me as exhaling that much with this chest pain felt really not great.
* Gastric Emptying Study- Normal results, emptied after 3 hours.
**Doctors Seen:**
* I have seen two GI doctors, a PCP, and a pulmonologist, along with some folks when I went to the ER two months back feeling rather nauseous.
**Questions:**
I welcome ANY and all advice based on the above. In addition, feel free to answer these specific questions if you want / are able:
1. Have been told that what I am experiencing is not serious/life threatening. I would tend to agree with that, as my symptoms have not necessarily gotten significantly worse over time. Thoughts on this?
2. If I have GERD, wouldn’t my symptoms be changing (not 24/7) and flare up when eating certain foods?
3. How would I actually be diagnosed with GERD? I have been taking PPI’s now for months and haven’t seen any response. I am taking 80 mg of Nexium a day now vs. my initial 20 mg/day dose of Prilosec with no change. Two months into Nexium.
4. Is it possible for the Nexium to take more than two months to show ANY change?
5. Could stress and anxiety alone cause what I am feeling on a day to day basis. Like I said, the only stress/anxiety I feel is that of the frustration of having these symptoms for months on end.
6. Is it possible my body is not properly absorbing nutrients? I am very very skinny for me height and have assumed I can't gain weight because of my metabolism. But I cannot say for sure, obviously.
7. Have a follow-up with GI next week and he and I agreed to stop Nexium for a week to see if Nausea got better or if anything else changed. Thoughts?
TL;DR- Chest Pain and Nausea for Months, been taking PPIs off and on (now on 2 months straight of Nexium), endoscopy, chest x ray, blood work, echocardiogram, CT scan, Gastric Emptying Study normal. What else could be causing this?
Thank you!</t>
        </is>
      </c>
      <c r="D10500" t="n">
        <v>1</v>
      </c>
      <c r="E10500" t="n">
        <v>10</v>
      </c>
      <c r="F10500">
        <f>HYPERLINK("https://www.reddit.com/r/GERD/comments/ih5p43/26m_55_months_of_chest_pain_and_nausea_looking/")</f>
        <v/>
      </c>
      <c r="G10500" t="inlineStr">
        <is>
          <t>2020-08-26 12:34:39</t>
        </is>
      </c>
      <c r="H10500" t="inlineStr"/>
    </row>
    <row r="10501">
      <c r="A10501" t="inlineStr">
        <is>
          <t>ih6xro</t>
        </is>
      </c>
      <c r="B10501" t="inlineStr">
        <is>
          <t>Can someone help me translate my endoscopy report?</t>
        </is>
      </c>
      <c r="C10501" t="inlineStr">
        <is>
          <t>Just had my first endoscopy. I may write about the experience later, but for now I have questions.  
The doctor came to talk to me after I woke up but I barely remember the conversation lol.
**This was on the paper they gave me:**
Esophagus: Grade 1 esophagitis with no bleeding was in the gastroesophgeal junction. Biopsies performed.
Stomach: Patchy erythema and friability with a single superficial ulcer in the pre-pyloric region of the mucosa was noted. These findings compatible with gastritis. Biopsies performed.
Duodenum: Normal mucosa was noted. Multiple biopsies were performed for celiac disease in the second part of the duodenum and distal bulb.
**Questions:**
So I have esophagitis and gastritis? Is this something to worry about?
If the duodenum looked normal, why would biopsies for celiac disease be taken? Is this something to worry about?</t>
        </is>
      </c>
      <c r="D10501" t="n">
        <v>1</v>
      </c>
      <c r="E10501" t="n">
        <v>6</v>
      </c>
      <c r="F10501">
        <f>HYPERLINK("https://www.reddit.com/r/GERD/comments/ih6xro/can_someone_help_me_translate_my_endoscopy_report/")</f>
        <v/>
      </c>
      <c r="G10501" t="inlineStr">
        <is>
          <t>2020-08-26 13:38:51</t>
        </is>
      </c>
      <c r="H10501" t="inlineStr"/>
    </row>
    <row r="10502">
      <c r="A10502" t="inlineStr">
        <is>
          <t>ih8jwg</t>
        </is>
      </c>
      <c r="B10502" t="inlineStr">
        <is>
          <t>I've been suffering from LPR for about 4, or maybe even 5 years now. I was only diagnosed now. Am i screwed?</t>
        </is>
      </c>
      <c r="C10502" t="inlineStr">
        <is>
          <t>I didn't know silent reflux was a thing and the doctors i've been to all said i was fine and that there was nothing wrong with me, so i believed them all along, until now. Now i know what's wrong. I've read that GERD and LPR can lead to cancer if left untreated for too long, but i don't know how long is "too long". It's been two months since i started changing my diet (i still slip up here and there tho) and i'm noticing small changes.</t>
        </is>
      </c>
      <c r="D10502" t="n">
        <v>1</v>
      </c>
      <c r="E10502" t="n">
        <v>2</v>
      </c>
      <c r="F10502">
        <f>HYPERLINK("https://www.reddit.com/r/GERD/comments/ih8jwg/ive_been_suffering_from_lpr_for_about_4_or_maybe/")</f>
        <v/>
      </c>
      <c r="G10502" t="inlineStr">
        <is>
          <t>2020-08-26 15:04:14</t>
        </is>
      </c>
      <c r="H10502" t="inlineStr"/>
    </row>
    <row r="10503">
      <c r="A10503" t="inlineStr">
        <is>
          <t>ih8rx8</t>
        </is>
      </c>
      <c r="B10503" t="inlineStr">
        <is>
          <t>24 he ph test problem</t>
        </is>
      </c>
      <c r="C10503" t="inlineStr">
        <is>
          <t>I have the catheter in right now. Have had it in for 5 hours now and have had multiple reflux episodes and I'm about to pull it out myself.
I can only keep my head to right and down and can only sit up without gagging and getting crazy nauseous. I also have a phobia of throwing up. 
Does anyone have any advice? Idk how I'm going to make it thru 19 more hours</t>
        </is>
      </c>
      <c r="D10503" t="n">
        <v>1</v>
      </c>
      <c r="E10503" t="n">
        <v>0</v>
      </c>
      <c r="F10503">
        <f>HYPERLINK("https://www.reddit.com/r/GERD/comments/ih8rx8/24_he_ph_test_problem/")</f>
        <v/>
      </c>
      <c r="G10503" t="inlineStr">
        <is>
          <t>2020-08-26 15:16:28</t>
        </is>
      </c>
      <c r="H10503" t="inlineStr"/>
    </row>
    <row r="10504">
      <c r="A10504" t="inlineStr">
        <is>
          <t>ih8ve2</t>
        </is>
      </c>
      <c r="B10504" t="inlineStr">
        <is>
          <t>Need new over the counter medication</t>
        </is>
      </c>
      <c r="C10504" t="inlineStr">
        <is>
          <t>Does have a brand that works for them asides from Omprenzol, Nexium and Pepcid? Those all causes me to have some pretty bad side effects, Pepcid especially. Omprenzol seems to make my acid worse, Nexium causes me to have really bad cramps and Pepcid strangely gives me bad anxiety. I’ve seen my doc and got referred to try these again but I really rather not deal with these symptoms again. I’ve taken all of these for a least a month before stopping just in case the symptoms were a one time problem but it seems to be caused by the medication itself.</t>
        </is>
      </c>
      <c r="D10504" t="n">
        <v>1</v>
      </c>
      <c r="E10504" t="n">
        <v>4</v>
      </c>
      <c r="F10504">
        <f>HYPERLINK("https://www.reddit.com/r/GERD/comments/ih8ve2/need_new_over_the_counter_medication/")</f>
        <v/>
      </c>
      <c r="G10504" t="inlineStr">
        <is>
          <t>2020-08-26 15:21:57</t>
        </is>
      </c>
      <c r="H10504" t="inlineStr"/>
    </row>
    <row r="10505">
      <c r="A10505" t="inlineStr">
        <is>
          <t>ih9n3k</t>
        </is>
      </c>
      <c r="B10505" t="inlineStr">
        <is>
          <t>Heart palpitations and gerd</t>
        </is>
      </c>
      <c r="C10505" t="inlineStr">
        <is>
          <t>Hi, i was diagnosed officially with gerd and hiatal hernia around three years ago. My doctors wanted to put me on omaperazole pretty much for forseeable future. Ive only taken it when I have to.  Anyway a lot recently I have been getting what feel like heart palpitations. They spring up outta nowhere and then get my anxiety all up and then I feel like that doesnt help them. He ordered an ekg that I have to do and if the ekg doesnt show anything hes going to order a halter. He told me to exercise and notice if they happen. I was doing exercise just now and I notice my heart is beating fine but I get like a weird feeling in the middle of my chest like by esophagus. It kinda feels like it mimics a palpitation. I was wondering could this be my gerd mimicing or causing palpitation?</t>
        </is>
      </c>
      <c r="D10505" t="n">
        <v>1</v>
      </c>
      <c r="E10505" t="n">
        <v>14</v>
      </c>
      <c r="F10505">
        <f>HYPERLINK("https://www.reddit.com/r/GERD/comments/ih9n3k/heart_palpitations_and_gerd/")</f>
        <v/>
      </c>
      <c r="G10505" t="inlineStr">
        <is>
          <t>2020-08-26 16:06:37</t>
        </is>
      </c>
      <c r="H10505" t="inlineStr"/>
    </row>
    <row r="10506">
      <c r="A10506" t="inlineStr">
        <is>
          <t>ih9ous</t>
        </is>
      </c>
      <c r="B10506" t="inlineStr">
        <is>
          <t>Something bit my sisters chin. Please help</t>
        </is>
      </c>
      <c r="C10506" t="inlineStr">
        <is>
          <t>My sister woke up with a very large and swollen chin. We assume something bit her in her sleep. What could this be? It’s red and swollen. What should we do? She says now it’s starting to itch and it’s numb.</t>
        </is>
      </c>
      <c r="D10506" t="n">
        <v>1</v>
      </c>
      <c r="E10506" t="n">
        <v>4</v>
      </c>
      <c r="F10506">
        <f>HYPERLINK("https://www.reddit.com/r/GERD/comments/ih9ous/something_bit_my_sisters_chin_please_help/")</f>
        <v/>
      </c>
      <c r="G10506" t="inlineStr">
        <is>
          <t>2020-08-26 16:09:32</t>
        </is>
      </c>
      <c r="H10506" t="inlineStr"/>
    </row>
    <row r="10507">
      <c r="A10507" t="inlineStr">
        <is>
          <t>ih9xci</t>
        </is>
      </c>
      <c r="B10507" t="inlineStr">
        <is>
          <t>Question for people who have had surgery</t>
        </is>
      </c>
      <c r="C10507" t="inlineStr">
        <is>
          <t>Did your bronchial tubes ever recover? I've been dealing with extremely bad reflux going on 6 months now and can't even think about surgery until I get insurance in january.
I'm pretty worried that I'm never going to be able to breath right again.</t>
        </is>
      </c>
      <c r="D10507" t="n">
        <v>1</v>
      </c>
      <c r="E10507" t="n">
        <v>1</v>
      </c>
      <c r="F10507">
        <f>HYPERLINK("https://www.reddit.com/r/GERD/comments/ih9xci/question_for_people_who_have_had_surgery/")</f>
        <v/>
      </c>
      <c r="G10507" t="inlineStr">
        <is>
          <t>2020-08-26 16:23:57</t>
        </is>
      </c>
      <c r="H10507" t="inlineStr"/>
    </row>
    <row r="10508">
      <c r="A10508" t="inlineStr">
        <is>
          <t>ih9zjx</t>
        </is>
      </c>
      <c r="B10508" t="inlineStr">
        <is>
          <t>High fat low carb?</t>
        </is>
      </c>
      <c r="C10508" t="inlineStr">
        <is>
          <t>SO many opinions on diet for this.. anyone had success with high fat low carb diet? For me seems like my main triggers are processed food so I may give it a go.</t>
        </is>
      </c>
      <c r="D10508" t="n">
        <v>1</v>
      </c>
      <c r="E10508" t="n">
        <v>4</v>
      </c>
      <c r="F10508">
        <f>HYPERLINK("https://www.reddit.com/r/GERD/comments/ih9zjx/high_fat_low_carb/")</f>
        <v/>
      </c>
      <c r="G10508" t="inlineStr">
        <is>
          <t>2020-08-26 16:27:49</t>
        </is>
      </c>
      <c r="H10508" t="inlineStr"/>
    </row>
    <row r="10509">
      <c r="A10509" t="inlineStr">
        <is>
          <t>iha8kn</t>
        </is>
      </c>
      <c r="B10509" t="inlineStr">
        <is>
          <t>GERD, LPR, Both or hell?</t>
        </is>
      </c>
      <c r="C10509" t="inlineStr">
        <is>
          <t>Hey all,
I was diagnosed with GERD in September. I have been having chest pressure discomfort/tightness for about 3 weeks now. It has really picked up in the last week, especially after I broke my diet in a bad way this weekend (booze, red meat, garlic). My throat is beginning to get sore on the right side making it somewhat hard to swallow, but not enough that I find it hard to eat/drink. Hot water and showers seems to help for a while. Don’t really have a cough, but when I do it’s more to clear my thoat. 
Just wondering if constant chest pressure/tightness was a normal thing with LPR or GERD for that matter. I feel it like 70% of the day and it is not always in same part of chest. I don’t feel it when I’m lying down, but mostly when sitting. I take pantaprazole and currently have a cardiac appointment lined up (my doctor wants to “close the loop”). 
It’s been everyday for the last 3 weeks. Maybe I’m looking for piece of mind or suggestions to help, but in this climate, new symptoms are disconcerting.
Thanks for any help.</t>
        </is>
      </c>
      <c r="D10509" t="n">
        <v>1</v>
      </c>
      <c r="E10509" t="n">
        <v>1</v>
      </c>
      <c r="F10509">
        <f>HYPERLINK("https://www.reddit.com/r/GERD/comments/iha8kn/gerd_lpr_both_or_hell/")</f>
        <v/>
      </c>
      <c r="G10509" t="inlineStr">
        <is>
          <t>2020-08-26 16:43:02</t>
        </is>
      </c>
      <c r="H10509" t="inlineStr"/>
    </row>
    <row r="10510">
      <c r="A10510" t="inlineStr">
        <is>
          <t>ihagpq</t>
        </is>
      </c>
      <c r="B10510" t="inlineStr">
        <is>
          <t>Cancer Anxiety</t>
        </is>
      </c>
      <c r="C10510" t="inlineStr">
        <is>
          <t>I feel I can’t think of anything else besides the possibility of having stomach cancer. I’m an 18 year old male and was generally healthy until around a month ago I started getting acid reflux symptoms. This had happened before no biggie and they went away on their own. This time I was prescribed a PPI but that didn’t help. Now I have so many things that concern me like constant nausea, hiccups, regurgitation, throat pain, burning stomach pain, trouble swallowing sometimes, etc. I’m due for an endoscopy but it isn’t until 3 weeks and I feel the worry will kill me before then. I’m going to university late next month and currently have online courses but the thought of having cancer takes away any ability to concentrate. I feel I can’t live with peace of mind until I have that endoscopy. I just broke down crying in front of my dad and it’s just the stress is taking over my life. Anybody else in a similar situation? What do I do to help me get by these 3 weeks and not a living hell? Thank you.</t>
        </is>
      </c>
      <c r="D10510" t="n">
        <v>1</v>
      </c>
      <c r="E10510" t="n">
        <v>6</v>
      </c>
      <c r="F10510">
        <f>HYPERLINK("https://www.reddit.com/r/GERD/comments/ihagpq/cancer_anxiety/")</f>
        <v/>
      </c>
      <c r="G10510" t="inlineStr">
        <is>
          <t>2020-08-26 16:56:58</t>
        </is>
      </c>
      <c r="H10510" t="inlineStr"/>
    </row>
    <row r="10511">
      <c r="A10511" t="inlineStr">
        <is>
          <t>ihar1q</t>
        </is>
      </c>
      <c r="B10511" t="inlineStr">
        <is>
          <t>Does anyone else feel throat/neck spasms?</t>
        </is>
      </c>
      <c r="C10511" t="inlineStr">
        <is>
          <t>My GERD makes it very hard to eat. My throat feels super tight. And when I do swallow It feels like food gets stuck in my throat. 
Sometimes when I have the feeling like food got stuck in my throat, my neck and throat will twitch and feel extremely weird for the next few hours. It feels like a mixture between an eye twitch, and like, butterflies or something. It feels like something is flying around in my throat. It’s almost like there really is food stuck there and my esophagus is twitching to try and move it or something. 
Has anyone else experienced these throat twitches?? They drive me crazy! And I have googled it extensively to no avail.</t>
        </is>
      </c>
      <c r="D10511" t="n">
        <v>1</v>
      </c>
      <c r="E10511" t="n">
        <v>3</v>
      </c>
      <c r="F10511">
        <f>HYPERLINK("https://www.reddit.com/r/GERD/comments/ihar1q/does_anyone_else_feel_throatneck_spasms/")</f>
        <v/>
      </c>
      <c r="G10511" t="inlineStr">
        <is>
          <t>2020-08-26 17:14:43</t>
        </is>
      </c>
      <c r="H10511" t="inlineStr"/>
    </row>
    <row r="10512">
      <c r="A10512" t="inlineStr">
        <is>
          <t>ihas5u</t>
        </is>
      </c>
      <c r="B10512" t="inlineStr">
        <is>
          <t>Just a tip or two. Make sure you vitamin/mineral levels are good. One less thing to worry about. Oh, and Soup!</t>
        </is>
      </c>
      <c r="C10512" t="inlineStr">
        <is>
          <t>Keeping a balanced diet may be a difficult for many suffering from this disease. Ask your doctor to do a measurement of your vitamin/mineral levels. He might tell you that this you could use a bit more of this or that, then adjust accordingly. In my case I'm always popping a good quality multivitamin pill every morning just to make sure, so the last time I did this checkup I got told that my levels are fine except my vitamin D level is slightly low. So I'm on Vitamin D supplements now in addition, no stress.
The last thing you need is to worry about getting the correct nutrients.
Also, soups can be a good thing, they can be delicious and they're good for your health - not to mention they go down easily enough. Learn to cook a variety of soups yourself and/or buy some of those prepackaged dried ingredient bags (refer to reviews and choose the no-nonsense, good quality types - if done right, the dehydration process keeps the nutrients well intact) then use those as base (add some fresh carrots, broccoli, whatever, then use a blender to disintegrate the contents. You can also add a little bit of meat to them and run it through the blender still). I always keep a big variety of those soup bags in my kitchen. Cooking can be fun, too!
Best wishes to everyone that suffers from this horribly unnecessary illness.</t>
        </is>
      </c>
      <c r="D10512" t="n">
        <v>1</v>
      </c>
      <c r="E10512" t="n">
        <v>14</v>
      </c>
      <c r="F10512">
        <f>HYPERLINK("https://www.reddit.com/r/GERD/comments/ihas5u/just_a_tip_or_two_make_sure_you_vitaminmineral/")</f>
        <v/>
      </c>
      <c r="G10512" t="inlineStr">
        <is>
          <t>2020-08-26 17:16:49</t>
        </is>
      </c>
      <c r="H10512" t="inlineStr"/>
    </row>
    <row r="10513">
      <c r="A10513" t="inlineStr">
        <is>
          <t>ihb5a1</t>
        </is>
      </c>
      <c r="B10513" t="inlineStr">
        <is>
          <t>PPI worsening LPR</t>
        </is>
      </c>
      <c r="C10513" t="inlineStr">
        <is>
          <t>Has anyone else experienced PPI’s making their LPR symptoms significantly worse? I started getting the familiar phlegm, throat clearing, and deeper voice over the last few months, so I decided to try omeprazole 20 mg twice daily. By the second day, the symptoms were exponentially worse. Ended up stopping after 4 days. Since stopping, the symptoms have calmed down and gone back to baseline.</t>
        </is>
      </c>
      <c r="D10513" t="n">
        <v>1</v>
      </c>
      <c r="E10513" t="n">
        <v>0</v>
      </c>
      <c r="F10513">
        <f>HYPERLINK("https://www.reddit.com/r/GERD/comments/ihb5a1/ppi_worsening_lpr/")</f>
        <v/>
      </c>
      <c r="G10513" t="inlineStr">
        <is>
          <t>2020-08-26 17:40:32</t>
        </is>
      </c>
      <c r="H10513" t="inlineStr"/>
    </row>
    <row r="10514">
      <c r="A10514" t="inlineStr">
        <is>
          <t>ihbpuk</t>
        </is>
      </c>
      <c r="B10514" t="inlineStr">
        <is>
          <t>Cheat pains in what area</t>
        </is>
      </c>
      <c r="C10514" t="inlineStr">
        <is>
          <t>I’m what area do you guys get your chest pains at and what’s the feeling you get me sometimes there a weird like pressure kinda of center of my chest</t>
        </is>
      </c>
      <c r="D10514" t="n">
        <v>1</v>
      </c>
      <c r="E10514" t="n">
        <v>4</v>
      </c>
      <c r="F10514">
        <f>HYPERLINK("https://www.reddit.com/r/GERD/comments/ihbpuk/cheat_pains_in_what_area/")</f>
        <v/>
      </c>
      <c r="G10514" t="inlineStr">
        <is>
          <t>2020-08-26 18:17:37</t>
        </is>
      </c>
      <c r="H10514" t="inlineStr"/>
    </row>
    <row r="10515">
      <c r="A10515" t="inlineStr">
        <is>
          <t>ihcjqm</t>
        </is>
      </c>
      <c r="B10515" t="inlineStr">
        <is>
          <t>Have had GERD since 2000 Every alcoholic drink gave me GERD until I did this</t>
        </is>
      </c>
      <c r="C10515" t="inlineStr">
        <is>
          <t>I’m not advocating drinking. I couldn’t drink most alcohols without the MOST HORRIBLE GERD.  I don’t know if this post is allowed; if not, delete. This probably sounds gross to non GERD sufferers, but I’m finally able to have an alcoholic drink using my ‘recipe,’ using the word recipe very loosely.
I like(d) rum and diet Coke. But GERD prevented me from having it. I tried this ‘recipe’ once and it worked. I don’t get GERD from it, anyway.
Clear rum, NOT SPICED, milk to taste, (diet) or regular Coke.
I have yet to get GERD from it.</t>
        </is>
      </c>
      <c r="D10515" t="n">
        <v>1</v>
      </c>
      <c r="E10515" t="n">
        <v>6</v>
      </c>
      <c r="F10515">
        <f>HYPERLINK("https://www.reddit.com/r/GERD/comments/ihcjqm/have_had_gerd_since_2000_every_alcoholic_drink/")</f>
        <v/>
      </c>
      <c r="G10515" t="inlineStr">
        <is>
          <t>2020-08-26 19:11:47</t>
        </is>
      </c>
      <c r="H10515" t="inlineStr"/>
    </row>
    <row r="10516">
      <c r="A10516" t="inlineStr">
        <is>
          <t>ihcm03</t>
        </is>
      </c>
      <c r="B10516" t="inlineStr">
        <is>
          <t>What's the deal with Lemons?</t>
        </is>
      </c>
      <c r="C10516" t="inlineStr">
        <is>
          <t>Hey r/GERD, I'm a newly diagnosed GERD sufferer and new to this sub. My mother has had acid reflux for years and swears by squeezing half of a lemon into a glass of water in the morning. I've read numerous articles about how lemon can work for some people (but more like a tablespoon in a glass of water) and I know that it's different for everybody...
But what I don't get and can't seem to find an answer to is how lemon (and not other citrus like lime or grapefruit) is this magic treatment. Is it strictly based on pH levels? Also, I'm not fully clear on what the threshold is...a tablespoon in water is okay but can I eat lemon chicken that I marinated in lemon juice? Can I do lemon water in the morning and then a lemon muffin later on? Is lemon just fine and have as much as you like?
I'd love some clarity before my mother wrenches open my mouth to pour lemon water down my throat against my will. Thanks in advance!</t>
        </is>
      </c>
      <c r="D10516" t="n">
        <v>1</v>
      </c>
      <c r="E10516" t="n">
        <v>7</v>
      </c>
      <c r="F10516">
        <f>HYPERLINK("https://www.reddit.com/r/GERD/comments/ihcm03/whats_the_deal_with_lemons/")</f>
        <v/>
      </c>
      <c r="G10516" t="inlineStr">
        <is>
          <t>2020-08-26 19:15:50</t>
        </is>
      </c>
      <c r="H10516" t="inlineStr"/>
    </row>
    <row r="10517">
      <c r="A10517" t="inlineStr">
        <is>
          <t>ihcs4y</t>
        </is>
      </c>
      <c r="B10517" t="inlineStr">
        <is>
          <t>Takeout</t>
        </is>
      </c>
      <c r="C10517" t="inlineStr">
        <is>
          <t>What do you guys recommend for takeout I’m tired of making completely healthy stuff at home  Anybody recommend some GERD/LPR friendly takeout?? What are your guys favorite orders from takeout places I love pho 😅</t>
        </is>
      </c>
      <c r="D10517" t="n">
        <v>1</v>
      </c>
      <c r="E10517" t="n">
        <v>7</v>
      </c>
      <c r="F10517">
        <f>HYPERLINK("https://www.reddit.com/r/GERD/comments/ihcs4y/takeout/")</f>
        <v/>
      </c>
      <c r="G10517" t="inlineStr">
        <is>
          <t>2020-08-26 19:26:56</t>
        </is>
      </c>
      <c r="H10517" t="inlineStr"/>
    </row>
    <row r="10518">
      <c r="A10518" t="inlineStr">
        <is>
          <t>ihczq3</t>
        </is>
      </c>
      <c r="B10518" t="inlineStr">
        <is>
          <t>What I found these days relate to Gerd (Tips)</t>
        </is>
      </c>
      <c r="C10518" t="inlineStr">
        <is>
          <t>I know many of you are suffering from this horrific disease. I know how painful Gerd is. To cure my disease, I've been doing some kind of experience using my own body. And here's what I found lately. I want to share some tips with you guys
A lot of patients who suffer from Gerd only pay attention to what they eat(To avoid fatty food, fried food etc). Yeap I totally agree with it. 
However, that's not enough. You have to avoid one more thing. The main problem, I found, is drinking lots of 'Liquid' including water.  Just as people are pushed by seawater in the summer sea, food flows back to the same principle. In other words, if you drink a lot of water before and after a meal, no matter how decent food you eat, it will flow back to your esophagus.     
[https://i.imgur.com/Y4nmkkC.jpg](https://i.imgur.com/Y4nmkkC.jpg)
Lower your liquid intake when you eat something, and especially near bedtime. I will definitely soothe your symptoms. I hope you all get better.</t>
        </is>
      </c>
      <c r="D10518" t="n">
        <v>1</v>
      </c>
      <c r="E10518" t="n">
        <v>9</v>
      </c>
      <c r="F10518">
        <f>HYPERLINK("https://www.reddit.com/r/GERD/comments/ihczq3/what_i_found_these_days_relate_to_gerd_tips/")</f>
        <v/>
      </c>
      <c r="G10518" t="inlineStr">
        <is>
          <t>2020-08-26 19:40:49</t>
        </is>
      </c>
      <c r="H10518" t="inlineStr"/>
    </row>
    <row r="10519">
      <c r="A10519" t="inlineStr">
        <is>
          <t>ihd3ui</t>
        </is>
      </c>
      <c r="B10519" t="inlineStr">
        <is>
          <t>Gaining weight</t>
        </is>
      </c>
      <c r="C10519" t="inlineStr">
        <is>
          <t>Does anybody have any recommendations on gaining weight I’ve had a horrible time trying to gain weight the more I try the more it seems that I lose more weight anybody have any recommendations I’ve heard people use calorie shakes but I’m not sure which ones would be GERD friendly?</t>
        </is>
      </c>
      <c r="D10519" t="n">
        <v>1</v>
      </c>
      <c r="E10519" t="n">
        <v>6</v>
      </c>
      <c r="F10519">
        <f>HYPERLINK("https://www.reddit.com/r/GERD/comments/ihd3ui/gaining_weight/")</f>
        <v/>
      </c>
      <c r="G10519" t="inlineStr">
        <is>
          <t>2020-08-26 19:48:26</t>
        </is>
      </c>
      <c r="H10519" t="inlineStr"/>
    </row>
    <row r="10520">
      <c r="A10520" t="inlineStr">
        <is>
          <t>ihdhn1</t>
        </is>
      </c>
      <c r="B10520" t="inlineStr">
        <is>
          <t>Gerd and throat tightness/suffocating feeling.</t>
        </is>
      </c>
      <c r="C10520" t="inlineStr">
        <is>
          <t>For a few days now, I have been getting a really bad shortness of breath. It feels like air can’t get inside my lungs pike my breathing us cut short if that makes sense. My nose get stuffy and blocked. The more I think about it, the worse it gets. I also get butterflies when trying to breath. This usually happens when I eat really greasy foods. 
Does anyone else get this and has anyone found a solution for it?</t>
        </is>
      </c>
      <c r="D10520" t="n">
        <v>1</v>
      </c>
      <c r="E10520" t="n">
        <v>2</v>
      </c>
      <c r="F10520">
        <f>HYPERLINK("https://www.reddit.com/r/GERD/comments/ihdhn1/gerd_and_throat_tightnesssuffocating_feeling/")</f>
        <v/>
      </c>
      <c r="G10520" t="inlineStr">
        <is>
          <t>2020-08-26 20:14:04</t>
        </is>
      </c>
      <c r="H10520" t="inlineStr"/>
    </row>
    <row r="10521">
      <c r="A10521" t="inlineStr">
        <is>
          <t>ihdxt3</t>
        </is>
      </c>
      <c r="B10521" t="inlineStr">
        <is>
          <t>Jaw Pain with Gerd</t>
        </is>
      </c>
      <c r="C10521" t="inlineStr">
        <is>
          <t>I’m having a major month long GERD flare up with Shortness of breath and NOW on top of everything else I’m experiencing a dull burning sensation in front and right jaw area. Sometimes my lips burn along with it. 
I messaged my doctor and he said it’s likely to do with ongoing esophagitis. 
I’ve had recent chest xrays and blood tests that suggests my heart is fine. 
Just wondering if anyone else gets this.</t>
        </is>
      </c>
      <c r="D10521" t="n">
        <v>1</v>
      </c>
      <c r="E10521" t="n">
        <v>1</v>
      </c>
      <c r="F10521">
        <f>HYPERLINK("https://www.reddit.com/r/GERD/comments/ihdxt3/jaw_pain_with_gerd/")</f>
        <v/>
      </c>
      <c r="G10521" t="inlineStr">
        <is>
          <t>2020-08-26 20:46:02</t>
        </is>
      </c>
      <c r="H10521" t="inlineStr"/>
    </row>
    <row r="10522">
      <c r="A10522" t="inlineStr">
        <is>
          <t>ihey7g</t>
        </is>
      </c>
      <c r="B10522" t="inlineStr">
        <is>
          <t>How can you tell if your LES is dissolved?</t>
        </is>
      </c>
      <c r="C10522" t="inlineStr">
        <is>
          <t>I dont get what the hell is causing acid to get up into my esophagus if my LES is relatively intact.
Even while sitting up I get LPR throughout the day now. While just months ago this only bothered me at night.
What exactly is the mechanism that causes the stomach to push acid up through the LES?</t>
        </is>
      </c>
      <c r="D10522" t="n">
        <v>1</v>
      </c>
      <c r="E10522" t="n">
        <v>18</v>
      </c>
      <c r="F10522">
        <f>HYPERLINK("https://www.reddit.com/r/GERD/comments/ihey7g/how_can_you_tell_if_your_les_is_dissolved/")</f>
        <v/>
      </c>
      <c r="G10522" t="inlineStr">
        <is>
          <t>2020-08-26 22:01:02</t>
        </is>
      </c>
      <c r="H10522" t="inlineStr"/>
    </row>
    <row r="10523">
      <c r="A10523" t="inlineStr">
        <is>
          <t>ihf39s</t>
        </is>
      </c>
      <c r="B10523" t="inlineStr">
        <is>
          <t>Hey asthma/GERD/LPR sufferers! Any tips for deciding which is currently causing symptoms?</t>
        </is>
      </c>
      <c r="C10523" t="inlineStr">
        <is>
          <t>Hi everyone!
Sufferer of GERD/LPR/asthma here, with possible allergies. My breathing has really been bothering me lately and I’m interested in knowing how you all navigate treating this when it’s probably in relationship to your GERD (never got prescribed an inhaler until I went in for reflux). This is by far the most troublesome symptom, but I’m not sure how to address it when omeprazole only does so much.</t>
        </is>
      </c>
      <c r="D10523" t="n">
        <v>1</v>
      </c>
      <c r="E10523" t="n">
        <v>3</v>
      </c>
      <c r="F10523">
        <f>HYPERLINK("https://www.reddit.com/r/GERD/comments/ihf39s/hey_asthmagerdlpr_sufferers_any_tips_for_deciding/")</f>
        <v/>
      </c>
      <c r="G10523" t="inlineStr">
        <is>
          <t>2020-08-26 22:12:01</t>
        </is>
      </c>
      <c r="H10523" t="inlineStr"/>
    </row>
    <row r="10524">
      <c r="A10524" t="inlineStr">
        <is>
          <t>ihfkz4</t>
        </is>
      </c>
      <c r="B10524" t="inlineStr">
        <is>
          <t>For acid reflux, can you just take PPI or are you forced to get endoscopy?</t>
        </is>
      </c>
      <c r="C10524" t="inlineStr">
        <is>
          <t>My dad has been taking a proton pump inhibitor everyday from his doctor. He just calls them in and gets them refilled every 3 months. He never had to do an endoscopy.
I recently called my doctor for acid reflux myself, and he gave me a 30 day trial of Omeprazole. The pills work perfect. Zero acid reflux. The doctor asked me if I wanted an endoscope and I said no. She said ok. I asked if I could get a refill and she said yes.
So can I just get unlimited refills like my dad? Or will I be forced to get an endoscopy? I don't want an endoscopy nor surgery, since both sound scary and the pills work perfect.</t>
        </is>
      </c>
      <c r="D10524" t="n">
        <v>1</v>
      </c>
      <c r="E10524" t="n">
        <v>5</v>
      </c>
      <c r="F10524">
        <f>HYPERLINK("https://www.reddit.com/r/GERD/comments/ihfkz4/for_acid_reflux_can_you_just_take_ppi_or_are_you/")</f>
        <v/>
      </c>
      <c r="G10524" t="inlineStr">
        <is>
          <t>2020-08-26 22:51:40</t>
        </is>
      </c>
      <c r="H10524" t="inlineStr"/>
    </row>
    <row r="10525">
      <c r="A10525" t="inlineStr">
        <is>
          <t>ihg595</t>
        </is>
      </c>
      <c r="B10525" t="inlineStr">
        <is>
          <t>Gerd and Quarantine</t>
        </is>
      </c>
      <c r="C10525" t="inlineStr">
        <is>
          <t>Am I the only one that thinks there is a linear correlation between GERD and quarantine?  I feel that all this stress and anxiety we are building up, as well as eating and seating have something to do with it.</t>
        </is>
      </c>
      <c r="D10525" t="n">
        <v>1</v>
      </c>
      <c r="E10525" t="n">
        <v>15</v>
      </c>
      <c r="F10525">
        <f>HYPERLINK("https://www.reddit.com/r/GERD/comments/ihg595/gerd_and_quarantine/")</f>
        <v/>
      </c>
      <c r="G10525" t="inlineStr">
        <is>
          <t>2020-08-26 23:41:31</t>
        </is>
      </c>
      <c r="H10525" t="inlineStr"/>
    </row>
    <row r="10526">
      <c r="A10526" t="inlineStr">
        <is>
          <t>ihh5kl</t>
        </is>
      </c>
      <c r="B10526" t="inlineStr">
        <is>
          <t>Blocked nose?</t>
        </is>
      </c>
      <c r="C10526" t="inlineStr">
        <is>
          <t>Hey guys, so I've been dealing with Gerd since mid may and I think I'm just starting to get better now(so if your Gerd is just starting and you're going through a rough time, I promise it's going to get better)
But lately whenever I wake up these days, I usually have a blocked nose, could this be related?</t>
        </is>
      </c>
      <c r="D10526" t="n">
        <v>1</v>
      </c>
      <c r="E10526" t="n">
        <v>5</v>
      </c>
      <c r="F10526">
        <f>HYPERLINK("https://www.reddit.com/r/GERD/comments/ihh5kl/blocked_nose/")</f>
        <v/>
      </c>
      <c r="G10526" t="inlineStr">
        <is>
          <t>2020-08-27 01:12:46</t>
        </is>
      </c>
      <c r="H10526" t="inlineStr"/>
    </row>
    <row r="10527">
      <c r="A10527" t="inlineStr">
        <is>
          <t>ihhaa9</t>
        </is>
      </c>
      <c r="B10527" t="inlineStr">
        <is>
          <t>Trouble sleeping through the night?</t>
        </is>
      </c>
      <c r="C10527" t="inlineStr">
        <is>
          <t>My GERD has been acting up and it feels like I have gas trapped inside my chest and stomach.  I tried sleeping on a wedge pillow tonight, but then seemed to make things worse (made my body super tense and uncomfortable) and created even more gas.
I’ve been trying to sleep, but I keep getting woken up by this feeling. Does anybody have any advice on sleeping through the night when feeling this way?</t>
        </is>
      </c>
      <c r="D10527" t="n">
        <v>1</v>
      </c>
      <c r="E10527" t="n">
        <v>10</v>
      </c>
      <c r="F10527">
        <f>HYPERLINK("https://www.reddit.com/r/GERD/comments/ihhaa9/trouble_sleeping_through_the_night/")</f>
        <v/>
      </c>
      <c r="G10527" t="inlineStr">
        <is>
          <t>2020-08-27 01:25:59</t>
        </is>
      </c>
      <c r="H10527" t="inlineStr"/>
    </row>
    <row r="10528">
      <c r="A10528" t="inlineStr">
        <is>
          <t>ihimmu</t>
        </is>
      </c>
      <c r="B10528" t="inlineStr">
        <is>
          <t>GERD and alcohol</t>
        </is>
      </c>
      <c r="C10528" t="inlineStr">
        <is>
          <t>I guess I should start off by describing what my own lifetime 'partner' is like. I have a mild form of LPR and I don't need to take medication beyond Gaviscon for it. 99% of the time I feel just fine if I avoid my trigger foods.
With that out of the way, I have decided to try and drink some vodka again.
I have previously tried whiskey, wine and beer. Whiskey and wine burned my throat like crazy. Two beers were still fine but the next time I drank three pints, I was in agony for 3 weeks because of a bloated stomach.
What are people's experiences with vodka? Is it any good? Do you have to drink moderately? If you get bad reactions out of it, what kind and how do they progress over time? I am more interested in knowing if there are people out there who can actually drink without any side effects.
I tried a bottle of vodka yesterday night and am currently waiting to see what happens. I do feel a slight burn in my throat and my throat is quite dry but I don't know if it's _that_ concerning.</t>
        </is>
      </c>
      <c r="D10528" t="n">
        <v>1</v>
      </c>
      <c r="E10528" t="n">
        <v>14</v>
      </c>
      <c r="F10528">
        <f>HYPERLINK("https://www.reddit.com/r/GERD/comments/ihimmu/gerd_and_alcohol/")</f>
        <v/>
      </c>
      <c r="G10528" t="inlineStr">
        <is>
          <t>2020-08-27 03:31:24</t>
        </is>
      </c>
      <c r="H10528" t="inlineStr"/>
    </row>
    <row r="10529">
      <c r="A10529" t="inlineStr">
        <is>
          <t>ihiy08</t>
        </is>
      </c>
      <c r="B10529" t="inlineStr">
        <is>
          <t>Upper Endoscopy Normal?</t>
        </is>
      </c>
      <c r="C10529" t="inlineStr">
        <is>
          <t>Hi everyone, I had been suspected to have silent reflux/LPR since about January. Took a couple different PPIs and completely changed my diet and behaviors - got zero relief, and my symptoms only got worse. I got a new doctor in July and also finally saw a GI in July. I had seen an ENT and done a laryngoscopy and allergy tests prior to this - laryngoscopy was completely normal and no inflammation, and allergy test showed I have dust/mite mix, birch mix, hickory mix, and nettle weeds allergies.  The ENT was not sure if it was silent  reflux or allergies at that point, hence the GI referral and now endoscopy. 
My endoscopy came back completely normal, and he does not think this is reflux related at all now and is sending me back to my ENT for her to review further and allergy shots. My concern, though, is that he did not take any biopsies during the endoscopy, and my understanding is that a biopsy could've shown something he wasn't seeing. Should there have been biopsies done and should I request another endoscopy to get the biopsies now or is it not worth it? 
He did also say that if my ENT felt it necessary, he would happily do a manometry or bravo test to see if there is any acid or bile involves. He doesn't want to put me through that unless absolutely necessary and there is hard proof since it is uncomfortable and will impact my living for a few days. 
Side note: My GI is a pretty well renowned GI in my area and has great reviews, so I think he knows what he's doing? And part of the reason he is saying it's not reflux related -and had been hesitant before the endoscopy even- is due to the fact that about 5 months on PPIs and my acid free, natural diet didn't work and only made my symptoms worse. He feels there should've been at least some improvement and not worsening of my symptoms/new symptoms (PPIs caused worsening throat tightness, and heartburn; heartburn stopped when PPIs stopped, tightness got drastically better as well..all my other symptoms continued as well) and therefore reflux seems implausible to him. He also is taking into account other diagnoses I have of a deviated septum with spur and my confirmed allergies. I think that may be why there were no biopsies? Still thought he would do some though? 
Symptoms: post nasal drip sometimes - noticed it happens more when I'm outside or after being outside- throat clearing as a result of the post nasal drip, throat tightness sometimes (not every day and doesn't seem related to food based on my food diary and elimination diet), sore throat sometimes (also not every day, maybe once or twice a week, randomly), and a runny/stuffy nose and sneezing at times. When I have the throat clearing, I do sometimes have some mucus - that mucus is yellowish or clear in the mornings and clear thought the day (if it's a day it happens during the day). Does this sound like it could still be LPR and should I ask for biopsies now? 
Thanks!</t>
        </is>
      </c>
      <c r="D10529" t="n">
        <v>1</v>
      </c>
      <c r="E10529" t="n">
        <v>4</v>
      </c>
      <c r="F10529">
        <f>HYPERLINK("https://www.reddit.com/r/GERD/comments/ihiy08/upper_endoscopy_normal/")</f>
        <v/>
      </c>
      <c r="G10529" t="inlineStr">
        <is>
          <t>2020-08-27 03:58:34</t>
        </is>
      </c>
      <c r="H10529" t="inlineStr"/>
    </row>
    <row r="10530">
      <c r="A10530" t="inlineStr">
        <is>
          <t>ihk4vn</t>
        </is>
      </c>
      <c r="B10530" t="inlineStr">
        <is>
          <t>What causes tightness in throat</t>
        </is>
      </c>
      <c r="C10530" t="inlineStr">
        <is>
          <t>I’ve been scrolling down this sub and I’ve seen that there’s actually quite a few people who have this difficulty breathing/tightness in throat sensation due to GERD. If anyone knows can you please explain what causes this sensation and why it is not picked up by any examination?</t>
        </is>
      </c>
      <c r="D10530" t="n">
        <v>1</v>
      </c>
      <c r="E10530" t="n">
        <v>22</v>
      </c>
      <c r="F10530">
        <f>HYPERLINK("https://www.reddit.com/r/GERD/comments/ihk4vn/what_causes_tightness_in_throat/")</f>
        <v/>
      </c>
      <c r="G10530" t="inlineStr">
        <is>
          <t>2020-08-27 05:29:16</t>
        </is>
      </c>
      <c r="H10530" t="inlineStr"/>
    </row>
    <row r="10531">
      <c r="A10531" t="inlineStr">
        <is>
          <t>ihlhiv</t>
        </is>
      </c>
      <c r="B10531" t="inlineStr">
        <is>
          <t>How the hell do I get diagnosed?</t>
        </is>
      </c>
      <c r="C10531" t="inlineStr">
        <is>
          <t>I'm 19 and from the UK. Been dealing with reflux problems since June. Been on Omeprazole for about 6 weeks and currently weaning off. Even though I'm trying to make lifestyle and diet changes, how exactly do I get diagnosed? I'm working on the assumption it is GERD but not knowing anything is kind of annoying.
Are endoscopies done through the NHS because I don't have enough money for private?</t>
        </is>
      </c>
      <c r="D10531" t="n">
        <v>1</v>
      </c>
      <c r="E10531" t="n">
        <v>3</v>
      </c>
      <c r="F10531">
        <f>HYPERLINK("https://www.reddit.com/r/GERD/comments/ihlhiv/how_the_hell_do_i_get_diagnosed/")</f>
        <v/>
      </c>
      <c r="G10531" t="inlineStr">
        <is>
          <t>2020-08-27 06:57:35</t>
        </is>
      </c>
      <c r="H10531" t="inlineStr"/>
    </row>
    <row r="10532">
      <c r="A10532" t="inlineStr">
        <is>
          <t>ihozzl</t>
        </is>
      </c>
      <c r="B10532" t="inlineStr">
        <is>
          <t>Do you drink with gerd?</t>
        </is>
      </c>
      <c r="C10532" t="inlineStr">
        <is>
          <t>A recent post promted this question. 
I've been fighting gerd for about 5 years now and drank in moderation. In September of last year my gerd had gotten 10x worse and I tried drinking a few times but ultimately gave it up along with coffee back in February. I'm also on omeprazole 40mg twice a day. Currently going thru surgical consultation tests.
So my question is, can you still drink with gerd? If other people can then maybe my gerd is worse than I thought 😅</t>
        </is>
      </c>
      <c r="D10532" t="n">
        <v>1</v>
      </c>
      <c r="E10532" t="n">
        <v>7</v>
      </c>
      <c r="F10532">
        <f>HYPERLINK("https://www.reddit.com/r/GERD/comments/ihozzl/do_you_drink_with_gerd/")</f>
        <v/>
      </c>
      <c r="G10532" t="inlineStr">
        <is>
          <t>2020-08-27 10:09:59</t>
        </is>
      </c>
      <c r="H10532" t="inlineStr"/>
    </row>
    <row r="10533">
      <c r="A10533" t="inlineStr">
        <is>
          <t>ihpfqq</t>
        </is>
      </c>
      <c r="B10533" t="inlineStr">
        <is>
          <t>Weird throat feeling</t>
        </is>
      </c>
      <c r="C10533" t="inlineStr">
        <is>
          <t>Hello, I have been experiencing throat tickle and dryness the past few days. I have lpr and gerd and I am wondering if this could cause that. It almost feels like I need to cough, but I don’t. The throat tickle is mostly on the right side of my throat. I am currently at college and am terrified if I am getting sick. Please comment if u can relate, thanks.</t>
        </is>
      </c>
      <c r="D10533" t="n">
        <v>1</v>
      </c>
      <c r="E10533" t="n">
        <v>6</v>
      </c>
      <c r="F10533">
        <f>HYPERLINK("https://www.reddit.com/r/GERD/comments/ihpfqq/weird_throat_feeling/")</f>
        <v/>
      </c>
      <c r="G10533" t="inlineStr">
        <is>
          <t>2020-08-27 10:32:56</t>
        </is>
      </c>
      <c r="H10533" t="inlineStr"/>
    </row>
    <row r="10534">
      <c r="A10534" t="inlineStr">
        <is>
          <t>ihptft</t>
        </is>
      </c>
      <c r="B10534" t="inlineStr">
        <is>
          <t>What sauces won't cause acid reflux? Soy sauce, BBQ sauce, and maybe duck sauce are causing me to feel sick.</t>
        </is>
      </c>
      <c r="C10534" t="inlineStr">
        <is>
          <t>I get so much acid I feel nauseous. I have to be very careful with what I eat and I have nothing except home made pesto to put on my chicken breast. 
Thank you.</t>
        </is>
      </c>
      <c r="D10534" t="n">
        <v>1</v>
      </c>
      <c r="E10534" t="n">
        <v>21</v>
      </c>
      <c r="F10534">
        <f>HYPERLINK("https://www.reddit.com/r/GERD/comments/ihptft/what_sauces_wont_cause_acid_reflux_soy_sauce_bbq/")</f>
        <v/>
      </c>
      <c r="G10534" t="inlineStr">
        <is>
          <t>2020-08-27 10:52:44</t>
        </is>
      </c>
      <c r="H10534" t="inlineStr"/>
    </row>
    <row r="10535">
      <c r="A10535" t="inlineStr">
        <is>
          <t>ihqhfd</t>
        </is>
      </c>
      <c r="B10535" t="inlineStr">
        <is>
          <t>Water gives me GERD but watermelon is totally fine? WTF body!!!</t>
        </is>
      </c>
      <c r="C10535" t="inlineStr">
        <is>
          <t>Just like the title says. Anyone else get this? I'm totally fine eating a bowl of watermelon, heck, sometimes it even helps! But have small sips of water? And I'm getting heartburn and GERD symptoms like crazy!</t>
        </is>
      </c>
      <c r="D10535" t="n">
        <v>1</v>
      </c>
      <c r="E10535" t="n">
        <v>4</v>
      </c>
      <c r="F10535">
        <f>HYPERLINK("https://www.reddit.com/r/GERD/comments/ihqhfd/water_gives_me_gerd_but_watermelon_is_totally/")</f>
        <v/>
      </c>
      <c r="G10535" t="inlineStr">
        <is>
          <t>2020-08-27 11:27:00</t>
        </is>
      </c>
      <c r="H10535" t="inlineStr"/>
    </row>
    <row r="10536">
      <c r="A10536" t="inlineStr">
        <is>
          <t>ihr4rs</t>
        </is>
      </c>
      <c r="B10536" t="inlineStr">
        <is>
          <t>How soon do I need food with pantoprazole?</t>
        </is>
      </c>
      <c r="C10536" t="inlineStr">
        <is>
          <t>I had an endoscopy and they found gastritis, esophagitis, and duodenitis. I've read about everyone's hesitation with PPI's but I think it's necessary to heal my esophagus right now (said it was very inflamed).
I have a gluten allergy so already don't eat that, haven't drank alcohol in 6 weeks, don't smoke, don't eat dairy except maybe once a week and it's cheese, no soy for the most part. I eat a very healthy, balanced diet. I take probiotics, drink kombucha, B12, vitamin D weekly, magnesium now with the PPI's, Aloe Vera juice. etc. Don't lay down after eating, don't eat after 7 Pm, all the works. 
I started pantoprazole August 12. 
I typically don't eat until about 11:00 AM and have coffee when I wake up around 8:00, just one cup. My doc said to take the pantoprazole when I wake up, which is what I've been doing. But today I had severe nausea and got light headed and the chills, I'm wondering if it's because I'm taking pantoprazole and drinking coffee and not eating until a few hours after? Should I be eating shortly after I take it? My doc didn't specify. Please no judgmental "it's obvious," comments, just trying to gather others opinions/experiences so I can make a more sound decision :)</t>
        </is>
      </c>
      <c r="D10536" t="n">
        <v>1</v>
      </c>
      <c r="E10536" t="n">
        <v>12</v>
      </c>
      <c r="F10536">
        <f>HYPERLINK("https://www.reddit.com/r/GERD/comments/ihr4rs/how_soon_do_i_need_food_with_pantoprazole/")</f>
        <v/>
      </c>
      <c r="G10536" t="inlineStr">
        <is>
          <t>2020-08-27 12:00:35</t>
        </is>
      </c>
      <c r="H10536" t="inlineStr"/>
    </row>
    <row r="10537">
      <c r="A10537" t="inlineStr">
        <is>
          <t>ihsdf7</t>
        </is>
      </c>
      <c r="B10537" t="inlineStr">
        <is>
          <t>Is it safe to do OTC Pepcid ?</t>
        </is>
      </c>
      <c r="C10537" t="inlineStr">
        <is>
          <t>Did PPIs for 4 months and now trying to get off of those. My PCP said do OTC Pepcid when needed. Is it safe to do OTC Pepcid ?
My symptoms are indigestion and regurgitation after eating which causes slight throat ache.</t>
        </is>
      </c>
      <c r="D10537" t="n">
        <v>1</v>
      </c>
      <c r="E10537" t="n">
        <v>6</v>
      </c>
      <c r="F10537">
        <f>HYPERLINK("https://www.reddit.com/r/GERD/comments/ihsdf7/is_it_safe_to_do_otc_pepcid/")</f>
        <v/>
      </c>
      <c r="G10537" t="inlineStr">
        <is>
          <t>2020-08-27 13:01:54</t>
        </is>
      </c>
      <c r="H10537" t="inlineStr"/>
    </row>
    <row r="10538">
      <c r="A10538" t="inlineStr">
        <is>
          <t>ihssb0</t>
        </is>
      </c>
      <c r="B10538" t="inlineStr">
        <is>
          <t>acid watchers diet ?</t>
        </is>
      </c>
      <c r="C10538" t="inlineStr">
        <is>
          <t>Any success stories by only following acid watchers diet ?</t>
        </is>
      </c>
      <c r="D10538" t="n">
        <v>1</v>
      </c>
      <c r="E10538" t="n">
        <v>12</v>
      </c>
      <c r="F10538">
        <f>HYPERLINK("https://www.reddit.com/r/GERD/comments/ihssb0/acid_watchers_diet/")</f>
        <v/>
      </c>
      <c r="G10538" t="inlineStr">
        <is>
          <t>2020-08-27 13:23:47</t>
        </is>
      </c>
      <c r="H10538" t="inlineStr"/>
    </row>
    <row r="10539">
      <c r="A10539" t="inlineStr">
        <is>
          <t>iht2yt</t>
        </is>
      </c>
      <c r="B10539" t="inlineStr">
        <is>
          <t>I have terrible heartburn at the same time everyday</t>
        </is>
      </c>
      <c r="C10539" t="inlineStr">
        <is>
          <t>9:30PM I get horrendous horrendous heartburn. It’s been like this since monday. I’ve been heartburn free since July 20th until Monday. I quit nexium and everything but now no matter what I do or eat at 9:30PM I get horrible heartburn and need to use gaviscon to cure it
Should I go back on nexium? God I hate this</t>
        </is>
      </c>
      <c r="D10539" t="n">
        <v>1</v>
      </c>
      <c r="E10539" t="n">
        <v>5</v>
      </c>
      <c r="F10539">
        <f>HYPERLINK("https://www.reddit.com/r/GERD/comments/iht2yt/i_have_terrible_heartburn_at_the_same_time/")</f>
        <v/>
      </c>
      <c r="G10539" t="inlineStr">
        <is>
          <t>2020-08-27 13:39:22</t>
        </is>
      </c>
      <c r="H10539" t="inlineStr"/>
    </row>
    <row r="10540">
      <c r="A10540" t="inlineStr">
        <is>
          <t>iht5ro</t>
        </is>
      </c>
      <c r="B10540" t="inlineStr">
        <is>
          <t>Safely put on weight</t>
        </is>
      </c>
      <c r="C10540" t="inlineStr">
        <is>
          <t>Hey Guys,
Since having my first GERD like symptoms earlier this year I've dropped around a stone in weight as I'm not eating as much with the fear of triggering symptoms, I don't get acid reflux as much, mostly the tight throat/upper chest.
I was wondering if anyone else was in the same boat and managed to find a way to put weight on without triggering the GERD like symptoms?</t>
        </is>
      </c>
      <c r="D10540" t="n">
        <v>1</v>
      </c>
      <c r="E10540" t="n">
        <v>11</v>
      </c>
      <c r="F10540">
        <f>HYPERLINK("https://www.reddit.com/r/GERD/comments/iht5ro/safely_put_on_weight/")</f>
        <v/>
      </c>
      <c r="G10540" t="inlineStr">
        <is>
          <t>2020-08-27 13:43:28</t>
        </is>
      </c>
      <c r="H10540" t="inlineStr"/>
    </row>
    <row r="10541">
      <c r="A10541" t="inlineStr">
        <is>
          <t>ihtv82</t>
        </is>
      </c>
      <c r="B10541" t="inlineStr">
        <is>
          <t>Stopping PPI and sore throat</t>
        </is>
      </c>
      <c r="C10541" t="inlineStr">
        <is>
          <t>I recently stopped taking PPI’s, under the direction of my GI. From what I have read there is a rebound period after stopping PPI’s but it isn’t necessarily clear what that feels like. About 2-3 days after completely weaning myself off I developed a sore throat and dry mouth as well. I was just curious if there is anyone here who has had a similar experience or if this is something that is coincidental and unrelated. Thanks in advance!</t>
        </is>
      </c>
      <c r="D10541" t="n">
        <v>1</v>
      </c>
      <c r="E10541" t="n">
        <v>8</v>
      </c>
      <c r="F10541">
        <f>HYPERLINK("https://www.reddit.com/r/GERD/comments/ihtv82/stopping_ppi_and_sore_throat/")</f>
        <v/>
      </c>
      <c r="G10541" t="inlineStr">
        <is>
          <t>2020-08-27 14:21:42</t>
        </is>
      </c>
      <c r="H10541" t="inlineStr"/>
    </row>
    <row r="10542">
      <c r="A10542" t="inlineStr">
        <is>
          <t>ihtwdj</t>
        </is>
      </c>
      <c r="B10542" t="inlineStr">
        <is>
          <t>Indigestion</t>
        </is>
      </c>
      <c r="C10542" t="inlineStr">
        <is>
          <t>Does anyone ever get indigestion &amp;amp; then it trigger feeling anxious/panicky?</t>
        </is>
      </c>
      <c r="D10542" t="n">
        <v>1</v>
      </c>
      <c r="E10542" t="n">
        <v>1</v>
      </c>
      <c r="F10542">
        <f>HYPERLINK("https://www.reddit.com/r/GERD/comments/ihtwdj/indigestion/")</f>
        <v/>
      </c>
      <c r="G10542" t="inlineStr">
        <is>
          <t>2020-08-27 14:23:29</t>
        </is>
      </c>
      <c r="H10542" t="inlineStr"/>
    </row>
    <row r="10543">
      <c r="A10543" t="inlineStr">
        <is>
          <t>ihw0ei</t>
        </is>
      </c>
      <c r="B10543" t="inlineStr">
        <is>
          <t>Upper left shoulder/scapula/arm Crepitus and Aches</t>
        </is>
      </c>
      <c r="C10543" t="inlineStr">
        <is>
          <t>31 - M - 220lbs - 6'1"
A year or two ago I noticed that the left side of my upper back, shoulder and arm would crack much more than my right side when moving or stretching etc. I suspect it might have something to do my with my GERD/reflux because it flares up worse the day after I have eaten and drank things that trigger me (coffee, soda, acidic foods etc). Gradually it has become more bothersome. The pain is not unbearable, just more of a persistent nag when it flares up.
I have been to a few doctors in the last two years (ortho, primary, cardiologist) and haven't found any issues. Could this just be a mix of poor posture and GERD, perhaps some kind of one-sided arthritis or something more serious? It doesn't make sense to me why my left shoulder, arm and scapula all pop and click significantly more than my right side. Sleeping on my left side is also bothersome, which never used to be the case before this came on.
Any insight is much appreciated!</t>
        </is>
      </c>
      <c r="D10543" t="n">
        <v>1</v>
      </c>
      <c r="E10543" t="n">
        <v>2</v>
      </c>
      <c r="F10543">
        <f>HYPERLINK("https://www.reddit.com/r/GERD/comments/ihw0ei/upper_left_shoulderscapulaarm_crepitus_and_aches/")</f>
        <v/>
      </c>
      <c r="G10543" t="inlineStr">
        <is>
          <t>2020-08-27 16:24:37</t>
        </is>
      </c>
      <c r="H10543" t="inlineStr"/>
    </row>
    <row r="10544">
      <c r="A10544" t="inlineStr">
        <is>
          <t>ihy1fk</t>
        </is>
      </c>
      <c r="B10544" t="inlineStr">
        <is>
          <t>Tips for nausea at night time</t>
        </is>
      </c>
      <c r="C10544" t="inlineStr">
        <is>
          <t>22yo female - sometimes feeling nausea at night from GERD. 
Tips on how to sleep through the night?? 
Bed is propped up and I sleep on the left side. 
Sometimes I wake up in the middle of the night feeling stomach sick but never actually puke.</t>
        </is>
      </c>
      <c r="D10544" t="n">
        <v>1</v>
      </c>
      <c r="E10544" t="n">
        <v>6</v>
      </c>
      <c r="F10544">
        <f>HYPERLINK("https://www.reddit.com/r/GERD/comments/ihy1fk/tips_for_nausea_at_night_time/")</f>
        <v/>
      </c>
      <c r="G10544" t="inlineStr">
        <is>
          <t>2020-08-27 18:34:27</t>
        </is>
      </c>
      <c r="H10544" t="inlineStr"/>
    </row>
    <row r="10545">
      <c r="A10545" t="inlineStr">
        <is>
          <t>ihy8xe</t>
        </is>
      </c>
      <c r="B10545" t="inlineStr">
        <is>
          <t>Need advice about what kind of medical help to seek for my acid reflux...</t>
        </is>
      </c>
      <c r="C10545" t="inlineStr">
        <is>
          <t>So in short I have been having a "lump in throat" and irritation feeling for over 4 months 24/7. I have been to general doc got some gastritis detected and ofc the throat irritation, was given meds for gastritis, allergy and acid, no response at all. Then went to an otorhinolaryngologist per doc recommendation, who did a quick check up where they see into your throat through your nose. Doc says he sees acid reflux. Ok, I am given a ppi and a endoscopy recommended plus the whole diet stuff. No response to the ppi at all, diet only makes my throat marginally less irritated, I get an endoscopy, incompetent cardia and acid reflux, very mild gastritis, that's all.
I am told to continue the same ppi and diet... I do exactly that. No response, lump in throat and irritation 24/7. I contact my doc again, get switched to another PPI and this time two doses a day... Surprise surprise no response at all, throat issues don't go away no matter how much I adjust my diet, eat at the right times, enough time before bed, small meals in between, adjust my head when sleeping, don't lie down after eating, nothing. 
Now for more context I am from the third world and I have had a lot of bad experiences with neglectful docs and don't have the money to bounce around the doc's office every other week. I am currently sticking to the last PPI and other directions as instructed but I am halfway there and like I said I know it's not doing anything at all. From what I have read ppis don't actually do anything to fix the acid reflux either.
Has anyone been in a similar situation at all? How were you treated or what was the cause so that I could maybe bring these up with my doc?
I honestly in a really bad spot mentally right now so this has been incredibly frustrating on top of it all. I am going through with my instructions but I feel like docs from my country always just throw meds at issues with minimal testing and corroboration and I just need to see any improvement or hope at all after months of different meds with 0 impact. Could anyone help with their thoughts? Is there any exams I could seek to get done? Any different treatment options etc. 
Thanks for reading.</t>
        </is>
      </c>
      <c r="D10545" t="n">
        <v>1</v>
      </c>
      <c r="E10545" t="n">
        <v>21</v>
      </c>
      <c r="F10545">
        <f>HYPERLINK("https://www.reddit.com/r/GERD/comments/ihy8xe/need_advice_about_what_kind_of_medical_help_to/")</f>
        <v/>
      </c>
      <c r="G10545" t="inlineStr">
        <is>
          <t>2020-08-27 18:48:06</t>
        </is>
      </c>
      <c r="H10545" t="inlineStr"/>
    </row>
    <row r="10546">
      <c r="A10546" t="inlineStr">
        <is>
          <t>ihyon4</t>
        </is>
      </c>
      <c r="B10546" t="inlineStr">
        <is>
          <t>Runny nose after eating?</t>
        </is>
      </c>
      <c r="C10546" t="inlineStr">
        <is>
          <t>I’ve learned the term for this is gustatory rhinitis. Anybody else get this or is this an LPR symptom?</t>
        </is>
      </c>
      <c r="D10546" t="n">
        <v>1</v>
      </c>
      <c r="E10546" t="n">
        <v>3</v>
      </c>
      <c r="F10546">
        <f>HYPERLINK("https://www.reddit.com/r/GERD/comments/ihyon4/runny_nose_after_eating/")</f>
        <v/>
      </c>
      <c r="G10546" t="inlineStr">
        <is>
          <t>2020-08-27 19:16:58</t>
        </is>
      </c>
      <c r="H10546" t="inlineStr"/>
    </row>
    <row r="10547">
      <c r="A10547" t="inlineStr">
        <is>
          <t>ihz1hs</t>
        </is>
      </c>
      <c r="B10547" t="inlineStr">
        <is>
          <t>Sick and tired of this....</t>
        </is>
      </c>
      <c r="C10547" t="inlineStr">
        <is>
          <t>Hey guys im 22 male and i weigh around 160 lbs. I have been diagnosed with (read below) a couple months back.  
LA grade A reflux esophagitis. Biopsed
\-Small Hiatal hernia
\-Gastritis 
My doctor prescribed me  Pantroazole 40mg 30 mins before breakfast and ive been on that for 2 months. Then i would stop eating at 6pm and try to go for walks everytime i would eat and it does help although my throat started to get destroyed from my burps. Everytime i would burp it would burn my upper part of my throat. then i talk to my gastro and he prescribed me famotidine 40mg to take after my last meal and i cant lie it helped. Now i am a week and a half into the medicine and i dont feel like my throat is getting better. I also have the DSG licorice tablets. I feel like i have a lump in my throat as well when i burp now it doesnt burn like when i didnt take famotidine. Im really confused and need some advice. My gastro told me not to eat anything after 6 and i dont although should i not even drink water? As well what should i do for my throat? Can anyone link me a PDF or anything to a meal plan that has 0 acid intake. 
He told me to take the famotidine for a month and see what happens but im scared for cancer and what not. Please get back to me as soon as possible guys this is really depressing. Anyone know any really succsessful surgerys for this?</t>
        </is>
      </c>
      <c r="D10547" t="n">
        <v>1</v>
      </c>
      <c r="E10547" t="n">
        <v>12</v>
      </c>
      <c r="F10547">
        <f>HYPERLINK("https://www.reddit.com/r/GERD/comments/ihz1hs/sick_and_tired_of_this/")</f>
        <v/>
      </c>
      <c r="G10547" t="inlineStr">
        <is>
          <t>2020-08-27 19:41:21</t>
        </is>
      </c>
      <c r="H10547" t="inlineStr"/>
    </row>
    <row r="10548">
      <c r="A10548" t="inlineStr">
        <is>
          <t>ihz7er</t>
        </is>
      </c>
      <c r="B10548" t="inlineStr">
        <is>
          <t>Anyone ever heard of Probiolite? And whats the best option probiotics wise for GERD?</t>
        </is>
      </c>
      <c r="C10548" t="inlineStr">
        <is>
          <t>If someones LES is mechanically malfunctioning I cant see how much a probiotic would help, but then again I dont know. Anyone experience improvement with probiotics?
This long ass video about "probiolite" claims that heartburn is caused by bacterial infection in the intestines/overall bad digestion, and can be fixed by taking probiolite and avoiding foods like white bread, however their website seems sketchy af:
[https://easyacidrefluxfix.com/story-angle-49-b-spokesperson-large-video-new/](https://easyacidrefluxfix.com/story-angle-49-b-spokesperson-large-video-new/)</t>
        </is>
      </c>
      <c r="D10548" t="n">
        <v>1</v>
      </c>
      <c r="E10548" t="n">
        <v>21</v>
      </c>
      <c r="F10548">
        <f>HYPERLINK("https://www.reddit.com/r/GERD/comments/ihz7er/anyone_ever_heard_of_probiolite_and_whats_the/")</f>
        <v/>
      </c>
      <c r="G10548" t="inlineStr">
        <is>
          <t>2020-08-27 19:52:53</t>
        </is>
      </c>
      <c r="H10548" t="inlineStr"/>
    </row>
    <row r="10549">
      <c r="A10549" t="inlineStr">
        <is>
          <t>ii2xma</t>
        </is>
      </c>
      <c r="B10549" t="inlineStr">
        <is>
          <t>I Feel like a ticking timebomb</t>
        </is>
      </c>
      <c r="C10549" t="inlineStr">
        <is>
          <t>So this is my life right? Just waiting to get Esophageal Cancer? Great. Oh and if i take the medication, i get other horrible medical side effects. Nice. Oh so GERD is hereditary? That explains why im an avid gym goer and still suffer. So does that mean i cant fall in love and have kids, because i know i will be the sole reason for their future suffering? Great.
Fuck my piece of shit father. If his GERD ass never had children, i wouldnt be here to suffer. Only 20 and im ready to kill myself.</t>
        </is>
      </c>
      <c r="D10549" t="n">
        <v>1</v>
      </c>
      <c r="E10549" t="n">
        <v>10</v>
      </c>
      <c r="F10549">
        <f>HYPERLINK("https://www.reddit.com/r/GERD/comments/ii2xma/i_feel_like_a_ticking_timebomb/")</f>
        <v/>
      </c>
      <c r="G10549" t="inlineStr">
        <is>
          <t>2020-08-28 00:47:21</t>
        </is>
      </c>
      <c r="H10549" t="inlineStr"/>
    </row>
    <row r="10550">
      <c r="A10550" t="inlineStr">
        <is>
          <t>ii4m3o</t>
        </is>
      </c>
      <c r="B10550" t="inlineStr">
        <is>
          <t>Is it normal to get frequent yeast infections with gerd?</t>
        </is>
      </c>
      <c r="C10550" t="inlineStr">
        <is>
          <t>So I’ve had gerd for almost a year and I noticed that within 5 months of having gerd I got frequent yeast infections. I feel like I always have to go to the bathroom. I went to the doctors for medication but it keeps coming back. I’ve never had this before I had gerd.</t>
        </is>
      </c>
      <c r="D10550" t="n">
        <v>1</v>
      </c>
      <c r="E10550" t="n">
        <v>6</v>
      </c>
      <c r="F10550">
        <f>HYPERLINK("https://www.reddit.com/r/GERD/comments/ii4m3o/is_it_normal_to_get_frequent_yeast_infections/")</f>
        <v/>
      </c>
      <c r="G10550" t="inlineStr">
        <is>
          <t>2020-08-28 03:26:09</t>
        </is>
      </c>
      <c r="H10550" t="inlineStr"/>
    </row>
    <row r="10551">
      <c r="A10551" t="inlineStr">
        <is>
          <t>ii4sqw</t>
        </is>
      </c>
      <c r="B10551" t="inlineStr">
        <is>
          <t>Protein powder - UK</t>
        </is>
      </c>
      <c r="C10551" t="inlineStr">
        <is>
          <t>Don't think that My protein impact whey doesn't suit me right now. Anyone got recommendations?</t>
        </is>
      </c>
      <c r="D10551" t="n">
        <v>1</v>
      </c>
      <c r="E10551" t="n">
        <v>6</v>
      </c>
      <c r="F10551">
        <f>HYPERLINK("https://www.reddit.com/r/GERD/comments/ii4sqw/protein_powder_uk/")</f>
        <v/>
      </c>
      <c r="G10551" t="inlineStr">
        <is>
          <t>2020-08-28 03:41:24</t>
        </is>
      </c>
      <c r="H10551" t="inlineStr"/>
    </row>
    <row r="10552">
      <c r="A10552" t="inlineStr">
        <is>
          <t>ii4uh7</t>
        </is>
      </c>
      <c r="B10552" t="inlineStr">
        <is>
          <t>2 minute noodles (instant ramen I guess?)</t>
        </is>
      </c>
      <c r="C10552" t="inlineStr">
        <is>
          <t>I love me some noodles. But regardless of brand, flavour, seasoning (no seasoning) they all make me sick. Almost instant gas and reflux. I have FODMAP intolerances, but it's too fast a reaction for that.
I avoid them 99% of the time but sometimes they're such an easy thing to add to a stir fry for dinner that it's impossible to pass up. 
Does anyone else have this reaction? No other type of pasta/noodle does it.</t>
        </is>
      </c>
      <c r="D10552" t="n">
        <v>1</v>
      </c>
      <c r="E10552" t="n">
        <v>7</v>
      </c>
      <c r="F10552">
        <f>HYPERLINK("https://www.reddit.com/r/GERD/comments/ii4uh7/2_minute_noodles_instant_ramen_i_guess/")</f>
        <v/>
      </c>
      <c r="G10552" t="inlineStr">
        <is>
          <t>2020-08-28 03:45:45</t>
        </is>
      </c>
      <c r="H10552" t="inlineStr"/>
    </row>
    <row r="10553">
      <c r="A10553" t="inlineStr">
        <is>
          <t>ii4yja</t>
        </is>
      </c>
      <c r="B10553" t="inlineStr">
        <is>
          <t>Yellow Loose Stools</t>
        </is>
      </c>
      <c r="C10553" t="inlineStr">
        <is>
          <t>Quick Q. 
Does anyone experience yellow loose stools with either GERD or LPR?
Thanks</t>
        </is>
      </c>
      <c r="D10553" t="n">
        <v>1</v>
      </c>
      <c r="E10553" t="n">
        <v>19</v>
      </c>
      <c r="F10553">
        <f>HYPERLINK("https://www.reddit.com/r/GERD/comments/ii4yja/yellow_loose_stools/")</f>
        <v/>
      </c>
      <c r="G10553" t="inlineStr">
        <is>
          <t>2020-08-28 03:55:39</t>
        </is>
      </c>
      <c r="H10553" t="inlineStr"/>
    </row>
    <row r="10554">
      <c r="A10554" t="inlineStr">
        <is>
          <t>ii5pkn</t>
        </is>
      </c>
      <c r="B10554" t="inlineStr">
        <is>
          <t>Was diagnosed with GERD and didnt het any medications?</t>
        </is>
      </c>
      <c r="C10554" t="inlineStr">
        <is>
          <t>Hi. I just have been diagnosed with GERD but my doctor didnt prescribe me any medications because I said I feel well when eating easy to digest diet. I dont understand. Should I only get rid of symptoms? I've rode in internet that untreated can lead to cancer :c I am sad because I am only 22. 
I surgery recommended to all patients?</t>
        </is>
      </c>
      <c r="D10554" t="n">
        <v>1</v>
      </c>
      <c r="E10554" t="n">
        <v>6</v>
      </c>
      <c r="F10554">
        <f>HYPERLINK("https://www.reddit.com/r/GERD/comments/ii5pkn/was_diagnosed_with_gerd_and_didnt_het_any/")</f>
        <v/>
      </c>
      <c r="G10554" t="inlineStr">
        <is>
          <t>2020-08-28 04:56:50</t>
        </is>
      </c>
      <c r="H10554" t="inlineStr"/>
    </row>
    <row r="10555">
      <c r="A10555" t="inlineStr">
        <is>
          <t>ii5rny</t>
        </is>
      </c>
      <c r="B10555" t="inlineStr">
        <is>
          <t>Random shooting pains in throat?</t>
        </is>
      </c>
      <c r="C10555" t="inlineStr">
        <is>
          <t>I have a particularly weird symptom that seems to come and go randomly throughout the year - I'll suddenly get a very sharp, split-second pain shooting through my throat, somewhere half way down. And this may happen a few times at random intervals, then stops again after a while. Sometimes it can be triggered by changing my posture, or turning my head. It does not bother me all that much, but I am just confused as to what it is.
It is almost like something is pinching a nerve, but I wondered if anyone else gets something similar?</t>
        </is>
      </c>
      <c r="D10555" t="n">
        <v>1</v>
      </c>
      <c r="E10555" t="n">
        <v>11</v>
      </c>
      <c r="F10555">
        <f>HYPERLINK("https://www.reddit.com/r/GERD/comments/ii5rny/random_shooting_pains_in_throat/")</f>
        <v/>
      </c>
      <c r="G10555" t="inlineStr">
        <is>
          <t>2020-08-28 05:01:10</t>
        </is>
      </c>
      <c r="H10555" t="inlineStr"/>
    </row>
    <row r="10556">
      <c r="A10556" t="inlineStr">
        <is>
          <t>ii5ulw</t>
        </is>
      </c>
      <c r="B10556" t="inlineStr">
        <is>
          <t>Do leafy greens trigger you?</t>
        </is>
      </c>
      <c r="C10556" t="inlineStr">
        <is>
          <t>I tried to eat a ton of spinach last night because I’ve been getting bad reflux and thought that would help. However I’ve had terrible diarrhea since then and it’s def related to the spinach. Reflux as well.</t>
        </is>
      </c>
      <c r="D10556" t="n">
        <v>1</v>
      </c>
      <c r="E10556" t="n">
        <v>12</v>
      </c>
      <c r="F10556">
        <f>HYPERLINK("https://www.reddit.com/r/GERD/comments/ii5ulw/do_leafy_greens_trigger_you/")</f>
        <v/>
      </c>
      <c r="G10556" t="inlineStr">
        <is>
          <t>2020-08-28 05:07:03</t>
        </is>
      </c>
      <c r="H10556" t="inlineStr"/>
    </row>
    <row r="10557">
      <c r="A10557" t="inlineStr">
        <is>
          <t>ii789d</t>
        </is>
      </c>
      <c r="B10557" t="inlineStr">
        <is>
          <t>Heart burn gone.</t>
        </is>
      </c>
      <c r="C10557" t="inlineStr">
        <is>
          <t>I am not sure how this happened but my wife suffered from constant heart burn and acid reflux for about a year to the point that I was getting worried and told her if it persists that we are going to get a diagnosis.  She would try to keep it hidden because she did not want to go to the doctor.  When we got pregnant, it got bad and towards the end she had acid reflux all the time.  I told her that after the baby was born we are going in to get her started on ppi's if the doctor said so and she agreed.  baby born and poof, it's gone.  No acid, no heartburn.  has anyone seen this before?  Is this normal?</t>
        </is>
      </c>
      <c r="D10557" t="n">
        <v>1</v>
      </c>
      <c r="E10557" t="n">
        <v>5</v>
      </c>
      <c r="F10557">
        <f>HYPERLINK("https://www.reddit.com/r/GERD/comments/ii789d/heart_burn_gone/")</f>
        <v/>
      </c>
      <c r="G10557" t="inlineStr">
        <is>
          <t>2020-08-28 06:41:43</t>
        </is>
      </c>
      <c r="H10557" t="inlineStr"/>
    </row>
    <row r="10558">
      <c r="A10558" t="inlineStr">
        <is>
          <t>ii78xb</t>
        </is>
      </c>
      <c r="B10558" t="inlineStr">
        <is>
          <t>Anyone heard/experienced this new testing called Cytosponge?</t>
        </is>
      </c>
      <c r="C10558" t="inlineStr">
        <is>
          <t>Has it been approved anywhere? Seems promising 
[https://www.sages.org/publications/tavac/cytosponge/](https://www.sages.org/publications/tavac/cytosponge/)</t>
        </is>
      </c>
      <c r="D10558" t="n">
        <v>1</v>
      </c>
      <c r="E10558" t="n">
        <v>2</v>
      </c>
      <c r="F10558">
        <f>HYPERLINK("https://www.reddit.com/r/GERD/comments/ii78xb/anyone_heardexperienced_this_new_testing_called/")</f>
        <v/>
      </c>
      <c r="G10558" t="inlineStr">
        <is>
          <t>2020-08-28 06:42:52</t>
        </is>
      </c>
      <c r="H10558" t="inlineStr"/>
    </row>
    <row r="10559">
      <c r="A10559" t="inlineStr">
        <is>
          <t>ii7nsq</t>
        </is>
      </c>
      <c r="B10559" t="inlineStr">
        <is>
          <t>questions</t>
        </is>
      </c>
      <c r="C10559" t="inlineStr">
        <is>
          <t>So.. ive been having chronic burping for about 3 months now..  mentally im in a bad place.Sometimes i can hold it in but it causes a discomfort in my chest or trouble breathing and its happening every 10 mins or so. But i need to do so in a social setting. My burps are tiny little burps sometimes internally. UNLESS i force it very hard and ill get some reflux with food. My question is can i stop the burps With ppis? Or is it something's wrong with me mechanically :/  i dont get it how can i have so much gas? And its everyday</t>
        </is>
      </c>
      <c r="D10559" t="n">
        <v>1</v>
      </c>
      <c r="E10559" t="n">
        <v>0</v>
      </c>
      <c r="F10559">
        <f>HYPERLINK("https://www.reddit.com/r/GERD/comments/ii7nsq/questions/")</f>
        <v/>
      </c>
      <c r="G10559" t="inlineStr">
        <is>
          <t>2020-08-28 07:07:46</t>
        </is>
      </c>
      <c r="H10559" t="inlineStr"/>
    </row>
    <row r="10560">
      <c r="A10560" t="inlineStr">
        <is>
          <t>ii8efz</t>
        </is>
      </c>
      <c r="B10560" t="inlineStr">
        <is>
          <t>What do you think caused your GERD?</t>
        </is>
      </c>
      <c r="C10560" t="inlineStr">
        <is>
          <t>Everytime I go online the causes tend to be alcohol use, smoking and being overweight.
I don't really drink and have never smoked. I'm also at a healthy weight although I'm not the leanest. 
Before my symptoms appeared, I wanted to bulk up. I'm pretty tall so I wanted to look a bit bigger. So I started eating more and drinking protein shakes before bed. I think these bad habits led to my reflux.</t>
        </is>
      </c>
      <c r="D10560" t="n">
        <v>1</v>
      </c>
      <c r="E10560" t="n">
        <v>100</v>
      </c>
      <c r="F10560">
        <f>HYPERLINK("https://www.reddit.com/r/GERD/comments/ii8efz/what_do_you_think_caused_your_gerd/")</f>
        <v/>
      </c>
      <c r="G10560" t="inlineStr">
        <is>
          <t>2020-08-28 07:49:17</t>
        </is>
      </c>
      <c r="H10560" t="inlineStr"/>
    </row>
    <row r="10561">
      <c r="A10561" t="inlineStr">
        <is>
          <t>ii9txm</t>
        </is>
      </c>
      <c r="B10561" t="inlineStr">
        <is>
          <t>Books about GERD and vegan diet</t>
        </is>
      </c>
      <c r="C10561" t="inlineStr">
        <is>
          <t>Hello everyone,
 For some years now I have been struggling with GERD and slow digestion.
 About a month ago I became vegan: I would like to know from you if you know the title of some useful book to solve GERD and that it is suitable for someone like me who is vegan. 
Thank you in advance</t>
        </is>
      </c>
      <c r="D10561" t="n">
        <v>1</v>
      </c>
      <c r="E10561" t="n">
        <v>2</v>
      </c>
      <c r="F10561">
        <f>HYPERLINK("https://www.reddit.com/r/GERD/comments/ii9txm/books_about_gerd_and_vegan_diet/")</f>
        <v/>
      </c>
      <c r="G10561" t="inlineStr">
        <is>
          <t>2020-08-28 09:05:10</t>
        </is>
      </c>
      <c r="H10561" t="inlineStr"/>
    </row>
    <row r="10562">
      <c r="A10562" t="inlineStr">
        <is>
          <t>ii9yga</t>
        </is>
      </c>
      <c r="B10562" t="inlineStr">
        <is>
          <t>Does anyone know what this sensation is called??</t>
        </is>
      </c>
      <c r="C10562" t="inlineStr">
        <is>
          <t>So I’ve been struggling to find the term for my least favorite symptom of what I assume is GERD. In addition to fun things like having acid/burning in the back of my mouth, feeling like my throat is tight/closing, etc. I’ve been experiencing what I can only describe as constant pressure and occasional constrictions in my lower esophagus/LES. Whenever I try googling it, I end up with results that don’t fit my symptoms
The constrictions are the worst part, and usually are more likely to occur when I’m lying down on my left side. You know that rumbling feeling you get in your esophagus when you burp? That feeling just sometimes...happens. It’s like my esophagus is vibrating. It’s also pretty loud - my partner can hear it when he’s in bed with me. It’s a weird gurgling sound that’s hard to describe. Usually rolling over on my right side or laying on my back or stomach resolves it, but I still feel the weird pressure like it really WANTS to keep doing it, but just can’t anymore. The weird thing is that it’s not painful at all - just extremely uncomfortable
I haven’t seen a doctor for anything related to GERD, and I want to have a better way to describe what’s going on with me (if there even is a term for it) before I go. So, does anyone else experience this? If so, do you know what it’s called?</t>
        </is>
      </c>
      <c r="D10562" t="n">
        <v>1</v>
      </c>
      <c r="E10562" t="n">
        <v>20</v>
      </c>
      <c r="F10562">
        <f>HYPERLINK("https://www.reddit.com/r/GERD/comments/ii9yga/does_anyone_know_what_this_sensation_is_called/")</f>
        <v/>
      </c>
      <c r="G10562" t="inlineStr">
        <is>
          <t>2020-08-28 09:11:36</t>
        </is>
      </c>
      <c r="H10562" t="inlineStr"/>
    </row>
    <row r="10563">
      <c r="A10563" t="inlineStr">
        <is>
          <t>iid16g</t>
        </is>
      </c>
      <c r="B10563" t="inlineStr">
        <is>
          <t>Racing heart after eating</t>
        </is>
      </c>
      <c r="C10563" t="inlineStr">
        <is>
          <t>Does anyone else experience rapid heart rate and/or dizziness 30-45 minutes after eating? I’m terrified this is a heart problem.
I’ve been to the doctor 12 times in 2 months, multiple EKGs, X-rays, ans bloodwork. Everyone tells me my heart is fine but I’m terrified they’ve missed something. My latest doctor visit resulted in a GERD diagnosis but can GERD cause all of these issues?
*middle diaphragm pain
*pain under left rib 
*racing heart 80-100
*lightheadedness 
*throat spasms 
*shaking
*weird full feeling 
*tight chest 
I’m 30/f with my only risk factors being overweight (down 15 pounds so far) and semi high blood pressure. I do have GAD and OCD. Just super scared my heart is struggling and the doctors have missed it.</t>
        </is>
      </c>
      <c r="D10563" t="n">
        <v>1</v>
      </c>
      <c r="E10563" t="n">
        <v>4</v>
      </c>
      <c r="F10563">
        <f>HYPERLINK("https://www.reddit.com/r/GERD/comments/iid16g/racing_heart_after_eating/")</f>
        <v/>
      </c>
      <c r="G10563" t="inlineStr">
        <is>
          <t>2020-08-28 11:52:40</t>
        </is>
      </c>
      <c r="H10563" t="inlineStr"/>
    </row>
    <row r="10564">
      <c r="A10564" t="inlineStr">
        <is>
          <t>iid1p6</t>
        </is>
      </c>
      <c r="B10564" t="inlineStr">
        <is>
          <t>Anyone else feel short of breath ?</t>
        </is>
      </c>
      <c r="C10564" t="inlineStr">
        <is>
          <t>Whenever I eat and especially if acidic meal, I feel short of breath almost as food is reaching stomach or digesting. It’s really uncomfortable pressure and then I have Loud burping and belching.</t>
        </is>
      </c>
      <c r="D10564" t="n">
        <v>1</v>
      </c>
      <c r="E10564" t="n">
        <v>2</v>
      </c>
      <c r="F10564">
        <f>HYPERLINK("https://www.reddit.com/r/GERD/comments/iid1p6/anyone_else_feel_short_of_breath/")</f>
        <v/>
      </c>
      <c r="G10564" t="inlineStr">
        <is>
          <t>2020-08-28 11:53:26</t>
        </is>
      </c>
      <c r="H10564" t="inlineStr"/>
    </row>
    <row r="10565">
      <c r="A10565" t="inlineStr">
        <is>
          <t>iie257</t>
        </is>
      </c>
      <c r="B10565" t="inlineStr">
        <is>
          <t>Chronic soar throat</t>
        </is>
      </c>
      <c r="C10565" t="inlineStr">
        <is>
          <t>Hi All, my throat has been soar since March 2020. The first self-diagnosis was GERD. BTW, I did a biopsy in January 2020, nothing was found. I've tried everything - anti-acid anti-stress medications, acidic food elimination, fasting, nothing helps. Knowing that I've tried acid-suppressants, and they have not helped a bit, is the soar throat really acid reflux related?
Is anyone aware of any microorganisms that might be colonizing my throat?</t>
        </is>
      </c>
      <c r="D10565" t="n">
        <v>1</v>
      </c>
      <c r="E10565" t="n">
        <v>10</v>
      </c>
      <c r="F10565">
        <f>HYPERLINK("https://www.reddit.com/r/GERD/comments/iie257/chronic_soar_throat/")</f>
        <v/>
      </c>
      <c r="G10565" t="inlineStr">
        <is>
          <t>2020-08-28 12:46:32</t>
        </is>
      </c>
      <c r="H10565" t="inlineStr"/>
    </row>
    <row r="10566">
      <c r="A10566" t="inlineStr">
        <is>
          <t>iieq71</t>
        </is>
      </c>
      <c r="B10566" t="inlineStr">
        <is>
          <t>Is it normal to feel mild chest inflammation/soreness following an endoscopy with biopsies?</t>
        </is>
      </c>
      <c r="C10566" t="inlineStr">
        <is>
          <t>Has my first upper endoscopy a couple days ago. They took a bunch of biopsies from various parts.
The day after I was so tired and had a headache, though I'm not sure if that's just from the nervousness of going to get an endoscopy. Later in that day, and for the rest of that day, I felt burning/inflammation in the vertical middle esophagus- area of my chest, like heartburn.
Today the burning is still there, but now is accompanied by a mild soreness feeling.
Is this normal? Is it just the biopsies?  
Since this is my first endoscopy I keep thinking "what ifs" like what if they poked a hole somewhere, though I read that is rare.
Just want to know if anyone else felt chest weirdness/heartburn following an endoscopy with biopsies.</t>
        </is>
      </c>
      <c r="D10566" t="n">
        <v>1</v>
      </c>
      <c r="E10566" t="n">
        <v>3</v>
      </c>
      <c r="F10566">
        <f>HYPERLINK("https://www.reddit.com/r/GERD/comments/iieq71/is_it_normal_to_feel_mild_chest/")</f>
        <v/>
      </c>
      <c r="G10566" t="inlineStr">
        <is>
          <t>2020-08-28 13:22:20</t>
        </is>
      </c>
      <c r="H10566" t="inlineStr"/>
    </row>
    <row r="10567">
      <c r="A10567" t="inlineStr">
        <is>
          <t>iiib72</t>
        </is>
      </c>
      <c r="B10567" t="inlineStr">
        <is>
          <t>Ouch!</t>
        </is>
      </c>
      <c r="C10567" t="inlineStr">
        <is>
          <t>Hey guys I haven’t really had GERD in a long time since taking my PPI and having quite a clean diet but lately I’ve really gone a bit crazy and not been eating the best/drinking water and now I keep having really bitter waterbrash and my mouth and throat feel horrible! 
Is there anything I can do to get rid of it or should I just ride the wave?
Obviously I’m doing the usual taking PPIs and trying to be better with my eating etc</t>
        </is>
      </c>
      <c r="D10567" t="n">
        <v>1</v>
      </c>
      <c r="E10567" t="n">
        <v>28</v>
      </c>
      <c r="F10567">
        <f>HYPERLINK("https://www.reddit.com/r/GERD/comments/iiib72/ouch/")</f>
        <v/>
      </c>
      <c r="G10567" t="inlineStr">
        <is>
          <t>2020-08-28 16:48:11</t>
        </is>
      </c>
      <c r="H10567" t="inlineStr"/>
    </row>
    <row r="10568">
      <c r="A10568" t="inlineStr">
        <is>
          <t>iiihym</t>
        </is>
      </c>
      <c r="B10568" t="inlineStr">
        <is>
          <t>Do NOT eat spicy food.</t>
        </is>
      </c>
      <c r="C10568" t="inlineStr">
        <is>
          <t>I'm sitting on the toilet in PAIN. shit...</t>
        </is>
      </c>
      <c r="D10568" t="n">
        <v>1</v>
      </c>
      <c r="E10568" t="n">
        <v>16</v>
      </c>
      <c r="F10568">
        <f>HYPERLINK("https://www.reddit.com/r/GERD/comments/iiihym/do_not_eat_spicy_food/")</f>
        <v/>
      </c>
      <c r="G10568" t="inlineStr">
        <is>
          <t>2020-08-28 17:00:16</t>
        </is>
      </c>
      <c r="H10568" t="inlineStr"/>
    </row>
    <row r="10569">
      <c r="A10569" t="inlineStr">
        <is>
          <t>iiiysi</t>
        </is>
      </c>
      <c r="B10569" t="inlineStr">
        <is>
          <t>Tachycardia After Drinking</t>
        </is>
      </c>
      <c r="C10569" t="inlineStr">
        <is>
          <t>I started taking pantoprazole last Sept due to GERD. I've noticed after I drink a few alcoholic drinks my heart rate increases a couple of hours after my last drink. Just curious if anyone has had this issue after starting PPI's. I know tachycardia can also be caused by dehydration, but I drink a LOT of water after my last drink and some while I'm drinking and this still happens.
I had an EGD this week after having several weeks of severe reflux/sore throat. Everything was good so I've stopped the PPI. I actually feel better and haven't had any issues after stopping it. I've been off of it since Monday. I guess I'll see what happens next time I drink, but wanted to put this out there and see if there may be others who've had the same experience.</t>
        </is>
      </c>
      <c r="D10569" t="n">
        <v>1</v>
      </c>
      <c r="E10569" t="n">
        <v>4</v>
      </c>
      <c r="F10569">
        <f>HYPERLINK("https://www.reddit.com/r/GERD/comments/iiiysi/tachycardia_after_drinking/")</f>
        <v/>
      </c>
      <c r="G10569" t="inlineStr">
        <is>
          <t>2020-08-28 17:31:07</t>
        </is>
      </c>
      <c r="H10569" t="inlineStr"/>
    </row>
    <row r="10570">
      <c r="A10570" t="inlineStr">
        <is>
          <t>iijp7n</t>
        </is>
      </c>
      <c r="B10570" t="inlineStr">
        <is>
          <t>White or Wheat Bread?</t>
        </is>
      </c>
      <c r="C10570" t="inlineStr">
        <is>
          <t>I’m not sure which flour is best to consume since I’ve seen some people claim you should stick to white flour while others claim you should stick to wheat flour for acid reflux. Then I’ve seen some claim that wheat is fine, but whole grain and multi-grain isn’t. I’m trying to heal my gastritis so I would like to know the truth. Or does the kind of flour depend on the person’s stomach?</t>
        </is>
      </c>
      <c r="D10570" t="n">
        <v>1</v>
      </c>
      <c r="E10570" t="n">
        <v>4</v>
      </c>
      <c r="F10570">
        <f>HYPERLINK("https://www.reddit.com/r/GERD/comments/iijp7n/white_or_wheat_bread/")</f>
        <v/>
      </c>
      <c r="G10570" t="inlineStr">
        <is>
          <t>2020-08-28 18:21:27</t>
        </is>
      </c>
      <c r="H10570" t="inlineStr"/>
    </row>
    <row r="10571">
      <c r="A10571" t="inlineStr">
        <is>
          <t>iijqc3</t>
        </is>
      </c>
      <c r="B10571" t="inlineStr">
        <is>
          <t>Treats that you can handle?</t>
        </is>
      </c>
      <c r="C10571" t="inlineStr">
        <is>
          <t>Does anyone have a quilt pleasure that their gerd/LPR can actually tolerate? 
Mine is cookie dough ice cream cake from dairy queen ONLY!</t>
        </is>
      </c>
      <c r="D10571" t="n">
        <v>1</v>
      </c>
      <c r="E10571" t="n">
        <v>12</v>
      </c>
      <c r="F10571">
        <f>HYPERLINK("https://www.reddit.com/r/GERD/comments/iijqc3/treats_that_you_can_handle/")</f>
        <v/>
      </c>
      <c r="G10571" t="inlineStr">
        <is>
          <t>2020-08-28 18:23:37</t>
        </is>
      </c>
      <c r="H10571" t="inlineStr"/>
    </row>
    <row r="10572">
      <c r="A10572" t="inlineStr">
        <is>
          <t>iijzw0</t>
        </is>
      </c>
      <c r="B10572" t="inlineStr">
        <is>
          <t>Esophagitis</t>
        </is>
      </c>
      <c r="C10572" t="inlineStr">
        <is>
          <t>Hi guys, I am new to this community and wanted to ask for help. So long story short I used to have stomach ulcers/Grade A esophagitis a couple of years ago. After taking omeprazole 40mg twice a day for 3 months, the stomach ulcers went away and the esophagitis was still there but nothing hurt so I stopped taking the omeprazole. Now, my esophagitis flared up again and I started self-medicating with omeprazole. I have a few questions:  Is it okay to mix omeprazole with omeprazole delayed release (or is it the same thing?) I was using my omeprazole that my doctor prescribed me but its 3 months expired, does it still work the same??? I also got an endoscopy with a biopsy yesterday and have been having THE WORST inflammation pains to the point where I wanna cry. My doctor also prescribed me dexilant bc he claims that its a newer version of omeprazole but after reading all the scary reviews (like heart palpitations for instance and insomnia/anxiety) I honestly don't wanna risk it because I already went to the ER for all of those things before. My stomach's also making gurgling noises all month and I don't know what to do to make it stop. It's been a month and I still feel pain. Is that normal? Does anyone have any recommendations/advice, specifically on healthier ways to make the pain stop? I would really really appreciate it :(</t>
        </is>
      </c>
      <c r="D10572" t="n">
        <v>1</v>
      </c>
      <c r="E10572" t="n">
        <v>2</v>
      </c>
      <c r="F10572">
        <f>HYPERLINK("https://www.reddit.com/r/GERD/comments/iijzw0/esophagitis/")</f>
        <v/>
      </c>
      <c r="G10572" t="inlineStr">
        <is>
          <t>2020-08-28 18:42:11</t>
        </is>
      </c>
      <c r="H10572" t="inlineStr"/>
    </row>
    <row r="10573">
      <c r="A10573" t="inlineStr">
        <is>
          <t>iikiyb</t>
        </is>
      </c>
      <c r="B10573" t="inlineStr">
        <is>
          <t>Dont know what to do</t>
        </is>
      </c>
      <c r="C10573" t="inlineStr">
        <is>
          <t>I had an endoscopy done, only Acid Reflux was found. My main symptoms are when eating high fat foods, I get bloating and hard time breathing. I also find that drinking red wine with a fatty meal or any meal, improves my symptoms and digestion a ton. But I know I cannot just drink red wine with every single meal. What is a good alternative? I tried HCL before with seemingly no results, but I took them before meals. Should I take it after? Also should I join an Acid reflux subreddit? Or is this sub relevant enough?</t>
        </is>
      </c>
      <c r="D10573" t="n">
        <v>1</v>
      </c>
      <c r="E10573" t="n">
        <v>6</v>
      </c>
      <c r="F10573">
        <f>HYPERLINK("https://www.reddit.com/r/GERD/comments/iikiyb/dont_know_what_to_do/")</f>
        <v/>
      </c>
      <c r="G10573" t="inlineStr">
        <is>
          <t>2020-08-28 19:18:58</t>
        </is>
      </c>
      <c r="H10573" t="inlineStr"/>
    </row>
    <row r="10574">
      <c r="A10574" t="inlineStr">
        <is>
          <t>iikr93</t>
        </is>
      </c>
      <c r="B10574" t="inlineStr">
        <is>
          <t>Cant sleep on my left side. Wonder if it's from my GERD or what.</t>
        </is>
      </c>
      <c r="C10574" t="inlineStr">
        <is>
          <t>I was wondering if any other GERD sufferers cant sleep on their left side? The pressure just makes me feel so uncomfortable. I do tend to get muscle spasms as well but am used to them by now.</t>
        </is>
      </c>
      <c r="D10574" t="n">
        <v>1</v>
      </c>
      <c r="E10574" t="n">
        <v>7</v>
      </c>
      <c r="F10574">
        <f>HYPERLINK("https://www.reddit.com/r/GERD/comments/iikr93/cant_sleep_on_my_left_side_wonder_if_its_from_my/")</f>
        <v/>
      </c>
      <c r="G10574" t="inlineStr">
        <is>
          <t>2020-08-28 19:34:41</t>
        </is>
      </c>
      <c r="H10574" t="inlineStr"/>
    </row>
    <row r="10575">
      <c r="A10575" t="inlineStr">
        <is>
          <t>iimp0n</t>
        </is>
      </c>
      <c r="B10575" t="inlineStr">
        <is>
          <t>Whyyyy!!!</t>
        </is>
      </c>
      <c r="C10575" t="inlineStr">
        <is>
          <t>Okay so....wtf. does anyone experience food feeling like it gets stuck in your chest/esophagus before your stomach? Then getting extremely full because of it and sometimes having to vomit up the "stuck" food? This happens every couple weeks, is intolerable then I eat liquid/soft for a week, then work back up to actual food slowly, and it happens eventually again. Is this GERD? globus? Achalasia?! 
Ugh. So frustrated. 
Thank you 😢</t>
        </is>
      </c>
      <c r="D10575" t="n">
        <v>1</v>
      </c>
      <c r="E10575" t="n">
        <v>2</v>
      </c>
      <c r="F10575">
        <f>HYPERLINK("https://www.reddit.com/r/GERD/comments/iimp0n/whyyyy/")</f>
        <v/>
      </c>
      <c r="G10575" t="inlineStr">
        <is>
          <t>2020-08-28 21:58:50</t>
        </is>
      </c>
      <c r="H10575" t="inlineStr"/>
    </row>
    <row r="10576">
      <c r="A10576" t="inlineStr">
        <is>
          <t>iimw94</t>
        </is>
      </c>
      <c r="B10576" t="inlineStr">
        <is>
          <t>Anyone tried probiotics ?</t>
        </is>
      </c>
      <c r="C10576" t="inlineStr">
        <is>
          <t>Has anyone tried probiotics to manage reflux and did it work ?</t>
        </is>
      </c>
      <c r="D10576" t="n">
        <v>1</v>
      </c>
      <c r="E10576" t="n">
        <v>9</v>
      </c>
      <c r="F10576">
        <f>HYPERLINK("https://www.reddit.com/r/GERD/comments/iimw94/anyone_tried_probiotics/")</f>
        <v/>
      </c>
      <c r="G10576" t="inlineStr">
        <is>
          <t>2020-08-28 22:15:23</t>
        </is>
      </c>
      <c r="H10576" t="inlineStr"/>
    </row>
    <row r="10577">
      <c r="A10577" t="inlineStr">
        <is>
          <t>iiotqe</t>
        </is>
      </c>
      <c r="B10577" t="inlineStr">
        <is>
          <t>L-theanine</t>
        </is>
      </c>
      <c r="C10577" t="inlineStr">
        <is>
          <t>Has anybody tried L-theanine? Does it help with mood and stress?</t>
        </is>
      </c>
      <c r="D10577" t="n">
        <v>1</v>
      </c>
      <c r="E10577" t="n">
        <v>9</v>
      </c>
      <c r="F10577">
        <f>HYPERLINK("https://www.reddit.com/r/GERD/comments/iiotqe/ltheanine/")</f>
        <v/>
      </c>
      <c r="G10577" t="inlineStr">
        <is>
          <t>2020-08-29 01:09:13</t>
        </is>
      </c>
      <c r="H10577" t="inlineStr"/>
    </row>
    <row r="10578">
      <c r="A10578" t="inlineStr">
        <is>
          <t>iiox0x</t>
        </is>
      </c>
      <c r="B10578" t="inlineStr">
        <is>
          <t>GERD is unraveling my health anxiety. TIPS?</t>
        </is>
      </c>
      <c r="C10578" t="inlineStr">
        <is>
          <t>I have worked really hard on my health anxiety these past few months and I feel like I finally got to a good place to where I can handle any panic attacks, but this is getting ridiculous. My GERD has been acting up so bad lately that my anxiety is through the roof.
Just now, I woke up (lying on a wedge pillow) and was completely relaxed only to feel my acid reflux and nausea and my heart rate shoot up. We’re all good now anxiety wise, but nausea is still through the roof.
I workout, do yoga, and meditate.
Does anyone have any other tips aside from lying on a wedge pillow, not eating a few hours before bed, and relaxing techniques? I’d like to be able to sleep through the night without being hit by GERD. It’s been a week now.</t>
        </is>
      </c>
      <c r="D10578" t="n">
        <v>1</v>
      </c>
      <c r="E10578" t="n">
        <v>17</v>
      </c>
      <c r="F10578">
        <f>HYPERLINK("https://www.reddit.com/r/GERD/comments/iiox0x/gerd_is_unraveling_my_health_anxiety_tips/")</f>
        <v/>
      </c>
      <c r="G10578" t="inlineStr">
        <is>
          <t>2020-08-29 01:18:41</t>
        </is>
      </c>
      <c r="H10578" t="inlineStr"/>
    </row>
    <row r="10579">
      <c r="A10579" t="inlineStr">
        <is>
          <t>iip17x</t>
        </is>
      </c>
      <c r="B10579" t="inlineStr">
        <is>
          <t>Should I see a doctor?</t>
        </is>
      </c>
      <c r="C10579" t="inlineStr">
        <is>
          <t>So I recently started experiencing excessive belching and i don’t have or feel any heartburn. However I do get here and there cheat pain and abdominal pain but it’s not severe pain. I have been watching what I eat and am sticking to fruits veggies and things with little to no fat. Sometimes when I do burp it does create a I’m not sure how to describe it but kind of a slight burn feeling at the bottom of my throat where it connects to the rest of my body. I’m 23 years old and I am actually frightened. This causes my anxiety to go through the roof whereas I’m worried about growing up if I never get into building good habits and get out of that kid like behavior. My mom is helping me stick to things I should eat because she says I need to clean my body of whatever junk I have in there. Little story I went to the ER because I was experiencing an abdominal pain where they suspected appendicitis and it turned out there was just a ton of gas built up so they recommended miralax and to drink that. They did a ct scan. Could that have potentially turned into acid reflux? Idk I’m hurting with not knowing if I’ll be okay or not</t>
        </is>
      </c>
      <c r="D10579" t="n">
        <v>1</v>
      </c>
      <c r="E10579" t="n">
        <v>29</v>
      </c>
      <c r="F10579">
        <f>HYPERLINK("https://www.reddit.com/r/GERD/comments/iip17x/should_i_see_a_doctor/")</f>
        <v/>
      </c>
      <c r="G10579" t="inlineStr">
        <is>
          <t>2020-08-29 01:30:34</t>
        </is>
      </c>
      <c r="H10579" t="inlineStr"/>
    </row>
    <row r="10580">
      <c r="A10580" t="inlineStr">
        <is>
          <t>iipl3r</t>
        </is>
      </c>
      <c r="B10580" t="inlineStr">
        <is>
          <t>Anyone else get weird croaking in their chest/throat when they breathe sometimes</t>
        </is>
      </c>
      <c r="C10580" t="inlineStr">
        <is>
          <t>when my acid reflux acts up sometimes my throat will make ungodly noises and idk why, anyone else get this??</t>
        </is>
      </c>
      <c r="D10580" t="n">
        <v>1</v>
      </c>
      <c r="E10580" t="n">
        <v>2</v>
      </c>
      <c r="F10580">
        <f>HYPERLINK("https://www.reddit.com/r/GERD/comments/iipl3r/anyone_else_get_weird_croaking_in_their/")</f>
        <v/>
      </c>
      <c r="G10580" t="inlineStr">
        <is>
          <t>2020-08-29 02:24:08</t>
        </is>
      </c>
      <c r="H10580" t="inlineStr"/>
    </row>
    <row r="10581">
      <c r="A10581" t="inlineStr">
        <is>
          <t>iisa0n</t>
        </is>
      </c>
      <c r="B10581" t="inlineStr">
        <is>
          <t>Can gerd lead to colon cancer? Are they related?</t>
        </is>
      </c>
      <c r="C10581" t="inlineStr">
        <is>
          <t>Just curious</t>
        </is>
      </c>
      <c r="D10581" t="n">
        <v>1</v>
      </c>
      <c r="E10581" t="n">
        <v>3</v>
      </c>
      <c r="F10581">
        <f>HYPERLINK("https://www.reddit.com/r/GERD/comments/iisa0n/can_gerd_lead_to_colon_cancer_are_they_related/")</f>
        <v/>
      </c>
      <c r="G10581" t="inlineStr">
        <is>
          <t>2020-08-29 06:21:29</t>
        </is>
      </c>
      <c r="H10581" t="inlineStr"/>
    </row>
    <row r="10582">
      <c r="A10582" t="inlineStr">
        <is>
          <t>iisepp</t>
        </is>
      </c>
      <c r="B10582" t="inlineStr">
        <is>
          <t>Does anyone have gerd and IBS symptoms?</t>
        </is>
      </c>
      <c r="C10582" t="inlineStr">
        <is>
          <t>Since I’ve gotten gerd I’ve also had vowel issues and wondering if they are related</t>
        </is>
      </c>
      <c r="D10582" t="n">
        <v>1</v>
      </c>
      <c r="E10582" t="n">
        <v>23</v>
      </c>
      <c r="F10582">
        <f>HYPERLINK("https://www.reddit.com/r/GERD/comments/iisepp/does_anyone_have_gerd_and_ibs_symptoms/")</f>
        <v/>
      </c>
      <c r="G10582" t="inlineStr">
        <is>
          <t>2020-08-29 06:30:39</t>
        </is>
      </c>
      <c r="H10582" t="inlineStr"/>
    </row>
    <row r="10583">
      <c r="A10583" t="inlineStr">
        <is>
          <t>iislrw</t>
        </is>
      </c>
      <c r="B10583" t="inlineStr">
        <is>
          <t>Chronic Gastritis</t>
        </is>
      </c>
      <c r="C10583" t="inlineStr">
        <is>
          <t>Hello Everyone. I have a rating of 20 percent for GERD since 2013 but have been denied 3 times for an increase. I have been seeing a private doctor since 2013 and just pulled my medical records. I realize now that the VA never pulled my records. I had a endoscopy in 2013 that identified chronic gastritis. GERD and Chronic Gastritis give me major problems today. I will submit a Supplemental Claim for GERD with new documents. Now how can I claim Chronic Gastritis?  I don’t think it is in my SMR.  Background on me. I am a Combat Vet that was in SWA. So my question is can I claim for presumptive or secondary to a condition I have? Maybe I can’t at all. Please give me the best advice you have.</t>
        </is>
      </c>
      <c r="D10583" t="n">
        <v>1</v>
      </c>
      <c r="E10583" t="n">
        <v>0</v>
      </c>
      <c r="F10583">
        <f>HYPERLINK("https://www.reddit.com/r/GERD/comments/iislrw/chronic_gastritis/")</f>
        <v/>
      </c>
      <c r="G10583" t="inlineStr">
        <is>
          <t>2020-08-29 06:44:14</t>
        </is>
      </c>
      <c r="H10583" t="inlineStr"/>
    </row>
    <row r="10584">
      <c r="A10584" t="inlineStr">
        <is>
          <t>iitrsk</t>
        </is>
      </c>
      <c r="B10584" t="inlineStr">
        <is>
          <t>No food triggers</t>
        </is>
      </c>
      <c r="C10584" t="inlineStr">
        <is>
          <t>I’ve been experiencing what I’m pretty sure is GERD for around 4 years, with medication not helping much. Its become very bad within the last year. I don’t seem to have any foods that increase or decrease my heartburn, reflux and loss of appetite. I can eat the hottest curry and drink a decent amount of alcohol with no changes to my symptoms. It makes it really unpredictable how I’m going to feel on a given day and I feel as if I don’t have any control. Can anyone relate?</t>
        </is>
      </c>
      <c r="D10584" t="n">
        <v>1</v>
      </c>
      <c r="E10584" t="n">
        <v>1</v>
      </c>
      <c r="F10584">
        <f>HYPERLINK("https://www.reddit.com/r/GERD/comments/iitrsk/no_food_triggers/")</f>
        <v/>
      </c>
      <c r="G10584" t="inlineStr">
        <is>
          <t>2020-08-29 07:59:34</t>
        </is>
      </c>
      <c r="H10584" t="inlineStr"/>
    </row>
    <row r="10585">
      <c r="A10585" t="inlineStr">
        <is>
          <t>iityvs</t>
        </is>
      </c>
      <c r="B10585" t="inlineStr">
        <is>
          <t>Things that loosen up the LES</t>
        </is>
      </c>
      <c r="C10585" t="inlineStr">
        <is>
          <t>When sites list thing that are said to relax/loosen up LES, is it temporary or permanent damage? Like if I want to let it loose every now and then with some alcohol do I only have to suffer for a few days or does it get looser and looser each time I drink? I couldn't find an answer to this anywhere so I'm wondering if someone has asked their doctor or something.</t>
        </is>
      </c>
      <c r="D10585" t="n">
        <v>1</v>
      </c>
      <c r="E10585" t="n">
        <v>15</v>
      </c>
      <c r="F10585">
        <f>HYPERLINK("https://www.reddit.com/r/GERD/comments/iityvs/things_that_loosen_up_the_les/")</f>
        <v/>
      </c>
      <c r="G10585" t="inlineStr">
        <is>
          <t>2020-08-29 08:10:43</t>
        </is>
      </c>
      <c r="H10585" t="inlineStr"/>
    </row>
    <row r="10586">
      <c r="A10586" t="inlineStr">
        <is>
          <t>iiv03y</t>
        </is>
      </c>
      <c r="B10586" t="inlineStr">
        <is>
          <t>Big Mistake</t>
        </is>
      </c>
      <c r="C10586" t="inlineStr">
        <is>
          <t>So I am an idiot ( in more ways than one) and stopped my PPI after reading about the terrible side effects. Stopped, as in, no weaning. I didnt take it for a week, felt like crap, and have been back on it for 6 days. I have constant acid now and nothing helps. Am I doomed?</t>
        </is>
      </c>
      <c r="D10586" t="n">
        <v>1</v>
      </c>
      <c r="E10586" t="n">
        <v>1</v>
      </c>
      <c r="F10586">
        <f>HYPERLINK("https://www.reddit.com/r/GERD/comments/iiv03y/big_mistake/")</f>
        <v/>
      </c>
      <c r="G10586" t="inlineStr">
        <is>
          <t>2020-08-29 09:08:51</t>
        </is>
      </c>
      <c r="H10586" t="inlineStr"/>
    </row>
    <row r="10587">
      <c r="A10587" t="inlineStr">
        <is>
          <t>iivo53</t>
        </is>
      </c>
      <c r="B10587" t="inlineStr">
        <is>
          <t>Is it extra concerning that my shortness of breath gets worse upon exertion?</t>
        </is>
      </c>
      <c r="C10587" t="inlineStr">
        <is>
          <t>I’m short of breath a lot, but my shortness of breath becomes very bad upon even minimal exertion. Is this super concerning or just a typical GERD symptom?</t>
        </is>
      </c>
      <c r="D10587" t="n">
        <v>1</v>
      </c>
      <c r="E10587" t="n">
        <v>12</v>
      </c>
      <c r="F10587">
        <f>HYPERLINK("https://www.reddit.com/r/GERD/comments/iivo53/is_it_extra_concerning_that_my_shortness_of/")</f>
        <v/>
      </c>
      <c r="G10587" t="inlineStr">
        <is>
          <t>2020-08-29 09:47:33</t>
        </is>
      </c>
      <c r="H10587" t="inlineStr"/>
    </row>
    <row r="10588">
      <c r="A10588" t="inlineStr">
        <is>
          <t>iiwqkw</t>
        </is>
      </c>
      <c r="B10588" t="inlineStr">
        <is>
          <t>Burping a lot and H Pylori positive, but GI recommends not treating it for now</t>
        </is>
      </c>
      <c r="C10588" t="inlineStr">
        <is>
          <t>Almost two months ago, I had a pretty big flare-up and ended up getting an endoscopy done. It showed mild gastritis, along with a grade A esophagitis caused by acid reflux. My doctor put me on Nexium 40mg (esomeprazole), and my symptoms seem to be getting better: my appetite is coming back, nausea and occasional heartburn are gone, I can even eat stuff like pizza or chocolate in small quantities without any issues.
Right now my only symptom is constantly burping, which is something I struggled with a little bit even before the flare-up. Nothing I can do seems to have an impact on the constant belching - I can wake up in the morning with my stomach empty and start burping, even drinking a glass of water seems to trigger it sometimes. It's usually worse after meals, if I eat a normal dose of food at dinner I'll be burping at the very least for the next two hours. Most of the time it's just slightly annoying and doesn't bother me too much, but it can be pretty stressful when it feels like there's food coming up with the burps, not to mention this has been going on for months with no signs of getting better. I find myself not eating as much as I would like to because of the belching, which sucks because I'm currently quite a bit underweight and need to put on weight. My doctor seems to think it has something to do with anxiety, which might be true since it gets better if I'm relaxed and worse if I'm stressed, but it's never fully gone. I can be completely relaxed watching a movie with friends and I'll be burping here and there even without thinking about it. I've tried taking multiple medications, including simethicone and other OTC stuff for burping, have tried teas, and nothing seems to make a notable difference.
However, recently the biopsy results for the endoscopy came back, and it turns out I am H Pylori positive. My doctor reassured me that it's something a lot of people have and most of the time it doesn't cause any issues, and seemed to believe that in my case, it wasn't the main cause of my problems and treating it could possibly make things worse. Honestly, the H Pylori treatment seems like torture to me since I have a bit of an anxiety problem with swallowing pills, to the point where if I have to take a medium to large sized tablet after a meal, I'll be stressed out while eating just thinking about that. Having to take like 10 pills a day is really going to mess me up psychologically, not to mention the other side effects of the treatment. Since my only symptom is pretty much the belching and everything else seems to be getting better just with the PPI, my doctor recommended I just continue taking it for another month to complete the two month treatment.
So what do you think? Could the burping be caused by H Pylori? I really have no idea what's causing it and what can I do to stop it. It's weird how all of my other symptoms are gone or significantly better, but the constant burping just won't go away. Has anyone else suffered from something similar? Could it really be caused by anxiety, or that "swallowing air" thing I hear people talk about? I've never had any sort of clinical depression or anxiety issues, and this had actually been one of the least stressful years for me prior to the flare-up in July (ironically), so I don't think one day I just decided to wake up and start subconsciously swallowing air out of nowhere, especially when I have never had any issues with burping all my life.</t>
        </is>
      </c>
      <c r="D10588" t="n">
        <v>1</v>
      </c>
      <c r="E10588" t="n">
        <v>4</v>
      </c>
      <c r="F10588">
        <f>HYPERLINK("https://www.reddit.com/r/GERD/comments/iiwqkw/burping_a_lot_and_h_pylori_positive_but_gi/")</f>
        <v/>
      </c>
      <c r="G10588" t="inlineStr">
        <is>
          <t>2020-08-29 10:46:17</t>
        </is>
      </c>
      <c r="H10588" t="inlineStr"/>
    </row>
    <row r="10589">
      <c r="A10589" t="inlineStr">
        <is>
          <t>iix56l</t>
        </is>
      </c>
      <c r="B10589" t="inlineStr">
        <is>
          <t>Drowsiness</t>
        </is>
      </c>
      <c r="C10589" t="inlineStr">
        <is>
          <t>Am I the only one that feels drowsy all day? Its really frustrating and that's the only one symptom that keeps me from being productive. Should I take OTC meds? I take pantaprazole once a day for my Gerd and my symptoms haven't improved that much.</t>
        </is>
      </c>
      <c r="D10589" t="n">
        <v>1</v>
      </c>
      <c r="E10589" t="n">
        <v>2</v>
      </c>
      <c r="F10589">
        <f>HYPERLINK("https://www.reddit.com/r/GERD/comments/iix56l/drowsiness/")</f>
        <v/>
      </c>
      <c r="G10589" t="inlineStr">
        <is>
          <t>2020-08-29 11:08:27</t>
        </is>
      </c>
      <c r="H10589" t="inlineStr"/>
    </row>
    <row r="10590">
      <c r="A10590" t="inlineStr">
        <is>
          <t>iiygrv</t>
        </is>
      </c>
      <c r="B10590" t="inlineStr">
        <is>
          <t>2 weeks off PPI after extended use, feeling really hopeless. GERD controls my life.</t>
        </is>
      </c>
      <c r="C10590" t="inlineStr">
        <is>
          <t>Long time GERD sufferer going on 10 years. I was on PPIs on and off until about 2 weeks ago. The lowest possible dose, gives me lowest stomach acid. So low to the point I can’t digest and the food I eat ferments in my stomach and gives me heart burn anyway.
Two weeks ago I went from 10mg Omeprozole to 400mg of Tagamet twice a day. 
Fixed my digestion issues but horrible breakthrough acid all day. I’m talking every hour. There seems to be no happy medium here. GERD has consumed the last ten years of my life. I’ve seen 4 different GI doctors, all of them just say take PPIs if you can. I’ve had every test except PH monitoring. Can’t even look into surgery right now because I have no insurance . I feel destined to die of esophageal or stomach cancer at this point. Fucked.</t>
        </is>
      </c>
      <c r="D10590" t="n">
        <v>1</v>
      </c>
      <c r="E10590" t="n">
        <v>22</v>
      </c>
      <c r="F10590">
        <f>HYPERLINK("https://www.reddit.com/r/GERD/comments/iiygrv/2_weeks_off_ppi_after_extended_use_feeling_really/")</f>
        <v/>
      </c>
      <c r="G10590" t="inlineStr">
        <is>
          <t>2020-08-29 12:23:06</t>
        </is>
      </c>
      <c r="H10590" t="inlineStr"/>
    </row>
    <row r="10591">
      <c r="A10591" t="inlineStr">
        <is>
          <t>iiyln3</t>
        </is>
      </c>
      <c r="B10591" t="inlineStr">
        <is>
          <t>Waking up coughing?</t>
        </is>
      </c>
      <c r="C10591" t="inlineStr">
        <is>
          <t>Occasionally I’ve woken up coughing b/c I’m choking on acid that’s coming back up. I’ve gotten my GERD to a much more manageable state where I rarely get heartburn anymore, but this has started happening, where it didn’t before. I sleep elevated, &amp;amp; this doesn’t happen everyday. I’m just wondering if this happens to anyone else :/ I’m hoping that this is just a stage of getting better, &amp;amp; it’ll go away as I get it more under control.</t>
        </is>
      </c>
      <c r="D10591" t="n">
        <v>1</v>
      </c>
      <c r="E10591" t="n">
        <v>2</v>
      </c>
      <c r="F10591">
        <f>HYPERLINK("https://www.reddit.com/r/GERD/comments/iiyln3/waking_up_coughing/")</f>
        <v/>
      </c>
      <c r="G10591" t="inlineStr">
        <is>
          <t>2020-08-29 12:31:01</t>
        </is>
      </c>
      <c r="H10591" t="inlineStr"/>
    </row>
    <row r="10592">
      <c r="A10592" t="inlineStr">
        <is>
          <t>iiz9ua</t>
        </is>
      </c>
      <c r="B10592" t="inlineStr">
        <is>
          <t>New here, Brimming with Questions</t>
        </is>
      </c>
      <c r="C10592" t="inlineStr">
        <is>
          <t>Hi. I am very new here but I'm so glad I found this community.
I am 22, got diagnosed with GERD an year back. I have some questions, if anyone can answer even anything, please help a sister out!
1. Does anyone experience their heartbeat loud in their ears as soon as they lie down? For me it's so loud I wake up from sleeps or can't sleep at all. Additionally, any solutions to this?
2. What do y'all do to stop the burping? My burps are trigerred by water generally and usually at night before sleeping. 
Thanks guys. In advance.</t>
        </is>
      </c>
      <c r="D10592" t="n">
        <v>1</v>
      </c>
      <c r="E10592" t="n">
        <v>2</v>
      </c>
      <c r="F10592">
        <f>HYPERLINK("https://www.reddit.com/r/GERD/comments/iiz9ua/new_here_brimming_with_questions/")</f>
        <v/>
      </c>
      <c r="G10592" t="inlineStr">
        <is>
          <t>2020-08-29 13:10:17</t>
        </is>
      </c>
      <c r="H10592" t="inlineStr"/>
    </row>
    <row r="10593">
      <c r="A10593" t="inlineStr">
        <is>
          <t>iizkhl</t>
        </is>
      </c>
      <c r="B10593" t="inlineStr">
        <is>
          <t>Repeat endoscopy</t>
        </is>
      </c>
      <c r="C10593" t="inlineStr">
        <is>
          <t>Last year I had mh first gastroscopy after some years of on off casual reflux. I had LA grade 1 esophagitis and did a 2 week treatment with Pantoprazole and some tampering at the end.
Ever since I was very careful with my diet but most importantly I made a life change which really reduced my stress.
Recently I contacted my doctor to ask if a follow up would be needed and he said yes to see if the inflammation is gone.
Ever since I got rebound reflux and I strongly associate it with stress.
I think I'm stressed for the process and a little bit about the results. I get occasional Gerd if I don't pay attention to my diet.
What helps :
Melatonin
BIANACID https://www.apodiscounter.de/neobianacid-lutschtabletten-698g-pzn-11173206?pgrp=C&amp;amp;extProvId=5&amp;amp;extPu=30583-gaw&amp;amp;extLi=10754896549&amp;amp;extCr=108075381562-455464020163&amp;amp;extSi=&amp;amp;extTg=&amp;amp;keyword=&amp;amp;extAP=&amp;amp;extMT=
Occasional 20mg pantoprazole
No alcohol
My next gastroscopy is Tuesday.</t>
        </is>
      </c>
      <c r="D10593" t="n">
        <v>1</v>
      </c>
      <c r="E10593" t="n">
        <v>1</v>
      </c>
      <c r="F10593">
        <f>HYPERLINK("https://www.reddit.com/r/GERD/comments/iizkhl/repeat_endoscopy/")</f>
        <v/>
      </c>
      <c r="G10593" t="inlineStr">
        <is>
          <t>2020-08-29 13:28:13</t>
        </is>
      </c>
      <c r="H10593" t="inlineStr"/>
    </row>
    <row r="10594">
      <c r="A10594" t="inlineStr">
        <is>
          <t>ij0c3h</t>
        </is>
      </c>
      <c r="B10594" t="inlineStr">
        <is>
          <t>Tips to get better!</t>
        </is>
      </c>
      <c r="C10594" t="inlineStr">
        <is>
          <t>1. Always always drink warm water.
2. Eat small portion.
3. Do some light exercise in the morning, dont drink water immediately , do some exercise first.
4. Avoid canned foods, spicy foods, too salty foods, sweet snacks.
5. Eat a lot of veggies.
6. After having a meal do some 30minute walk! slow or normal pace.  "**walking** helps speed up the time it takes food to move from the stomach into the small intestines " and after that rest in couch or something.
7. Eat some potassium fruits like banana.
8. Oatmeal + soymilk for morning and dinner.
9. Always get a plenty of sleeps, dont stay up late!.
10. Switch to Olive oil.
i no longer take medicines and im feeling better ! no more bloating , heart palpitations, heavy breathing, no more tightness in throat etc. (im not good at english sorry.)</t>
        </is>
      </c>
      <c r="D10594" t="n">
        <v>1</v>
      </c>
      <c r="E10594" t="n">
        <v>24</v>
      </c>
      <c r="F10594">
        <f>HYPERLINK("https://www.reddit.com/r/GERD/comments/ij0c3h/tips_to_get_better/")</f>
        <v/>
      </c>
      <c r="G10594" t="inlineStr">
        <is>
          <t>2020-08-29 14:13:38</t>
        </is>
      </c>
      <c r="H10594" t="inlineStr"/>
    </row>
    <row r="10595">
      <c r="A10595" t="inlineStr">
        <is>
          <t>ij29tr</t>
        </is>
      </c>
      <c r="B10595" t="inlineStr">
        <is>
          <t>Looking for help on LPR diet? Any suggestions/ideas of meals and snacks?</t>
        </is>
      </c>
      <c r="C10595" t="inlineStr">
        <is>
          <t>I've suffered with reflux for a long time but I have never tried to change my diet.  Any help is appreciated!</t>
        </is>
      </c>
      <c r="D10595" t="n">
        <v>1</v>
      </c>
      <c r="E10595" t="n">
        <v>0</v>
      </c>
      <c r="F10595">
        <f>HYPERLINK("https://www.reddit.com/r/GERD/comments/ij29tr/looking_for_help_on_lpr_diet_any_suggestionsideas/")</f>
        <v/>
      </c>
      <c r="G10595" t="inlineStr">
        <is>
          <t>2020-08-29 16:10:55</t>
        </is>
      </c>
      <c r="H10595" t="inlineStr"/>
    </row>
    <row r="10596">
      <c r="A10596" t="inlineStr">
        <is>
          <t>ij2a41</t>
        </is>
      </c>
      <c r="B10596" t="inlineStr">
        <is>
          <t>Sore chest bone and white tongue</t>
        </is>
      </c>
      <c r="C10596" t="inlineStr">
        <is>
          <t>First time poster here, although been a lurker for the longest time.
My story is very similar to some of yours, multiple trips to the ER but they tell me my heart is fine. Also been seen by a cardiologist and he's given me the green light.
Two of the symptoms that bother me the most is that my chest bone feels sore, even to the touch. Also my tongue turned white, even though my dental hygiene is excellent. 
Anyhow, just wondering if anyone knew or experienced these specific two symptoms as part of your GERD story. Seeing a GI next week but very anxious right now since the soreness in my chest is very much active right now.</t>
        </is>
      </c>
      <c r="D10596" t="n">
        <v>1</v>
      </c>
      <c r="E10596" t="n">
        <v>2</v>
      </c>
      <c r="F10596">
        <f>HYPERLINK("https://www.reddit.com/r/GERD/comments/ij2a41/sore_chest_bone_and_white_tongue/")</f>
        <v/>
      </c>
      <c r="G10596" t="inlineStr">
        <is>
          <t>2020-08-29 16:11:24</t>
        </is>
      </c>
      <c r="H10596" t="inlineStr"/>
    </row>
    <row r="10597">
      <c r="A10597" t="inlineStr">
        <is>
          <t>ij2tiq</t>
        </is>
      </c>
      <c r="B10597" t="inlineStr">
        <is>
          <t>Can gerd cause gastroparesis? Or gastroparesis is the cause of gerd?</t>
        </is>
      </c>
      <c r="C10597" t="inlineStr">
        <is>
          <t>Any opiniom on this issue ?</t>
        </is>
      </c>
      <c r="D10597" t="n">
        <v>1</v>
      </c>
      <c r="E10597" t="n">
        <v>1</v>
      </c>
      <c r="F10597">
        <f>HYPERLINK("https://www.reddit.com/r/GERD/comments/ij2tiq/can_gerd_cause_gastroparesis_or_gastroparesis_is/")</f>
        <v/>
      </c>
      <c r="G10597" t="inlineStr">
        <is>
          <t>2020-08-29 16:46:12</t>
        </is>
      </c>
      <c r="H10597" t="inlineStr"/>
    </row>
    <row r="10598">
      <c r="A10598" t="inlineStr">
        <is>
          <t>ij3gub</t>
        </is>
      </c>
      <c r="B10598" t="inlineStr">
        <is>
          <t>How to survive bravo test without throwing up and crazy nausea?</t>
        </is>
      </c>
      <c r="C10598" t="inlineStr">
        <is>
          <t>Have a bravo test next month and I’m SO afraid of what I’ll feel like. The test is much overdue, GERD for 13 years have had multiple upper endoscopy’s and barium swallows (reflux with small sliding hiatal hernia). It wasn’t until I took matters into my own hands to research surgical options in Boston and came across a doctor who ordered this test to see if I should get surgery or not. I’m excited I’m getting answers but I’m TERRIFIED of not being able to take my h2 blocker or mylanta. I have to add I have anxiety and especially when I get nauseous it’s out of control, I have a thing against puke. Any suggestions or tips on getting through the test? Thanks!</t>
        </is>
      </c>
      <c r="D10598" t="n">
        <v>1</v>
      </c>
      <c r="E10598" t="n">
        <v>5</v>
      </c>
      <c r="F10598">
        <f>HYPERLINK("https://www.reddit.com/r/GERD/comments/ij3gub/how_to_survive_bravo_test_without_throwing_up_and/")</f>
        <v/>
      </c>
      <c r="G10598" t="inlineStr">
        <is>
          <t>2020-08-29 17:28:49</t>
        </is>
      </c>
      <c r="H10598" t="inlineStr"/>
    </row>
    <row r="10599">
      <c r="A10599" t="inlineStr">
        <is>
          <t>ij3p2c</t>
        </is>
      </c>
      <c r="B10599" t="inlineStr">
        <is>
          <t>Random pressure/heat at bottom of esophagus with nausea</t>
        </is>
      </c>
      <c r="C10599" t="inlineStr">
        <is>
          <t>I have this thing that happens almost every night where randomly I’ll feel like a heat sensation at the bottom of my esophagus and the feeling of something trying to come up accompanied by intense nausea for a few seconds and then it goes away. I’ve been on omeprazole 20mg for about a month now and it’s still happening. Anyone know what this is and how to stop it? I absolutely hate it because it can happen at any moment and so I’m in constant fear of it happening.</t>
        </is>
      </c>
      <c r="D10599" t="n">
        <v>1</v>
      </c>
      <c r="E10599" t="n">
        <v>1</v>
      </c>
      <c r="F10599">
        <f>HYPERLINK("https://www.reddit.com/r/GERD/comments/ij3p2c/random_pressureheat_at_bottom_of_esophagus_with/")</f>
        <v/>
      </c>
      <c r="G10599" t="inlineStr">
        <is>
          <t>2020-08-29 17:44:26</t>
        </is>
      </c>
      <c r="H10599" t="inlineStr"/>
    </row>
    <row r="10600">
      <c r="A10600" t="inlineStr">
        <is>
          <t>ij41m3</t>
        </is>
      </c>
      <c r="B10600" t="inlineStr">
        <is>
          <t>Sharp chest pains</t>
        </is>
      </c>
      <c r="C10600" t="inlineStr">
        <is>
          <t>Does anyone else get sharp chest pains near their heart? I had an ekg done and a chest xray but my heart looks fine. Everyday I get sharp or mild chest pains on my left side of my chest. Usually get mild pain on the right side as well.</t>
        </is>
      </c>
      <c r="D10600" t="n">
        <v>1</v>
      </c>
      <c r="E10600" t="n">
        <v>14</v>
      </c>
      <c r="F10600">
        <f>HYPERLINK("https://www.reddit.com/r/GERD/comments/ij41m3/sharp_chest_pains/")</f>
        <v/>
      </c>
      <c r="G10600" t="inlineStr">
        <is>
          <t>2020-08-29 18:08:49</t>
        </is>
      </c>
      <c r="H10600" t="inlineStr"/>
    </row>
    <row r="10601">
      <c r="A10601" t="inlineStr">
        <is>
          <t>ij459m</t>
        </is>
      </c>
      <c r="B10601" t="inlineStr">
        <is>
          <t>Trachea pain</t>
        </is>
      </c>
      <c r="C10601" t="inlineStr">
        <is>
          <t>So, I've been on a GERD friendly diet. I just gave birth and my husband has been helping bring me food while I heal. Mistakenly, he brought some noodles that have a mild amount of tomato in the sauce. Ever since, when I burp, my trachea hurts.
I felt good this morning, but I just ate some hot soup and started burping again. The soup was GERD friendly and everything I ate yesterday after the noodle was as well. My dinner was literally rice noodles, tofu, carrot, daikon radish, and mushrooms - all boiled, nothing added.
I am eating a lot more as I am breastfeeding one baby and pumping for a second. Maybe this is making me more sensitive.
I'm wondering if anyone has had trachea pain with GERD. This is the first time for me and I'm freaking out that my GERD has gotten worse despite a strict diet. If it persists, I will go see the doctor. Am I being paranoid and this is normal for GERD?</t>
        </is>
      </c>
      <c r="D10601" t="n">
        <v>1</v>
      </c>
      <c r="E10601" t="n">
        <v>1</v>
      </c>
      <c r="F10601">
        <f>HYPERLINK("https://www.reddit.com/r/GERD/comments/ij459m/trachea_pain/")</f>
        <v/>
      </c>
      <c r="G10601" t="inlineStr">
        <is>
          <t>2020-08-29 18:15:57</t>
        </is>
      </c>
      <c r="H10601" t="inlineStr"/>
    </row>
    <row r="10602">
      <c r="A10602" t="inlineStr">
        <is>
          <t>ij498a</t>
        </is>
      </c>
      <c r="B10602" t="inlineStr">
        <is>
          <t>Medicines</t>
        </is>
      </c>
      <c r="C10602" t="inlineStr">
        <is>
          <t>Just wondering what you guys are taking 
I'm currently on pantapropazole 20mg down from 50mg
Bloating and acid gone way down 
Just need to stay away from the triggers , chocolate,  coffee, cola , potatoes, confectionery, spices , sauces , grains, certain fruits ,
And vegetables anything processed ,
Dairy, ice cream etc etc etc 
It's so much fun guys 😂</t>
        </is>
      </c>
      <c r="D10602" t="n">
        <v>1</v>
      </c>
      <c r="E10602" t="n">
        <v>9</v>
      </c>
      <c r="F10602">
        <f>HYPERLINK("https://www.reddit.com/r/GERD/comments/ij498a/medicines/")</f>
        <v/>
      </c>
      <c r="G10602" t="inlineStr">
        <is>
          <t>2020-08-29 18:23:39</t>
        </is>
      </c>
      <c r="H10602" t="inlineStr"/>
    </row>
    <row r="10603">
      <c r="A10603" t="inlineStr">
        <is>
          <t>ij50q8</t>
        </is>
      </c>
      <c r="B10603" t="inlineStr">
        <is>
          <t>LPR is fucking with my weight. (M18)</t>
        </is>
      </c>
      <c r="C10603" t="inlineStr">
        <is>
          <t>(Sorry for the rant.)
I've been having this problem right when I got colon removed. It's been 7 months and been slowly going on the diet for 5 months. Before I was 94 pounds at the hospital. Once I left and started eating, when up to 112 pounds. Then I started to cough like a bitch and went on a diet (not so serious one). My cough was still bad and slowly started losing weight again because I couldn't eat that many foods. I've been more on the real diet for 3 months now, the cough is still there but it's better, but now I'm at 104 pounds. Like what the fuck, I can't do anything! If I started eating more, my cough would get worse. If I go on the diet, I lose weight. I feel like I'm absolutely fucked right now, why do I have a body where I don't gain weight?! It's too goddamn perfect!!! I should of just died of blood loss from my colon, and I was SO close too! I get disappointed just thinking about it. FUCK!!! Maybe I'll get lung cancer from this and die, or die from weight loss, so there's no way out no matter what. That's comforting at least.</t>
        </is>
      </c>
      <c r="D10603" t="n">
        <v>1</v>
      </c>
      <c r="E10603" t="n">
        <v>1</v>
      </c>
      <c r="F10603">
        <f>HYPERLINK("https://www.reddit.com/r/GERD/comments/ij50q8/lpr_is_fucking_with_my_weight_m18/")</f>
        <v/>
      </c>
      <c r="G10603" t="inlineStr">
        <is>
          <t>2020-08-29 19:19:13</t>
        </is>
      </c>
      <c r="H10603" t="inlineStr"/>
    </row>
    <row r="10604">
      <c r="A10604" t="inlineStr">
        <is>
          <t>ij56n4</t>
        </is>
      </c>
      <c r="B10604" t="inlineStr">
        <is>
          <t>Experience with Pepcid?</t>
        </is>
      </c>
      <c r="C10604" t="inlineStr">
        <is>
          <t>My doctor said to help with my nausea, I should take pepcid with my omeprazole. Well she’s not the GI Doctor, she is his PA. 
I took it today and it doesn’t seem to have any greater affect than omeprazole does on me. 
I read some negative reviews on those who have taken Pepcid and I was curious if anyone here could shed some light on what to expect on Pepcid? Were there heart palpitations and if so, how long after you took it? If it worked for you, would love to see that experience as well.</t>
        </is>
      </c>
      <c r="D10604" t="n">
        <v>1</v>
      </c>
      <c r="E10604" t="n">
        <v>3</v>
      </c>
      <c r="F10604">
        <f>HYPERLINK("https://www.reddit.com/r/GERD/comments/ij56n4/experience_with_pepcid/")</f>
        <v/>
      </c>
      <c r="G10604" t="inlineStr">
        <is>
          <t>2020-08-29 19:31:08</t>
        </is>
      </c>
      <c r="H10604" t="inlineStr"/>
    </row>
    <row r="10605">
      <c r="A10605" t="inlineStr">
        <is>
          <t>ij5p2p</t>
        </is>
      </c>
      <c r="B10605" t="inlineStr">
        <is>
          <t>Any tips for the permanently sore throat?</t>
        </is>
      </c>
      <c r="C10605" t="inlineStr">
        <is>
          <t>This is legit driving me insane, 4 months+ so far of treatments, and micromanaging my food and not a single minute of a single day where my throat doesn't hurt and no sign of improvement either, it's hella triggering anxiety and has me stressed all the time which in turn probably makes the gerd/lpr whatever it actually is situation worse. At this point I am starting to convince myself I'll have a sore throat for the rest of my life. 
Does anyone have tips for relief for the sore throat itself? I try chamomille/other digestive teas, warm water salt gargles but seems to do next to nothing.</t>
        </is>
      </c>
      <c r="D10605" t="n">
        <v>1</v>
      </c>
      <c r="E10605" t="n">
        <v>23</v>
      </c>
      <c r="F10605">
        <f>HYPERLINK("https://www.reddit.com/r/GERD/comments/ij5p2p/any_tips_for_the_permanently_sore_throat/")</f>
        <v/>
      </c>
      <c r="G10605" t="inlineStr">
        <is>
          <t>2020-08-29 20:07:09</t>
        </is>
      </c>
      <c r="H10605" t="inlineStr"/>
    </row>
    <row r="10606">
      <c r="A10606" t="inlineStr">
        <is>
          <t>ij60bt</t>
        </is>
      </c>
      <c r="B10606" t="inlineStr">
        <is>
          <t>May Have H-pylori Stomach Ulcer and no Health Insurance</t>
        </is>
      </c>
      <c r="C10606" t="inlineStr">
        <is>
          <t>Hello all,
&amp;amp;#x200B;
Background:
height:5'6"
Weight:125
Age: 26
I have had H-Pylori roughly two years ago and was prescribed pantoprazole, amoxicillin, and another antibiotic that I cannot remember. 
I have a good consistent diet: whole grains, some meat, egg whites, veggies. No soda, no coffee(though I love it), I only drink water. Additionally, I exercise frequently.
&amp;amp;#x200B;
Currently, I have been having pain in my abdominal, right below by heart. This pain has been occurring for the past couple of months, and it is reminiscent of my experience when I was diagnosed with H-pylori and GERD two years ago. I can't make any medical appointments since  I currently have no health insurance, and I'm unemployed due to the pandemic. What is your suggestion for what I should do? What would you do in this situation, or have you been in a similar situation?
&amp;amp;#x200B;
I have considered obtaining my old pharmaceutical record and then follow along with the instructed dosage. Though, this may be a stupid idea.</t>
        </is>
      </c>
      <c r="D10606" t="n">
        <v>1</v>
      </c>
      <c r="E10606" t="n">
        <v>2</v>
      </c>
      <c r="F10606">
        <f>HYPERLINK("https://www.reddit.com/r/GERD/comments/ij60bt/may_have_hpylori_stomach_ulcer_and_no_health/")</f>
        <v/>
      </c>
      <c r="G10606" t="inlineStr">
        <is>
          <t>2020-08-29 20:26:50</t>
        </is>
      </c>
      <c r="H10606" t="inlineStr"/>
    </row>
    <row r="10607">
      <c r="A10607" t="inlineStr">
        <is>
          <t>ij7nwx</t>
        </is>
      </c>
      <c r="B10607" t="inlineStr">
        <is>
          <t>Tastes of past foods?</t>
        </is>
      </c>
      <c r="C10607" t="inlineStr">
        <is>
          <t>Does anyone else get this I had days where out of nowhere where I taste a random food like last week it was chocolate ice cream that stuck in my mouth in the middle of the day and there was a day it was the past taste of pizza I take this as a sign that it's being cured slowly what do you think though</t>
        </is>
      </c>
      <c r="D10607" t="n">
        <v>1</v>
      </c>
      <c r="E10607" t="n">
        <v>0</v>
      </c>
      <c r="F10607">
        <f>HYPERLINK("https://www.reddit.com/r/GERD/comments/ij7nwx/tastes_of_past_foods/")</f>
        <v/>
      </c>
      <c r="G10607" t="inlineStr">
        <is>
          <t>2020-08-29 22:39:02</t>
        </is>
      </c>
      <c r="H10607" t="inlineStr"/>
    </row>
    <row r="10608">
      <c r="A10608" t="inlineStr">
        <is>
          <t>ij87c1</t>
        </is>
      </c>
      <c r="B10608" t="inlineStr">
        <is>
          <t>After 10 years of GERD, I got relief from eliminating cereal from my diet.</t>
        </is>
      </c>
      <c r="C10608" t="inlineStr">
        <is>
          <t>It's been a miserable 10 year struggle with GERD.  I wake up choking in the night. I have panic attacks from food stuck in my airway and my body dumping adrenaline in response. I haven't been able to exercise because I regurgitate my stomach contents. My diagnosis was GERD which caused low motility in my esophagus (barium swallow was done), and years of trying proton pump inhibitors and Famotidine and everything else just didn't work to alleviate my symptoms.
I've eaten cereal my entire life every morning, but I didn't think too much about it. Every day, I have a bowl of cereal and some other food, like an egg or avocado. I have almond or soy milks and only whole grain cereals. But last month, I forgot to buy cereal on a whim and I just made burritos instead. I noticed that I was able to exercise without reflux about a week after the diet change. So far, it's been 4 weeks, and my activity level is still increasing with no GERD symptoms. I almost want to cry at the change. It's been amazing.
I don't know if this will help anyone else, but I thought I'd share in case you were looking for anything to try. I don't know if this will hold or why cereal is a culprit or if it's dumb luck, but this is the longest in a decade I've gone without symptoms. I'm going to join a gym tomorrow for the first time in years. Good luck everyone :)</t>
        </is>
      </c>
      <c r="D10608" t="n">
        <v>1</v>
      </c>
      <c r="E10608" t="n">
        <v>26</v>
      </c>
      <c r="F10608">
        <f>HYPERLINK("https://www.reddit.com/r/GERD/comments/ij87c1/after_10_years_of_gerd_i_got_relief_from/")</f>
        <v/>
      </c>
      <c r="G10608" t="inlineStr">
        <is>
          <t>2020-08-29 23:27:52</t>
        </is>
      </c>
      <c r="H10608" t="inlineStr"/>
    </row>
    <row r="10609">
      <c r="A10609" t="inlineStr">
        <is>
          <t>ij8lnh</t>
        </is>
      </c>
      <c r="B10609" t="inlineStr">
        <is>
          <t>Another thing to help the community.</t>
        </is>
      </c>
      <c r="C10609" t="inlineStr">
        <is>
          <t>So recently I had a lump in my throat sensation and it felt like it was heading towards the top of my throat. Obviously it was annoying me more than ever. I started eating and then boom I sneezed then coughed and I coughed something small and white. I thought that that was phlegm nope two different things. It’s a tonsils Stone now I honestly never heard of it but coughed them up before. It could be what you guys are feeling that and if you swallow too much due to anxiety you can have that feeling. I’ve just seen a lot of people worried. Especially when it’s been weeks. It could be because you have that. Hope this help. Next time you have that sensation try to cough it up or gargle salt water see if it goes away.</t>
        </is>
      </c>
      <c r="D10609" t="n">
        <v>1</v>
      </c>
      <c r="E10609" t="n">
        <v>0</v>
      </c>
      <c r="F10609">
        <f>HYPERLINK("https://www.reddit.com/r/GERD/comments/ij8lnh/another_thing_to_help_the_community/")</f>
        <v/>
      </c>
      <c r="G10609" t="inlineStr">
        <is>
          <t>2020-08-30 00:03:50</t>
        </is>
      </c>
      <c r="H10609" t="inlineStr"/>
    </row>
    <row r="10610">
      <c r="A10610" t="inlineStr">
        <is>
          <t>ij9kjp</t>
        </is>
      </c>
      <c r="B10610" t="inlineStr">
        <is>
          <t>Do I have LPR? (M18)</t>
        </is>
      </c>
      <c r="C10610" t="inlineStr">
        <is>
          <t>I want to make this very short. My symptoms are Phlegmy throat, coughing fits, tickle in the throat, coughing while laying down and sometimes eating afterwards, that's it. I'm 104 pounds (which isn't good) if that helps with anything.</t>
        </is>
      </c>
      <c r="D10610" t="n">
        <v>1</v>
      </c>
      <c r="E10610" t="n">
        <v>0</v>
      </c>
      <c r="F10610">
        <f>HYPERLINK("https://www.reddit.com/r/GERD/comments/ij9kjp/do_i_have_lpr_m18/")</f>
        <v/>
      </c>
      <c r="G10610" t="inlineStr">
        <is>
          <t>2020-08-30 01:36:58</t>
        </is>
      </c>
      <c r="H10610" t="inlineStr"/>
    </row>
    <row r="10611">
      <c r="A10611" t="inlineStr">
        <is>
          <t>ij9m3s</t>
        </is>
      </c>
      <c r="B10611" t="inlineStr">
        <is>
          <t>What originally caused your acid reflux symptoms to get worse?</t>
        </is>
      </c>
      <c r="C10611" t="inlineStr">
        <is>
          <t>People who were originally able to just live a normal life with dietary changes and not having to take PPI but have later on started to get worse symptoms, what made your symptoms get permanently worse? How fast did the changes happen from when you first got diagnosed?
Also, are there people out there who used to only have throat burn but later on got heartburn added to the mix as well?</t>
        </is>
      </c>
      <c r="D10611" t="n">
        <v>1</v>
      </c>
      <c r="E10611" t="n">
        <v>9</v>
      </c>
      <c r="F10611">
        <f>HYPERLINK("https://www.reddit.com/r/GERD/comments/ij9m3s/what_originally_caused_your_acid_reflux_symptoms/")</f>
        <v/>
      </c>
      <c r="G10611" t="inlineStr">
        <is>
          <t>2020-08-30 01:41:07</t>
        </is>
      </c>
      <c r="H10611" t="inlineStr"/>
    </row>
    <row r="10612">
      <c r="A10612" t="inlineStr">
        <is>
          <t>ijadaj</t>
        </is>
      </c>
      <c r="B10612" t="inlineStr">
        <is>
          <t>Quitting Soda</t>
        </is>
      </c>
      <c r="C10612" t="inlineStr">
        <is>
          <t>Hi all,  
Long time sufferer of GERD/LPR here. I'm 24, gave up smoking 2 years ago, I'm 5 ft 8' and I'm around 70 kg so not overweight. I am also mildly asthmatic. I have had GERD on/off for the last five years or so, but recently I believe a flair up of GERD/IBS has occurred due to eating out a lot for dinner. I decided to quit fizzy drinks and refined sugar around 4 days ago, and for the last two nights I have woken up breathless and feeling quite anxious/shakey. What I would like to know is:  
(i) If I quit soda, am I likely to experience some form of rebound initially? I've read that soda is acidic and can reduce normal stomach acid levels... and that many types of GERD are founded in low stomach acid as opposed to high.  
(ii) If it does make a positive difference (quitting carbonated beverages), will it take more than a few days to see a difference?  
Thanks all.</t>
        </is>
      </c>
      <c r="D10612" t="n">
        <v>1</v>
      </c>
      <c r="E10612" t="n">
        <v>6</v>
      </c>
      <c r="F10612">
        <f>HYPERLINK("https://www.reddit.com/r/GERD/comments/ijadaj/quitting_soda/")</f>
        <v/>
      </c>
      <c r="G10612" t="inlineStr">
        <is>
          <t>2020-08-30 02:58:04</t>
        </is>
      </c>
      <c r="H10612" t="inlineStr"/>
    </row>
    <row r="10613">
      <c r="A10613" t="inlineStr">
        <is>
          <t>ijajz7</t>
        </is>
      </c>
      <c r="B10613" t="inlineStr">
        <is>
          <t>How long should I wait to eat solid foods after Esophagitis?</t>
        </is>
      </c>
      <c r="C10613" t="inlineStr">
        <is>
          <t>I've adopted a soft food diet the past 2 weeks and for the last few days I can finally feel it getting better and I've lost that choking sensation but I've almost developed a fear of solid foods now and I don't know when or if I should go back to eating them.</t>
        </is>
      </c>
      <c r="D10613" t="n">
        <v>1</v>
      </c>
      <c r="E10613" t="n">
        <v>3</v>
      </c>
      <c r="F10613">
        <f>HYPERLINK("https://www.reddit.com/r/GERD/comments/ijajz7/how_long_should_i_wait_to_eat_solid_foods_after/")</f>
        <v/>
      </c>
      <c r="G10613" t="inlineStr">
        <is>
          <t>2020-08-30 03:16:59</t>
        </is>
      </c>
      <c r="H10613" t="inlineStr"/>
    </row>
    <row r="10614">
      <c r="A10614" t="inlineStr">
        <is>
          <t>ijc9df</t>
        </is>
      </c>
      <c r="B10614" t="inlineStr">
        <is>
          <t>First endoscopy in two days - nervous!</t>
        </is>
      </c>
      <c r="C10614" t="inlineStr">
        <is>
          <t>Hey folks!
After four years of pain, I’ve finally been scheduled for an endoscopy and colonoscopy - originally in December, but it has now been moved to September, 1st. I’m currently on the pre-colonoscopy diet, and it’s making my GERD flare up like crazy.
I’m both excited and very nervous - per many of your suggestions, I will be getting the sedation, which already helps a bit. I wanted to know if any of you had any advice or stories - about the procedure itself, or even the aftermath, or what to eat after the endoscopy. I’d love to hear about your experiences, as they could hopefully ease my concerns!
Thank you so much and have a wonderful day!</t>
        </is>
      </c>
      <c r="D10614" t="n">
        <v>1</v>
      </c>
      <c r="E10614" t="n">
        <v>42</v>
      </c>
      <c r="F10614">
        <f>HYPERLINK("https://www.reddit.com/r/GERD/comments/ijc9df/first_endoscopy_in_two_days_nervous/")</f>
        <v/>
      </c>
      <c r="G10614" t="inlineStr">
        <is>
          <t>2020-08-30 05:56:38</t>
        </is>
      </c>
      <c r="H10614" t="inlineStr"/>
    </row>
    <row r="10615">
      <c r="A10615" t="inlineStr">
        <is>
          <t>ijcswv</t>
        </is>
      </c>
      <c r="B10615" t="inlineStr">
        <is>
          <t>Ace bandage for throat pain</t>
        </is>
      </c>
      <c r="C10615" t="inlineStr">
        <is>
          <t>Anyone else used an ace bandage around their throat to help with the throat pain? Theoretically it would reduce reflux into the airways. It seems to be helping me but idk if I'm doing something dumb...</t>
        </is>
      </c>
      <c r="D10615" t="n">
        <v>1</v>
      </c>
      <c r="E10615" t="n">
        <v>3</v>
      </c>
      <c r="F10615">
        <f>HYPERLINK("https://www.reddit.com/r/GERD/comments/ijcswv/ace_bandage_for_throat_pain/")</f>
        <v/>
      </c>
      <c r="G10615" t="inlineStr">
        <is>
          <t>2020-08-30 06:38:08</t>
        </is>
      </c>
      <c r="H10615" t="inlineStr"/>
    </row>
    <row r="10616">
      <c r="A10616" t="inlineStr">
        <is>
          <t>ijdanl</t>
        </is>
      </c>
      <c r="B10616" t="inlineStr">
        <is>
          <t>I was HEALED for two months but then it came back!</t>
        </is>
      </c>
      <c r="C10616" t="inlineStr">
        <is>
          <t>Hello!
So I find comfort in knowing I’m not the only one dealing with this stupid reflux although at the same time I don’t wish it on anybody. People don’t really understand how uncomfortable this is and they think you’re being dramatic but anyways! This all started back in March and I went to the ENT in April. My only symptom was a lump in throat feeling. I got prescribed Omeprazole and it did nothing. I went back in June and got a endoscopy. The doctor found that my vocal cords were swollen and I had a stuffy nose. He said it was LPR. By this time, I still had the lump in throat feeling 24/7 but now I was burping all the time. He didn’t give me anything to fix it so I told the doctor to double my dose. He was of no help. I started taking 40mg of Omeprazole an hour before breakfast and another 40 before bed. I was also taking two anti acids after every meal. I was eating normal like I was before GERD and didn’t make any changes besides the pills / anti acids. A little background, I’m not overweight, I don’t eat out all the time, mostly homemade food, I’m Mexican so spicy was common growing up and now but something that is a trigger is something I love, coffee. 
I had set up an appointment with a GERD specialist for a surgery because it was that uncomfortable but a few days after doubling the dose my GERD just went away so I canceled. It went away for two months and two weeks ago it came back.
This morning I had hot coffee and I threw up. So I’m done with that until further notice. My coffee bar will have cob webs.
:(
I did hear cold brew that you brew is less acidic so I’ll stick to a little bit of that. I had some yesterday that I brewed and had no GERD from that so I find this to be true. I can put the link of the cold brew carafe I use if you want it.
I’m determined to kick this things ass bc those two months were incredible lol I’ll keep you all updated. I’ll share my success story when it happens bc it’s hard to find those. Share with me what has worked for you or at least let’s go through this together.</t>
        </is>
      </c>
      <c r="D10616" t="n">
        <v>1</v>
      </c>
      <c r="E10616" t="n">
        <v>17</v>
      </c>
      <c r="F10616">
        <f>HYPERLINK("https://www.reddit.com/r/GERD/comments/ijdanl/i_was_healed_for_two_months_but_then_it_came_back/")</f>
        <v/>
      </c>
      <c r="G10616" t="inlineStr">
        <is>
          <t>2020-08-30 07:13:36</t>
        </is>
      </c>
      <c r="H10616" t="inlineStr"/>
    </row>
    <row r="10617">
      <c r="A10617" t="inlineStr">
        <is>
          <t>ijeuci</t>
        </is>
      </c>
      <c r="B10617" t="inlineStr">
        <is>
          <t>Why does a hiatus hernia / cause dehydration ?</t>
        </is>
      </c>
      <c r="C10617" t="inlineStr">
        <is>
          <t>Hi people, 
I have big problems staying hydrated . I've read a hiatus hernia can cause dehydration. Anyone know why ? And if there's anything I can do to help this ?
Thanks</t>
        </is>
      </c>
      <c r="D10617" t="n">
        <v>1</v>
      </c>
      <c r="E10617" t="n">
        <v>7</v>
      </c>
      <c r="F10617">
        <f>HYPERLINK("https://www.reddit.com/r/GERD/comments/ijeuci/why_does_a_hiatus_hernia_cause_dehydration/")</f>
        <v/>
      </c>
      <c r="G10617" t="inlineStr">
        <is>
          <t>2020-08-30 08:50:04</t>
        </is>
      </c>
      <c r="H10617" t="inlineStr"/>
    </row>
    <row r="10618">
      <c r="A10618" t="inlineStr">
        <is>
          <t>ijeujz</t>
        </is>
      </c>
      <c r="B10618" t="inlineStr">
        <is>
          <t>After Endoscopy and new ppi condition gotten a lot worse</t>
        </is>
      </c>
      <c r="C10618" t="inlineStr">
        <is>
          <t>Hi , 
I feel lump in throat when i swallow, lots of mucus in throat, hard time talking sometimes and most of all I have breathing issue (most of the time in middle of sleep in the morning). maybe one or two episodes a week
Was put on esomeprazole 20mg, 30minutes before breakfast.
Still had an episode after eating junk food three days prior. 
Then I completely changed my diet. Cut off anything below ph 5. No sugar, no sauce. My breathing problem was completely gone for 2 weeks + 
Until I did an endoscopy and the doctor gave me pantoprazole 40mg, twice a day.
First day taking it was fine throughout the day, then next morning woke up with breathing issue, had to use ventolin, same with the following two days. I cant really get back to sleep though. Have stomach pain on the left side, also feel discomfort and feel like puking after eating.
The endoscopy result is: "the LES appeared to be somewhat patulous on retroflexion" "everything is normal" "removed a 5mm polyps at cardia"
Today I decided to switch back to esomeprazole 20mg. 
&amp;amp;#x200B;
Did the endoscopy or the new med caused this? I feel so miserable, cant sleep. I got everything under control before the endoscopy and switching to that new medicine. At least I could sleep and didnt have breathing issue.</t>
        </is>
      </c>
      <c r="D10618" t="n">
        <v>1</v>
      </c>
      <c r="E10618" t="n">
        <v>13</v>
      </c>
      <c r="F10618">
        <f>HYPERLINK("https://www.reddit.com/r/GERD/comments/ijeujz/after_endoscopy_and_new_ppi_condition_gotten_a/")</f>
        <v/>
      </c>
      <c r="G10618" t="inlineStr">
        <is>
          <t>2020-08-30 08:50:23</t>
        </is>
      </c>
      <c r="H10618" t="inlineStr"/>
    </row>
    <row r="10619">
      <c r="A10619" t="inlineStr">
        <is>
          <t>ijgcy1</t>
        </is>
      </c>
      <c r="B10619" t="inlineStr">
        <is>
          <t>My chest hurts when I cough</t>
        </is>
      </c>
      <c r="C10619" t="inlineStr">
        <is>
          <t>Recently I had strep throat and thought nothing of it but when I began to cough my chest begin to hurt really bad and whenever I try to take a deep breath my chest starts hurting. Am wondering could it be something related to GERD because I had GERD since March or is it something else? 
It's a struggle to not cough</t>
        </is>
      </c>
      <c r="D10619" t="n">
        <v>1</v>
      </c>
      <c r="E10619" t="n">
        <v>0</v>
      </c>
      <c r="F10619">
        <f>HYPERLINK("https://www.reddit.com/r/GERD/comments/ijgcy1/my_chest_hurts_when_i_cough/")</f>
        <v/>
      </c>
      <c r="G10619" t="inlineStr">
        <is>
          <t>2020-08-30 10:14:36</t>
        </is>
      </c>
      <c r="H10619" t="inlineStr"/>
    </row>
    <row r="10620">
      <c r="A10620" t="inlineStr">
        <is>
          <t>ijggoy</t>
        </is>
      </c>
      <c r="B10620" t="inlineStr">
        <is>
          <t>Constant burping even when I'm empty.</t>
        </is>
      </c>
      <c r="C10620" t="inlineStr">
        <is>
          <t>I'm having this problem from 3 years and visited the doctor recently he gave me medications and antacid and i was prescribed to drink antacid after each meal, i am not doing it though i am looking for lifestyle changes and i did it. I'm cooking my own food which has a good portion of green veggies and required protein, i change my grain (wheat,gram flour, millets) every meal so that i get more nutritions, along with that i have stopped drinking tea and stopped consuming salt (rock salt instead) though my symptoms are better than before but still these are uncomfortable. I do not feel anykind of heartburn i just feel that i have a constant urge of burping back to back and i burp , this is the only one thing i have faced.
If you guys can suggest me some more changes i could make to treat my symptoms then your help is much needed to me also i have some doubts.
1) Can I drink green tea ( i know caffeine is a trigger but it's the only good option i found)?
2)do i have to consume antacid after each meal?
3)Should i drink apple cider vinegar?</t>
        </is>
      </c>
      <c r="D10620" t="n">
        <v>1</v>
      </c>
      <c r="E10620" t="n">
        <v>7</v>
      </c>
      <c r="F10620">
        <f>HYPERLINK("https://www.reddit.com/r/GERD/comments/ijggoy/constant_burping_even_when_im_empty/")</f>
        <v/>
      </c>
      <c r="G10620" t="inlineStr">
        <is>
          <t>2020-08-30 10:20:37</t>
        </is>
      </c>
      <c r="H10620" t="inlineStr"/>
    </row>
    <row r="10621">
      <c r="A10621" t="inlineStr">
        <is>
          <t>ijgpti</t>
        </is>
      </c>
      <c r="B10621" t="inlineStr">
        <is>
          <t>Any experiences with Bianacid ?</t>
        </is>
      </c>
      <c r="C10621" t="inlineStr">
        <is>
          <t>Came across this all natural medicine from Europe to control Gerd. 
Reviews on Amazon suggests that it’s pretty good. Anyone here has any experiences to share ??</t>
        </is>
      </c>
      <c r="D10621" t="n">
        <v>1</v>
      </c>
      <c r="E10621" t="n">
        <v>8</v>
      </c>
      <c r="F10621">
        <f>HYPERLINK("https://www.reddit.com/r/GERD/comments/ijgpti/any_experiences_with_bianacid/")</f>
        <v/>
      </c>
      <c r="G10621" t="inlineStr">
        <is>
          <t>2020-08-30 10:34:33</t>
        </is>
      </c>
      <c r="H10621" t="inlineStr"/>
    </row>
    <row r="10622">
      <c r="A10622" t="inlineStr">
        <is>
          <t>ijh7uy</t>
        </is>
      </c>
      <c r="B10622" t="inlineStr">
        <is>
          <t>My experience as a skinny guy with acid reflux</t>
        </is>
      </c>
      <c r="C10622" t="inlineStr">
        <is>
          <t>I’m 5’9” 21 years old and currently 132 pounds but I used to be as low as 127 due to having to eat as little as 1700-1800 calories a day... this is the only way I’ve found to get relief. Also, it’s reccomended not to eat 3-4 hours before bed. Well for some reason, I need 5-6 hours or I get reflux in bed. The main problem has been preventing LPR while I’m sleeping and I wake up every morning with a sore/achy throat and it’s been really messing me up mentally too... 
I just wish I could gain weight. With my GERD, I found it doesn’t matter what i eat. It matters that I don’t eat too many calories/fat. I still can eat ice cream or chips as long as it’s a serving or less. They say not to eat tomatoes/avacados/fattening stuff but I do and get no reflux. But sometimes I say fuck it and test the waters by eating a whole bag of chips then proceed to visit digestive hell and have to pop tums like candy. 
I’ve been to my doctor a few times for this and there’s not much they can do really... put me on a PPI which gave me relief until I got off it and it came back. It then went away for like 2 months or so because I went on a very strict diet where I never eat more than a certain amount of calories and started exercising again. Thought I was healed... well, the cycle started over again. 
Anyone have a similar issue? I would be fine with this if I didn’t love food so much. Eating less would be fine but I’m a food lover and love fatty foods like chips, ice cream, meats, cheese, etc. but they all give me reflux if I eat more than a serving and who eats just a serving of these things? Lol. And it’s not that all my problems will be fixed if I just eat less. It’s that I don’t want to have to limit myself to such a small amount of calories a day because I don’t want to keep losing weight until I’m unhealthily skinny
Anyway, last thing I noticed is I have to cap my meals at 600 calories or else I risk reflux. Also, I usually have the reflux hit about exactly 2 hours after I eat a meal. I just wish there was some magical pill that fixed and healed it all forever.. for me, GERD came out of nowhere and has been one of the biggest things taking a toll on my mental health</t>
        </is>
      </c>
      <c r="D10622" t="n">
        <v>1</v>
      </c>
      <c r="E10622" t="n">
        <v>19</v>
      </c>
      <c r="F10622">
        <f>HYPERLINK("https://www.reddit.com/r/GERD/comments/ijh7uy/my_experience_as_a_skinny_guy_with_acid_reflux/")</f>
        <v/>
      </c>
      <c r="G10622" t="inlineStr">
        <is>
          <t>2020-08-30 11:02:26</t>
        </is>
      </c>
      <c r="H10622" t="inlineStr"/>
    </row>
    <row r="10623">
      <c r="A10623" t="inlineStr">
        <is>
          <t>ijin2t</t>
        </is>
      </c>
      <c r="B10623" t="inlineStr">
        <is>
          <t>Questions about prescription Prilosec (omeprazole)</t>
        </is>
      </c>
      <c r="C10623" t="inlineStr">
        <is>
          <t>I’m 27f and healthy. Two months ago my ENT prescribed me Prilosec because he was concerned with the amount of mucus in my throat and in a nasopharyngoscopy saw “signs of acid reflux”. I was also waking up with that feeling of choking. I’m on month two and the acid feels better, but for the last three weeks I’ve had INSANE gas. Like everything I eat has me burping and passing gas. I am a pretty healthy eater and eat a lot of fruits and veggies, nuts, whole grains. Sometimes I feel like I can’t even push my abs muscles for a bowel movement cause of all the gas. Is this level of gas normal? And has anyone been able to control their GERD through diet alone? I have to take a bunch of nasal sprays for allergies and I think that contributes to my acid reflux. Also in the past week I started getting a weird dry feeling on my tongue. Has anyone had this too?</t>
        </is>
      </c>
      <c r="D10623" t="n">
        <v>1</v>
      </c>
      <c r="E10623" t="n">
        <v>1</v>
      </c>
      <c r="F10623">
        <f>HYPERLINK("https://www.reddit.com/r/GERD/comments/ijin2t/questions_about_prescription_prilosec_omeprazole/")</f>
        <v/>
      </c>
      <c r="G10623" t="inlineStr">
        <is>
          <t>2020-08-30 12:21:01</t>
        </is>
      </c>
      <c r="H10623" t="inlineStr"/>
    </row>
    <row r="10624">
      <c r="A10624" t="inlineStr">
        <is>
          <t>ijj9t0</t>
        </is>
      </c>
      <c r="B10624" t="inlineStr">
        <is>
          <t>What can I eat?</t>
        </is>
      </c>
      <c r="C10624" t="inlineStr">
        <is>
          <t>I'm about to just give up and never eat again. I've had reflux/GERD as long as I can remember. IBS too. And 2 years ago I was tested negative for celiac (endoscopy) but last week had a positive blood test for celiac. I can't cut gluten until I see my GI doc this week.
But anyway. The reflux will not stop. I take pantoprazole 40mg every morning and 20mg famotidine 1-2x daily as needed. But there's so much heartburn. It had been under control until a week or two ago. I've had no IBS symptoms or other digestion issues. Just burning in my chest, hot feeling stomach, choking at night (despite sleeping raised), choking/vomiting if I bend over or lay flat. My stomach is so upset.
I've barely been eating for about a month now. Down 10lbs. I assumed it was my new psych meds. But everything I eat is making me sick now and I don't know what to do. White rice? Heartburn. Toast? Heartburn. Noodles? Heartburn. Soup? Heartburn. Nothing but water? Still heartburn.
What are some relatively safe foods I can try to get me through the week until I see my doctor?</t>
        </is>
      </c>
      <c r="D10624" t="n">
        <v>1</v>
      </c>
      <c r="E10624" t="n">
        <v>1</v>
      </c>
      <c r="F10624">
        <f>HYPERLINK("https://www.reddit.com/r/GERD/comments/ijj9t0/what_can_i_eat/")</f>
        <v/>
      </c>
      <c r="G10624" t="inlineStr">
        <is>
          <t>2020-08-30 12:55:46</t>
        </is>
      </c>
      <c r="H10624" t="inlineStr"/>
    </row>
    <row r="10625">
      <c r="A10625" t="inlineStr">
        <is>
          <t>ijji1u</t>
        </is>
      </c>
      <c r="B10625" t="inlineStr">
        <is>
          <t>Anyone get heartburn throughout or most the day?</t>
        </is>
      </c>
      <c r="C10625" t="inlineStr">
        <is>
          <t>Been having heartburn the last few days, commonly mostly all day. Also subtle pains around middle chest area. Tums don't seem to work.</t>
        </is>
      </c>
      <c r="D10625" t="n">
        <v>1</v>
      </c>
      <c r="E10625" t="n">
        <v>0</v>
      </c>
      <c r="F10625">
        <f>HYPERLINK("https://www.reddit.com/r/GERD/comments/ijji1u/anyone_get_heartburn_throughout_or_most_the_day/")</f>
        <v/>
      </c>
      <c r="G10625" t="inlineStr">
        <is>
          <t>2020-08-30 13:08:39</t>
        </is>
      </c>
      <c r="H10625" t="inlineStr"/>
    </row>
    <row r="10626">
      <c r="A10626" t="inlineStr">
        <is>
          <t>ijkhfx</t>
        </is>
      </c>
      <c r="B10626" t="inlineStr">
        <is>
          <t>Question about stool.</t>
        </is>
      </c>
      <c r="C10626" t="inlineStr">
        <is>
          <t>Does GERD cause stoop issues, or PPI’s? And also is yellow stool VERY noticeable or could it be mistaken for light brown? Doctors gave me PPI’s and said there’s nothing wrong but acid reflux (I’m not sure about that, never noticed it as an issue before two weeks ago) and now I’m on the lookout for new issues. Been having loose stools for about 2 weeks and it’s definitely not my normal dark brown, but can’t tell if it’s yellow. Has anyone had experience and able to say whether the difference is minimal or big?</t>
        </is>
      </c>
      <c r="D10626" t="n">
        <v>1</v>
      </c>
      <c r="E10626" t="n">
        <v>8</v>
      </c>
      <c r="F10626">
        <f>HYPERLINK("https://www.reddit.com/r/GERD/comments/ijkhfx/question_about_stool/")</f>
        <v/>
      </c>
      <c r="G10626" t="inlineStr">
        <is>
          <t>2020-08-30 14:03:11</t>
        </is>
      </c>
      <c r="H10626" t="inlineStr"/>
    </row>
    <row r="10627">
      <c r="A10627" t="inlineStr">
        <is>
          <t>ijl5ih</t>
        </is>
      </c>
      <c r="B10627" t="inlineStr">
        <is>
          <t>Anyone else stress that their gerd symptoms are heart problem related?</t>
        </is>
      </c>
      <c r="C10627" t="inlineStr">
        <is>
          <t>I frequenrky get a pain in my left chest, along with a fluttering sensation, almost like a twitching. I knows it's almost certainly GERD but each time it happens I stress it is a heart attac!</t>
        </is>
      </c>
      <c r="D10627" t="n">
        <v>1</v>
      </c>
      <c r="E10627" t="n">
        <v>51</v>
      </c>
      <c r="F10627">
        <f>HYPERLINK("https://www.reddit.com/r/GERD/comments/ijl5ih/anyone_else_stress_that_their_gerd_symptoms_are/")</f>
        <v/>
      </c>
      <c r="G10627" t="inlineStr">
        <is>
          <t>2020-08-30 14:38:48</t>
        </is>
      </c>
      <c r="H10627" t="inlineStr"/>
    </row>
    <row r="10628">
      <c r="A10628" t="inlineStr">
        <is>
          <t>ijlluu</t>
        </is>
      </c>
      <c r="B10628" t="inlineStr">
        <is>
          <t>Esophagus Rupture</t>
        </is>
      </c>
      <c r="C10628" t="inlineStr">
        <is>
          <t>Has anyone heard of esophagus rupture? I was down a rabbit hole of YouTube videos and this one came up? How commen is it with gerd?</t>
        </is>
      </c>
      <c r="D10628" t="n">
        <v>1</v>
      </c>
      <c r="E10628" t="n">
        <v>3</v>
      </c>
      <c r="F10628">
        <f>HYPERLINK("https://www.reddit.com/r/GERD/comments/ijlluu/esophagus_rupture/")</f>
        <v/>
      </c>
      <c r="G10628" t="inlineStr">
        <is>
          <t>2020-08-30 15:03:21</t>
        </is>
      </c>
      <c r="H10628" t="inlineStr"/>
    </row>
    <row r="10629">
      <c r="A10629" t="inlineStr">
        <is>
          <t>ijlnvd</t>
        </is>
      </c>
      <c r="B10629" t="inlineStr">
        <is>
          <t>Can minimal les tone lead to bloating and slight constipation?</t>
        </is>
      </c>
      <c r="C10629" t="inlineStr">
        <is>
          <t>I did my endoscopy last wednesday but im still dealing with bloating and some constipation. I didnt get my biopsy results yet but they told me i had "minimal les tone". Aside from that, my results were normal.</t>
        </is>
      </c>
      <c r="D10629" t="n">
        <v>1</v>
      </c>
      <c r="E10629" t="n">
        <v>0</v>
      </c>
      <c r="F10629">
        <f>HYPERLINK("https://www.reddit.com/r/GERD/comments/ijlnvd/can_minimal_les_tone_lead_to_bloating_and_slight/")</f>
        <v/>
      </c>
      <c r="G10629" t="inlineStr">
        <is>
          <t>2020-08-30 15:06:16</t>
        </is>
      </c>
      <c r="H10629" t="inlineStr"/>
    </row>
    <row r="10630">
      <c r="A10630" t="inlineStr">
        <is>
          <t>ijnzqz</t>
        </is>
      </c>
      <c r="B10630" t="inlineStr">
        <is>
          <t>Have PPI's ever actually healed anyone permanently?</t>
        </is>
      </c>
      <c r="C10630" t="inlineStr">
        <is>
          <t>Has anyone actually ever gone onto PPI's for a period of time, healed the damage, then come off of them cured? It seems like everyone ends up on them permanently.</t>
        </is>
      </c>
      <c r="D10630" t="n">
        <v>1</v>
      </c>
      <c r="E10630" t="n">
        <v>22</v>
      </c>
      <c r="F10630">
        <f>HYPERLINK("https://www.reddit.com/r/GERD/comments/ijnzqz/have_ppis_ever_actually_healed_anyone_permanently/")</f>
        <v/>
      </c>
      <c r="G10630" t="inlineStr">
        <is>
          <t>2020-08-30 17:30:16</t>
        </is>
      </c>
      <c r="H10630" t="inlineStr"/>
    </row>
    <row r="10631">
      <c r="A10631" t="inlineStr">
        <is>
          <t>ijo7vu</t>
        </is>
      </c>
      <c r="B10631" t="inlineStr">
        <is>
          <t>Discomfort on left side</t>
        </is>
      </c>
      <c r="C10631" t="inlineStr">
        <is>
          <t>Has anyone got any pain discomfort on the left side due to acid reflux? Last night i couldnt sleep and was uncomfortable first i woke up with a fast heart rate then i got this ache feeling under my left breast and it radiated to my shoulder and back my left side just felt heavy and weak and I immediately thought i was going to have a heart attack so i went to the hospital and they measured my heart and all that then did xrays of my chest and everything came back normal and told me to follow up with my dr 😭 has anyone ever felt this before.. i know it has to be something because im not just feeling this for no reason im just wondering if maybe gerd is the cause of this</t>
        </is>
      </c>
      <c r="D10631" t="n">
        <v>1</v>
      </c>
      <c r="E10631" t="n">
        <v>5</v>
      </c>
      <c r="F10631">
        <f>HYPERLINK("https://www.reddit.com/r/GERD/comments/ijo7vu/discomfort_on_left_side/")</f>
        <v/>
      </c>
      <c r="G10631" t="inlineStr">
        <is>
          <t>2020-08-30 17:44:17</t>
        </is>
      </c>
      <c r="H10631" t="inlineStr"/>
    </row>
    <row r="10632">
      <c r="A10632" t="inlineStr">
        <is>
          <t>ijol2t</t>
        </is>
      </c>
      <c r="B10632" t="inlineStr">
        <is>
          <t>Chest pain- heartburn or muscular?</t>
        </is>
      </c>
      <c r="C10632" t="inlineStr">
        <is>
          <t>I developed acid reflux at the beginning of March and it has been nonstop ever since. Lately I've been experiencing chest pain and it's random. It doesn't happen when I swallow, but just throughout the day. I have been sedentary so I don't know if it's GERD or my posture. 
My health anxiety tells me it's cancer of course, so I've been freaking out about that. I'm 23 now and have been smoking since I was 13. I really want to quit but it's soo difficult for me. I bought patches and took it off after an hour. :( I just want to feel normal again</t>
        </is>
      </c>
      <c r="D10632" t="n">
        <v>1</v>
      </c>
      <c r="E10632" t="n">
        <v>3</v>
      </c>
      <c r="F10632">
        <f>HYPERLINK("https://www.reddit.com/r/GERD/comments/ijol2t/chest_pain_heartburn_or_muscular/")</f>
        <v/>
      </c>
      <c r="G10632" t="inlineStr">
        <is>
          <t>2020-08-30 18:08:37</t>
        </is>
      </c>
      <c r="H10632" t="inlineStr"/>
    </row>
    <row r="10633">
      <c r="A10633" t="inlineStr">
        <is>
          <t>ijoxxo</t>
        </is>
      </c>
      <c r="B10633" t="inlineStr">
        <is>
          <t>GERD weight loss?</t>
        </is>
      </c>
      <c r="C10633" t="inlineStr">
        <is>
          <t>I’d say around mid June I had minor discomfort in my chest. Around the time I weighed around 166lbs(I’m 5’5). This discomfort caused me a bit of anxiety as it was such a strange discomfort I didn’t know what it was. Few weeks after that I started to have pretty bad heartburn and indigestion almost every day. I scheduled a GI appt, that I just had the 27th of August. She weighed me there and I was 154 lbs.
During the time period from when I scheduled the GI appointment I started to watch what I was eating a lot and avoided almost all fatty foods and snacks. My question is does GERD cause this fast of weight loss? Should I consult my GP?</t>
        </is>
      </c>
      <c r="D10633" t="n">
        <v>1</v>
      </c>
      <c r="E10633" t="n">
        <v>4</v>
      </c>
      <c r="F10633">
        <f>HYPERLINK("https://www.reddit.com/r/GERD/comments/ijoxxo/gerd_weight_loss/")</f>
        <v/>
      </c>
      <c r="G10633" t="inlineStr">
        <is>
          <t>2020-08-30 18:32:45</t>
        </is>
      </c>
      <c r="H10633" t="inlineStr"/>
    </row>
    <row r="10634">
      <c r="A10634" t="inlineStr">
        <is>
          <t>ijqo19</t>
        </is>
      </c>
      <c r="B10634" t="inlineStr">
        <is>
          <t>Chronic Belching</t>
        </is>
      </c>
      <c r="C10634" t="inlineStr">
        <is>
          <t>I’ve had chronic belching(burping) for over a week, does any one have the same problem or does anyone have a solution to this, it’s honestly embarrassing and annoying.</t>
        </is>
      </c>
      <c r="D10634" t="n">
        <v>1</v>
      </c>
      <c r="E10634" t="n">
        <v>3</v>
      </c>
      <c r="F10634">
        <f>HYPERLINK("https://www.reddit.com/r/GERD/comments/ijqo19/chronic_belching/")</f>
        <v/>
      </c>
      <c r="G10634" t="inlineStr">
        <is>
          <t>2020-08-30 20:29:08</t>
        </is>
      </c>
      <c r="H10634" t="inlineStr"/>
    </row>
    <row r="10635">
      <c r="A10635" t="inlineStr">
        <is>
          <t>ijrmlt</t>
        </is>
      </c>
      <c r="B10635" t="inlineStr">
        <is>
          <t>you guys ever feel the food in your stomach?</t>
        </is>
      </c>
      <c r="C10635" t="inlineStr">
        <is>
          <t>I mean you eat, and then you FEEL it in your stomach.  Not the pressure, not the fullness, but the food itself.  You drink cold water, you feel cold water in your stomach.  You eat a steak, you feel the steak in your stomach.</t>
        </is>
      </c>
      <c r="D10635" t="n">
        <v>1</v>
      </c>
      <c r="E10635" t="n">
        <v>6</v>
      </c>
      <c r="F10635">
        <f>HYPERLINK("https://www.reddit.com/r/GERD/comments/ijrmlt/you_guys_ever_feel_the_food_in_your_stomach/")</f>
        <v/>
      </c>
      <c r="G10635" t="inlineStr">
        <is>
          <t>2020-08-30 21:36:54</t>
        </is>
      </c>
      <c r="H10635" t="inlineStr"/>
    </row>
    <row r="10636">
      <c r="A10636" t="inlineStr">
        <is>
          <t>ijrwke</t>
        </is>
      </c>
      <c r="B10636" t="inlineStr">
        <is>
          <t>what percentage of people with gerd have it because of hiatal hernia?</t>
        </is>
      </c>
      <c r="C10636" t="inlineStr">
        <is>
          <t>Changing with the source, I've heard many causes listed.  But I read somewhere this is the greatest frequency cause.  Truth?</t>
        </is>
      </c>
      <c r="D10636" t="n">
        <v>1</v>
      </c>
      <c r="E10636" t="n">
        <v>2</v>
      </c>
      <c r="F10636">
        <f>HYPERLINK("https://www.reddit.com/r/GERD/comments/ijrwke/what_percentage_of_people_with_gerd_have_it/")</f>
        <v/>
      </c>
      <c r="G10636" t="inlineStr">
        <is>
          <t>2020-08-30 21:58:44</t>
        </is>
      </c>
      <c r="H10636" t="inlineStr"/>
    </row>
    <row r="10637">
      <c r="A10637" t="inlineStr">
        <is>
          <t>iju0xo</t>
        </is>
      </c>
      <c r="B10637" t="inlineStr">
        <is>
          <t>Has anyone here resolved acid reflux by suppressing Candida growth?</t>
        </is>
      </c>
      <c r="C10637" t="inlineStr">
        <is>
          <t>I have been dealing with acid reflux for a while and am new to this forum. I wondered if anyone here might have experienced improvement after suppressing Candida growth (by removing sugars and starches from the diet and by taking anti-fungal herbal supplements). Thank you, and best wishes to all!</t>
        </is>
      </c>
      <c r="D10637" t="n">
        <v>1</v>
      </c>
      <c r="E10637" t="n">
        <v>4</v>
      </c>
      <c r="F10637">
        <f>HYPERLINK("https://www.reddit.com/r/GERD/comments/iju0xo/has_anyone_here_resolved_acid_reflux_by/")</f>
        <v/>
      </c>
      <c r="G10637" t="inlineStr">
        <is>
          <t>2020-08-31 01:05:01</t>
        </is>
      </c>
      <c r="H10637" t="inlineStr"/>
    </row>
    <row r="10638">
      <c r="A10638" t="inlineStr">
        <is>
          <t>ijv27j</t>
        </is>
      </c>
      <c r="B10638" t="inlineStr">
        <is>
          <t>I believe acid reflux killed my best friend</t>
        </is>
      </c>
      <c r="C10638" t="inlineStr">
        <is>
          <t>It hadn't occured to me until now since I have my own gerd/lpr problems but a few years back a very dear friend and mentor passed away. The doctors told him he had emphysema which he never questioned because he was in his 50s and it fit his symptoms.
He was short of breath 24 hours a day and it was made worse by eating and drinking and laying down. He dealt with this for a few years until his heart finally gave out.
I'm 32 and have seen a dozen different doctors all of which have their own diagnosis, copd, allergic asthma, anxiety, gypsy curse, you name it.
It was worse for him because he had to deal with va doctor's. If you think your doctor is incompetent be thankful you don't have to deal with va doctor's. You're lucky if they can identify you from the chair you're sitting in when they enter the exam room.
Anyways the point is, never stop pushing them, push and push and change doctor's as many times as it takes until you find someone competent. 
They're perfectly happy to let you gasp for air until your heart can't take anymore so long as nobody asks questions.</t>
        </is>
      </c>
      <c r="D10638" t="n">
        <v>1</v>
      </c>
      <c r="E10638" t="n">
        <v>11</v>
      </c>
      <c r="F10638">
        <f>HYPERLINK("https://www.reddit.com/r/GERD/comments/ijv27j/i_believe_acid_reflux_killed_my_best_friend/")</f>
        <v/>
      </c>
      <c r="G10638" t="inlineStr">
        <is>
          <t>2020-08-31 02:45:08</t>
        </is>
      </c>
      <c r="H10638" t="inlineStr"/>
    </row>
    <row r="10639">
      <c r="A10639" t="inlineStr">
        <is>
          <t>ijv50v</t>
        </is>
      </c>
      <c r="B10639" t="inlineStr">
        <is>
          <t>My experience with acid refluxes and some tips</t>
        </is>
      </c>
      <c r="C10639" t="inlineStr">
        <is>
          <t>I have acid refluxes since the age of 8-9. It started with these really bad coughs before going to sleep and sometimes during the day. I went to see a doctor and she prescribed me some pills and told me to minimize the consumation of acidic foods such as salads, tomatoes, oranges, lemon etc. After a few months, I stopped coughing and didn’t feel the refluxes anymore. A few months ago, i ve started having these minor and rare sensations of pain in the left chest, behind the chest and in my left shoulder. Once or twice the pain became very disturbing and made me anxious but it usually went away after a few minutes/ an hour or sometimes after drinking hot water. I try to eat less acidic elements and it definitely helps. If it hurts too much, try drinking hot water (it calms the pain for me) and then go see a doctor.</t>
        </is>
      </c>
      <c r="D10639" t="n">
        <v>1</v>
      </c>
      <c r="E10639" t="n">
        <v>1</v>
      </c>
      <c r="F10639">
        <f>HYPERLINK("https://www.reddit.com/r/GERD/comments/ijv50v/my_experience_with_acid_refluxes_and_some_tips/")</f>
        <v/>
      </c>
      <c r="G10639" t="inlineStr">
        <is>
          <t>2020-08-31 02:52:29</t>
        </is>
      </c>
      <c r="H10639" t="inlineStr"/>
    </row>
    <row r="10640">
      <c r="A10640" t="inlineStr">
        <is>
          <t>ijz3ox</t>
        </is>
      </c>
      <c r="B10640" t="inlineStr">
        <is>
          <t>GERD Healing process timeline?</t>
        </is>
      </c>
      <c r="C10640" t="inlineStr">
        <is>
          <t>So I'm taking PPIs right now and I've been prescribed to take them for about a month. I was wondering how my healing timeline would look like (I understand its individual so maybe what you think it is for the average person). 
I am working on my diet as well
So basically the goal is to minimize heartburn and **make sure that I don't get any bile or acidic crap from my stomach to come through my esophagus and into my mouth right?** And after a couple months theoretically my digestive linings should be healed right?</t>
        </is>
      </c>
      <c r="D10640" t="n">
        <v>1</v>
      </c>
      <c r="E10640" t="n">
        <v>9</v>
      </c>
      <c r="F10640">
        <f>HYPERLINK("https://www.reddit.com/r/GERD/comments/ijz3ox/gerd_healing_process_timeline/")</f>
        <v/>
      </c>
      <c r="G10640" t="inlineStr">
        <is>
          <t>2020-08-31 07:35:05</t>
        </is>
      </c>
      <c r="H10640" t="inlineStr"/>
    </row>
    <row r="10641">
      <c r="A10641" t="inlineStr">
        <is>
          <t>ijzrsk</t>
        </is>
      </c>
      <c r="B10641" t="inlineStr">
        <is>
          <t>Laying down makes it feel better.</t>
        </is>
      </c>
      <c r="C10641" t="inlineStr">
        <is>
          <t>I see majority of you guys say it hurts to lay down. It makes me feel soooo much better. I don’t get it. Anyone else?</t>
        </is>
      </c>
      <c r="D10641" t="n">
        <v>1</v>
      </c>
      <c r="E10641" t="n">
        <v>9</v>
      </c>
      <c r="F10641">
        <f>HYPERLINK("https://www.reddit.com/r/GERD/comments/ijzrsk/laying_down_makes_it_feel_better/")</f>
        <v/>
      </c>
      <c r="G10641" t="inlineStr">
        <is>
          <t>2020-08-31 08:12:21</t>
        </is>
      </c>
      <c r="H10641" t="inlineStr"/>
    </row>
    <row r="10642">
      <c r="A10642" t="inlineStr">
        <is>
          <t>ijzvgf</t>
        </is>
      </c>
      <c r="B10642" t="inlineStr">
        <is>
          <t>I was in the hospital over the weekend for abdominal pain. I have GERD</t>
        </is>
      </c>
      <c r="C10642" t="inlineStr">
        <is>
          <t>On Saturday night, I decided to go to the ER after having abdominal pain for over a week, and so little appetite that I was eating 200-500 cals a day at most. In that amount of time, I had lost 7 pounds. They did multiple tests and did imaging to rule out anything severe and got released with the diagnosis of GERD and prescribed pantoprazole.
After my first dose of pantoprazole, I started feeling better and my appetite began to return at full force. However, I noticed that pantoprazole may cause stomach cancer if taken longer than a year? Any comments from anyone who has been on this medication long-term?</t>
        </is>
      </c>
      <c r="D10642" t="n">
        <v>1</v>
      </c>
      <c r="E10642" t="n">
        <v>1</v>
      </c>
      <c r="F10642">
        <f>HYPERLINK("https://www.reddit.com/r/GERD/comments/ijzvgf/i_was_in_the_hospital_over_the_weekend_for/")</f>
        <v/>
      </c>
      <c r="G10642" t="inlineStr">
        <is>
          <t>2020-08-31 08:18:18</t>
        </is>
      </c>
      <c r="H10642" t="inlineStr"/>
    </row>
    <row r="10643">
      <c r="A10643" t="inlineStr">
        <is>
          <t>ijzx0r</t>
        </is>
      </c>
      <c r="B10643" t="inlineStr">
        <is>
          <t>Eye Sockets Aged 10 Years</t>
        </is>
      </c>
      <c r="C10643" t="inlineStr">
        <is>
          <t>So my bottom eyelid/socket area now looks like Keith Richard’s ball sack. Is this common with gerd issues and will I ever be able to restore my youthful glow?</t>
        </is>
      </c>
      <c r="D10643" t="n">
        <v>1</v>
      </c>
      <c r="E10643" t="n">
        <v>5</v>
      </c>
      <c r="F10643">
        <f>HYPERLINK("https://www.reddit.com/r/GERD/comments/ijzx0r/eye_sockets_aged_10_years/")</f>
        <v/>
      </c>
      <c r="G10643" t="inlineStr">
        <is>
          <t>2020-08-31 08:20:49</t>
        </is>
      </c>
      <c r="H10643" t="inlineStr"/>
    </row>
    <row r="10644">
      <c r="A10644" t="inlineStr">
        <is>
          <t>ik0c1n</t>
        </is>
      </c>
      <c r="B10644" t="inlineStr">
        <is>
          <t>GERD Mondays</t>
        </is>
      </c>
      <c r="C10644" t="inlineStr">
        <is>
          <t>Hey Everyone,
I am going to put a live discussion post so everyone can post some encouragement to those who are suffering or at wits end with GERD. These days have been hard stressful times with our condition especially with the pandemic and economic climate. Support each other and remember don't give up. You will beat GERD!</t>
        </is>
      </c>
      <c r="D10644" t="n">
        <v>1</v>
      </c>
      <c r="E10644" t="n">
        <v>6</v>
      </c>
      <c r="F10644">
        <f>HYPERLINK("https://www.reddit.com/r/GERD/comments/ik0c1n/gerd_mondays/")</f>
        <v/>
      </c>
      <c r="G10644" t="inlineStr">
        <is>
          <t>2020-08-31 08:42:46</t>
        </is>
      </c>
      <c r="H10644" t="inlineStr"/>
    </row>
    <row r="10645">
      <c r="A10645" t="inlineStr">
        <is>
          <t>ik0pde</t>
        </is>
      </c>
      <c r="B10645" t="inlineStr">
        <is>
          <t>Spoke to surgeon today</t>
        </is>
      </c>
      <c r="C10645" t="inlineStr">
        <is>
          <t>I feel really overwhelmed. My surgeon made it seem like it was very difficult to get to a ‘normal’ quality of life post op. She said I won’t be able to burp anymore and will be more bloated as a result, she also said that I may still need to take reflux medicine, may still need to avoid certain foods. 
My LES is REALLY LAX. It’s basically open all the time. I still haven’t had the 24hr pH test or the esophageal manometry. So more info will be known then. 
My heartburn is horrible. I’ve had it my whole life but got much worse last December. I’m currently on 40mg of PPI 3x a day and it still doesn’t fully get rid of it. This is me eating all the right foods and being very careful. It would be much much worse without the pills. 
I feel really overwhelmed. Any experience shares by any post op people would be really helpful.</t>
        </is>
      </c>
      <c r="D10645" t="n">
        <v>1</v>
      </c>
      <c r="E10645" t="n">
        <v>36</v>
      </c>
      <c r="F10645">
        <f>HYPERLINK("https://www.reddit.com/r/GERD/comments/ik0pde/spoke_to_surgeon_today/")</f>
        <v/>
      </c>
      <c r="G10645" t="inlineStr">
        <is>
          <t>2020-08-31 09:02:18</t>
        </is>
      </c>
      <c r="H10645" t="inlineStr"/>
    </row>
    <row r="10646">
      <c r="A10646" t="inlineStr">
        <is>
          <t>ik1f88</t>
        </is>
      </c>
      <c r="B10646" t="inlineStr">
        <is>
          <t>How long do your "trigger foods" take to trigger you?</t>
        </is>
      </c>
      <c r="C10646" t="inlineStr">
        <is>
          <t>When trying to slowly reintroduce foods to determine if they're a trigger, how long do you give them? 1 day? 1 week?</t>
        </is>
      </c>
      <c r="D10646" t="n">
        <v>1</v>
      </c>
      <c r="E10646" t="n">
        <v>7</v>
      </c>
      <c r="F10646">
        <f>HYPERLINK("https://www.reddit.com/r/GERD/comments/ik1f88/how_long_do_your_trigger_foods_take_to_trigger_you/")</f>
        <v/>
      </c>
      <c r="G10646" t="inlineStr">
        <is>
          <t>2020-08-31 09:39:26</t>
        </is>
      </c>
      <c r="H10646" t="inlineStr"/>
    </row>
    <row r="10647">
      <c r="A10647" t="inlineStr">
        <is>
          <t>ik2ht0</t>
        </is>
      </c>
      <c r="B10647" t="inlineStr">
        <is>
          <t>How do you guys manage bloat?</t>
        </is>
      </c>
      <c r="C10647" t="inlineStr">
        <is>
          <t>I burp a crazy amount after I eat food. Its very obnoxious but doesn't hurt that much. How do I reduce it? Do I eat slower or something and not binge eat? I'm working on not binge eating but maybe my eating velocity should reduce</t>
        </is>
      </c>
      <c r="D10647" t="n">
        <v>1</v>
      </c>
      <c r="E10647" t="n">
        <v>2</v>
      </c>
      <c r="F10647">
        <f>HYPERLINK("https://www.reddit.com/r/GERD/comments/ik2ht0/how_do_you_guys_manage_bloat/")</f>
        <v/>
      </c>
      <c r="G10647" t="inlineStr">
        <is>
          <t>2020-08-31 10:33:35</t>
        </is>
      </c>
      <c r="H10647" t="inlineStr"/>
    </row>
    <row r="10648">
      <c r="A10648" t="inlineStr">
        <is>
          <t>ik3lbr</t>
        </is>
      </c>
      <c r="B10648" t="inlineStr">
        <is>
          <t>Why do I get nauseous when I eat oily things?</t>
        </is>
      </c>
      <c r="C10648" t="inlineStr">
        <is>
          <t xml:space="preserve"> I’d get heart burn sometimes if I eat fried chicken and it’s really spicy sometimes I just get nauseous though, it’s the same if I eat fried eggs (fried in oil) I just get nauseous
I understand why we’d get heart burn from eating fried things but why do I get nauseous from eating oily things?</t>
        </is>
      </c>
      <c r="D10648" t="n">
        <v>1</v>
      </c>
      <c r="E10648" t="n">
        <v>15</v>
      </c>
      <c r="F10648">
        <f>HYPERLINK("https://www.reddit.com/r/GERD/comments/ik3lbr/why_do_i_get_nauseous_when_i_eat_oily_things/")</f>
        <v/>
      </c>
      <c r="G10648" t="inlineStr">
        <is>
          <t>2020-08-31 11:29:40</t>
        </is>
      </c>
      <c r="H10648" t="inlineStr"/>
    </row>
    <row r="10649">
      <c r="A10649" t="inlineStr">
        <is>
          <t>ik4gam</t>
        </is>
      </c>
      <c r="B10649" t="inlineStr">
        <is>
          <t>Share tricks to subdue GERD</t>
        </is>
      </c>
      <c r="C10649" t="inlineStr">
        <is>
          <t>I have been dealing with GERD for around 4 years. Started with occasional zantac and now I'm PPI daily to control the symptoms. I have always looked for life style and diet changes. Let's share our experiences 
What makes my reflux worse:
Hard to digest food like greasy food, that include even salmon if cooked with butter or oil, kabobs with red meat. Onion specially raw. Spicy food such as tacos with salsa. Coffee if I drink it regularly for several days. Eating or drinking before sleeping. Sitting posture puts pressure on my stomach and makes things worse, excericises like kayaking that puts pressure on abdomin. Weight lifting. 
What helps:
Not eating 2-4 hours before sleep. Walking after meals. Standing position rather than sitting position. Elavated bed. H2 blockers don't completely control my symptoms. But I also notice I start developing tolerance toward PPI, so I alternate between PPI and H2 blockers.</t>
        </is>
      </c>
      <c r="D10649" t="n">
        <v>1</v>
      </c>
      <c r="E10649" t="n">
        <v>4</v>
      </c>
      <c r="F10649">
        <f>HYPERLINK("https://www.reddit.com/r/GERD/comments/ik4gam/share_tricks_to_subdue_gerd/")</f>
        <v/>
      </c>
      <c r="G10649" t="inlineStr">
        <is>
          <t>2020-08-31 12:13:45</t>
        </is>
      </c>
      <c r="H10649" t="inlineStr"/>
    </row>
    <row r="10650">
      <c r="A10650" t="inlineStr">
        <is>
          <t>ik4s0q</t>
        </is>
      </c>
      <c r="B10650" t="inlineStr">
        <is>
          <t>Cant breath anxiety</t>
        </is>
      </c>
      <c r="C10650" t="inlineStr">
        <is>
          <t>Hi im hasan 20 years old! This is going to be a long week post so please read it till the end! Ok so i have been anxious about my health for as long as i remember! Like even when i was 10 i was always worried about me heaving heart attack! In the past 10 years i have experienced different symptoms and have most probebly always worried about them to end extend that i dont actually remember the last time i was actually happy! I remember before experiencing my current issue i was too worried about different pimples for about 3-4 months! Now lets talk about the current symptom! So like 20 days back i had this sudden feeling that i was repeatedly taking deep breaths and i was feeling breathless like i wasnt able to sleep at all it was too frightening i thought i had lung issue and i rushed to the do tor where he checked my oxygen level and my chest and said i have nothing as my oxygen levels were 99 and had no congestion! He said its due to stomach but he wasnt aware about my anxiety! So ok i came back but the symptoms were still there i went to the doc again after 2 days as i was awake from 3 days but the doctor still said its nothing and i came back! I kept heaving this symptoms! This feeling is like i want to breath deep and i do but i dont get the satisfying feel enough and i keep trying and trying and trying and then when i finally take that satisfying breath the feeling goes but it comes really quick! Its been here for 20 days but ill say its way better now like during the first 4 days it was worsed but then when i realised its anxiety the symptoms got 99% improved and i was able to sleep and be normal! I still am way better but today im feeling a little bad im keep trying to take deep breaths but that satisfying feel comes after a lot of trying and im not comfortable with that! I have a lot of work to do but this prevents me from doing it! Im too young to feel this i have seen boys my age who live a good and healthy life even tho they arent rich and im still im not able to enjoy life! Also mention i did took anxiety pill once when i was awake for 4 days and i felt better alot i feel better when im busy with people talking! Help</t>
        </is>
      </c>
      <c r="D10650" t="n">
        <v>1</v>
      </c>
      <c r="E10650" t="n">
        <v>7</v>
      </c>
      <c r="F10650">
        <f>HYPERLINK("https://www.reddit.com/r/GERD/comments/ik4s0q/cant_breath_anxiety/")</f>
        <v/>
      </c>
      <c r="G10650" t="inlineStr">
        <is>
          <t>2020-08-31 12:30:12</t>
        </is>
      </c>
      <c r="H10650" t="inlineStr"/>
    </row>
    <row r="10651">
      <c r="A10651" t="inlineStr">
        <is>
          <t>ik50wc</t>
        </is>
      </c>
      <c r="B10651" t="inlineStr">
        <is>
          <t>Shooting pain in throat</t>
        </is>
      </c>
      <c r="C10651" t="inlineStr">
        <is>
          <t>Not sure if anyone else has experienced it, just checking. 
I do get these shooting pain spasms in my throat after I eat anything tangy, sour or spicy. 
I am doing H2s for my acid reflux. So the 2 might be related.</t>
        </is>
      </c>
      <c r="D10651" t="n">
        <v>1</v>
      </c>
      <c r="E10651" t="n">
        <v>2</v>
      </c>
      <c r="F10651">
        <f>HYPERLINK("https://www.reddit.com/r/GERD/comments/ik50wc/shooting_pain_in_throat/")</f>
        <v/>
      </c>
      <c r="G10651" t="inlineStr">
        <is>
          <t>2020-08-31 12:43:01</t>
        </is>
      </c>
      <c r="H10651" t="inlineStr"/>
    </row>
    <row r="10652">
      <c r="A10652" t="inlineStr">
        <is>
          <t>ik6ah8</t>
        </is>
      </c>
      <c r="B10652" t="inlineStr">
        <is>
          <t>Name your best flare up foods</t>
        </is>
      </c>
      <c r="C10652" t="inlineStr">
        <is>
          <t>I don’t really have any so wanted to see what you guys eat</t>
        </is>
      </c>
      <c r="D10652" t="n">
        <v>1</v>
      </c>
      <c r="E10652" t="n">
        <v>8</v>
      </c>
      <c r="F10652">
        <f>HYPERLINK("https://www.reddit.com/r/GERD/comments/ik6ah8/name_your_best_flare_up_foods/")</f>
        <v/>
      </c>
      <c r="G10652" t="inlineStr">
        <is>
          <t>2020-08-31 13:49:26</t>
        </is>
      </c>
      <c r="H10652" t="inlineStr"/>
    </row>
    <row r="10653">
      <c r="A10653" t="inlineStr">
        <is>
          <t>ik6ijg</t>
        </is>
      </c>
      <c r="B10653" t="inlineStr">
        <is>
          <t>Do NOT underestimate stress as a factor</t>
        </is>
      </c>
      <c r="C10653" t="inlineStr">
        <is>
          <t>I am still experiencing symptoms, but many of them have dulled or even disappeared now that one of the major stressors in my life has been dealt with. At first, I thought that it must have been tied to some subtle change I made in my diet but I really haven't altered anything. Talking about my stress and developing a plan of action has led to a lot of physical relief for me.
This may not be applicable to everyone, but don't underestimate stress as a factor. Take care.</t>
        </is>
      </c>
      <c r="D10653" t="n">
        <v>1</v>
      </c>
      <c r="E10653" t="n">
        <v>51</v>
      </c>
      <c r="F10653">
        <f>HYPERLINK("https://www.reddit.com/r/GERD/comments/ik6ijg/do_not_underestimate_stress_as_a_factor/")</f>
        <v/>
      </c>
      <c r="G10653" t="inlineStr">
        <is>
          <t>2020-08-31 14:01:10</t>
        </is>
      </c>
      <c r="H10653" t="inlineStr"/>
    </row>
    <row r="10654">
      <c r="A10654" t="inlineStr">
        <is>
          <t>ik6u41</t>
        </is>
      </c>
      <c r="B10654" t="inlineStr">
        <is>
          <t>best medication?</t>
        </is>
      </c>
      <c r="C10654" t="inlineStr">
        <is>
          <t>okay so i have  tried pepcid,nexium it sort of helps but do you guys know any other med that can help with trouble swallowing?  This is my biggest issue with my acid reflux the nexium helps a little but was wondering if there is another med out there that can help more with it</t>
        </is>
      </c>
      <c r="D10654" t="n">
        <v>1</v>
      </c>
      <c r="E10654" t="n">
        <v>3</v>
      </c>
      <c r="F10654">
        <f>HYPERLINK("https://www.reddit.com/r/GERD/comments/ik6u41/best_medication/")</f>
        <v/>
      </c>
      <c r="G10654" t="inlineStr">
        <is>
          <t>2020-08-31 14:17:36</t>
        </is>
      </c>
      <c r="H10654" t="inlineStr"/>
    </row>
    <row r="10655">
      <c r="A10655" t="inlineStr">
        <is>
          <t>ik7cle</t>
        </is>
      </c>
      <c r="B10655" t="inlineStr">
        <is>
          <t>Took a big pill, terrified it is stuck or went down windpipe</t>
        </is>
      </c>
      <c r="C10655" t="inlineStr">
        <is>
          <t>I’ve been on antibiotics for a UTI. The pills are really big, so I split them in half. 
When I took the first half a little while ago , it seemed like it turned horizontally and I felt the split end of the pill scratch my throat. It hurt like hell and I felt like the pill was choking me, so I just kept chugging water because I didn’t know what else to do. When I stopped I immediately felt lightheaded and super nauseous, and then started retching. Nothing came up but I felt the pill in the upper right side of my throat(?). After a few minutes I took the other half and it went down fine, but it felt like it was a whole different tube- my actual throat, more on the left. I can still feel something on the right side but I’m not retching anymore. 
Has this ever happened to anyone else here?
Honestly, I’m terrified the pill half went down my windpipe and is going to kill me. Should I go to urgent care?</t>
        </is>
      </c>
      <c r="D10655" t="n">
        <v>1</v>
      </c>
      <c r="E10655" t="n">
        <v>8</v>
      </c>
      <c r="F10655">
        <f>HYPERLINK("https://www.reddit.com/r/GERD/comments/ik7cle/took_a_big_pill_terrified_it_is_stuck_or_went/")</f>
        <v/>
      </c>
      <c r="G10655" t="inlineStr">
        <is>
          <t>2020-08-31 14:45:32</t>
        </is>
      </c>
      <c r="H10655" t="inlineStr"/>
    </row>
    <row r="10656">
      <c r="A10656" t="inlineStr">
        <is>
          <t>ik7xmk</t>
        </is>
      </c>
      <c r="B10656" t="inlineStr">
        <is>
          <t>Is Ketogenic diet ideal for GERD?</t>
        </is>
      </c>
      <c r="C10656" t="inlineStr">
        <is>
          <t>Just watched a youtube video related to GERD, in which the guy says the exact reason GERD happens is because of three reasons 
1) Low stomach acid
 2)Improper digestion of carbs
3) bacterial growth
Now all these three things are linked together so the proper solution to treat acid reflux is to cut down carbs because the more you'll consume carbs the more bacteria will grow and it will cause stomach farting which pushes stomach upwards and causes reflux. And then I started looking for low carb diet and stumbled across keto diet in which you take very low carbs , and high amount of protein and fats to compensate. The explanation of guy seemed fair to me, he also stated that taking pills and antacids which are prescribed by your doc are just relieving you from symptoms rather than the actual problems ( like antacid increases pH of your stomach ,which in turn makes it hard for food to digest). I want to see your opinion about this. If you guys can spare time you can watch the video.
https://youtu.be/McXhHJ0rQug
The problem with Keto diet for me is that i am a vegetarian, and to adapt this change i gotta turn into a non vegetarian.</t>
        </is>
      </c>
      <c r="D10656" t="n">
        <v>1</v>
      </c>
      <c r="E10656" t="n">
        <v>3</v>
      </c>
      <c r="F10656">
        <f>HYPERLINK("https://www.reddit.com/r/GERD/comments/ik7xmk/is_ketogenic_diet_ideal_for_gerd/")</f>
        <v/>
      </c>
      <c r="G10656" t="inlineStr">
        <is>
          <t>2020-08-31 15:17:58</t>
        </is>
      </c>
      <c r="H10656" t="inlineStr"/>
    </row>
    <row r="10657">
      <c r="A10657" t="inlineStr">
        <is>
          <t>ik8a9a</t>
        </is>
      </c>
      <c r="B10657" t="inlineStr">
        <is>
          <t>Decaf tea?</t>
        </is>
      </c>
      <c r="C10657" t="inlineStr">
        <is>
          <t>Is black tea still a trigger for reflux even if it's decaffeinated? 
I typically drink iced decaf black tea with Splenda.
I was under the impression that caffeine was a problem. But even when I was taking caffeine pills regularly they didn't irritate my stomach. But lately EVERYTHING is giving me heartburn. Sometimes I just don't eat at all, and still there is heartburn. So maybe it's the iced tea?</t>
        </is>
      </c>
      <c r="D10657" t="n">
        <v>1</v>
      </c>
      <c r="E10657" t="n">
        <v>2</v>
      </c>
      <c r="F10657">
        <f>HYPERLINK("https://www.reddit.com/r/GERD/comments/ik8a9a/decaf_tea/")</f>
        <v/>
      </c>
      <c r="G10657" t="inlineStr">
        <is>
          <t>2020-08-31 15:38:07</t>
        </is>
      </c>
      <c r="H10657" t="inlineStr"/>
    </row>
    <row r="10658">
      <c r="A10658" t="inlineStr">
        <is>
          <t>ik9k2z</t>
        </is>
      </c>
      <c r="B10658" t="inlineStr">
        <is>
          <t>THIS SHIT IS A FING PARADOX</t>
        </is>
      </c>
      <c r="C10658" t="inlineStr">
        <is>
          <t>Eat: pain
hungry cause don't eat: pain
lay down after eat: pain, heart burn
lay down after don't eat: REFER TO HUNGRY CAUSE DON'T EAT</t>
        </is>
      </c>
      <c r="D10658" t="n">
        <v>1</v>
      </c>
      <c r="E10658" t="n">
        <v>7</v>
      </c>
      <c r="F10658">
        <f>HYPERLINK("https://www.reddit.com/r/GERD/comments/ik9k2z/this_shit_is_a_fing_paradox/")</f>
        <v/>
      </c>
      <c r="G10658" t="inlineStr">
        <is>
          <t>2020-08-31 16:53:09</t>
        </is>
      </c>
      <c r="H10658" t="inlineStr"/>
    </row>
  </sheetData>
  <pageMargins bottom="1" footer="0.5" header="0.5" left="0.75" right="0.75" top="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2020-09-05T12:22:09Z</dcterms:created>
  <dcterms:modified xsi:type="dcterms:W3CDTF">2020-09-05T12:22:09Z</dcterms:modified>
</cp:coreProperties>
</file>